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sokansas-my.sharepoint.com/personal/lindsay_a_olson_doa_ks_gov/Documents/Desktop/2025 Workbooks/"/>
    </mc:Choice>
  </mc:AlternateContent>
  <xr:revisionPtr revIDLastSave="35" documentId="8_{A79313B3-1DF7-483D-BFE3-7468A4C08FE9}" xr6:coauthVersionLast="47" xr6:coauthVersionMax="47" xr10:uidLastSave="{373C5760-1AE9-40E2-8BD6-44EEB44BAC5B}"/>
  <bookViews>
    <workbookView xWindow="3795" yWindow="1650" windowWidth="17670" windowHeight="12390" tabRatio="850" xr2:uid="{00000000-000D-0000-FFFF-FFFF00000000}"/>
  </bookViews>
  <sheets>
    <sheet name="Instructions" sheetId="42" r:id="rId1"/>
    <sheet name="inputPrYr" sheetId="2" r:id="rId2"/>
    <sheet name="inputOth" sheetId="20" r:id="rId3"/>
    <sheet name="inputHearing" sheetId="43" r:id="rId4"/>
    <sheet name="CPA Summary" sheetId="41" r:id="rId5"/>
    <sheet name="Cert" sheetId="3" r:id="rId6"/>
    <sheet name="Mvalloc" sheetId="4" r:id="rId7"/>
    <sheet name="Transfer" sheetId="21" r:id="rId8"/>
    <sheet name="Transfer Statutes" sheetId="23" r:id="rId9"/>
    <sheet name="Debt - LP Form" sheetId="13" r:id="rId10"/>
    <sheet name="Library Grant" sheetId="34" r:id="rId11"/>
    <sheet name="General" sheetId="6" r:id="rId12"/>
    <sheet name="DebtSvs-Library" sheetId="35" r:id="rId13"/>
    <sheet name="Road" sheetId="7" r:id="rId14"/>
    <sheet name="Levy Page 9" sheetId="8" r:id="rId15"/>
    <sheet name="Levy Page 10" sheetId="9" r:id="rId16"/>
    <sheet name="Levy Page 11" sheetId="10" r:id="rId17"/>
    <sheet name="No Levy Page 12" sheetId="17" r:id="rId18"/>
    <sheet name="Non-Budgeted Funds" sheetId="24" r:id="rId19"/>
    <sheet name="Non-Bud Fund Statutes" sheetId="30" r:id="rId20"/>
    <sheet name="Budget Hearing Notice" sheetId="12" r:id="rId21"/>
    <sheet name="Combined Rate-Bud Hearing Notic" sheetId="44" r:id="rId22"/>
    <sheet name="RNR Hearing Notice" sheetId="45" r:id="rId23"/>
    <sheet name="NR Rebate" sheetId="22" r:id="rId24"/>
    <sheet name="SAMPLE TWP Res to Exceed RNR" sheetId="46" r:id="rId25"/>
    <sheet name="SAMPLE Notice to County Clerk" sheetId="47" r:id="rId26"/>
    <sheet name="Tab A" sheetId="25" r:id="rId27"/>
    <sheet name="Tab B" sheetId="26" r:id="rId28"/>
    <sheet name="Tab C" sheetId="27" r:id="rId29"/>
    <sheet name="Tab D" sheetId="28" r:id="rId30"/>
    <sheet name="Tab E" sheetId="29" r:id="rId31"/>
    <sheet name="Budget Tools" sheetId="48" r:id="rId32"/>
    <sheet name="Legend" sheetId="15" r:id="rId33"/>
  </sheets>
  <definedNames>
    <definedName name="_xlnm.Print_Area" localSheetId="20">'Budget Hearing Notice'!$B$2:$I$51</definedName>
    <definedName name="_xlnm.Print_Area" localSheetId="5">Cert!$A$1:$G$69</definedName>
    <definedName name="_xlnm.Print_Area" localSheetId="21">'Combined Rate-Bud Hearing Notic'!$B$2:$I$51</definedName>
    <definedName name="_xlnm.Print_Area" localSheetId="4">'CPA Summary'!$A$1:$A$49</definedName>
    <definedName name="_xlnm.Print_Area" localSheetId="12">'DebtSvs-Library'!$B$1:$E$88</definedName>
    <definedName name="_xlnm.Print_Area" localSheetId="11">General!$A$1:$E$66</definedName>
    <definedName name="_xlnm.Print_Area" localSheetId="1">inputPrYr!$A$1:$E$86</definedName>
    <definedName name="_xlnm.Print_Area" localSheetId="15">'Levy Page 10'!$A$1:$E$93</definedName>
    <definedName name="_xlnm.Print_Area" localSheetId="16">'Levy Page 11'!$A$1:$E$93</definedName>
    <definedName name="_xlnm.Print_Area" localSheetId="14">'Levy Page 9'!$A$1:$E$92</definedName>
    <definedName name="_xlnm.Print_Area" localSheetId="10">'Library Grant'!$A$1:$J$40</definedName>
    <definedName name="_xlnm.Print_Area" localSheetId="22">'RNR Hearing Notice'!$A$1:$H$17</definedName>
    <definedName name="_xlnm.Print_Area" localSheetId="13">Road!$B$1:$F$72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3" l="1"/>
  <c r="B54" i="17" l="1"/>
  <c r="B24" i="17"/>
  <c r="B72" i="10"/>
  <c r="B31" i="10"/>
  <c r="B72" i="9"/>
  <c r="B31" i="9"/>
  <c r="B71" i="8"/>
  <c r="B31" i="8"/>
  <c r="B38" i="7"/>
  <c r="B42" i="6"/>
  <c r="B31" i="35"/>
  <c r="F12" i="21"/>
  <c r="E12" i="21"/>
  <c r="D12" i="21"/>
  <c r="C12" i="21"/>
  <c r="E11" i="21"/>
  <c r="D11" i="21"/>
  <c r="E10" i="21"/>
  <c r="D10" i="21"/>
  <c r="C11" i="21"/>
  <c r="F11" i="21" s="1"/>
  <c r="C10" i="21"/>
  <c r="F10" i="21" s="1"/>
  <c r="C36" i="3" l="1"/>
  <c r="C35" i="3"/>
  <c r="C38" i="3"/>
  <c r="C37" i="3"/>
  <c r="A18" i="3" l="1"/>
  <c r="A6" i="45"/>
  <c r="A10" i="45"/>
  <c r="A5" i="45"/>
  <c r="H1" i="45"/>
  <c r="B49" i="44"/>
  <c r="B48" i="44"/>
  <c r="B9" i="44"/>
  <c r="B7" i="44"/>
  <c r="N44" i="44"/>
  <c r="E44" i="44"/>
  <c r="E43" i="44"/>
  <c r="C43" i="44"/>
  <c r="E42" i="44"/>
  <c r="C42" i="44"/>
  <c r="C44" i="44" s="1"/>
  <c r="G41" i="44"/>
  <c r="E41" i="44"/>
  <c r="C41" i="44"/>
  <c r="G38" i="44"/>
  <c r="N23" i="44" s="1"/>
  <c r="N43" i="44"/>
  <c r="E38" i="44"/>
  <c r="C38" i="44"/>
  <c r="C36" i="44"/>
  <c r="I33" i="44"/>
  <c r="N40" i="44" s="1"/>
  <c r="C31" i="44"/>
  <c r="B30" i="44"/>
  <c r="B29" i="44"/>
  <c r="B28" i="44"/>
  <c r="F27" i="44"/>
  <c r="D27" i="44"/>
  <c r="B27" i="44"/>
  <c r="F26" i="44"/>
  <c r="D26" i="44"/>
  <c r="B26" i="44"/>
  <c r="F25" i="44"/>
  <c r="D25" i="44"/>
  <c r="B25" i="44"/>
  <c r="F24" i="44"/>
  <c r="D24" i="44"/>
  <c r="B24" i="44"/>
  <c r="F23" i="44"/>
  <c r="D23" i="44"/>
  <c r="B23" i="44"/>
  <c r="F22" i="44"/>
  <c r="D22" i="44"/>
  <c r="C22" i="44"/>
  <c r="B22" i="44"/>
  <c r="F21" i="44"/>
  <c r="D21" i="44"/>
  <c r="B21" i="44"/>
  <c r="F20" i="44"/>
  <c r="D20" i="44"/>
  <c r="B20" i="44"/>
  <c r="F19" i="44"/>
  <c r="D19" i="44"/>
  <c r="F18" i="44"/>
  <c r="D18" i="44"/>
  <c r="D32" i="44" s="1"/>
  <c r="B18" i="44"/>
  <c r="B6" i="44"/>
  <c r="B5" i="44"/>
  <c r="I1" i="44"/>
  <c r="B11" i="44" s="1"/>
  <c r="B49" i="12"/>
  <c r="B48" i="12"/>
  <c r="B9" i="12"/>
  <c r="B7" i="12"/>
  <c r="G33" i="9"/>
  <c r="G71" i="35"/>
  <c r="G33" i="35"/>
  <c r="G42" i="7"/>
  <c r="K43" i="44"/>
  <c r="G14" i="44"/>
  <c r="G73" i="8"/>
  <c r="G33" i="8"/>
  <c r="G23" i="13"/>
  <c r="F41" i="3"/>
  <c r="F38" i="3"/>
  <c r="I33" i="12"/>
  <c r="G52" i="6" s="1"/>
  <c r="E15" i="22"/>
  <c r="E60" i="10" s="1"/>
  <c r="E14" i="22"/>
  <c r="E19" i="10" s="1"/>
  <c r="E13" i="22"/>
  <c r="E60" i="9" s="1"/>
  <c r="E12" i="22"/>
  <c r="E19" i="9" s="1"/>
  <c r="E11" i="22"/>
  <c r="E59" i="8"/>
  <c r="E10" i="22"/>
  <c r="E19" i="8" s="1"/>
  <c r="E9" i="22"/>
  <c r="E8" i="22"/>
  <c r="E58" i="35"/>
  <c r="E7" i="22"/>
  <c r="E19" i="35" s="1"/>
  <c r="E6" i="22"/>
  <c r="E24" i="6"/>
  <c r="H31" i="4"/>
  <c r="G29" i="4"/>
  <c r="D45" i="7"/>
  <c r="D47" i="35"/>
  <c r="E15" i="34"/>
  <c r="D8" i="35"/>
  <c r="D22" i="35"/>
  <c r="D21" i="35"/>
  <c r="D49" i="10"/>
  <c r="D63" i="10" s="1"/>
  <c r="D8" i="10"/>
  <c r="D22" i="10"/>
  <c r="D49" i="9"/>
  <c r="D63" i="9"/>
  <c r="D62" i="9" s="1"/>
  <c r="D8" i="9"/>
  <c r="D22" i="9" s="1"/>
  <c r="D21" i="9" s="1"/>
  <c r="D48" i="8"/>
  <c r="D62" i="8"/>
  <c r="D61" i="8" s="1"/>
  <c r="D8" i="8"/>
  <c r="D22" i="8" s="1"/>
  <c r="D21" i="8" s="1"/>
  <c r="D8" i="7"/>
  <c r="D25" i="7" s="1"/>
  <c r="D8" i="6"/>
  <c r="G19" i="2"/>
  <c r="D79" i="35"/>
  <c r="D40" i="35"/>
  <c r="E40" i="35"/>
  <c r="C18" i="3"/>
  <c r="C20" i="3"/>
  <c r="D75" i="35"/>
  <c r="C75" i="35"/>
  <c r="C36" i="35"/>
  <c r="D36" i="35"/>
  <c r="B44" i="35"/>
  <c r="B19" i="34"/>
  <c r="B18" i="34"/>
  <c r="B17" i="34"/>
  <c r="B16" i="34"/>
  <c r="B15" i="34"/>
  <c r="C22" i="3"/>
  <c r="C21" i="3"/>
  <c r="B22" i="3"/>
  <c r="A22" i="3"/>
  <c r="F20" i="12"/>
  <c r="D20" i="12"/>
  <c r="B20" i="12"/>
  <c r="D8" i="22"/>
  <c r="E73" i="35"/>
  <c r="E72" i="35" s="1"/>
  <c r="B8" i="22"/>
  <c r="C13" i="4"/>
  <c r="C21" i="4"/>
  <c r="H13" i="4"/>
  <c r="E53" i="35" s="1"/>
  <c r="B13" i="4"/>
  <c r="A51" i="20"/>
  <c r="A21" i="20"/>
  <c r="B45" i="2"/>
  <c r="E19" i="34"/>
  <c r="E18" i="34"/>
  <c r="E22" i="34" s="1"/>
  <c r="E17" i="34"/>
  <c r="E16" i="34"/>
  <c r="G16" i="34"/>
  <c r="G14" i="34"/>
  <c r="B78" i="34" s="1"/>
  <c r="E14" i="34"/>
  <c r="B89" i="34" s="1"/>
  <c r="B8" i="34"/>
  <c r="B7" i="34"/>
  <c r="B5" i="34"/>
  <c r="B5" i="35"/>
  <c r="E1" i="35"/>
  <c r="H73" i="35" s="1"/>
  <c r="B1" i="35"/>
  <c r="D73" i="35"/>
  <c r="D98" i="35" s="1"/>
  <c r="C73" i="35"/>
  <c r="C98" i="35" s="1"/>
  <c r="B77" i="35" s="1"/>
  <c r="C61" i="35"/>
  <c r="C60" i="35"/>
  <c r="D34" i="35"/>
  <c r="E19" i="44" s="1"/>
  <c r="C34" i="35"/>
  <c r="C96" i="35" s="1"/>
  <c r="C22" i="35"/>
  <c r="C23" i="35" s="1"/>
  <c r="B2" i="4"/>
  <c r="G26" i="2"/>
  <c r="G25" i="2"/>
  <c r="G24" i="2"/>
  <c r="G23" i="2"/>
  <c r="G22" i="2"/>
  <c r="G21" i="2"/>
  <c r="G20" i="2"/>
  <c r="G18" i="2"/>
  <c r="G17" i="2"/>
  <c r="C31" i="12"/>
  <c r="C33" i="3"/>
  <c r="C29" i="3"/>
  <c r="C28" i="3"/>
  <c r="C27" i="3"/>
  <c r="C26" i="3"/>
  <c r="C25" i="3"/>
  <c r="C24" i="3"/>
  <c r="C23" i="3"/>
  <c r="C58" i="7"/>
  <c r="C57" i="7"/>
  <c r="C56" i="7"/>
  <c r="D40" i="10"/>
  <c r="E40" i="10" s="1"/>
  <c r="D81" i="10"/>
  <c r="E81" i="10"/>
  <c r="D40" i="9"/>
  <c r="E40" i="9"/>
  <c r="D81" i="9"/>
  <c r="E81" i="9"/>
  <c r="D40" i="8"/>
  <c r="E40" i="8" s="1"/>
  <c r="D80" i="8"/>
  <c r="E80" i="8"/>
  <c r="D49" i="7"/>
  <c r="E49" i="7"/>
  <c r="D55" i="6"/>
  <c r="C77" i="10"/>
  <c r="D77" i="10"/>
  <c r="C36" i="10"/>
  <c r="D36" i="10"/>
  <c r="C77" i="9"/>
  <c r="D77" i="9"/>
  <c r="C36" i="9"/>
  <c r="D36" i="9"/>
  <c r="C76" i="8"/>
  <c r="D76" i="8"/>
  <c r="C36" i="8"/>
  <c r="C98" i="8" s="1"/>
  <c r="D36" i="8"/>
  <c r="C45" i="7"/>
  <c r="C51" i="6"/>
  <c r="D51" i="6"/>
  <c r="A8" i="29"/>
  <c r="A46" i="28"/>
  <c r="A41" i="28"/>
  <c r="A6" i="28"/>
  <c r="A38" i="27"/>
  <c r="A33" i="27"/>
  <c r="A19" i="27"/>
  <c r="A6" i="27"/>
  <c r="A34" i="26"/>
  <c r="A33" i="26"/>
  <c r="A6" i="26"/>
  <c r="A77" i="25"/>
  <c r="A74" i="25"/>
  <c r="A33" i="25"/>
  <c r="A28" i="25"/>
  <c r="A25" i="25"/>
  <c r="A16" i="25"/>
  <c r="A6" i="25"/>
  <c r="D19" i="22"/>
  <c r="D21" i="22"/>
  <c r="B30" i="12"/>
  <c r="A32" i="3"/>
  <c r="C32" i="3"/>
  <c r="I5" i="24"/>
  <c r="G5" i="24"/>
  <c r="E5" i="24"/>
  <c r="C5" i="24"/>
  <c r="A5" i="24"/>
  <c r="K1" i="24"/>
  <c r="F2" i="24" s="1"/>
  <c r="A1" i="24"/>
  <c r="J28" i="24"/>
  <c r="H28" i="24"/>
  <c r="H29" i="24" s="1"/>
  <c r="H30" i="24" s="1"/>
  <c r="F28" i="24"/>
  <c r="D28" i="24"/>
  <c r="B28" i="24"/>
  <c r="J17" i="24"/>
  <c r="J18" i="24"/>
  <c r="J29" i="24"/>
  <c r="J30" i="24" s="1"/>
  <c r="H17" i="24"/>
  <c r="H18" i="24"/>
  <c r="F17" i="24"/>
  <c r="F18" i="24"/>
  <c r="K18" i="24" s="1"/>
  <c r="F29" i="24"/>
  <c r="F30" i="24" s="1"/>
  <c r="D17" i="24"/>
  <c r="B17" i="24"/>
  <c r="B18" i="24"/>
  <c r="K7" i="24"/>
  <c r="E15" i="2"/>
  <c r="G16" i="2"/>
  <c r="D15" i="2"/>
  <c r="C14" i="4"/>
  <c r="C20" i="4"/>
  <c r="C19" i="4"/>
  <c r="C18" i="4"/>
  <c r="C17" i="4"/>
  <c r="C16" i="4"/>
  <c r="C15" i="4"/>
  <c r="C12" i="4"/>
  <c r="C11" i="4"/>
  <c r="A27" i="2"/>
  <c r="D43" i="7"/>
  <c r="E21" i="44" s="1"/>
  <c r="C43" i="7"/>
  <c r="C21" i="44" s="1"/>
  <c r="E15" i="7"/>
  <c r="C27" i="6"/>
  <c r="C28" i="6" s="1"/>
  <c r="C46" i="6" s="1"/>
  <c r="C26" i="6"/>
  <c r="C44" i="6"/>
  <c r="E15" i="6"/>
  <c r="E27" i="2"/>
  <c r="E36" i="44"/>
  <c r="D23" i="4"/>
  <c r="E25" i="4"/>
  <c r="F27" i="4"/>
  <c r="C22" i="10"/>
  <c r="C21" i="10"/>
  <c r="C34" i="10"/>
  <c r="C26" i="44" s="1"/>
  <c r="D34" i="10"/>
  <c r="E26" i="44" s="1"/>
  <c r="D33" i="10"/>
  <c r="C63" i="10"/>
  <c r="C64" i="10" s="1"/>
  <c r="C75" i="10"/>
  <c r="C27" i="44" s="1"/>
  <c r="D75" i="10"/>
  <c r="D101" i="10" s="1"/>
  <c r="C22" i="9"/>
  <c r="C21" i="9"/>
  <c r="C34" i="9"/>
  <c r="C24" i="44" s="1"/>
  <c r="D34" i="9"/>
  <c r="E24" i="44" s="1"/>
  <c r="C75" i="9"/>
  <c r="C25" i="12" s="1"/>
  <c r="C63" i="9"/>
  <c r="D75" i="9"/>
  <c r="D74" i="9" s="1"/>
  <c r="C22" i="8"/>
  <c r="C21" i="8" s="1"/>
  <c r="C34" i="8"/>
  <c r="D34" i="8"/>
  <c r="C74" i="8"/>
  <c r="C23" i="44" s="1"/>
  <c r="C73" i="8"/>
  <c r="C62" i="8"/>
  <c r="C63" i="8"/>
  <c r="C25" i="7"/>
  <c r="C24" i="7" s="1"/>
  <c r="D74" i="8"/>
  <c r="E1" i="10"/>
  <c r="H26" i="10" s="1"/>
  <c r="E1" i="9"/>
  <c r="H79" i="9" s="1"/>
  <c r="E1" i="8"/>
  <c r="H61" i="8" s="1"/>
  <c r="E1" i="7"/>
  <c r="H41" i="7" s="1"/>
  <c r="E1" i="6"/>
  <c r="G38" i="6" s="1"/>
  <c r="D27" i="17"/>
  <c r="E28" i="12" s="1"/>
  <c r="C27" i="17"/>
  <c r="C28" i="12" s="1"/>
  <c r="D57" i="17"/>
  <c r="E29" i="44" s="1"/>
  <c r="C57" i="17"/>
  <c r="C29" i="44" s="1"/>
  <c r="E1" i="17"/>
  <c r="B59" i="17" s="1"/>
  <c r="C29" i="17"/>
  <c r="C30" i="17" s="1"/>
  <c r="D59" i="17"/>
  <c r="C59" i="17"/>
  <c r="D29" i="17"/>
  <c r="D32" i="2"/>
  <c r="A32" i="2"/>
  <c r="A56" i="2"/>
  <c r="A55" i="2"/>
  <c r="D41" i="2"/>
  <c r="E1" i="20"/>
  <c r="A12" i="20" s="1"/>
  <c r="A11" i="20"/>
  <c r="D6" i="22"/>
  <c r="E49" i="6"/>
  <c r="E48" i="6" s="1"/>
  <c r="D7" i="22"/>
  <c r="E34" i="35"/>
  <c r="G19" i="12" s="1"/>
  <c r="D14" i="22"/>
  <c r="E34" i="10"/>
  <c r="D28" i="3" s="1"/>
  <c r="D15" i="22"/>
  <c r="E75" i="10"/>
  <c r="D29" i="3" s="1"/>
  <c r="D9" i="22"/>
  <c r="E43" i="7"/>
  <c r="F47" i="7" s="1"/>
  <c r="D10" i="22"/>
  <c r="E34" i="8"/>
  <c r="D24" i="3" s="1"/>
  <c r="D11" i="22"/>
  <c r="E74" i="8"/>
  <c r="G23" i="12" s="1"/>
  <c r="D12" i="22"/>
  <c r="E34" i="9"/>
  <c r="G24" i="44" s="1"/>
  <c r="D13" i="22"/>
  <c r="E75" i="9"/>
  <c r="D23" i="22"/>
  <c r="D25" i="22"/>
  <c r="E45" i="17"/>
  <c r="E44" i="17" s="1"/>
  <c r="D45" i="17"/>
  <c r="D44" i="17"/>
  <c r="C45" i="17"/>
  <c r="C46" i="17" s="1"/>
  <c r="C44" i="17"/>
  <c r="E57" i="17"/>
  <c r="G29" i="44" s="1"/>
  <c r="E27" i="17"/>
  <c r="G28" i="44" s="1"/>
  <c r="E29" i="17"/>
  <c r="E15" i="17"/>
  <c r="E14" i="17"/>
  <c r="D15" i="17"/>
  <c r="D14" i="17" s="1"/>
  <c r="C15" i="17"/>
  <c r="C14" i="17" s="1"/>
  <c r="F1" i="22"/>
  <c r="A19" i="22" s="1"/>
  <c r="A1" i="22"/>
  <c r="B15" i="22"/>
  <c r="B14" i="22"/>
  <c r="B13" i="22"/>
  <c r="B12" i="22"/>
  <c r="B11" i="22"/>
  <c r="B10" i="22"/>
  <c r="B9" i="22"/>
  <c r="B7" i="22"/>
  <c r="B6" i="22"/>
  <c r="C16" i="22"/>
  <c r="A60" i="20"/>
  <c r="A59" i="20"/>
  <c r="A58" i="20"/>
  <c r="A57" i="20"/>
  <c r="A56" i="20"/>
  <c r="A55" i="20"/>
  <c r="A54" i="20"/>
  <c r="A53" i="20"/>
  <c r="A52" i="20"/>
  <c r="A50" i="20"/>
  <c r="A49" i="20"/>
  <c r="I1" i="4"/>
  <c r="C9" i="4" s="1"/>
  <c r="G38" i="12"/>
  <c r="G27" i="34" s="1"/>
  <c r="E28" i="34" s="1"/>
  <c r="D29" i="20"/>
  <c r="F27" i="12"/>
  <c r="G76" i="10"/>
  <c r="F26" i="12"/>
  <c r="G32" i="10" s="1"/>
  <c r="F25" i="12"/>
  <c r="G76" i="9"/>
  <c r="F24" i="12"/>
  <c r="G32" i="9" s="1"/>
  <c r="F23" i="12"/>
  <c r="G72" i="8" s="1"/>
  <c r="F22" i="12"/>
  <c r="F21" i="12"/>
  <c r="G41" i="7"/>
  <c r="F19" i="12"/>
  <c r="G32" i="35" s="1"/>
  <c r="F18" i="12"/>
  <c r="G51" i="6" s="1"/>
  <c r="C38" i="12"/>
  <c r="A28" i="20"/>
  <c r="A27" i="20"/>
  <c r="A26" i="20"/>
  <c r="A25" i="20"/>
  <c r="A24" i="20"/>
  <c r="A23" i="20"/>
  <c r="A22" i="20"/>
  <c r="A20" i="20"/>
  <c r="A19" i="20"/>
  <c r="F15" i="13"/>
  <c r="G42" i="44" s="1"/>
  <c r="G44" i="44" s="1"/>
  <c r="G42" i="12"/>
  <c r="F1" i="21"/>
  <c r="C9" i="21" s="1"/>
  <c r="D9" i="21"/>
  <c r="A2" i="21"/>
  <c r="E38" i="12"/>
  <c r="E27" i="34" s="1"/>
  <c r="G1" i="3"/>
  <c r="E12" i="3" s="1"/>
  <c r="A53" i="2"/>
  <c r="E43" i="12"/>
  <c r="E42" i="12"/>
  <c r="E44" i="12" s="1"/>
  <c r="C43" i="12"/>
  <c r="C42" i="12"/>
  <c r="E41" i="12"/>
  <c r="C41" i="12"/>
  <c r="E59" i="2"/>
  <c r="D59" i="2"/>
  <c r="A2" i="20"/>
  <c r="A1" i="20"/>
  <c r="A42" i="2"/>
  <c r="A14" i="2"/>
  <c r="F11" i="13"/>
  <c r="F16" i="13" s="1"/>
  <c r="L15" i="13"/>
  <c r="L16" i="13" s="1"/>
  <c r="K15" i="13"/>
  <c r="J15" i="13"/>
  <c r="J16" i="13"/>
  <c r="I15" i="13"/>
  <c r="L11" i="13"/>
  <c r="K11" i="13"/>
  <c r="J11" i="13"/>
  <c r="I11" i="13"/>
  <c r="I16" i="13"/>
  <c r="I1" i="12"/>
  <c r="K34" i="12" s="1"/>
  <c r="D19" i="12"/>
  <c r="B12" i="4"/>
  <c r="L1" i="13"/>
  <c r="F7" i="13" s="1"/>
  <c r="I23" i="13"/>
  <c r="B44" i="2"/>
  <c r="B21" i="3"/>
  <c r="A3" i="3"/>
  <c r="C31" i="3"/>
  <c r="C30" i="3"/>
  <c r="B29" i="12"/>
  <c r="B28" i="12"/>
  <c r="A31" i="3"/>
  <c r="A30" i="3"/>
  <c r="B1" i="17"/>
  <c r="B35" i="17"/>
  <c r="B5" i="17"/>
  <c r="B29" i="3"/>
  <c r="B28" i="3"/>
  <c r="B27" i="3"/>
  <c r="B26" i="3"/>
  <c r="B25" i="3"/>
  <c r="B24" i="3"/>
  <c r="B23" i="3"/>
  <c r="A29" i="3"/>
  <c r="A28" i="3"/>
  <c r="A27" i="3"/>
  <c r="A26" i="3"/>
  <c r="A25" i="3"/>
  <c r="A24" i="3"/>
  <c r="A23" i="3"/>
  <c r="B20" i="3"/>
  <c r="A20" i="3"/>
  <c r="A5" i="3"/>
  <c r="I36" i="13"/>
  <c r="H36" i="13"/>
  <c r="G36" i="13"/>
  <c r="G43" i="44" s="1"/>
  <c r="G43" i="12"/>
  <c r="B2" i="13"/>
  <c r="B1" i="13"/>
  <c r="B5" i="6"/>
  <c r="B1" i="6"/>
  <c r="D53" i="2"/>
  <c r="B52" i="2"/>
  <c r="B51" i="2"/>
  <c r="B50" i="2"/>
  <c r="B49" i="2"/>
  <c r="B48" i="2"/>
  <c r="B47" i="2"/>
  <c r="B46" i="2"/>
  <c r="B43" i="2"/>
  <c r="B20" i="4"/>
  <c r="B19" i="4"/>
  <c r="B18" i="4"/>
  <c r="B17" i="4"/>
  <c r="B16" i="4"/>
  <c r="B15" i="4"/>
  <c r="B14" i="4"/>
  <c r="B11" i="4"/>
  <c r="B1" i="4"/>
  <c r="B1" i="7"/>
  <c r="B5" i="7"/>
  <c r="B27" i="12"/>
  <c r="B26" i="12"/>
  <c r="B25" i="12"/>
  <c r="B24" i="12"/>
  <c r="B23" i="12"/>
  <c r="B22" i="12"/>
  <c r="B21" i="12"/>
  <c r="D27" i="12"/>
  <c r="D26" i="12"/>
  <c r="D25" i="12"/>
  <c r="D24" i="12"/>
  <c r="D23" i="12"/>
  <c r="D22" i="12"/>
  <c r="D21" i="12"/>
  <c r="D18" i="12"/>
  <c r="C36" i="12"/>
  <c r="B18" i="12"/>
  <c r="B6" i="12"/>
  <c r="B5" i="12"/>
  <c r="B1" i="8"/>
  <c r="B45" i="8"/>
  <c r="B5" i="8"/>
  <c r="B46" i="9"/>
  <c r="B5" i="9"/>
  <c r="B1" i="9"/>
  <c r="B46" i="10"/>
  <c r="B5" i="10"/>
  <c r="B1" i="10"/>
  <c r="J15" i="9"/>
  <c r="J16" i="9"/>
  <c r="J17" i="9"/>
  <c r="J54" i="35"/>
  <c r="J55" i="35"/>
  <c r="J53" i="35"/>
  <c r="J16" i="35"/>
  <c r="J17" i="35"/>
  <c r="J15" i="35"/>
  <c r="J16" i="8"/>
  <c r="J17" i="8"/>
  <c r="J60" i="9"/>
  <c r="J61" i="9"/>
  <c r="J15" i="10"/>
  <c r="J16" i="10"/>
  <c r="J17" i="10"/>
  <c r="J59" i="9"/>
  <c r="J15" i="8"/>
  <c r="J35" i="6"/>
  <c r="J36" i="6"/>
  <c r="J60" i="10"/>
  <c r="J61" i="10"/>
  <c r="J59" i="10"/>
  <c r="J56" i="8"/>
  <c r="J57" i="8"/>
  <c r="J55" i="8"/>
  <c r="N44" i="12"/>
  <c r="J34" i="6"/>
  <c r="J25" i="7"/>
  <c r="J26" i="7"/>
  <c r="J24" i="7"/>
  <c r="E26" i="17"/>
  <c r="H18" i="4"/>
  <c r="E55" i="9" s="1"/>
  <c r="H14" i="4"/>
  <c r="E14" i="7" s="1"/>
  <c r="H20" i="4"/>
  <c r="E55" i="10"/>
  <c r="H16" i="4"/>
  <c r="E54" i="8"/>
  <c r="H17" i="4"/>
  <c r="E14" i="9" s="1"/>
  <c r="H12" i="4"/>
  <c r="E14" i="35" s="1"/>
  <c r="H19" i="4"/>
  <c r="E14" i="10"/>
  <c r="H15" i="4"/>
  <c r="E14" i="8" s="1"/>
  <c r="F15" i="4"/>
  <c r="E12" i="8" s="1"/>
  <c r="E12" i="4"/>
  <c r="E11" i="35" s="1"/>
  <c r="F14" i="4"/>
  <c r="E12" i="7" s="1"/>
  <c r="E19" i="4"/>
  <c r="E11" i="10"/>
  <c r="D19" i="4"/>
  <c r="E10" i="10" s="1"/>
  <c r="F18" i="4"/>
  <c r="E53" i="9"/>
  <c r="F20" i="4"/>
  <c r="E53" i="10"/>
  <c r="E14" i="4"/>
  <c r="E11" i="7"/>
  <c r="E11" i="4"/>
  <c r="E11" i="6" s="1"/>
  <c r="D17" i="4"/>
  <c r="E10" i="9" s="1"/>
  <c r="D20" i="4"/>
  <c r="E51" i="10"/>
  <c r="D15" i="4"/>
  <c r="E10" i="8" s="1"/>
  <c r="D16" i="4"/>
  <c r="E50" i="8" s="1"/>
  <c r="D12" i="4"/>
  <c r="E10" i="35" s="1"/>
  <c r="D18" i="4"/>
  <c r="E51" i="9"/>
  <c r="F12" i="4"/>
  <c r="E12" i="35" s="1"/>
  <c r="E18" i="4"/>
  <c r="E52" i="9"/>
  <c r="D14" i="4"/>
  <c r="E10" i="7" s="1"/>
  <c r="E25" i="7" s="1"/>
  <c r="G20" i="4"/>
  <c r="E54" i="10" s="1"/>
  <c r="G19" i="4"/>
  <c r="E13" i="10" s="1"/>
  <c r="G16" i="4"/>
  <c r="E53" i="8"/>
  <c r="G18" i="4"/>
  <c r="E54" i="9" s="1"/>
  <c r="G15" i="4"/>
  <c r="E13" i="8" s="1"/>
  <c r="G14" i="4"/>
  <c r="E13" i="7" s="1"/>
  <c r="G12" i="4"/>
  <c r="E13" i="35"/>
  <c r="G11" i="4"/>
  <c r="E13" i="6" s="1"/>
  <c r="G17" i="4"/>
  <c r="E13" i="9" s="1"/>
  <c r="D11" i="4"/>
  <c r="E10" i="6" s="1"/>
  <c r="E16" i="4"/>
  <c r="E51" i="8"/>
  <c r="E20" i="4"/>
  <c r="E52" i="10" s="1"/>
  <c r="F16" i="4"/>
  <c r="E52" i="8" s="1"/>
  <c r="E15" i="4"/>
  <c r="E11" i="8" s="1"/>
  <c r="F19" i="4"/>
  <c r="E12" i="10" s="1"/>
  <c r="F17" i="4"/>
  <c r="E12" i="9"/>
  <c r="E17" i="4"/>
  <c r="E11" i="9" s="1"/>
  <c r="A42" i="20"/>
  <c r="K6" i="13"/>
  <c r="A17" i="20"/>
  <c r="A8" i="20"/>
  <c r="C5" i="22"/>
  <c r="E22" i="7"/>
  <c r="C33" i="10"/>
  <c r="C26" i="12"/>
  <c r="C62" i="10"/>
  <c r="C74" i="10"/>
  <c r="C23" i="9"/>
  <c r="C35" i="9" s="1"/>
  <c r="H24" i="35"/>
  <c r="B5" i="22"/>
  <c r="H11" i="4"/>
  <c r="F11" i="4"/>
  <c r="E12" i="6" s="1"/>
  <c r="H32" i="7"/>
  <c r="D27" i="6"/>
  <c r="D26" i="6" s="1"/>
  <c r="D44" i="6"/>
  <c r="D24" i="21"/>
  <c r="D26" i="21" s="1"/>
  <c r="E24" i="21"/>
  <c r="E26" i="21" s="1"/>
  <c r="K17" i="24"/>
  <c r="D18" i="24"/>
  <c r="D29" i="24" s="1"/>
  <c r="D5" i="35"/>
  <c r="C62" i="35"/>
  <c r="H65" i="35"/>
  <c r="H59" i="35"/>
  <c r="H22" i="35"/>
  <c r="B29" i="24"/>
  <c r="E56" i="17"/>
  <c r="B30" i="24"/>
  <c r="C21" i="35"/>
  <c r="C24" i="21"/>
  <c r="C26" i="21" s="1"/>
  <c r="C26" i="17"/>
  <c r="C33" i="8"/>
  <c r="C22" i="12"/>
  <c r="C26" i="7"/>
  <c r="D61" i="35"/>
  <c r="D60" i="35" s="1"/>
  <c r="B29" i="17"/>
  <c r="A46" i="20"/>
  <c r="G41" i="12"/>
  <c r="G44" i="12" s="1"/>
  <c r="C16" i="17"/>
  <c r="C28" i="17" s="1"/>
  <c r="H33" i="7"/>
  <c r="E40" i="12"/>
  <c r="K43" i="12"/>
  <c r="C44" i="12"/>
  <c r="K44" i="12"/>
  <c r="G40" i="12"/>
  <c r="K28" i="12"/>
  <c r="K42" i="12"/>
  <c r="C23" i="10"/>
  <c r="D21" i="10"/>
  <c r="D99" i="10"/>
  <c r="C24" i="12"/>
  <c r="C99" i="9"/>
  <c r="C33" i="9"/>
  <c r="H64" i="8"/>
  <c r="C40" i="7"/>
  <c r="C40" i="12"/>
  <c r="G14" i="12"/>
  <c r="K32" i="12"/>
  <c r="A29" i="22"/>
  <c r="K21" i="12"/>
  <c r="K25" i="12"/>
  <c r="H27" i="9"/>
  <c r="B77" i="9"/>
  <c r="D24" i="7"/>
  <c r="G35" i="6"/>
  <c r="C23" i="8"/>
  <c r="C35" i="8" s="1"/>
  <c r="G32" i="8"/>
  <c r="H63" i="8"/>
  <c r="C61" i="8"/>
  <c r="G26" i="8"/>
  <c r="H43" i="6"/>
  <c r="H45" i="6"/>
  <c r="H46" i="6"/>
  <c r="H41" i="6"/>
  <c r="H40" i="6"/>
  <c r="B51" i="6"/>
  <c r="G24" i="12"/>
  <c r="E33" i="9"/>
  <c r="E38" i="9"/>
  <c r="E36" i="9"/>
  <c r="F37" i="9"/>
  <c r="D26" i="3"/>
  <c r="G22" i="12"/>
  <c r="G22" i="44"/>
  <c r="E77" i="35"/>
  <c r="G20" i="44"/>
  <c r="E13" i="4"/>
  <c r="E50" i="35" s="1"/>
  <c r="G18" i="34" s="1"/>
  <c r="E36" i="12"/>
  <c r="F13" i="4"/>
  <c r="E51" i="35" s="1"/>
  <c r="G19" i="34" s="1"/>
  <c r="E14" i="6"/>
  <c r="G13" i="4"/>
  <c r="E52" i="35" s="1"/>
  <c r="D13" i="4"/>
  <c r="E49" i="35"/>
  <c r="G17" i="34" s="1"/>
  <c r="H34" i="35"/>
  <c r="E20" i="12"/>
  <c r="C72" i="35"/>
  <c r="D32" i="12" l="1"/>
  <c r="E27" i="6"/>
  <c r="G77" i="9"/>
  <c r="E63" i="10"/>
  <c r="E21" i="4"/>
  <c r="D21" i="4"/>
  <c r="N40" i="12"/>
  <c r="E62" i="8"/>
  <c r="E22" i="10"/>
  <c r="G22" i="10" s="1"/>
  <c r="G33" i="10"/>
  <c r="B45" i="7"/>
  <c r="C50" i="7"/>
  <c r="G19" i="8"/>
  <c r="H26" i="9"/>
  <c r="H67" i="8"/>
  <c r="B77" i="10"/>
  <c r="H66" i="8"/>
  <c r="H62" i="8"/>
  <c r="G21" i="7"/>
  <c r="H24" i="8"/>
  <c r="B46" i="34"/>
  <c r="C41" i="8"/>
  <c r="H27" i="8"/>
  <c r="G56" i="10"/>
  <c r="K41" i="12"/>
  <c r="B76" i="8"/>
  <c r="H23" i="13"/>
  <c r="A13" i="20"/>
  <c r="H23" i="8"/>
  <c r="G16" i="8"/>
  <c r="C53" i="7"/>
  <c r="G59" i="8"/>
  <c r="B47" i="20"/>
  <c r="H21" i="8"/>
  <c r="H22" i="10"/>
  <c r="A9" i="20"/>
  <c r="H78" i="9"/>
  <c r="G56" i="8"/>
  <c r="A10" i="20"/>
  <c r="H78" i="10"/>
  <c r="B36" i="8"/>
  <c r="G12" i="8"/>
  <c r="H24" i="10"/>
  <c r="H36" i="7"/>
  <c r="H27" i="10"/>
  <c r="H79" i="10"/>
  <c r="A6" i="20"/>
  <c r="C81" i="8"/>
  <c r="A7" i="20"/>
  <c r="A33" i="20"/>
  <c r="H31" i="7"/>
  <c r="A31" i="20"/>
  <c r="H26" i="8"/>
  <c r="G16" i="9"/>
  <c r="H22" i="8"/>
  <c r="I6" i="13"/>
  <c r="H30" i="7"/>
  <c r="G52" i="8"/>
  <c r="G56" i="9"/>
  <c r="D5" i="22"/>
  <c r="G28" i="7"/>
  <c r="C47" i="20"/>
  <c r="C56" i="17"/>
  <c r="C58" i="17"/>
  <c r="D36" i="17" s="1"/>
  <c r="D46" i="17" s="1"/>
  <c r="G29" i="12"/>
  <c r="C60" i="17"/>
  <c r="E59" i="17"/>
  <c r="D31" i="3"/>
  <c r="D60" i="17"/>
  <c r="D56" i="17"/>
  <c r="D58" i="17"/>
  <c r="E36" i="17" s="1"/>
  <c r="E46" i="17" s="1"/>
  <c r="E58" i="17" s="1"/>
  <c r="E60" i="17" s="1"/>
  <c r="C29" i="12"/>
  <c r="C28" i="44"/>
  <c r="G28" i="12"/>
  <c r="D30" i="3"/>
  <c r="F78" i="10"/>
  <c r="E77" i="10"/>
  <c r="G27" i="12"/>
  <c r="G27" i="44"/>
  <c r="E79" i="10"/>
  <c r="E74" i="10"/>
  <c r="C76" i="10"/>
  <c r="C101" i="10"/>
  <c r="G70" i="10"/>
  <c r="E26" i="12"/>
  <c r="C35" i="10"/>
  <c r="D6" i="10" s="1"/>
  <c r="D23" i="10" s="1"/>
  <c r="D35" i="10" s="1"/>
  <c r="E33" i="10"/>
  <c r="G26" i="44"/>
  <c r="F37" i="10"/>
  <c r="E36" i="10"/>
  <c r="E38" i="10"/>
  <c r="G26" i="12"/>
  <c r="C99" i="10"/>
  <c r="B38" i="10" s="1"/>
  <c r="C25" i="44"/>
  <c r="G70" i="9"/>
  <c r="C74" i="9"/>
  <c r="D101" i="9"/>
  <c r="C101" i="9"/>
  <c r="G26" i="9"/>
  <c r="E24" i="12"/>
  <c r="D33" i="9"/>
  <c r="C75" i="8"/>
  <c r="E78" i="8"/>
  <c r="E73" i="8"/>
  <c r="F77" i="8"/>
  <c r="G66" i="8"/>
  <c r="C23" i="12"/>
  <c r="C100" i="8"/>
  <c r="F37" i="8"/>
  <c r="E33" i="8"/>
  <c r="D72" i="35"/>
  <c r="G20" i="12"/>
  <c r="D22" i="3"/>
  <c r="E75" i="35"/>
  <c r="G35" i="7"/>
  <c r="D42" i="7"/>
  <c r="E21" i="12"/>
  <c r="D77" i="7"/>
  <c r="C77" i="7"/>
  <c r="B47" i="7" s="1"/>
  <c r="C44" i="7"/>
  <c r="C78" i="7" s="1"/>
  <c r="C42" i="7"/>
  <c r="C62" i="7"/>
  <c r="C64" i="7" s="1"/>
  <c r="D57" i="7"/>
  <c r="E34" i="44"/>
  <c r="E34" i="12"/>
  <c r="E33" i="35"/>
  <c r="E36" i="35"/>
  <c r="D96" i="35"/>
  <c r="B38" i="35" s="1"/>
  <c r="D33" i="35"/>
  <c r="G21" i="44"/>
  <c r="G19" i="44"/>
  <c r="E38" i="35"/>
  <c r="F76" i="35"/>
  <c r="G18" i="12"/>
  <c r="G21" i="12"/>
  <c r="D23" i="3"/>
  <c r="E45" i="7"/>
  <c r="E47" i="7"/>
  <c r="E42" i="7"/>
  <c r="D21" i="3"/>
  <c r="F37" i="35"/>
  <c r="D20" i="3"/>
  <c r="F54" i="6"/>
  <c r="H64" i="35"/>
  <c r="B91" i="34"/>
  <c r="D44" i="35"/>
  <c r="D5" i="6"/>
  <c r="D5" i="17" s="1"/>
  <c r="D35" i="17" s="1"/>
  <c r="B36" i="9"/>
  <c r="H26" i="35"/>
  <c r="G12" i="35"/>
  <c r="B75" i="35"/>
  <c r="H21" i="35"/>
  <c r="E5" i="22"/>
  <c r="B10" i="4"/>
  <c r="G19" i="35"/>
  <c r="E5" i="6"/>
  <c r="H21" i="9"/>
  <c r="E9" i="21"/>
  <c r="B29" i="21" s="1"/>
  <c r="H23" i="35"/>
  <c r="H22" i="9"/>
  <c r="C5" i="35"/>
  <c r="K21" i="44"/>
  <c r="G12" i="9"/>
  <c r="H31" i="35"/>
  <c r="H32" i="35"/>
  <c r="G19" i="9"/>
  <c r="H27" i="35"/>
  <c r="B47" i="34"/>
  <c r="H35" i="35"/>
  <c r="G50" i="35"/>
  <c r="B36" i="35"/>
  <c r="C40" i="44"/>
  <c r="E5" i="35"/>
  <c r="H60" i="35"/>
  <c r="K44" i="44"/>
  <c r="H24" i="9"/>
  <c r="E44" i="35"/>
  <c r="H62" i="35"/>
  <c r="K27" i="44"/>
  <c r="K34" i="44"/>
  <c r="G57" i="35"/>
  <c r="G63" i="9"/>
  <c r="H68" i="9"/>
  <c r="C44" i="35"/>
  <c r="C41" i="35"/>
  <c r="D9" i="4"/>
  <c r="B84" i="34"/>
  <c r="B3" i="22"/>
  <c r="H61" i="35"/>
  <c r="H65" i="10"/>
  <c r="H75" i="8"/>
  <c r="H32" i="8"/>
  <c r="H71" i="8"/>
  <c r="H31" i="8"/>
  <c r="H35" i="8"/>
  <c r="H34" i="8"/>
  <c r="H43" i="7"/>
  <c r="G16" i="35"/>
  <c r="G54" i="35"/>
  <c r="H53" i="6"/>
  <c r="H54" i="6"/>
  <c r="H51" i="6"/>
  <c r="H50" i="6"/>
  <c r="C80" i="35"/>
  <c r="G60" i="9"/>
  <c r="H44" i="7"/>
  <c r="D11" i="3"/>
  <c r="A8" i="3"/>
  <c r="A9" i="3"/>
  <c r="B53" i="3"/>
  <c r="D12" i="45"/>
  <c r="G77" i="10"/>
  <c r="C49" i="6"/>
  <c r="C50" i="6" s="1"/>
  <c r="C100" i="10"/>
  <c r="G66" i="10"/>
  <c r="G62" i="8"/>
  <c r="D6" i="17"/>
  <c r="D16" i="17" s="1"/>
  <c r="D28" i="17" s="1"/>
  <c r="C31" i="17"/>
  <c r="E22" i="35"/>
  <c r="E29" i="34"/>
  <c r="G70" i="35"/>
  <c r="H21" i="4"/>
  <c r="E36" i="4"/>
  <c r="D34" i="4"/>
  <c r="G40" i="4"/>
  <c r="H42" i="4"/>
  <c r="F38" i="4"/>
  <c r="C62" i="9"/>
  <c r="C64" i="9"/>
  <c r="C76" i="9" s="1"/>
  <c r="N43" i="12"/>
  <c r="D25" i="3"/>
  <c r="D16" i="22"/>
  <c r="E27" i="44"/>
  <c r="D74" i="10"/>
  <c r="E27" i="12"/>
  <c r="C20" i="44"/>
  <c r="C20" i="12"/>
  <c r="C74" i="35"/>
  <c r="G64" i="35"/>
  <c r="E74" i="9"/>
  <c r="E77" i="9"/>
  <c r="F78" i="9"/>
  <c r="G25" i="12"/>
  <c r="E79" i="9"/>
  <c r="D73" i="8"/>
  <c r="E23" i="44"/>
  <c r="E23" i="12"/>
  <c r="D100" i="8"/>
  <c r="D62" i="10"/>
  <c r="E22" i="8"/>
  <c r="E61" i="35"/>
  <c r="F32" i="12"/>
  <c r="G35" i="8" s="1"/>
  <c r="N23" i="12"/>
  <c r="C34" i="44"/>
  <c r="C34" i="12"/>
  <c r="G21" i="4"/>
  <c r="F21" i="4"/>
  <c r="K29" i="24"/>
  <c r="D30" i="24"/>
  <c r="E22" i="9"/>
  <c r="G23" i="44"/>
  <c r="E76" i="8"/>
  <c r="D30" i="17"/>
  <c r="E55" i="6"/>
  <c r="D27" i="3"/>
  <c r="G31" i="7"/>
  <c r="D98" i="8"/>
  <c r="B38" i="8" s="1"/>
  <c r="E22" i="44"/>
  <c r="E22" i="12"/>
  <c r="D33" i="8"/>
  <c r="F32" i="44"/>
  <c r="N27" i="44" s="1"/>
  <c r="N35" i="44" s="1"/>
  <c r="E28" i="44"/>
  <c r="G41" i="6"/>
  <c r="D6" i="9"/>
  <c r="D23" i="9" s="1"/>
  <c r="D35" i="9" s="1"/>
  <c r="C100" i="9"/>
  <c r="D26" i="17"/>
  <c r="G25" i="44"/>
  <c r="H76" i="10"/>
  <c r="H75" i="10"/>
  <c r="H21" i="10"/>
  <c r="H71" i="10"/>
  <c r="H67" i="10"/>
  <c r="H35" i="10"/>
  <c r="H34" i="10"/>
  <c r="G16" i="10"/>
  <c r="G19" i="10"/>
  <c r="H23" i="10"/>
  <c r="H66" i="10"/>
  <c r="H32" i="10"/>
  <c r="H68" i="10"/>
  <c r="G12" i="10"/>
  <c r="H70" i="10"/>
  <c r="H31" i="10"/>
  <c r="G60" i="10"/>
  <c r="C41" i="10"/>
  <c r="B36" i="10"/>
  <c r="G63" i="10"/>
  <c r="C82" i="10"/>
  <c r="G26" i="35"/>
  <c r="C33" i="35"/>
  <c r="C19" i="44"/>
  <c r="C19" i="12"/>
  <c r="C99" i="8"/>
  <c r="D6" i="8"/>
  <c r="D23" i="8" s="1"/>
  <c r="D35" i="8" s="1"/>
  <c r="E63" i="9"/>
  <c r="K28" i="24"/>
  <c r="C101" i="8"/>
  <c r="D46" i="8"/>
  <c r="D63" i="8" s="1"/>
  <c r="D75" i="8" s="1"/>
  <c r="K27" i="12"/>
  <c r="E14" i="12"/>
  <c r="B12" i="12"/>
  <c r="C14" i="12"/>
  <c r="H15" i="12"/>
  <c r="B11" i="12"/>
  <c r="K35" i="12"/>
  <c r="E38" i="8"/>
  <c r="E36" i="8"/>
  <c r="H76" i="9"/>
  <c r="H75" i="9"/>
  <c r="H66" i="9"/>
  <c r="H23" i="9"/>
  <c r="C82" i="9"/>
  <c r="H35" i="9"/>
  <c r="H71" i="9"/>
  <c r="C41" i="9"/>
  <c r="H67" i="9"/>
  <c r="H34" i="9"/>
  <c r="H65" i="9"/>
  <c r="H70" i="9"/>
  <c r="G40" i="44"/>
  <c r="K32" i="44"/>
  <c r="E40" i="44"/>
  <c r="C14" i="44"/>
  <c r="K41" i="44"/>
  <c r="H15" i="44"/>
  <c r="K25" i="44"/>
  <c r="E14" i="44"/>
  <c r="K28" i="44"/>
  <c r="B12" i="44"/>
  <c r="K42" i="44"/>
  <c r="K35" i="44"/>
  <c r="G34" i="44"/>
  <c r="G34" i="12"/>
  <c r="H31" i="9"/>
  <c r="K16" i="13"/>
  <c r="G18" i="44"/>
  <c r="E51" i="6"/>
  <c r="E53" i="6"/>
  <c r="C5" i="6"/>
  <c r="C56" i="6"/>
  <c r="H42" i="6"/>
  <c r="G31" i="6"/>
  <c r="E25" i="12"/>
  <c r="E25" i="44"/>
  <c r="C35" i="35"/>
  <c r="E16" i="22"/>
  <c r="H32" i="9"/>
  <c r="E20" i="44"/>
  <c r="H35" i="7"/>
  <c r="D99" i="9"/>
  <c r="B38" i="9" s="1"/>
  <c r="C27" i="12"/>
  <c r="G26" i="10"/>
  <c r="C21" i="12"/>
  <c r="E19" i="12"/>
  <c r="H72" i="8"/>
  <c r="E29" i="12"/>
  <c r="G25" i="7"/>
  <c r="H74" i="8"/>
  <c r="H69" i="35"/>
  <c r="H70" i="35"/>
  <c r="H40" i="7"/>
  <c r="H72" i="35"/>
  <c r="D5" i="7" l="1"/>
  <c r="D5" i="10"/>
  <c r="D46" i="10" s="1"/>
  <c r="B78" i="8"/>
  <c r="C102" i="10"/>
  <c r="D47" i="10"/>
  <c r="D64" i="10" s="1"/>
  <c r="D76" i="10" s="1"/>
  <c r="G65" i="10" s="1"/>
  <c r="B79" i="9"/>
  <c r="D6" i="7"/>
  <c r="D26" i="7" s="1"/>
  <c r="D44" i="7" s="1"/>
  <c r="G32" i="12"/>
  <c r="G35" i="12" s="1"/>
  <c r="E5" i="9"/>
  <c r="E46" i="9" s="1"/>
  <c r="E5" i="7"/>
  <c r="E5" i="10"/>
  <c r="E46" i="10" s="1"/>
  <c r="E5" i="8"/>
  <c r="E45" i="8" s="1"/>
  <c r="E5" i="17"/>
  <c r="E35" i="17" s="1"/>
  <c r="D5" i="9"/>
  <c r="D46" i="9" s="1"/>
  <c r="D5" i="8"/>
  <c r="D45" i="8" s="1"/>
  <c r="D34" i="3"/>
  <c r="C73" i="6"/>
  <c r="G45" i="6"/>
  <c r="C48" i="6"/>
  <c r="C18" i="12"/>
  <c r="C18" i="44"/>
  <c r="G22" i="8"/>
  <c r="C5" i="10"/>
  <c r="C46" i="10" s="1"/>
  <c r="C5" i="17"/>
  <c r="C35" i="17" s="1"/>
  <c r="C5" i="9"/>
  <c r="C46" i="9" s="1"/>
  <c r="C5" i="7"/>
  <c r="C5" i="8"/>
  <c r="C45" i="8" s="1"/>
  <c r="C30" i="12"/>
  <c r="K30" i="24"/>
  <c r="C30" i="44"/>
  <c r="G66" i="9"/>
  <c r="E6" i="8"/>
  <c r="E23" i="8" s="1"/>
  <c r="E39" i="8" s="1"/>
  <c r="E41" i="8" s="1"/>
  <c r="G21" i="8"/>
  <c r="D99" i="8"/>
  <c r="B39" i="8" s="1"/>
  <c r="C97" i="35"/>
  <c r="D6" i="35"/>
  <c r="D23" i="35" s="1"/>
  <c r="D35" i="35" s="1"/>
  <c r="G22" i="9"/>
  <c r="D31" i="17"/>
  <c r="E6" i="17"/>
  <c r="E16" i="17" s="1"/>
  <c r="E28" i="17" s="1"/>
  <c r="E30" i="17" s="1"/>
  <c r="D6" i="6"/>
  <c r="D28" i="6" s="1"/>
  <c r="C74" i="6"/>
  <c r="G22" i="35"/>
  <c r="D47" i="9"/>
  <c r="D64" i="9" s="1"/>
  <c r="D76" i="9" s="1"/>
  <c r="C102" i="9"/>
  <c r="G32" i="44"/>
  <c r="G35" i="44" s="1"/>
  <c r="D101" i="8"/>
  <c r="B79" i="8" s="1"/>
  <c r="E46" i="8"/>
  <c r="E63" i="8" s="1"/>
  <c r="E79" i="8" s="1"/>
  <c r="E81" i="8" s="1"/>
  <c r="G61" i="8"/>
  <c r="D100" i="9"/>
  <c r="B39" i="9" s="1"/>
  <c r="G21" i="9"/>
  <c r="E6" i="9"/>
  <c r="E23" i="9" s="1"/>
  <c r="E39" i="9" s="1"/>
  <c r="E41" i="9" s="1"/>
  <c r="D100" i="10"/>
  <c r="B39" i="10" s="1"/>
  <c r="G21" i="10"/>
  <c r="E6" i="10"/>
  <c r="E23" i="10" s="1"/>
  <c r="E39" i="10" s="1"/>
  <c r="E41" i="10" s="1"/>
  <c r="G60" i="35"/>
  <c r="G54" i="6"/>
  <c r="G79" i="10"/>
  <c r="G35" i="35"/>
  <c r="G79" i="9"/>
  <c r="G35" i="9"/>
  <c r="G35" i="10"/>
  <c r="G75" i="8"/>
  <c r="G73" i="35"/>
  <c r="G44" i="7"/>
  <c r="N27" i="12"/>
  <c r="N35" i="12" s="1"/>
  <c r="C99" i="35"/>
  <c r="D45" i="35"/>
  <c r="D62" i="35" s="1"/>
  <c r="D74" i="35" s="1"/>
  <c r="D102" i="10" l="1"/>
  <c r="E47" i="10"/>
  <c r="E64" i="10" s="1"/>
  <c r="E80" i="10" s="1"/>
  <c r="E82" i="10" s="1"/>
  <c r="G67" i="10" s="1"/>
  <c r="K67" i="10" s="1"/>
  <c r="F28" i="3"/>
  <c r="F24" i="3"/>
  <c r="D40" i="7"/>
  <c r="C32" i="44"/>
  <c r="C35" i="44" s="1"/>
  <c r="C32" i="12"/>
  <c r="C35" i="12" s="1"/>
  <c r="E24" i="3"/>
  <c r="H22" i="12"/>
  <c r="I22" i="12" s="1"/>
  <c r="G31" i="8" s="1"/>
  <c r="H22" i="44"/>
  <c r="I22" i="44" s="1"/>
  <c r="G23" i="8"/>
  <c r="K23" i="8" s="1"/>
  <c r="E21" i="8"/>
  <c r="G59" i="35"/>
  <c r="E45" i="35"/>
  <c r="E62" i="35" s="1"/>
  <c r="E78" i="35" s="1"/>
  <c r="D99" i="35"/>
  <c r="B78" i="35" s="1"/>
  <c r="H24" i="12"/>
  <c r="I24" i="12" s="1"/>
  <c r="G31" i="9" s="1"/>
  <c r="E26" i="3"/>
  <c r="F26" i="3" s="1"/>
  <c r="H24" i="44"/>
  <c r="I24" i="44"/>
  <c r="G23" i="9"/>
  <c r="K23" i="9" s="1"/>
  <c r="E21" i="9"/>
  <c r="D78" i="7"/>
  <c r="B48" i="7" s="1"/>
  <c r="G30" i="7"/>
  <c r="E6" i="7"/>
  <c r="E26" i="7" s="1"/>
  <c r="E25" i="3"/>
  <c r="F25" i="3" s="1"/>
  <c r="H23" i="44"/>
  <c r="I23" i="44" s="1"/>
  <c r="H23" i="12"/>
  <c r="G63" i="8"/>
  <c r="K63" i="8" s="1"/>
  <c r="I23" i="12"/>
  <c r="G71" i="8" s="1"/>
  <c r="E61" i="8"/>
  <c r="H26" i="12"/>
  <c r="I26" i="12" s="1"/>
  <c r="G31" i="10" s="1"/>
  <c r="H26" i="44"/>
  <c r="I26" i="44" s="1"/>
  <c r="E28" i="3"/>
  <c r="G23" i="10"/>
  <c r="K23" i="10" s="1"/>
  <c r="E21" i="10"/>
  <c r="G21" i="35"/>
  <c r="E6" i="35"/>
  <c r="E23" i="35" s="1"/>
  <c r="E39" i="35" s="1"/>
  <c r="E41" i="35" s="1"/>
  <c r="D97" i="35"/>
  <c r="B39" i="35"/>
  <c r="D46" i="6"/>
  <c r="D49" i="6" s="1"/>
  <c r="D50" i="6" s="1"/>
  <c r="E47" i="9"/>
  <c r="E64" i="9" s="1"/>
  <c r="E80" i="9" s="1"/>
  <c r="E82" i="9" s="1"/>
  <c r="D102" i="9"/>
  <c r="B80" i="9" s="1"/>
  <c r="G65" i="9"/>
  <c r="E29" i="3" l="1"/>
  <c r="E62" i="10"/>
  <c r="H27" i="44"/>
  <c r="I27" i="44" s="1"/>
  <c r="H27" i="12"/>
  <c r="I27" i="12" s="1"/>
  <c r="G75" i="10" s="1"/>
  <c r="G68" i="10"/>
  <c r="G71" i="10" s="1"/>
  <c r="F29" i="3"/>
  <c r="G24" i="9"/>
  <c r="G27" i="9" s="1"/>
  <c r="G24" i="8"/>
  <c r="G27" i="8" s="1"/>
  <c r="D74" i="6"/>
  <c r="B54" i="6" s="1"/>
  <c r="G40" i="6"/>
  <c r="E6" i="6"/>
  <c r="E28" i="6" s="1"/>
  <c r="E48" i="7"/>
  <c r="E50" i="7" s="1"/>
  <c r="H19" i="12"/>
  <c r="H19" i="44"/>
  <c r="G23" i="35"/>
  <c r="K23" i="35" s="1"/>
  <c r="I19" i="12"/>
  <c r="G31" i="35" s="1"/>
  <c r="I19" i="44"/>
  <c r="E21" i="3"/>
  <c r="F21" i="3" s="1"/>
  <c r="E21" i="35"/>
  <c r="E27" i="3"/>
  <c r="F27" i="3" s="1"/>
  <c r="G67" i="9"/>
  <c r="K67" i="9" s="1"/>
  <c r="H25" i="12"/>
  <c r="I25" i="12" s="1"/>
  <c r="G75" i="9" s="1"/>
  <c r="H25" i="44"/>
  <c r="I25" i="44" s="1"/>
  <c r="E62" i="9"/>
  <c r="G64" i="8"/>
  <c r="G67" i="8" s="1"/>
  <c r="E79" i="35"/>
  <c r="E80" i="35" s="1"/>
  <c r="D73" i="6"/>
  <c r="B53" i="6" s="1"/>
  <c r="E18" i="44"/>
  <c r="E32" i="44" s="1"/>
  <c r="E35" i="44" s="1"/>
  <c r="E18" i="12"/>
  <c r="E32" i="12" s="1"/>
  <c r="E35" i="12" s="1"/>
  <c r="D48" i="6"/>
  <c r="G24" i="10"/>
  <c r="G27" i="10" s="1"/>
  <c r="E40" i="7" l="1"/>
  <c r="E22" i="3"/>
  <c r="F22" i="3" s="1"/>
  <c r="H20" i="44"/>
  <c r="I20" i="44" s="1"/>
  <c r="G15" i="34"/>
  <c r="G22" i="34" s="1"/>
  <c r="H20" i="12"/>
  <c r="I20" i="12" s="1"/>
  <c r="E60" i="35"/>
  <c r="G68" i="9"/>
  <c r="G71" i="9" s="1"/>
  <c r="G24" i="35"/>
  <c r="G27" i="35" s="1"/>
  <c r="E23" i="3"/>
  <c r="F23" i="3" s="1"/>
  <c r="H21" i="12"/>
  <c r="I21" i="12" s="1"/>
  <c r="G40" i="7" s="1"/>
  <c r="G32" i="7"/>
  <c r="H21" i="44"/>
  <c r="I21" i="44" s="1"/>
  <c r="E24" i="7"/>
  <c r="G61" i="35"/>
  <c r="E54" i="6"/>
  <c r="E56" i="6" s="1"/>
  <c r="G69" i="35" l="1"/>
  <c r="G29" i="34"/>
  <c r="E30" i="34" s="1"/>
  <c r="D31" i="34" s="1"/>
  <c r="H18" i="44"/>
  <c r="H32" i="44" s="1"/>
  <c r="N34" i="44" s="1"/>
  <c r="N36" i="44" s="1"/>
  <c r="E20" i="3"/>
  <c r="F20" i="3" s="1"/>
  <c r="F34" i="3" s="1"/>
  <c r="E26" i="6"/>
  <c r="H18" i="12"/>
  <c r="H32" i="12" s="1"/>
  <c r="N34" i="12" s="1"/>
  <c r="N36" i="12" s="1"/>
  <c r="G42" i="6"/>
  <c r="D24" i="34"/>
  <c r="F33" i="34" s="1"/>
  <c r="F80" i="35" s="1"/>
  <c r="E23" i="34"/>
  <c r="K32" i="7"/>
  <c r="G33" i="7"/>
  <c r="G36" i="7" s="1"/>
  <c r="E46" i="6"/>
  <c r="K61" i="35"/>
  <c r="G62" i="35"/>
  <c r="G65" i="35" s="1"/>
  <c r="I18" i="44" l="1"/>
  <c r="I32" i="44" s="1"/>
  <c r="N46" i="44" s="1"/>
  <c r="I18" i="12"/>
  <c r="I32" i="12" s="1"/>
  <c r="N46" i="12" s="1"/>
  <c r="E34" i="3"/>
  <c r="E44" i="6"/>
  <c r="N30" i="44"/>
  <c r="K30" i="44" s="1"/>
  <c r="N29" i="44"/>
  <c r="K29" i="44" s="1"/>
  <c r="N30" i="12"/>
  <c r="K30" i="12" s="1"/>
  <c r="N29" i="12"/>
  <c r="K29" i="12" s="1"/>
  <c r="K42" i="6"/>
  <c r="G43" i="6"/>
  <c r="G46" i="6" s="1"/>
  <c r="G50" i="6" l="1"/>
  <c r="N41" i="44"/>
  <c r="K48" i="44" s="1"/>
  <c r="G74" i="8"/>
  <c r="J77" i="8" s="1"/>
  <c r="G79" i="8" s="1"/>
  <c r="G34" i="9"/>
  <c r="J37" i="9" s="1"/>
  <c r="G39" i="9" s="1"/>
  <c r="G78" i="10"/>
  <c r="J81" i="10" s="1"/>
  <c r="G83" i="10" s="1"/>
  <c r="G43" i="7"/>
  <c r="J46" i="7" s="1"/>
  <c r="G48" i="7" s="1"/>
  <c r="N41" i="12"/>
  <c r="K48" i="12" s="1"/>
  <c r="G34" i="8"/>
  <c r="J37" i="8" s="1"/>
  <c r="G39" i="8" s="1"/>
  <c r="G12" i="45"/>
  <c r="G34" i="10"/>
  <c r="J37" i="10" s="1"/>
  <c r="G39" i="10" s="1"/>
  <c r="G34" i="35"/>
  <c r="J37" i="35" s="1"/>
  <c r="G39" i="35" s="1"/>
  <c r="G53" i="6"/>
  <c r="J56" i="6" s="1"/>
  <c r="G58" i="6" s="1"/>
  <c r="G78" i="9"/>
  <c r="J81" i="9" s="1"/>
  <c r="G83" i="9" s="1"/>
  <c r="G72" i="35"/>
  <c r="J75" i="35" s="1"/>
  <c r="G77" i="35" s="1"/>
</calcChain>
</file>

<file path=xl/sharedStrings.xml><?xml version="1.0" encoding="utf-8"?>
<sst xmlns="http://schemas.openxmlformats.org/spreadsheetml/2006/main" count="1557" uniqueCount="958">
  <si>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</si>
  <si>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</si>
  <si>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</si>
  <si>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</si>
  <si>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</si>
  <si>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</si>
  <si>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</si>
  <si>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</si>
  <si>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</si>
  <si>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</si>
  <si>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</si>
  <si>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</si>
  <si>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</si>
  <si>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</si>
  <si>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</si>
  <si>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</si>
  <si>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</si>
  <si>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</si>
  <si>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</si>
  <si>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</si>
  <si>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</si>
  <si>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</si>
  <si>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</si>
  <si>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</si>
  <si>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</si>
  <si>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</si>
  <si>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</si>
  <si>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</si>
  <si>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</si>
  <si>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</si>
  <si>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</si>
  <si>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</si>
  <si>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</si>
  <si>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</si>
  <si>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</si>
  <si>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</si>
  <si>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</si>
  <si>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</si>
  <si>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</si>
  <si>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</si>
  <si>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</si>
  <si>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</si>
  <si>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</si>
  <si>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</si>
  <si>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</si>
  <si>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</si>
  <si>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</si>
  <si>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</si>
  <si>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</si>
  <si>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</si>
  <si>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</si>
  <si>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</si>
  <si>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</si>
  <si>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</si>
  <si>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</si>
  <si>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</si>
  <si>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</si>
  <si>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</si>
  <si>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</si>
  <si>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</si>
  <si>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</si>
  <si>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</si>
  <si>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</si>
  <si>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</si>
  <si>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</si>
  <si>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</si>
  <si>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</si>
  <si>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</si>
  <si>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</si>
  <si>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</si>
  <si>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</si>
  <si>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</si>
  <si>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</si>
  <si>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</si>
  <si>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</si>
  <si>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</si>
  <si>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</si>
  <si>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</si>
  <si>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indexed="10"/>
        <rFont val="Times New Roman"/>
        <family val="1"/>
      </rPr>
      <t xml:space="preserve">After changes are made you must protect the worksheet. </t>
    </r>
    <r>
      <rPr>
        <sz val="12"/>
        <color indexed="10"/>
        <rFont val="Times New Roman"/>
        <family val="1"/>
      </rPr>
      <t xml:space="preserve"> </t>
    </r>
    <r>
      <rPr>
        <sz val="12"/>
        <rFont val="Times New Roman"/>
        <family val="1"/>
      </rPr>
      <t xml:space="preserve">Right click on the tab, select Protect Sheet and hit OK. You do not need to enter a password. Select OK. </t>
    </r>
  </si>
  <si>
    <t>Input Sheet for Township Budget Workbook</t>
  </si>
  <si>
    <t>Enter township name followed by "Township":</t>
  </si>
  <si>
    <t>Enter county name followed by "County":</t>
  </si>
  <si>
    <t>Enter year being budgeted (YYYY):</t>
  </si>
  <si>
    <t xml:space="preserve">Enter the following information from the sources shown.  This information will flow throughout the budget worksheets to the appropriate locations. </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</si>
  <si>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</si>
  <si>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Note:  All amounts are to be entered as whole numbers only.</t>
  </si>
  <si>
    <t xml:space="preserve">The input for the following comes directly from </t>
  </si>
  <si>
    <r>
      <rPr>
        <b/>
        <sz val="12"/>
        <color indexed="10"/>
        <rFont val="Times New Roman"/>
        <family val="1"/>
      </rPr>
      <t>*</t>
    </r>
    <r>
      <rPr>
        <b/>
        <sz val="12"/>
        <rFont val="Times New Roman"/>
        <family val="1"/>
      </rPr>
      <t>If amended, then use the amended figures.</t>
    </r>
    <r>
      <rPr>
        <b/>
        <sz val="12"/>
        <color indexed="10"/>
        <rFont val="Times New Roman"/>
        <family val="1"/>
      </rPr>
      <t>*</t>
    </r>
  </si>
  <si>
    <t xml:space="preserve">Amounts used in lieu of </t>
  </si>
  <si>
    <t>%</t>
  </si>
  <si>
    <t>Fund name for all funds with a tax levy:</t>
  </si>
  <si>
    <t>Statute</t>
  </si>
  <si>
    <r>
      <rPr>
        <sz val="12"/>
        <color indexed="10"/>
        <rFont val="Times New Roman"/>
        <family val="1"/>
      </rPr>
      <t>*</t>
    </r>
    <r>
      <rPr>
        <sz val="12"/>
        <rFont val="Times New Roman"/>
        <family val="1"/>
      </rPr>
      <t>Expenditures</t>
    </r>
    <r>
      <rPr>
        <sz val="12"/>
        <color indexed="10"/>
        <rFont val="Times New Roman"/>
        <family val="1"/>
      </rPr>
      <t>*</t>
    </r>
  </si>
  <si>
    <t>Ad Valorem Tax</t>
  </si>
  <si>
    <t>General</t>
  </si>
  <si>
    <t>79-1962</t>
  </si>
  <si>
    <t>Debt Service</t>
  </si>
  <si>
    <t>10-113</t>
  </si>
  <si>
    <t>Library</t>
  </si>
  <si>
    <t>12-1220</t>
  </si>
  <si>
    <t>Road</t>
  </si>
  <si>
    <t>68-518c</t>
  </si>
  <si>
    <t>Other Fund Names:</t>
  </si>
  <si>
    <t>Non-budgeted funds:</t>
  </si>
  <si>
    <t>Outstanding Indebtedness, January 1:</t>
  </si>
  <si>
    <t xml:space="preserve">  G.O. Bonds</t>
  </si>
  <si>
    <t xml:space="preserve">  No-Fund Warrant</t>
  </si>
  <si>
    <t xml:space="preserve">  Lease Purchase Principal</t>
  </si>
  <si>
    <t>Revenue Neutral Rate</t>
  </si>
  <si>
    <t>Fund</t>
  </si>
  <si>
    <t>Rate</t>
  </si>
  <si>
    <t>Total</t>
  </si>
  <si>
    <t>Motor Vehicle Tax Estimate</t>
  </si>
  <si>
    <t>Recreational Vehicle Tax Estimate</t>
  </si>
  <si>
    <t>16\20 M Vehicle Tax</t>
  </si>
  <si>
    <t>Commercial Vehicle Tax Estimate</t>
  </si>
  <si>
    <t>Watercraft Tax Estimate</t>
  </si>
  <si>
    <t>LAVTR</t>
  </si>
  <si>
    <t>Special Highway/Gasoline Tax</t>
  </si>
  <si>
    <t xml:space="preserve">   </t>
  </si>
  <si>
    <t>Computation of Delinquency</t>
  </si>
  <si>
    <t>Delinquency % used in this budget will be shown on all fund pages with a tax levy**</t>
  </si>
  <si>
    <r>
      <t>**</t>
    </r>
    <r>
      <rPr>
        <b/>
        <u/>
        <sz val="12"/>
        <rFont val="Times New Roman"/>
        <family val="1"/>
      </rPr>
      <t>Note</t>
    </r>
    <r>
      <rPr>
        <sz val="12"/>
        <rFont val="Times New Roman"/>
        <family val="1"/>
      </rPr>
      <t>: The delinquency rate can be up to 5% more than the actual delinquency rate from the previous year.</t>
    </r>
  </si>
  <si>
    <t>Funds</t>
  </si>
  <si>
    <t>Budget Authority</t>
  </si>
  <si>
    <t xml:space="preserve">expenditure amounts should reflect the amended </t>
  </si>
  <si>
    <t>expenditure amounts.</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</si>
  <si>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</si>
  <si>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</si>
  <si>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</si>
  <si>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Official Title:</t>
  </si>
  <si>
    <t>City Clerk, City Treasurer, Mayor</t>
  </si>
  <si>
    <t>Date:</t>
  </si>
  <si>
    <t>August 12, 2022</t>
  </si>
  <si>
    <t>Time:</t>
  </si>
  <si>
    <t>7:00 PM or 7:00 AM</t>
  </si>
  <si>
    <t>Location:</t>
  </si>
  <si>
    <t>City Hall</t>
  </si>
  <si>
    <t>Available at:</t>
  </si>
  <si>
    <t>Budget Hearing Notice Only</t>
  </si>
  <si>
    <t>Official Name:</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</si>
  <si>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</si>
  <si>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</si>
  <si>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</si>
  <si>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</si>
  <si>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</si>
  <si>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</si>
  <si>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</si>
  <si>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CPA Summary of Assumptions</t>
  </si>
  <si>
    <t>CERTIFICATE</t>
  </si>
  <si>
    <t>We, the undersigned, officers of</t>
  </si>
  <si>
    <t xml:space="preserve">certify that:  (1) the hearing mentioned in the attached publication was held; </t>
  </si>
  <si>
    <t>(2) after the Budget Hearing this budget was approved and adopted as the</t>
  </si>
  <si>
    <t xml:space="preserve"> </t>
  </si>
  <si>
    <t>Final Tax Rate (County Clerk's Use Only)</t>
  </si>
  <si>
    <t>Page</t>
  </si>
  <si>
    <t>Table of Contents:</t>
  </si>
  <si>
    <t>No.</t>
  </si>
  <si>
    <t>for Expenditures</t>
  </si>
  <si>
    <t>Alloc of MVT, RVT, and 16/20M Vehicles Tax</t>
  </si>
  <si>
    <t>Schedule of Transfers</t>
  </si>
  <si>
    <t>Statement of Indebt. &amp; Lease/Purchase</t>
  </si>
  <si>
    <t>K.S.A.</t>
  </si>
  <si>
    <t>Special Machinery</t>
  </si>
  <si>
    <t>Totals</t>
  </si>
  <si>
    <t>x</t>
  </si>
  <si>
    <t>Budget Hearing Notice</t>
  </si>
  <si>
    <t>County Clerk's Use Only</t>
  </si>
  <si>
    <t>Combined Rate and Budget Hearing Notice</t>
  </si>
  <si>
    <t>Rate Hearing Notice</t>
  </si>
  <si>
    <t>Neighborhood Revitalization Rebate</t>
  </si>
  <si>
    <t xml:space="preserve">Revenue Neutral Rate </t>
  </si>
  <si>
    <t>Assisted by:</t>
  </si>
  <si>
    <t>________________________  _______________________</t>
  </si>
  <si>
    <t>Address:</t>
  </si>
  <si>
    <t>Email:</t>
  </si>
  <si>
    <t>Attest: ____________________,</t>
  </si>
  <si>
    <t>County Clerk</t>
  </si>
  <si>
    <t xml:space="preserve">    Governing Body</t>
  </si>
  <si>
    <t>Special Road Election held ___________ for ___Mills for ___ years.</t>
  </si>
  <si>
    <t>First levy in ______.</t>
  </si>
  <si>
    <t>CPA Summary</t>
  </si>
  <si>
    <t xml:space="preserve">Allocation of MV, RV, 16/20M, Commercial Vehicle, and Watercraft Tax Estimates </t>
  </si>
  <si>
    <t>Budgeted Funds</t>
  </si>
  <si>
    <t>MVT</t>
  </si>
  <si>
    <t>RVT</t>
  </si>
  <si>
    <t>16/20M Veh</t>
  </si>
  <si>
    <t>Comm Veh</t>
  </si>
  <si>
    <t>Watercraft</t>
  </si>
  <si>
    <t>County Treas Motor Vehicle Estimate</t>
  </si>
  <si>
    <t>County Treas Recreational Vehicle Estimate</t>
  </si>
  <si>
    <t>County Treas 16/20M Vehicle Estimate</t>
  </si>
  <si>
    <t>County Treas Commercial Vehicle Tax Estimate</t>
  </si>
  <si>
    <t>County Treas Watercraft Tax Estimate</t>
  </si>
  <si>
    <t>MVT Factor</t>
  </si>
  <si>
    <t>RVT Factor</t>
  </si>
  <si>
    <t>16/20M Factor</t>
  </si>
  <si>
    <t>Comm Veh Factor</t>
  </si>
  <si>
    <t>Watercraft Factor</t>
  </si>
  <si>
    <t>Expenditure</t>
  </si>
  <si>
    <t>Receipt</t>
  </si>
  <si>
    <t>Actual</t>
  </si>
  <si>
    <t>Current</t>
  </si>
  <si>
    <t>Proposed</t>
  </si>
  <si>
    <t>Transfers</t>
  </si>
  <si>
    <t xml:space="preserve">Fund Transferred </t>
  </si>
  <si>
    <t>Fund Transferred</t>
  </si>
  <si>
    <t>Amount for</t>
  </si>
  <si>
    <t xml:space="preserve">Authorized by </t>
  </si>
  <si>
    <t>From:</t>
  </si>
  <si>
    <t xml:space="preserve">  To:</t>
  </si>
  <si>
    <t xml:space="preserve">General </t>
  </si>
  <si>
    <r>
      <t>Adjustments</t>
    </r>
    <r>
      <rPr>
        <sz val="12"/>
        <color indexed="10"/>
        <rFont val="Times New Roman"/>
        <family val="1"/>
      </rPr>
      <t>*</t>
    </r>
  </si>
  <si>
    <t>Adjusted Totals</t>
  </si>
  <si>
    <t>*Note:</t>
  </si>
  <si>
    <t>Transfers - Townships</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</si>
  <si>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</si>
  <si>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</si>
  <si>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</si>
  <si>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</si>
  <si>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</si>
  <si>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</si>
  <si>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</si>
  <si>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</si>
  <si>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</si>
  <si>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</si>
  <si>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</si>
  <si>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STATEMENT OF INDEBTEDNESS</t>
  </si>
  <si>
    <t>Type</t>
  </si>
  <si>
    <t>Date</t>
  </si>
  <si>
    <t>Interest</t>
  </si>
  <si>
    <t>Amount</t>
  </si>
  <si>
    <t xml:space="preserve">   Amount Due</t>
  </si>
  <si>
    <t>of</t>
  </si>
  <si>
    <t>Outstanding</t>
  </si>
  <si>
    <t xml:space="preserve">  Date Due</t>
  </si>
  <si>
    <t>Debt</t>
  </si>
  <si>
    <t>Issue</t>
  </si>
  <si>
    <t>Issued</t>
  </si>
  <si>
    <t>Principal</t>
  </si>
  <si>
    <t>G.O. Bonds</t>
  </si>
  <si>
    <t>Total G.O. Bonds</t>
  </si>
  <si>
    <t>Other</t>
  </si>
  <si>
    <t>Total Other</t>
  </si>
  <si>
    <t>Total Indebtedness</t>
  </si>
  <si>
    <t>STATEMENT OF CONDITIONAL LEASE-PURCHASE AND CERTIFICATE OF PARTICIPATION*</t>
  </si>
  <si>
    <t>Term</t>
  </si>
  <si>
    <t>Payments</t>
  </si>
  <si>
    <t>Items</t>
  </si>
  <si>
    <t xml:space="preserve">  Contract</t>
  </si>
  <si>
    <t>Contract</t>
  </si>
  <si>
    <t>Financed</t>
  </si>
  <si>
    <t>Balance On</t>
  </si>
  <si>
    <t>Due</t>
  </si>
  <si>
    <t>Purchased</t>
  </si>
  <si>
    <t>(Months)</t>
  </si>
  <si>
    <t>(Beginning Principal)</t>
  </si>
  <si>
    <t>***If leasing/renting with no intent to purchase, do not list--such transactions are not lease-purchases.</t>
  </si>
  <si>
    <t>WORKSHEET FOR STATE GRANT-IN-AID TO PUBLIC LIBRARIES AND</t>
  </si>
  <si>
    <t>REGIONAL LIBRARY SYSTEMS</t>
  </si>
  <si>
    <r>
      <t xml:space="preserve">As provided in KSA 75-2553 </t>
    </r>
    <r>
      <rPr>
        <i/>
        <sz val="12"/>
        <rFont val="Times New Roman"/>
        <family val="1"/>
      </rPr>
      <t xml:space="preserve">et seq., </t>
    </r>
    <r>
      <rPr>
        <sz val="12"/>
        <rFont val="Times New Roman"/>
        <family val="1"/>
      </rPr>
      <t>two tests are used to determine eligibility for State Library Grant.  If the grant is approved, then the municipality's library will be paid the grant on February 15 of  each year.</t>
    </r>
  </si>
  <si>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</si>
  <si>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</si>
  <si>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</si>
  <si>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</si>
  <si>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</si>
  <si>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</si>
  <si>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</si>
  <si>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</si>
  <si>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</si>
  <si>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</si>
  <si>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</si>
  <si>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</si>
  <si>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</si>
  <si>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</si>
  <si>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</si>
  <si>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</si>
  <si>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</si>
  <si>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</si>
  <si>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</si>
  <si>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</si>
  <si>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</si>
  <si>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</si>
  <si>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</si>
  <si>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</si>
  <si>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</si>
  <si>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</si>
  <si>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</si>
  <si>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</si>
  <si>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</si>
  <si>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</si>
  <si>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</si>
  <si>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</si>
  <si>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</si>
  <si>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</si>
  <si>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</si>
  <si>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</si>
  <si>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What should I do?</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</si>
  <si>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</si>
  <si>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</si>
  <si>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</si>
  <si>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</si>
  <si>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</si>
  <si>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</si>
  <si>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</si>
  <si>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</si>
  <si>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</si>
  <si>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</si>
  <si>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</si>
  <si>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</si>
  <si>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</si>
  <si>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</si>
  <si>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Alice.Smith@ks.gov</t>
  </si>
  <si>
    <t>FUND PAGE FOR FUNDS WITH A TAX LEVY</t>
  </si>
  <si>
    <t>Adopted Budget</t>
  </si>
  <si>
    <t>Prior Year</t>
  </si>
  <si>
    <t>Proposed Budget</t>
  </si>
  <si>
    <t>Unencumbered Cash Balance January 1</t>
  </si>
  <si>
    <t>Receipts:</t>
  </si>
  <si>
    <t>Delinquent Tax</t>
  </si>
  <si>
    <t>Motor Vehicle Tax</t>
  </si>
  <si>
    <t>Recreational Vehicle Tax</t>
  </si>
  <si>
    <t>16/20 M Vehicle Tax</t>
  </si>
  <si>
    <t>Commercial Vehicle Tax</t>
  </si>
  <si>
    <t>Watercraft Tax</t>
  </si>
  <si>
    <t>Gross Earnings (Intangibles) Tax</t>
  </si>
  <si>
    <t>Interest on Idle Funds</t>
  </si>
  <si>
    <t>Miscellaneous</t>
  </si>
  <si>
    <t>Does miscellaneous exceed 10% of Total Receipts</t>
  </si>
  <si>
    <t>Total Receipts</t>
  </si>
  <si>
    <t>Resources Available:</t>
  </si>
  <si>
    <t>Expenditures:</t>
  </si>
  <si>
    <t>Officers Pay</t>
  </si>
  <si>
    <t>Salaries &amp; Wages</t>
  </si>
  <si>
    <t>Desired Carryover Amount:</t>
  </si>
  <si>
    <t>Employee Benefits</t>
  </si>
  <si>
    <t>Estimated Mill Rate Impact:</t>
  </si>
  <si>
    <t>Supplies</t>
  </si>
  <si>
    <t>Equipment</t>
  </si>
  <si>
    <t>Expenditures Must Be Changed by:</t>
  </si>
  <si>
    <t>Buildings Maintenance</t>
  </si>
  <si>
    <t>Insurance</t>
  </si>
  <si>
    <t>Transfer to Spec. Mach.(No Levy)</t>
  </si>
  <si>
    <t>Does the General Fund have a tax levy</t>
  </si>
  <si>
    <t>Transfer to Spec. Mach.(Gen has Levy)</t>
  </si>
  <si>
    <t>Transfer can not exceed 25% Resources Available</t>
  </si>
  <si>
    <t>Estimated Mill Rate &amp;
 Revenue Neutral Rate Comparison</t>
  </si>
  <si>
    <t>Does misc. exceed 10% of Total Expenditures</t>
  </si>
  <si>
    <t>Total Expenditures</t>
  </si>
  <si>
    <t>Unencumbered Cash Balance Dec 31</t>
  </si>
  <si>
    <t>Revenue Neutral Rate (KSA 79-2988)</t>
  </si>
  <si>
    <t>Non-Appropriated Balance</t>
  </si>
  <si>
    <t>Total Expenditure/Non-Appr Balance</t>
  </si>
  <si>
    <t>Tax Required</t>
  </si>
  <si>
    <t>Delinquent Comp Rate:</t>
  </si>
  <si>
    <t>Is a rate hearing/resolution required:</t>
  </si>
  <si>
    <t>Page No.</t>
  </si>
  <si>
    <t xml:space="preserve">Prior Year </t>
  </si>
  <si>
    <t xml:space="preserve">Current Year </t>
  </si>
  <si>
    <t xml:space="preserve">Proposed Budget </t>
  </si>
  <si>
    <t>Unencumbered Cash Balance Jan 1</t>
  </si>
  <si>
    <t>16/20M Vehicle Tax</t>
  </si>
  <si>
    <t>Does misc. exceed 10% of Total Receipts</t>
  </si>
  <si>
    <t/>
  </si>
  <si>
    <t>Road Maintenance</t>
  </si>
  <si>
    <t>Road Materials</t>
  </si>
  <si>
    <t>Transfer to Special Machinery</t>
  </si>
  <si>
    <t>Does transfer exceed 25% of Resources Available</t>
  </si>
  <si>
    <t xml:space="preserve">Special Machinery </t>
  </si>
  <si>
    <t xml:space="preserve">     K.S.A. 68-141g</t>
  </si>
  <si>
    <t>Unencumbered Cash Balance, Jan 1</t>
  </si>
  <si>
    <t>Transfers from:</t>
  </si>
  <si>
    <t xml:space="preserve">  Road Fund</t>
  </si>
  <si>
    <t xml:space="preserve">  General Fund(No Levy)</t>
  </si>
  <si>
    <t xml:space="preserve">  General Fund(Gen has Levy)</t>
  </si>
  <si>
    <t>Unencumbered Cash Balance, Dec 31</t>
  </si>
  <si>
    <t xml:space="preserve">        </t>
  </si>
  <si>
    <t>FUND PAGE FOR FUNDS WITH NO TAX LEVY</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</si>
  <si>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</si>
  <si>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</si>
  <si>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</si>
  <si>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</si>
  <si>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</si>
  <si>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</si>
  <si>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</si>
  <si>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</si>
  <si>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</si>
  <si>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</si>
  <si>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</si>
  <si>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</si>
  <si>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</si>
  <si>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</si>
  <si>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</si>
  <si>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</si>
  <si>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</si>
  <si>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</si>
  <si>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</si>
  <si>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</si>
  <si>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</si>
  <si>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</si>
  <si>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</si>
  <si>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</si>
  <si>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</si>
  <si>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NOTICE OF BUDGET HEARING</t>
  </si>
  <si>
    <t xml:space="preserve">       </t>
  </si>
  <si>
    <t xml:space="preserve">     </t>
  </si>
  <si>
    <t>The governing body of</t>
  </si>
  <si>
    <t>answering objections of taxpayers relating to the proposed use of all funds and the amount of ad valorem tax.</t>
  </si>
  <si>
    <t>BUDGET SUMMARY</t>
  </si>
  <si>
    <t>Proposed Estimated Tax Rate*</t>
  </si>
  <si>
    <t>Tax</t>
  </si>
  <si>
    <t>Expenditures</t>
  </si>
  <si>
    <t>Rate*</t>
  </si>
  <si>
    <t>The estimated value of one mill would be:</t>
  </si>
  <si>
    <t>Revenue Neutral Rate**</t>
  </si>
  <si>
    <t>Less: Transfers</t>
  </si>
  <si>
    <t>Net Expenditure</t>
  </si>
  <si>
    <t>Total Tax Levied</t>
  </si>
  <si>
    <t>Change in Ad Valorem Tax Revenue:</t>
  </si>
  <si>
    <t>Assessed Valuation:</t>
  </si>
  <si>
    <t xml:space="preserve">  Township</t>
  </si>
  <si>
    <t>What Mill Rate Would Be Desired?</t>
  </si>
  <si>
    <t>Outstanding Indebtedness,</t>
  </si>
  <si>
    <t xml:space="preserve">  Jan 1</t>
  </si>
  <si>
    <t>Lease Purchase Principal</t>
  </si>
  <si>
    <t xml:space="preserve">     Total</t>
  </si>
  <si>
    <t xml:space="preserve">  *Tax rates are expressed in mills.</t>
  </si>
  <si>
    <t>**Revenue Neutral Rate as defined by KSA 79-2988</t>
  </si>
  <si>
    <t xml:space="preserve">Is rate hearing/resolution required to exceed Revenue Neutral Rate? </t>
  </si>
  <si>
    <t>NOTICE OF HEARING TO EXCEED REVENUE NEUTRAL RATE AND BUDGET HEARING</t>
  </si>
  <si>
    <t xml:space="preserve">answering objections of taxpayers relating to the proposed use of all funds, the amount of ad valorem tax and the revenue neutral rate. </t>
  </si>
  <si>
    <t>NOTICE OF HEARING TO EXCEED REVENUE NEUTRAL RATE</t>
  </si>
  <si>
    <t xml:space="preserve">The governing body of </t>
  </si>
  <si>
    <t>answering objections of taxpayers relating to revenue neutral rate and proposed tax rate, as required by KSA 79-2988.</t>
  </si>
  <si>
    <t>SUPPORTING COUNTIES</t>
  </si>
  <si>
    <t>Revenue Neutral Rate*</t>
  </si>
  <si>
    <t>Proposed Tax Rate</t>
  </si>
  <si>
    <t>Tax Rates are expressed in mills</t>
  </si>
  <si>
    <t>* Revenue Netural Rate as defined by KSA 79-2988</t>
  </si>
  <si>
    <t>TOTAL</t>
  </si>
  <si>
    <t>Valuation Factor:</t>
  </si>
  <si>
    <t>Neighborhood Revitalization Subj to Rebate:</t>
  </si>
  <si>
    <t>Neighborhood Revitalization factor:</t>
  </si>
  <si>
    <t>the Neighborhood Revitalization Rebate table.</t>
  </si>
  <si>
    <t>Resolution No. ______</t>
  </si>
  <si>
    <t>A RESOLUTION OF THE __________ TOWNSHIP, KANSAS TO LEVY A PROPERTY TAX RATE EXCEEDING THE REVENUE NEUTRAL RATE;</t>
  </si>
  <si>
    <r>
      <t xml:space="preserve">           </t>
    </r>
    <r>
      <rPr>
        <b/>
        <sz val="12"/>
        <rFont val="Times New Roman"/>
        <family val="1"/>
      </rPr>
      <t>WHEREAS</t>
    </r>
    <r>
      <rPr>
        <sz val="12"/>
        <rFont val="Times New Roman"/>
        <family val="1"/>
      </rPr>
      <t>, the Revenue Neutral Rate for the  __________  Township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</si>
  <si>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__________ Township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</si>
  <si>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</si>
  <si>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____________ Township, having heard testimony, still finds it necessary to exceed the Revenue Neutral Rate.</t>
    </r>
  </si>
  <si>
    <t xml:space="preserve">          NOW, THEREFORE, BE IT RESOLVED BY THE GOVERNING BODY OF THE  __________ TOWNSHIP: </t>
  </si>
  <si>
    <t xml:space="preserve">          The  _________ Township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</si>
  <si>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</si>
  <si>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Governing Body.</t>
    </r>
  </si>
  <si>
    <t xml:space="preserve">          _____________________________</t>
  </si>
  <si>
    <t xml:space="preserve">          Attested:</t>
  </si>
  <si>
    <t xml:space="preserve">          ______________________________</t>
  </si>
  <si>
    <t>Notice of Revenue Neutral Rate Intent</t>
  </si>
  <si>
    <t>THE GOVERNING BODY OF ________________________ TOWNSHIP,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</si>
  <si>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</si>
  <si>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</si>
  <si>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</si>
  <si>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</si>
  <si>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</si>
  <si>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Tab A</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</si>
  <si>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</si>
  <si>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</si>
  <si>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</si>
  <si>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</si>
  <si>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</si>
  <si>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</si>
  <si>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Times New Roman"/>
        <family val="1"/>
      </rPr>
      <t>not been</t>
    </r>
    <r>
      <rPr>
        <sz val="12"/>
        <rFont val="Times New Roman"/>
        <family val="1"/>
      </rPr>
      <t xml:space="preserve"> closed</t>
    </r>
  </si>
  <si>
    <t xml:space="preserve">budget has not been submitted to the county clerk) then the </t>
  </si>
  <si>
    <t xml:space="preserve">budget law violation can be fixed before submission of the </t>
  </si>
  <si>
    <t>budget to the county clerk.</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</si>
  <si>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</si>
  <si>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</si>
  <si>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</si>
  <si>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</si>
  <si>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</si>
  <si>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</si>
  <si>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</si>
  <si>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Times New Roman"/>
        <family val="1"/>
      </rPr>
      <t>expenditure</t>
    </r>
    <r>
      <rPr>
        <sz val="12"/>
        <rFont val="Times New Roman"/>
        <family val="1"/>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</si>
  <si>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</si>
  <si>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</si>
  <si>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</si>
  <si>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</si>
  <si>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</si>
  <si>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</si>
  <si>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</si>
  <si>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</si>
  <si>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</si>
  <si>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</si>
  <si>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</si>
  <si>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</si>
  <si>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</si>
  <si>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</si>
  <si>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</si>
  <si>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</si>
  <si>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</si>
  <si>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</si>
  <si>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</si>
  <si>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</si>
  <si>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</si>
  <si>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</si>
  <si>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</si>
  <si>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</si>
  <si>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</si>
  <si>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</si>
  <si>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</si>
  <si>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</si>
  <si>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</si>
  <si>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</si>
  <si>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</si>
  <si>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</si>
  <si>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</si>
  <si>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</si>
  <si>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</si>
  <si>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</si>
  <si>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</si>
  <si>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</si>
  <si>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Tab B</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</si>
  <si>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</si>
  <si>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</si>
  <si>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</si>
  <si>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</si>
  <si>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</si>
  <si>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</si>
  <si>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</si>
  <si>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</si>
  <si>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</si>
  <si>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</si>
  <si>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</si>
  <si>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</si>
  <si>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</si>
  <si>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Times New Roman"/>
        <family val="1"/>
      </rPr>
      <t>10-1116 applies.</t>
    </r>
    <r>
      <rPr>
        <sz val="12"/>
        <rFont val="Times New Roman"/>
        <family val="1"/>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</si>
  <si>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</si>
  <si>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</si>
  <si>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</si>
  <si>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</si>
  <si>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</si>
  <si>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</si>
  <si>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</si>
  <si>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</si>
  <si>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</si>
  <si>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</si>
  <si>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</si>
  <si>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</si>
  <si>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</si>
  <si>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</si>
  <si>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</si>
  <si>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</si>
  <si>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</si>
  <si>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</si>
  <si>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</si>
  <si>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</si>
  <si>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</si>
  <si>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</si>
  <si>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</si>
  <si>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</si>
  <si>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</si>
  <si>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</si>
  <si>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</si>
  <si>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</si>
  <si>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</si>
  <si>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</si>
  <si>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</si>
  <si>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</si>
  <si>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</si>
  <si>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</si>
  <si>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</si>
  <si>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</si>
  <si>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</si>
  <si>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</si>
  <si>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</si>
  <si>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</si>
  <si>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</si>
  <si>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Tab C</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</si>
  <si>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</si>
  <si>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</si>
  <si>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</si>
  <si>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</si>
  <si>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</si>
  <si>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</si>
  <si>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</si>
  <si>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</si>
  <si>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</si>
  <si>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</si>
  <si>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</si>
  <si>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</si>
  <si>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</si>
  <si>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</si>
  <si>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</si>
  <si>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</si>
  <si>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</si>
  <si>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</si>
  <si>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</si>
  <si>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</si>
  <si>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</si>
  <si>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</si>
  <si>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</si>
  <si>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</si>
  <si>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</si>
  <si>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</si>
  <si>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</si>
  <si>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</si>
  <si>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</si>
  <si>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</si>
  <si>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</si>
  <si>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</si>
  <si>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</si>
  <si>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</si>
  <si>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</si>
  <si>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</si>
  <si>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</si>
  <si>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</si>
  <si>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</si>
  <si>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</si>
  <si>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Tab D</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</si>
  <si>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</si>
  <si>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</si>
  <si>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</si>
  <si>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</si>
  <si>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</si>
  <si>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</si>
  <si>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</si>
  <si>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</si>
  <si>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</si>
  <si>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</si>
  <si>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</si>
  <si>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</si>
  <si>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</si>
  <si>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</si>
  <si>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</si>
  <si>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</si>
  <si>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</si>
  <si>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</si>
  <si>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</si>
  <si>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</si>
  <si>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</si>
  <si>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Tab 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</si>
  <si>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</si>
  <si>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</si>
  <si>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</si>
  <si>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</si>
  <si>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</si>
  <si>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</si>
  <si>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</si>
  <si>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</si>
  <si>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</si>
  <si>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</si>
  <si>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</si>
  <si>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</si>
  <si>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</si>
  <si>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</si>
  <si>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</si>
  <si>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</si>
  <si>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</si>
  <si>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</si>
  <si>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</si>
  <si>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</si>
  <si>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</si>
  <si>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</si>
  <si>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</si>
  <si>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</si>
  <si>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</si>
  <si>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</si>
  <si>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</si>
  <si>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</si>
  <si>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</si>
  <si>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</si>
  <si>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</si>
  <si>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</si>
  <si>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</si>
  <si>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</si>
  <si>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Municipal Budget Tools/Explainers for Various Situations</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</si>
  <si>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</si>
  <si>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</si>
  <si>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</si>
  <si>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</si>
  <si>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</si>
  <si>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</si>
  <si>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</si>
  <si>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</si>
  <si>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</si>
  <si>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</si>
  <si>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</si>
  <si>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</si>
  <si>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</si>
  <si>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</si>
  <si>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</si>
  <si>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</si>
  <si>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</si>
  <si>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</si>
  <si>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</si>
  <si>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How to Compute the Value of One Mill, and the Impact of Tax Dollars and Assessed Valuation on Mill Rates</t>
  </si>
  <si>
    <t>Helpful Links</t>
  </si>
  <si>
    <t>Municipal Services (Kansas Department of Administration, Accounts and Reports) – Budget forms, confirmation of payments, transfer statutes, non-budgeted fund statutes, etc.</t>
  </si>
  <si>
    <t>https://admin.ks.gov/offices/accounts-reports/local-government/municipal-services</t>
  </si>
  <si>
    <t>State Debt Setoff Program (Kansas Department of Administration, Accounts and Reports) – Passive collection tool to assist municipalities with collection of unpaid utility bills, etc.</t>
  </si>
  <si>
    <t>https://admin.ks.gov/offices/accounts-reports/state-agencies/finance/setoff-program</t>
  </si>
  <si>
    <t>League of Kansas Municipalities</t>
  </si>
  <si>
    <t>https://www.lkm.org/</t>
  </si>
  <si>
    <t>Kansas Legislature – Kansas Statutes (usually updated in January), House and Senate Bills, etc.</t>
  </si>
  <si>
    <t>http://www.kslegislature.org/li/</t>
  </si>
  <si>
    <t>Kansas Attorney General Opinions</t>
  </si>
  <si>
    <t>https://ag.ks.gov/media-center/ag-opinions</t>
  </si>
  <si>
    <t>Kansas State Treasurer</t>
  </si>
  <si>
    <t>https://www.kansasstatetreasurer.com/fin_serv.html</t>
  </si>
  <si>
    <t>Kansas Department of Revenue</t>
  </si>
  <si>
    <t>https://www.ksrevenue.gov/</t>
  </si>
  <si>
    <t>Kansas Department of Revenue – Property Valuation</t>
  </si>
  <si>
    <t>https://www.ksrevenue.gov/pvdindex.html</t>
  </si>
  <si>
    <t>Kansas Pooled Money Investment Board – Investment of Idle Funds in the Municipal Investment Pool</t>
  </si>
  <si>
    <t>https://pooledmoneyinvestmentboard.com/</t>
  </si>
  <si>
    <t xml:space="preserve">The following changes were made to this workbook during April 2023: </t>
  </si>
  <si>
    <t>Reprogram final rate computation on Certificate page</t>
  </si>
  <si>
    <t>Corrected transfer programming for General/Special Machinery and Road/Special Machinery</t>
  </si>
  <si>
    <t>Created Budget Tools, removed 'helpful links' and 'mill rate computation' (those tabs are now located in 'Budget Tools'</t>
  </si>
  <si>
    <t>The following changes were made to this workbook during March 2022</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</si>
  <si>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</si>
  <si>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</si>
  <si>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</si>
  <si>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</si>
  <si>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</si>
  <si>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</si>
  <si>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</si>
  <si>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</si>
  <si>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</si>
  <si>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</si>
  <si>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</si>
  <si>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</si>
  <si>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</si>
  <si>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</si>
  <si>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 xml:space="preserve">5. Updated Cert (Table of Contents) and page numbering. </t>
  </si>
  <si>
    <t>6. Delete Notice of Vote/Resolution Sample worksheets</t>
  </si>
  <si>
    <t>The following changes were made to this workbook during March 2020</t>
  </si>
  <si>
    <t>1. CPI Percentages were entered for the 2021 budget year</t>
  </si>
  <si>
    <t>2. Updated the Helpful Links to correct weblinks</t>
  </si>
  <si>
    <t>3. Used format painter to make all pages consistent in color and layout</t>
  </si>
  <si>
    <t>The following changes were made to this workbook in April 2019</t>
  </si>
  <si>
    <t>1.  Updated Municipal Services' contact information on Instruction tab</t>
  </si>
  <si>
    <t>2.  Entered 2020 for the Budget Year and 2.5 % for the CPI percentage on the InputPrYr tab</t>
  </si>
  <si>
    <t>3.  Highlighted tabs (pages) in blue if the page is to be printed and submitted as part of the budget</t>
  </si>
  <si>
    <t>The following changes were made to this workbook in April 2018</t>
  </si>
  <si>
    <t xml:space="preserve">1.  Added the CPA Summary tab.  </t>
  </si>
  <si>
    <t>2.  Added the CPA Summary comment box on the Certification Page and all fund pages.</t>
  </si>
  <si>
    <t xml:space="preserve">3.  Changed Megan Schulz email address on the Library Grant tab.  </t>
  </si>
  <si>
    <t>4.  Renamed the Pub. Notice Option 1 tab to Notice of Vote.</t>
  </si>
  <si>
    <t>5.  Removed the Pub. Notice Option 2 and 3 tabs.</t>
  </si>
  <si>
    <t>The following changes were made to this workbook on 3/7/2017</t>
  </si>
  <si>
    <t>1.  inputPrYr tab, inserted CPI percentage, linked the percentage to the Computation tab.</t>
  </si>
  <si>
    <t>The following changes were made to this workbook on 2/3/2016</t>
  </si>
  <si>
    <t>1.  Inserted 2015 CPI percentage on computation tab.</t>
  </si>
  <si>
    <t>The following changes were made to this workbook on 1/22/2016</t>
  </si>
  <si>
    <t>1.  On tax levy funds NR estimate shown as a negative receipt.</t>
  </si>
  <si>
    <t>The following changes were made to this workbook on 10/2/2015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</si>
  <si>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</si>
  <si>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</si>
  <si>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</si>
  <si>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</si>
  <si>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</si>
  <si>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The following changes were made to this workbook on 1/23/2015</t>
  </si>
  <si>
    <t>1.  Inserted 2014 CPI percentage on computation tab.</t>
  </si>
  <si>
    <t>2.  Corrected formula in cell d24 of library grant tab.</t>
  </si>
  <si>
    <t>The following changes were made to this workbook on 10/30/2014</t>
  </si>
  <si>
    <t>1.  Various workbook changes associated with commercial vehicle and watercraft tax estimates.</t>
  </si>
  <si>
    <t>The following changes were made to this workbook on 8/28/2014</t>
  </si>
  <si>
    <t>1.  Update of State Library contact name on library grant tab.</t>
  </si>
  <si>
    <t>The following changes were made to this workbook on 7/15/2014</t>
  </si>
  <si>
    <t>1.  Added the ROUND function to cell J38 in the computation tab so result will be a whole number.</t>
  </si>
  <si>
    <t>The following changes were made to this workbook on 5/23/2014</t>
  </si>
  <si>
    <t>1.  Several changes to workbook associated with 2014 HB 2047.</t>
  </si>
  <si>
    <t>The following changes were made to this workbook on 4/22/2014</t>
  </si>
  <si>
    <t>1.  "Budget Authority Amount" cell added to budget year column of all funds.</t>
  </si>
  <si>
    <t>The following changes were made to this workbook on 3/27/2013</t>
  </si>
  <si>
    <t>1.  Instruction tab narrative modification.</t>
  </si>
  <si>
    <t>The following changes were made to this workbook on 1/31/2013</t>
  </si>
  <si>
    <t>1.  Corrected formula in cell e28 of Library Grant tab.</t>
  </si>
  <si>
    <t>The following changes were made to this workbook on 10/8/2012</t>
  </si>
  <si>
    <t>1.  Added "ordinance required?  yes/no" message to area adjacent to each tax levy fund.</t>
  </si>
  <si>
    <t>The following changes were made to this workbook on 5/29/2012</t>
  </si>
  <si>
    <t>1. Corrected formulas for linking AV tax estimates to the Debt Service and Library funds.</t>
  </si>
  <si>
    <t>The following changes were made to this workbook on 2/22/2012</t>
  </si>
  <si>
    <t>1. Library Grant tab, updated State Library e-mail contact address.</t>
  </si>
  <si>
    <t>The following changes were made to this workbook on 2/2/2012</t>
  </si>
  <si>
    <t>1. Instruction tab - line A7 add Library.</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</si>
  <si>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</si>
  <si>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</si>
  <si>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</si>
  <si>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</si>
  <si>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</si>
  <si>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</si>
  <si>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</si>
  <si>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</si>
  <si>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</si>
  <si>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11. InputBudSum tab - added spaces for official name and title.</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</si>
  <si>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</si>
  <si>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</si>
  <si>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</si>
  <si>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</si>
  <si>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</si>
  <si>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</si>
  <si>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</si>
  <si>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</si>
  <si>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</si>
  <si>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</si>
  <si>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</si>
  <si>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</si>
  <si>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</si>
  <si>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</si>
  <si>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</si>
  <si>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website.</t>
  </si>
  <si>
    <t>28. All fund pages - changed the year headings.</t>
  </si>
  <si>
    <t>29. All fund pages - removed slider and its link.</t>
  </si>
  <si>
    <t>The following changes were made to this workbook on 5/13/2011</t>
  </si>
  <si>
    <t>1. Road tab cell c54 change ref from h1 to e1 so the Special Machinery date will reflect correctly.</t>
  </si>
  <si>
    <t>The following changes were made to this workbook on 5/4/2011</t>
  </si>
  <si>
    <t>1. Gen tab cell B46 corrected the spelling of Resources.</t>
  </si>
  <si>
    <t>The following changes were made to this workbook on 4/19/2011</t>
  </si>
  <si>
    <t>1. Summ tab changed proposed year expenditure column to 'Budget Authority for Expenditures.'</t>
  </si>
  <si>
    <t>The following changes were made to this workbook on 3/21/2011</t>
  </si>
  <si>
    <t>1. General tab corrected cell G52 from E22 to E26.</t>
  </si>
  <si>
    <t>2. Debt Service tab corrected cell G55 from E42 to E29.</t>
  </si>
  <si>
    <t>The following changes were made to this workbook on 10/13/2010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</si>
  <si>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</si>
  <si>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</si>
  <si>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</si>
  <si>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</si>
  <si>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</si>
  <si>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</si>
  <si>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</si>
  <si>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</si>
  <si>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</si>
  <si>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</si>
  <si>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</si>
  <si>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</si>
  <si>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</si>
  <si>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</si>
  <si>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</si>
  <si>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</si>
  <si>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</si>
  <si>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</si>
  <si>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</si>
  <si>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</si>
  <si>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</si>
  <si>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</si>
  <si>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23. Remove w-2 info from certificate page.</t>
  </si>
  <si>
    <t>The following changes were made to this workbook on 4/15/2010</t>
  </si>
  <si>
    <t>1. Changed schedule of transfers statute column to allow for statute to pop-up if transfers are shown in current/proposed columns.</t>
  </si>
  <si>
    <t>The following changes were made to this workbook on 1/05/2010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</si>
  <si>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</si>
  <si>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</si>
  <si>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</si>
  <si>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12/28/2009</t>
  </si>
  <si>
    <t>1. Nhood tab added note for computing table.</t>
  </si>
  <si>
    <t>The following changes were made to this workbook on 12/08/2009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</si>
  <si>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</si>
  <si>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</si>
  <si>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</si>
  <si>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</si>
  <si>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The following changes were made to this workbook on 8/25/2009</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</si>
  <si>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</si>
  <si>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</si>
  <si>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</si>
  <si>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</si>
  <si>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</si>
  <si>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</si>
  <si>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7. Instruction tab added 9m to explain about Non-Budgeted Form.</t>
  </si>
  <si>
    <t>8. Cert tab added Non-Budgeted Funds line A35.</t>
  </si>
  <si>
    <t>9. Added nonbud tab for the Non-Budgeted Funds.</t>
  </si>
  <si>
    <t>10. Summ tab added A34 for Non-Budgeted Funds.</t>
  </si>
  <si>
    <t>11. Added Tabs A to E for violations.</t>
  </si>
  <si>
    <t>12. Changed each fund page taking out the 'Yes' and 'No' and replacing them with See Tab when a possible violation occurs.</t>
  </si>
  <si>
    <t>13. NonBud tab changed Net Vaulation to July 1.</t>
  </si>
  <si>
    <t>14. Certificate tab moved the Assisted By: and added more lines for governing body signatures.</t>
  </si>
  <si>
    <t>15. Created NonBudFunds tab.</t>
  </si>
  <si>
    <t>The following changes were made to this workbook on 5/14/2009</t>
  </si>
  <si>
    <t>1. Mvalloc tab, changed cell d10  to -2 vs -1 to reflect correct year to tax.</t>
  </si>
  <si>
    <t>2. Mvalloc tab, changed cells d12-21 to add = in formula to prevent VALUE error - affects very few townships.</t>
  </si>
  <si>
    <t>The following changes were made to this workbook on 5/13/2009</t>
  </si>
  <si>
    <t>1. Transfer tab, changed cells c12, d12, and e12 to reflect link on the gen tab transfer from 43 to 45.</t>
  </si>
  <si>
    <t>The following changes were made to this workbook on 5/5/2009</t>
  </si>
  <si>
    <t>1. Summ tab, the special machinery's expenditure block B34 link was changed from C63 to B63.</t>
  </si>
  <si>
    <t>The following were changed to this spreadsheet on 4/3/2009</t>
  </si>
  <si>
    <t>1. Corrected mvalloc column d for ad valorem tax as was picking up expenditures instead.</t>
  </si>
  <si>
    <t>2. Corrected gen unencumbered cash balances for both actual and current columns.</t>
  </si>
  <si>
    <t>The following were changed to this spreadsheet on 3/19/2009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</si>
  <si>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</si>
  <si>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</si>
  <si>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</si>
  <si>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2/23/2009</t>
  </si>
  <si>
    <t>1. Instruction under Submitting of Budget ….required electronic submission.</t>
  </si>
  <si>
    <t>2. Input other tab line 45 change from Budget Summary to Budget Certificate.</t>
  </si>
  <si>
    <t>The following were changed to this spreadsheet on 2/02/2009</t>
  </si>
  <si>
    <t>1. General fund cell c51formula changed to calulate the Unecumber Cash Balance correctly.</t>
  </si>
  <si>
    <t>The following were changed to this spreadsheet on 10/14/2008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</si>
  <si>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</si>
  <si>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</si>
  <si>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</si>
  <si>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</si>
  <si>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</si>
  <si>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</si>
  <si>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</si>
  <si>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</si>
  <si>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</si>
  <si>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</si>
  <si>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</si>
  <si>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</si>
  <si>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</si>
  <si>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</si>
  <si>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</si>
  <si>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</si>
  <si>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14. If road transfer funds to special machinery, the transfers are linked and to the Schedule of Transfers.</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</si>
  <si>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</si>
  <si>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</si>
  <si>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</si>
  <si>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</si>
  <si>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</si>
  <si>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</si>
  <si>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t>15c. Transfers are linked from general fund to special machinery and to Schedule of Transfers. Transfers for actual year will also have the statute reference shown.</t>
  </si>
  <si>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</si>
  <si>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17. Deleted lines pertaining to the beginning and ending balance for the County Treasurer.</t>
  </si>
  <si>
    <t>The following were changed to this spreadsheet on 8/06/2007</t>
  </si>
  <si>
    <t>1. instruction were changed: POC change from Roger to armunis, got rid about us providing disk, took the input page and split to input prior budget information and input other, with more in-depth of forms and fund page, and more in-depth on the budget summary page.</t>
  </si>
  <si>
    <t>2. All pages have a revision date.</t>
  </si>
  <si>
    <t xml:space="preserve">3. Hard coded the Bond &amp; Interest, and Road on Certificate and Summary pages. </t>
  </si>
  <si>
    <t xml:space="preserve">4.  All dates on the spreadsheet are controlled from input on the input Prior Year page. </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</si>
  <si>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</si>
  <si>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</si>
  <si>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</si>
  <si>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8. Added  LAVTR and Slider to the input page and to the General Fund page.</t>
  </si>
  <si>
    <t>9. Changed the Budget Summary Heading to include Actual/Estimate/Proposed with the budget year.</t>
  </si>
  <si>
    <t>10. Changed the delinquency rate formula for all levy funds.</t>
  </si>
  <si>
    <t>11. Changed the Certificate page so the county name flows instead of having unneeded spaces.</t>
  </si>
  <si>
    <t>12. Using the actual ad valorem rates from the Clerk's information versus from the Certificate page.</t>
  </si>
  <si>
    <t>13. Delinquency rate for actual for 3 decimal and note that rate can be up to 5% over the actual rate.</t>
  </si>
  <si>
    <t>14. Added column to show when debt retired on the Indebtedness page.</t>
  </si>
  <si>
    <t>15. Budget Summary changed the sentence "will meet…" so the year automatically changes.</t>
  </si>
  <si>
    <t>16. Resolution page has a space for a page number.</t>
  </si>
  <si>
    <t>17. Added to instructions about non-appropriated funds limit of 5%.</t>
  </si>
  <si>
    <t>18. Added warning "Exceeds 5%" on all fund pages for the non-appropriated balance.</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</si>
  <si>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</si>
  <si>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</si>
  <si>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</si>
  <si>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22. Added Slider to the Vehicle Allocation table and linked to fund pages.</t>
  </si>
  <si>
    <t>23. Added to all budgeted fund pages the budget authority for the actual year, budget violation, and cash violation.</t>
  </si>
  <si>
    <t>24. Added instruction on the addition for item 23.</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</si>
  <si>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</si>
  <si>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</si>
  <si>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</si>
  <si>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28. Added 9a to the instruction to explain about County Treasurers Jan 1 and Dec 31 balances.</t>
  </si>
  <si>
    <t>29. Added 'excluding oil, gas, and mobile homes' to lines 9 and 11 on Clerks budget info on tab inputoth.</t>
  </si>
  <si>
    <t>1. Removed LAVTR from inputOth, Library Grant and General fund tabs.</t>
  </si>
  <si>
    <t>2. Renamed Cash Forward/Cash-Basis Reserve to Cash Reserve on all fund pages.</t>
  </si>
  <si>
    <t>The following changes were made to this workbook during April-May 2024</t>
  </si>
  <si>
    <t>3. Added RNR Resolution YES/NO formula to certificate page.</t>
  </si>
  <si>
    <t>Does budget require a resolution to exceed the Revenue Neutral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</si>
</sst>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41" formatCode="_(* #,##0_);_(* \(#,##0\);_(* &quot;-&quot;_);_(@_)"/>
    <numFmt numFmtId="44" formatCode="_(&quot;$&quot;* #,##0.00_);_(&quot;$&quot;* \(#,##0.00\);_(&quot;$&quot;* &quot;-&quot;??_);_(@_)"/>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0.00000_);\(#,##0.00000\)"/>
    <numFmt numFmtId="176" formatCode="&quot;$&quot;#,##0"/>
    <numFmt numFmtId="177" formatCode="&quot;$&quot;#,##0.00"/>
    <numFmt numFmtId="178" formatCode="#,##0.000_);[Red]\(#,##0.000\)"/>
    <numFmt numFmtId="179" formatCode="0.0%"/>
  </numFmts>
  <fonts count="64"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1"/>
      <name val="Times New Roman"/>
      <family val="1"/>
    </font>
    <font>
      <sz val="10"/>
      <name val="Times New Roman"/>
      <family val="1"/>
    </font>
    <font>
      <u/>
      <sz val="12"/>
      <color indexed="12"/>
      <name val="Courier New"/>
      <family val="3"/>
    </font>
    <font>
      <sz val="8"/>
      <name val="Courier New"/>
      <family val="3"/>
    </font>
    <font>
      <b/>
      <sz val="11"/>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sz val="12"/>
      <name val="Courier New"/>
      <family val="3"/>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sz val="10"/>
      <name val="Courier"/>
      <family val="3"/>
    </font>
    <font>
      <sz val="8"/>
      <color indexed="10"/>
      <name val="Times New Roman"/>
      <family val="1"/>
    </font>
    <font>
      <sz val="12"/>
      <name val="Courier"/>
      <family val="3"/>
    </font>
    <font>
      <u/>
      <sz val="12"/>
      <color indexed="10"/>
      <name val="Times New Roman"/>
      <family val="1"/>
    </font>
    <font>
      <sz val="12"/>
      <name val="Courier"/>
      <family val="3"/>
    </font>
    <font>
      <sz val="12"/>
      <name val="Courier"/>
      <family val="3"/>
    </font>
    <font>
      <sz val="12"/>
      <name val="Courier"/>
    </font>
    <font>
      <b/>
      <sz val="14"/>
      <name val="Times New Roman"/>
      <family val="1"/>
    </font>
    <font>
      <u/>
      <vertAlign val="superscript"/>
      <sz val="12"/>
      <name val="Times New Roman"/>
      <family val="1"/>
    </font>
    <font>
      <sz val="11"/>
      <name val="Calibri"/>
      <family val="2"/>
    </font>
    <font>
      <sz val="7"/>
      <name val="Times New Roman"/>
      <family val="1"/>
    </font>
    <font>
      <b/>
      <sz val="16"/>
      <name val="Times New Roman"/>
      <family val="1"/>
    </font>
    <font>
      <sz val="14"/>
      <name val="Times New Roman"/>
      <family val="1"/>
    </font>
    <font>
      <i/>
      <u/>
      <sz val="12"/>
      <name val="Times New Roman"/>
      <family val="1"/>
    </font>
    <font>
      <sz val="11"/>
      <color theme="1"/>
      <name val="Calibri"/>
      <family val="2"/>
      <scheme val="minor"/>
    </font>
    <font>
      <b/>
      <sz val="12"/>
      <color rgb="FFFF0000"/>
      <name val="Times New Roman"/>
      <family val="1"/>
    </font>
    <font>
      <sz val="12"/>
      <color rgb="FFFF0000"/>
      <name val="Times New Roman"/>
      <family val="1"/>
    </font>
    <font>
      <sz val="12"/>
      <name val="Courier New"/>
      <family val="3"/>
    </font>
    <font>
      <b/>
      <sz val="20"/>
      <color rgb="FF000000"/>
      <name val="Cambria"/>
      <family val="1"/>
      <scheme val="major"/>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2"/>
      <name val="Courier"/>
    </font>
    <font>
      <b/>
      <sz val="14"/>
      <name val="Cambria"/>
      <family val="1"/>
      <scheme val="major"/>
    </font>
    <font>
      <sz val="12"/>
      <name val="Calibri"/>
      <family val="2"/>
      <scheme val="minor"/>
    </font>
  </fonts>
  <fills count="17">
    <fill>
      <patternFill patternType="none"/>
    </fill>
    <fill>
      <patternFill patternType="gray125"/>
    </fill>
    <fill>
      <patternFill patternType="solid">
        <fgColor indexed="26"/>
        <bgColor indexed="64"/>
      </patternFill>
    </fill>
    <fill>
      <patternFill patternType="solid">
        <fgColor indexed="11"/>
      </patternFill>
    </fill>
    <fill>
      <patternFill patternType="solid">
        <fgColor indexed="11"/>
        <bgColor indexed="64"/>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1" tint="0.499984740745262"/>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15">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8"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28"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8"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49"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39" fillId="0" borderId="0"/>
    <xf numFmtId="0" fontId="2" fillId="0" borderId="0"/>
    <xf numFmtId="0" fontId="40" fillId="0" borderId="0"/>
    <xf numFmtId="0" fontId="4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44" fontId="52" fillId="0" borderId="0" applyFont="0" applyFill="0" applyBorder="0" applyAlignment="0" applyProtection="0"/>
  </cellStyleXfs>
  <cellXfs count="763">
    <xf numFmtId="0" fontId="0" fillId="0" borderId="0" xfId="0"/>
    <xf numFmtId="0" fontId="0" fillId="0" borderId="0" xfId="0" applyAlignment="1">
      <alignment vertical="center"/>
    </xf>
    <xf numFmtId="37" fontId="4" fillId="2" borderId="0" xfId="0" applyNumberFormat="1" applyFont="1" applyFill="1" applyAlignment="1">
      <alignment vertical="center"/>
    </xf>
    <xf numFmtId="0" fontId="4" fillId="2" borderId="0" xfId="0" applyFont="1" applyFill="1" applyAlignment="1">
      <alignment vertical="center"/>
    </xf>
    <xf numFmtId="0" fontId="4" fillId="0" borderId="0" xfId="0" applyFont="1" applyAlignment="1" applyProtection="1">
      <alignment vertical="center"/>
      <protection locked="0"/>
    </xf>
    <xf numFmtId="0" fontId="3" fillId="2" borderId="0" xfId="0" applyFont="1" applyFill="1" applyAlignment="1">
      <alignment vertical="center"/>
    </xf>
    <xf numFmtId="164" fontId="4" fillId="2" borderId="0" xfId="0" applyNumberFormat="1" applyFont="1" applyFill="1" applyAlignment="1">
      <alignment horizontal="right" vertical="center"/>
    </xf>
    <xf numFmtId="0" fontId="4" fillId="2" borderId="1" xfId="0" applyFont="1" applyFill="1" applyBorder="1" applyAlignment="1">
      <alignment vertical="center"/>
    </xf>
    <xf numFmtId="37" fontId="4" fillId="2" borderId="1" xfId="0" quotePrefix="1" applyNumberFormat="1" applyFont="1" applyFill="1" applyBorder="1" applyAlignment="1">
      <alignment horizontal="right" vertical="center"/>
    </xf>
    <xf numFmtId="37" fontId="4" fillId="2" borderId="0" xfId="0" applyNumberFormat="1" applyFont="1" applyFill="1" applyAlignment="1">
      <alignment horizontal="left" vertical="center"/>
    </xf>
    <xf numFmtId="37" fontId="4" fillId="2" borderId="2" xfId="0" applyNumberFormat="1" applyFont="1" applyFill="1" applyBorder="1" applyAlignment="1">
      <alignment horizontal="center" vertical="center"/>
    </xf>
    <xf numFmtId="37" fontId="4" fillId="2" borderId="3" xfId="0" applyNumberFormat="1" applyFont="1" applyFill="1" applyBorder="1" applyAlignment="1">
      <alignment horizontal="center" vertical="center"/>
    </xf>
    <xf numFmtId="37" fontId="4" fillId="2" borderId="4" xfId="0" applyNumberFormat="1" applyFont="1" applyFill="1" applyBorder="1" applyAlignment="1">
      <alignment horizontal="center" vertical="center"/>
    </xf>
    <xf numFmtId="37" fontId="4" fillId="2" borderId="5" xfId="0" applyNumberFormat="1" applyFont="1" applyFill="1" applyBorder="1" applyAlignment="1">
      <alignment horizontal="left" vertical="center"/>
    </xf>
    <xf numFmtId="0" fontId="4" fillId="2" borderId="6" xfId="0" applyFont="1" applyFill="1" applyBorder="1" applyAlignment="1">
      <alignment vertical="center"/>
    </xf>
    <xf numFmtId="3" fontId="4" fillId="3" borderId="5"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protection locked="0"/>
    </xf>
    <xf numFmtId="3" fontId="4" fillId="2" borderId="6" xfId="0" applyNumberFormat="1" applyFont="1" applyFill="1" applyBorder="1" applyAlignment="1">
      <alignment vertical="center"/>
    </xf>
    <xf numFmtId="3" fontId="4" fillId="2" borderId="7" xfId="0" applyNumberFormat="1" applyFont="1" applyFill="1" applyBorder="1" applyAlignment="1">
      <alignment vertical="center"/>
    </xf>
    <xf numFmtId="3" fontId="4" fillId="2" borderId="7" xfId="0" applyNumberFormat="1" applyFont="1" applyFill="1" applyBorder="1" applyAlignment="1">
      <alignment horizontal="fill" vertical="center"/>
    </xf>
    <xf numFmtId="3" fontId="4" fillId="3" borderId="7" xfId="0" applyNumberFormat="1" applyFont="1" applyFill="1" applyBorder="1" applyAlignment="1" applyProtection="1">
      <alignment vertical="center"/>
      <protection locked="0"/>
    </xf>
    <xf numFmtId="0" fontId="4" fillId="2" borderId="5" xfId="0" applyFont="1" applyFill="1" applyBorder="1" applyAlignment="1">
      <alignment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37" fontId="4" fillId="3" borderId="5" xfId="0" applyNumberFormat="1" applyFont="1" applyFill="1" applyBorder="1" applyAlignment="1" applyProtection="1">
      <alignment horizontal="left" vertical="center"/>
      <protection locked="0"/>
    </xf>
    <xf numFmtId="37" fontId="4" fillId="2" borderId="5" xfId="0" applyNumberFormat="1" applyFont="1" applyFill="1" applyBorder="1" applyAlignment="1" applyProtection="1">
      <alignment horizontal="left" vertical="center"/>
      <protection locked="0"/>
    </xf>
    <xf numFmtId="3" fontId="11" fillId="5" borderId="6" xfId="0" applyNumberFormat="1" applyFont="1" applyFill="1" applyBorder="1" applyAlignment="1">
      <alignment horizontal="center" vertical="center"/>
    </xf>
    <xf numFmtId="3" fontId="3" fillId="6" borderId="7" xfId="0" applyNumberFormat="1" applyFont="1" applyFill="1" applyBorder="1" applyAlignment="1">
      <alignment vertical="center"/>
    </xf>
    <xf numFmtId="37" fontId="3" fillId="2" borderId="5" xfId="0" applyNumberFormat="1" applyFont="1" applyFill="1" applyBorder="1" applyAlignment="1">
      <alignment horizontal="left" vertical="center"/>
    </xf>
    <xf numFmtId="3" fontId="11" fillId="5" borderId="7" xfId="0" applyNumberFormat="1" applyFont="1" applyFill="1" applyBorder="1" applyAlignment="1" applyProtection="1">
      <alignment horizontal="center" vertical="center"/>
      <protection locked="0"/>
    </xf>
    <xf numFmtId="3" fontId="11" fillId="5" borderId="7" xfId="0" applyNumberFormat="1" applyFont="1" applyFill="1" applyBorder="1" applyAlignment="1">
      <alignment horizontal="center" vertical="center"/>
    </xf>
    <xf numFmtId="3" fontId="4" fillId="6" borderId="7" xfId="0" applyNumberFormat="1" applyFont="1" applyFill="1" applyBorder="1" applyAlignment="1">
      <alignment vertical="center"/>
    </xf>
    <xf numFmtId="3" fontId="3" fillId="2" borderId="7" xfId="0" applyNumberFormat="1" applyFont="1" applyFill="1" applyBorder="1" applyAlignment="1">
      <alignment vertical="center"/>
    </xf>
    <xf numFmtId="0" fontId="11" fillId="0" borderId="0" xfId="0" applyFont="1" applyAlignment="1">
      <alignment vertical="center"/>
    </xf>
    <xf numFmtId="0" fontId="12" fillId="2" borderId="0" xfId="0" applyFont="1" applyFill="1" applyAlignment="1">
      <alignment horizontal="center" vertical="center"/>
    </xf>
    <xf numFmtId="37" fontId="4" fillId="2" borderId="0" xfId="0" applyNumberFormat="1" applyFont="1" applyFill="1" applyAlignment="1">
      <alignment horizontal="right" vertical="center"/>
    </xf>
    <xf numFmtId="3" fontId="4" fillId="2" borderId="0" xfId="0" applyNumberFormat="1" applyFont="1" applyFill="1" applyAlignment="1">
      <alignment vertical="center"/>
    </xf>
    <xf numFmtId="3" fontId="4" fillId="0" borderId="0" xfId="0" applyNumberFormat="1" applyFont="1" applyAlignment="1" applyProtection="1">
      <alignment vertical="center"/>
      <protection locked="0"/>
    </xf>
    <xf numFmtId="3" fontId="4" fillId="0" borderId="0" xfId="0" applyNumberFormat="1" applyFont="1" applyAlignment="1">
      <alignment vertical="center"/>
    </xf>
    <xf numFmtId="164" fontId="4" fillId="2" borderId="0" xfId="0" applyNumberFormat="1" applyFont="1" applyFill="1" applyAlignment="1">
      <alignment vertical="center"/>
    </xf>
    <xf numFmtId="37" fontId="4" fillId="2" borderId="0" xfId="0" quotePrefix="1" applyNumberFormat="1" applyFont="1" applyFill="1" applyAlignment="1">
      <alignment horizontal="right" vertical="center"/>
    </xf>
    <xf numFmtId="3" fontId="4" fillId="2" borderId="7" xfId="0" applyNumberFormat="1" applyFont="1" applyFill="1" applyBorder="1" applyAlignment="1">
      <alignment horizontal="right" vertical="center"/>
    </xf>
    <xf numFmtId="37" fontId="4" fillId="2" borderId="8" xfId="0" applyNumberFormat="1" applyFont="1" applyFill="1" applyBorder="1" applyAlignment="1">
      <alignment horizontal="left" vertical="center"/>
    </xf>
    <xf numFmtId="37" fontId="4" fillId="2" borderId="0" xfId="0" applyNumberFormat="1" applyFont="1" applyFill="1" applyAlignment="1">
      <alignment horizontal="fill" vertical="center"/>
    </xf>
    <xf numFmtId="3" fontId="11" fillId="7" borderId="7" xfId="0" applyNumberFormat="1" applyFont="1" applyFill="1" applyBorder="1" applyAlignment="1">
      <alignment horizontal="center" vertical="center"/>
    </xf>
    <xf numFmtId="37" fontId="3" fillId="2" borderId="0" xfId="0" applyNumberFormat="1" applyFont="1" applyFill="1" applyAlignment="1">
      <alignment horizontal="left" vertical="center"/>
    </xf>
    <xf numFmtId="1" fontId="4" fillId="2" borderId="2" xfId="0" applyNumberFormat="1" applyFont="1" applyFill="1" applyBorder="1" applyAlignment="1">
      <alignment horizontal="center" vertical="center"/>
    </xf>
    <xf numFmtId="1" fontId="4" fillId="2" borderId="0" xfId="0" applyNumberFormat="1" applyFont="1" applyFill="1" applyAlignment="1">
      <alignment horizontal="center" vertical="center"/>
    </xf>
    <xf numFmtId="37" fontId="4" fillId="2" borderId="1" xfId="0" applyNumberFormat="1" applyFont="1" applyFill="1" applyBorder="1" applyAlignment="1">
      <alignment horizontal="left" vertical="center"/>
    </xf>
    <xf numFmtId="37" fontId="4" fillId="2" borderId="7" xfId="0" applyNumberFormat="1" applyFont="1" applyFill="1" applyBorder="1" applyAlignment="1">
      <alignment horizontal="left" vertical="center"/>
    </xf>
    <xf numFmtId="0" fontId="4" fillId="2" borderId="7" xfId="0" applyFont="1" applyFill="1" applyBorder="1" applyAlignment="1">
      <alignment vertical="center"/>
    </xf>
    <xf numFmtId="37" fontId="4" fillId="2" borderId="7" xfId="0" applyNumberFormat="1" applyFont="1" applyFill="1" applyBorder="1" applyAlignment="1" applyProtection="1">
      <alignment horizontal="left" vertical="center"/>
      <protection locked="0"/>
    </xf>
    <xf numFmtId="37" fontId="4" fillId="3" borderId="7" xfId="0" applyNumberFormat="1" applyFont="1" applyFill="1" applyBorder="1" applyAlignment="1" applyProtection="1">
      <alignment horizontal="left" vertical="center"/>
      <protection locked="0"/>
    </xf>
    <xf numFmtId="37" fontId="3" fillId="2" borderId="7" xfId="0" applyNumberFormat="1" applyFont="1" applyFill="1" applyBorder="1" applyAlignment="1">
      <alignment horizontal="left" vertical="center"/>
    </xf>
    <xf numFmtId="37" fontId="4" fillId="2" borderId="1" xfId="0" applyNumberFormat="1" applyFont="1" applyFill="1" applyBorder="1" applyAlignment="1">
      <alignment vertical="center"/>
    </xf>
    <xf numFmtId="0" fontId="4" fillId="0" borderId="0" xfId="0" applyFont="1" applyAlignment="1">
      <alignment vertical="center"/>
    </xf>
    <xf numFmtId="1" fontId="4" fillId="2" borderId="0" xfId="0" applyNumberFormat="1" applyFont="1" applyFill="1" applyAlignment="1">
      <alignment horizontal="right" vertical="center"/>
    </xf>
    <xf numFmtId="0" fontId="4" fillId="2" borderId="5" xfId="0" applyFont="1" applyFill="1" applyBorder="1" applyAlignment="1">
      <alignment horizontal="left" vertical="center"/>
    </xf>
    <xf numFmtId="0" fontId="4" fillId="2" borderId="8" xfId="0" applyFont="1" applyFill="1" applyBorder="1" applyAlignment="1">
      <alignment horizontal="left" vertical="center"/>
    </xf>
    <xf numFmtId="37" fontId="4" fillId="2" borderId="7" xfId="0" applyNumberFormat="1" applyFont="1" applyFill="1" applyBorder="1" applyAlignment="1">
      <alignment vertical="center"/>
    </xf>
    <xf numFmtId="0" fontId="4" fillId="3" borderId="5" xfId="0" applyFont="1" applyFill="1" applyBorder="1" applyAlignment="1" applyProtection="1">
      <alignment horizontal="left" vertical="center"/>
      <protection locked="0"/>
    </xf>
    <xf numFmtId="0" fontId="17" fillId="2" borderId="0" xfId="0" applyFont="1" applyFill="1" applyAlignment="1">
      <alignment horizontal="center" vertical="center"/>
    </xf>
    <xf numFmtId="0" fontId="18" fillId="2" borderId="2" xfId="0" applyFont="1" applyFill="1" applyBorder="1" applyAlignment="1">
      <alignment vertical="center"/>
    </xf>
    <xf numFmtId="0" fontId="18" fillId="2" borderId="6" xfId="0" applyFont="1" applyFill="1" applyBorder="1" applyAlignment="1">
      <alignment horizontal="center" vertical="center"/>
    </xf>
    <xf numFmtId="0" fontId="18" fillId="2" borderId="9" xfId="0" applyFont="1" applyFill="1" applyBorder="1" applyAlignment="1">
      <alignment vertical="center"/>
    </xf>
    <xf numFmtId="0" fontId="18"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18" fillId="2" borderId="8" xfId="0" applyFont="1" applyFill="1" applyBorder="1" applyAlignment="1">
      <alignment vertical="center"/>
    </xf>
    <xf numFmtId="3" fontId="18" fillId="4" borderId="7" xfId="0" applyNumberFormat="1" applyFont="1" applyFill="1" applyBorder="1" applyAlignment="1" applyProtection="1">
      <alignment horizontal="center" vertical="center"/>
      <protection locked="0"/>
    </xf>
    <xf numFmtId="0" fontId="18" fillId="2" borderId="1" xfId="0" applyFont="1" applyFill="1" applyBorder="1" applyAlignment="1">
      <alignment vertical="center"/>
    </xf>
    <xf numFmtId="3" fontId="18" fillId="6" borderId="7" xfId="0" applyNumberFormat="1" applyFont="1" applyFill="1" applyBorder="1" applyAlignment="1">
      <alignment horizontal="center" vertical="center"/>
    </xf>
    <xf numFmtId="0" fontId="18" fillId="2" borderId="0" xfId="0" applyFont="1" applyFill="1" applyAlignment="1">
      <alignment vertical="center"/>
    </xf>
    <xf numFmtId="3" fontId="18" fillId="2" borderId="0" xfId="0" applyNumberFormat="1" applyFont="1" applyFill="1" applyAlignment="1">
      <alignment horizontal="center" vertical="center"/>
    </xf>
    <xf numFmtId="0" fontId="18" fillId="2" borderId="0" xfId="0" applyFont="1" applyFill="1" applyAlignment="1">
      <alignment horizontal="center" vertical="center"/>
    </xf>
    <xf numFmtId="0" fontId="18" fillId="4" borderId="7" xfId="0" applyFont="1" applyFill="1" applyBorder="1" applyAlignment="1" applyProtection="1">
      <alignment vertical="center"/>
      <protection locked="0"/>
    </xf>
    <xf numFmtId="0" fontId="18" fillId="4" borderId="9" xfId="0" applyFont="1" applyFill="1" applyBorder="1" applyAlignment="1" applyProtection="1">
      <alignment vertical="center"/>
      <protection locked="0"/>
    </xf>
    <xf numFmtId="3" fontId="18" fillId="4" borderId="9" xfId="0" applyNumberFormat="1" applyFont="1" applyFill="1" applyBorder="1" applyAlignment="1" applyProtection="1">
      <alignment horizontal="center" vertical="center"/>
      <protection locked="0"/>
    </xf>
    <xf numFmtId="0" fontId="18" fillId="4" borderId="0" xfId="0" applyFont="1" applyFill="1" applyAlignment="1" applyProtection="1">
      <alignment vertical="center"/>
      <protection locked="0"/>
    </xf>
    <xf numFmtId="3" fontId="18" fillId="4" borderId="3" xfId="0" applyNumberFormat="1" applyFont="1" applyFill="1" applyBorder="1" applyAlignment="1" applyProtection="1">
      <alignment horizontal="center" vertical="center"/>
      <protection locked="0"/>
    </xf>
    <xf numFmtId="3" fontId="18" fillId="4" borderId="6" xfId="0" applyNumberFormat="1" applyFont="1" applyFill="1" applyBorder="1" applyAlignment="1" applyProtection="1">
      <alignment horizontal="center" vertical="center"/>
      <protection locked="0"/>
    </xf>
    <xf numFmtId="0" fontId="18" fillId="4" borderId="6" xfId="0" applyFont="1" applyFill="1" applyBorder="1" applyAlignment="1" applyProtection="1">
      <alignment vertical="center"/>
      <protection locked="0"/>
    </xf>
    <xf numFmtId="0" fontId="18" fillId="4" borderId="4" xfId="0" applyFont="1" applyFill="1" applyBorder="1" applyAlignment="1" applyProtection="1">
      <alignment vertical="center"/>
      <protection locked="0"/>
    </xf>
    <xf numFmtId="3" fontId="18" fillId="4" borderId="10" xfId="0" applyNumberFormat="1" applyFont="1" applyFill="1" applyBorder="1" applyAlignment="1" applyProtection="1">
      <alignment horizontal="center" vertical="center"/>
      <protection locked="0"/>
    </xf>
    <xf numFmtId="0" fontId="18" fillId="4" borderId="10" xfId="0" applyFont="1" applyFill="1" applyBorder="1" applyAlignment="1" applyProtection="1">
      <alignment vertical="center"/>
      <protection locked="0"/>
    </xf>
    <xf numFmtId="3" fontId="18" fillId="6" borderId="4" xfId="0" applyNumberFormat="1" applyFont="1" applyFill="1" applyBorder="1" applyAlignment="1">
      <alignment horizontal="center" vertical="center"/>
    </xf>
    <xf numFmtId="3" fontId="18" fillId="5" borderId="7" xfId="0" applyNumberFormat="1" applyFont="1" applyFill="1" applyBorder="1" applyAlignment="1">
      <alignment horizontal="center" vertical="center"/>
    </xf>
    <xf numFmtId="3" fontId="22" fillId="5" borderId="0" xfId="0" applyNumberFormat="1" applyFont="1" applyFill="1" applyAlignment="1">
      <alignment horizontal="center" vertical="center"/>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Alignment="1" applyProtection="1">
      <alignment vertical="center"/>
      <protection locked="0"/>
    </xf>
    <xf numFmtId="3" fontId="4" fillId="4" borderId="7" xfId="0" applyNumberFormat="1" applyFont="1" applyFill="1" applyBorder="1" applyAlignment="1" applyProtection="1">
      <alignment horizontal="center" vertical="center"/>
      <protection locked="0"/>
    </xf>
    <xf numFmtId="174" fontId="4" fillId="2" borderId="7"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3" fontId="4" fillId="4" borderId="2" xfId="0" applyNumberFormat="1" applyFont="1" applyFill="1" applyBorder="1" applyAlignment="1" applyProtection="1">
      <alignment horizontal="center" vertical="center"/>
      <protection locked="0"/>
    </xf>
    <xf numFmtId="3" fontId="4" fillId="2" borderId="11" xfId="0" applyNumberFormat="1" applyFont="1" applyFill="1" applyBorder="1" applyAlignment="1">
      <alignment horizontal="center" vertical="center"/>
    </xf>
    <xf numFmtId="174" fontId="4" fillId="2" borderId="1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174" fontId="4" fillId="2" borderId="1" xfId="0" applyNumberFormat="1" applyFont="1" applyFill="1" applyBorder="1" applyAlignment="1">
      <alignment horizontal="center" vertical="center"/>
    </xf>
    <xf numFmtId="174" fontId="4" fillId="2" borderId="0" xfId="0" applyNumberFormat="1" applyFont="1" applyFill="1" applyAlignment="1">
      <alignment horizontal="center" vertical="center"/>
    </xf>
    <xf numFmtId="0" fontId="0" fillId="2" borderId="0" xfId="0" applyFill="1" applyAlignment="1">
      <alignment vertical="center"/>
    </xf>
    <xf numFmtId="0" fontId="0" fillId="2" borderId="0" xfId="0" applyFill="1" applyAlignment="1">
      <alignment horizontal="center" vertical="center"/>
    </xf>
    <xf numFmtId="172" fontId="4" fillId="2" borderId="0" xfId="0" applyNumberFormat="1" applyFont="1" applyFill="1" applyAlignment="1">
      <alignment vertical="center"/>
    </xf>
    <xf numFmtId="37" fontId="3" fillId="2" borderId="0" xfId="0" applyNumberFormat="1" applyFont="1" applyFill="1" applyAlignment="1">
      <alignment horizontal="centerContinuous" vertical="center"/>
    </xf>
    <xf numFmtId="0" fontId="4" fillId="2" borderId="0" xfId="0" applyFont="1" applyFill="1" applyAlignment="1">
      <alignment horizontal="centerContinuous" vertical="center"/>
    </xf>
    <xf numFmtId="37" fontId="5" fillId="2" borderId="0" xfId="0" applyNumberFormat="1" applyFont="1" applyFill="1" applyAlignment="1">
      <alignment horizontal="center" vertical="center"/>
    </xf>
    <xf numFmtId="37" fontId="4" fillId="2" borderId="0" xfId="0" applyNumberFormat="1" applyFont="1" applyFill="1" applyAlignment="1">
      <alignment horizontal="centerContinuous" vertical="center"/>
    </xf>
    <xf numFmtId="0" fontId="3" fillId="2" borderId="0" xfId="0" applyFont="1" applyFill="1" applyAlignment="1">
      <alignment horizontal="centerContinuous" vertical="center"/>
    </xf>
    <xf numFmtId="1" fontId="4" fillId="2" borderId="5" xfId="0" applyNumberFormat="1" applyFont="1" applyFill="1" applyBorder="1" applyAlignment="1">
      <alignment horizontal="centerContinuous" vertical="center"/>
    </xf>
    <xf numFmtId="1" fontId="4" fillId="2" borderId="6" xfId="0" applyNumberFormat="1" applyFont="1" applyFill="1" applyBorder="1" applyAlignment="1">
      <alignment horizontal="centerContinuous" vertical="center"/>
    </xf>
    <xf numFmtId="0" fontId="4" fillId="2" borderId="6" xfId="0" applyFont="1" applyFill="1" applyBorder="1" applyAlignment="1">
      <alignment horizontal="centerContinuous" vertical="center"/>
    </xf>
    <xf numFmtId="37" fontId="4" fillId="2" borderId="5" xfId="0" applyNumberFormat="1" applyFont="1" applyFill="1" applyBorder="1" applyAlignment="1">
      <alignment horizontal="centerContinuous" vertical="center"/>
    </xf>
    <xf numFmtId="0" fontId="4" fillId="2" borderId="12" xfId="0" applyFont="1" applyFill="1" applyBorder="1" applyAlignment="1">
      <alignment horizontal="centerContinuous" vertical="center"/>
    </xf>
    <xf numFmtId="0" fontId="4" fillId="2" borderId="2" xfId="0" applyFont="1" applyFill="1" applyBorder="1" applyAlignment="1">
      <alignment vertical="center"/>
    </xf>
    <xf numFmtId="37" fontId="4" fillId="2" borderId="13" xfId="0" applyNumberFormat="1" applyFont="1" applyFill="1" applyBorder="1" applyAlignment="1">
      <alignment horizontal="center" vertical="center"/>
    </xf>
    <xf numFmtId="165" fontId="4" fillId="2" borderId="7" xfId="0" applyNumberFormat="1" applyFont="1" applyFill="1" applyBorder="1" applyAlignment="1">
      <alignment vertical="center"/>
    </xf>
    <xf numFmtId="37" fontId="4" fillId="6" borderId="7" xfId="0" applyNumberFormat="1" applyFont="1" applyFill="1" applyBorder="1" applyAlignment="1">
      <alignment vertical="center"/>
    </xf>
    <xf numFmtId="37" fontId="4" fillId="2" borderId="7" xfId="0" applyNumberFormat="1" applyFont="1" applyFill="1" applyBorder="1" applyAlignment="1">
      <alignment horizontal="fill" vertical="center"/>
    </xf>
    <xf numFmtId="1" fontId="4" fillId="2" borderId="1" xfId="0" applyNumberFormat="1" applyFont="1" applyFill="1" applyBorder="1" applyAlignment="1">
      <alignment horizontal="center" vertical="center"/>
    </xf>
    <xf numFmtId="37" fontId="4" fillId="2" borderId="7" xfId="0" applyNumberFormat="1" applyFont="1" applyFill="1" applyBorder="1" applyAlignment="1">
      <alignment horizontal="center" vertical="center"/>
    </xf>
    <xf numFmtId="37" fontId="4" fillId="6" borderId="11" xfId="0" applyNumberFormat="1" applyFont="1" applyFill="1" applyBorder="1" applyAlignment="1">
      <alignment horizontal="center" vertical="center"/>
    </xf>
    <xf numFmtId="0" fontId="21" fillId="0" borderId="0" xfId="0" applyFont="1" applyAlignment="1">
      <alignment horizontal="center" vertical="center"/>
    </xf>
    <xf numFmtId="0" fontId="3" fillId="0" borderId="0" xfId="0" applyFont="1" applyAlignment="1">
      <alignment vertical="center" wrapText="1"/>
    </xf>
    <xf numFmtId="37" fontId="4" fillId="2" borderId="0" xfId="512" applyNumberFormat="1" applyFont="1" applyFill="1" applyAlignment="1">
      <alignment vertical="center"/>
    </xf>
    <xf numFmtId="0" fontId="4" fillId="2" borderId="0" xfId="512" applyFont="1" applyFill="1" applyAlignment="1">
      <alignment vertical="center"/>
    </xf>
    <xf numFmtId="0" fontId="4" fillId="0" borderId="0" xfId="512" applyFont="1" applyAlignment="1" applyProtection="1">
      <alignment vertical="center"/>
      <protection locked="0"/>
    </xf>
    <xf numFmtId="0" fontId="3" fillId="2" borderId="0" xfId="513" applyFont="1" applyFill="1" applyAlignment="1">
      <alignment horizontal="centerContinuous" vertical="center"/>
    </xf>
    <xf numFmtId="0" fontId="4" fillId="2" borderId="0" xfId="512" applyFont="1" applyFill="1" applyAlignment="1">
      <alignment horizontal="centerContinuous"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Continuous" vertical="center"/>
    </xf>
    <xf numFmtId="0" fontId="4" fillId="2" borderId="9" xfId="0" applyFont="1" applyFill="1" applyBorder="1" applyAlignment="1">
      <alignment horizontal="centerContinuous"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Continuous" vertical="center"/>
    </xf>
    <xf numFmtId="0" fontId="4" fillId="2" borderId="3" xfId="0" applyFont="1" applyFill="1" applyBorder="1" applyAlignment="1">
      <alignment horizontal="centerContinuous" vertical="center"/>
    </xf>
    <xf numFmtId="0" fontId="4" fillId="2" borderId="4" xfId="0" applyFont="1" applyFill="1" applyBorder="1" applyAlignment="1">
      <alignment horizontal="center" vertical="center"/>
    </xf>
    <xf numFmtId="14" fontId="4" fillId="2" borderId="4" xfId="0" quotePrefix="1" applyNumberFormat="1" applyFont="1" applyFill="1" applyBorder="1" applyAlignment="1">
      <alignment horizontal="center" vertical="center"/>
    </xf>
    <xf numFmtId="0" fontId="4" fillId="2" borderId="7" xfId="0" applyFont="1" applyFill="1" applyBorder="1" applyAlignment="1">
      <alignment horizontal="left" vertical="center"/>
    </xf>
    <xf numFmtId="168" fontId="4" fillId="2" borderId="7" xfId="0" applyNumberFormat="1" applyFont="1" applyFill="1" applyBorder="1" applyAlignment="1">
      <alignment horizontal="left" vertical="center"/>
    </xf>
    <xf numFmtId="169" fontId="4" fillId="2" borderId="7" xfId="0" applyNumberFormat="1" applyFont="1" applyFill="1" applyBorder="1" applyAlignment="1">
      <alignment horizontal="left" vertical="center"/>
    </xf>
    <xf numFmtId="0" fontId="4" fillId="2" borderId="7" xfId="0" applyFont="1" applyFill="1" applyBorder="1" applyAlignment="1" applyProtection="1">
      <alignment horizontal="left" vertical="center"/>
      <protection locked="0"/>
    </xf>
    <xf numFmtId="0" fontId="4" fillId="3" borderId="7" xfId="0" applyFont="1" applyFill="1" applyBorder="1" applyAlignment="1" applyProtection="1">
      <alignment vertical="center"/>
      <protection locked="0"/>
    </xf>
    <xf numFmtId="168" fontId="4" fillId="3" borderId="7" xfId="0" applyNumberFormat="1" applyFont="1" applyFill="1" applyBorder="1" applyAlignment="1" applyProtection="1">
      <alignment vertical="center"/>
      <protection locked="0"/>
    </xf>
    <xf numFmtId="2" fontId="4" fillId="3" borderId="7" xfId="0" applyNumberFormat="1" applyFont="1" applyFill="1" applyBorder="1" applyAlignment="1" applyProtection="1">
      <alignment vertical="center"/>
      <protection locked="0"/>
    </xf>
    <xf numFmtId="37" fontId="4" fillId="3" borderId="7" xfId="0" applyNumberFormat="1" applyFont="1" applyFill="1" applyBorder="1" applyAlignment="1" applyProtection="1">
      <alignment vertical="center"/>
      <protection locked="0"/>
    </xf>
    <xf numFmtId="169" fontId="4" fillId="3" borderId="7" xfId="0" applyNumberFormat="1" applyFont="1" applyFill="1" applyBorder="1" applyAlignment="1" applyProtection="1">
      <alignment vertical="center"/>
      <protection locked="0"/>
    </xf>
    <xf numFmtId="168" fontId="4" fillId="2" borderId="7" xfId="0" applyNumberFormat="1" applyFont="1" applyFill="1" applyBorder="1" applyAlignment="1">
      <alignment vertical="center"/>
    </xf>
    <xf numFmtId="2" fontId="4" fillId="2" borderId="7" xfId="0" applyNumberFormat="1" applyFont="1" applyFill="1" applyBorder="1" applyAlignment="1">
      <alignment vertical="center"/>
    </xf>
    <xf numFmtId="169" fontId="4" fillId="2" borderId="7" xfId="0" applyNumberFormat="1" applyFont="1" applyFill="1" applyBorder="1" applyAlignment="1">
      <alignment vertical="center"/>
    </xf>
    <xf numFmtId="0" fontId="3" fillId="2" borderId="7" xfId="512" applyFont="1" applyFill="1" applyBorder="1" applyAlignment="1">
      <alignment horizontal="left" vertical="center"/>
    </xf>
    <xf numFmtId="0" fontId="3" fillId="2" borderId="15" xfId="512" applyFont="1" applyFill="1" applyBorder="1" applyAlignment="1">
      <alignment vertical="center"/>
    </xf>
    <xf numFmtId="37" fontId="3" fillId="6" borderId="7" xfId="512" applyNumberFormat="1" applyFont="1" applyFill="1" applyBorder="1" applyAlignment="1">
      <alignment vertical="center"/>
    </xf>
    <xf numFmtId="0" fontId="4" fillId="2" borderId="0" xfId="513" applyFont="1" applyFill="1" applyAlignment="1">
      <alignment horizontal="centerContinuous" vertical="center"/>
    </xf>
    <xf numFmtId="0" fontId="4" fillId="2" borderId="0" xfId="513" applyFont="1" applyFill="1" applyAlignment="1">
      <alignment vertical="center"/>
    </xf>
    <xf numFmtId="0" fontId="4" fillId="0" borderId="0" xfId="513" applyFont="1" applyAlignment="1">
      <alignment vertical="center"/>
    </xf>
    <xf numFmtId="0" fontId="4" fillId="2" borderId="1" xfId="0" applyFont="1" applyFill="1" applyBorder="1" applyAlignment="1">
      <alignment horizontal="fill" vertical="center"/>
    </xf>
    <xf numFmtId="0" fontId="4" fillId="2" borderId="0" xfId="0" applyFont="1" applyFill="1" applyAlignment="1">
      <alignment horizontal="fill" vertical="center"/>
    </xf>
    <xf numFmtId="0" fontId="4" fillId="2" borderId="16" xfId="513" applyFont="1" applyFill="1" applyBorder="1" applyAlignment="1">
      <alignment vertical="center"/>
    </xf>
    <xf numFmtId="0" fontId="4" fillId="2" borderId="13" xfId="0" applyFont="1" applyFill="1" applyBorder="1" applyAlignment="1">
      <alignment vertical="center"/>
    </xf>
    <xf numFmtId="0" fontId="6" fillId="2" borderId="4" xfId="0" applyFont="1" applyFill="1" applyBorder="1" applyAlignment="1">
      <alignment horizontal="center" vertical="center"/>
    </xf>
    <xf numFmtId="1" fontId="4" fillId="3" borderId="7" xfId="0" applyNumberFormat="1" applyFont="1" applyFill="1" applyBorder="1" applyAlignment="1" applyProtection="1">
      <alignment vertical="center"/>
      <protection locked="0"/>
    </xf>
    <xf numFmtId="3" fontId="3" fillId="2" borderId="15" xfId="512" applyNumberFormat="1" applyFont="1" applyFill="1" applyBorder="1" applyAlignment="1">
      <alignment vertical="center"/>
    </xf>
    <xf numFmtId="0" fontId="4" fillId="8" borderId="0" xfId="512" applyFont="1" applyFill="1" applyAlignment="1">
      <alignment vertical="center"/>
    </xf>
    <xf numFmtId="0" fontId="0" fillId="0" borderId="0" xfId="0" applyAlignment="1" applyProtection="1">
      <alignment vertical="center"/>
      <protection locked="0"/>
    </xf>
    <xf numFmtId="0" fontId="6" fillId="0" borderId="0" xfId="0" applyFont="1" applyAlignment="1">
      <alignment vertical="center"/>
    </xf>
    <xf numFmtId="0" fontId="10" fillId="0" borderId="0" xfId="0" applyFont="1" applyAlignment="1">
      <alignment vertical="center" wrapText="1"/>
    </xf>
    <xf numFmtId="0" fontId="23"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4" fillId="0" borderId="0" xfId="0" applyFont="1" applyAlignment="1" applyProtection="1">
      <alignment horizontal="center" vertical="center"/>
      <protection locked="0"/>
    </xf>
    <xf numFmtId="0" fontId="4" fillId="4" borderId="7" xfId="0" applyFont="1" applyFill="1" applyBorder="1" applyAlignment="1" applyProtection="1">
      <alignment vertical="center"/>
      <protection locked="0"/>
    </xf>
    <xf numFmtId="173" fontId="4" fillId="4" borderId="7" xfId="1" applyNumberFormat="1"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4" fillId="2" borderId="7" xfId="0" applyFont="1" applyFill="1" applyBorder="1" applyAlignment="1" applyProtection="1">
      <alignment horizontal="center" vertical="center"/>
      <protection locked="0"/>
    </xf>
    <xf numFmtId="3" fontId="4" fillId="7" borderId="7" xfId="0" applyNumberFormat="1" applyFont="1" applyFill="1" applyBorder="1" applyAlignment="1">
      <alignment vertical="center"/>
    </xf>
    <xf numFmtId="0" fontId="5" fillId="2" borderId="0" xfId="0" applyFont="1" applyFill="1" applyAlignment="1">
      <alignment horizontal="centerContinuous" vertical="center"/>
    </xf>
    <xf numFmtId="174" fontId="4" fillId="2" borderId="7" xfId="0" applyNumberFormat="1" applyFont="1" applyFill="1" applyBorder="1" applyAlignment="1">
      <alignment vertical="center"/>
    </xf>
    <xf numFmtId="0" fontId="4" fillId="2" borderId="7" xfId="0" applyFont="1" applyFill="1" applyBorder="1" applyAlignment="1">
      <alignment horizontal="right" vertical="center"/>
    </xf>
    <xf numFmtId="37" fontId="4" fillId="0" borderId="0" xfId="0" applyNumberFormat="1" applyFont="1" applyAlignment="1" applyProtection="1">
      <alignment horizontal="fill" vertical="center"/>
      <protection locked="0"/>
    </xf>
    <xf numFmtId="3" fontId="4" fillId="2" borderId="1" xfId="0" applyNumberFormat="1" applyFont="1" applyFill="1" applyBorder="1" applyAlignment="1">
      <alignment vertical="center"/>
    </xf>
    <xf numFmtId="0" fontId="4" fillId="2" borderId="15" xfId="0" applyFont="1" applyFill="1" applyBorder="1" applyAlignment="1">
      <alignment vertical="center"/>
    </xf>
    <xf numFmtId="37" fontId="4" fillId="2" borderId="2" xfId="0" applyNumberFormat="1" applyFont="1" applyFill="1" applyBorder="1" applyAlignment="1">
      <alignment horizontal="lef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37" fontId="5" fillId="2" borderId="8" xfId="0" applyNumberFormat="1" applyFont="1" applyFill="1" applyBorder="1" applyAlignment="1">
      <alignment horizontal="left" vertical="center"/>
    </xf>
    <xf numFmtId="0" fontId="4" fillId="2" borderId="3" xfId="0" applyFont="1" applyFill="1" applyBorder="1" applyAlignment="1">
      <alignment vertical="center"/>
    </xf>
    <xf numFmtId="37" fontId="4" fillId="6" borderId="7" xfId="0" applyNumberFormat="1" applyFont="1" applyFill="1" applyBorder="1" applyAlignment="1">
      <alignment horizontal="center" vertical="center"/>
    </xf>
    <xf numFmtId="164" fontId="4" fillId="2" borderId="7" xfId="0" applyNumberFormat="1" applyFont="1" applyFill="1" applyBorder="1" applyAlignment="1">
      <alignment horizontal="center" vertical="center"/>
    </xf>
    <xf numFmtId="37" fontId="4" fillId="2" borderId="5" xfId="0" applyNumberFormat="1" applyFont="1" applyFill="1" applyBorder="1" applyAlignment="1">
      <alignment vertical="center"/>
    </xf>
    <xf numFmtId="37" fontId="4" fillId="2" borderId="6"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xf>
    <xf numFmtId="37" fontId="4" fillId="2" borderId="8" xfId="0" applyNumberFormat="1" applyFont="1" applyFill="1" applyBorder="1" applyAlignment="1">
      <alignment vertical="center"/>
    </xf>
    <xf numFmtId="37" fontId="3" fillId="2" borderId="14" xfId="0" applyNumberFormat="1" applyFont="1" applyFill="1" applyBorder="1" applyAlignment="1">
      <alignment horizontal="left" vertical="center"/>
    </xf>
    <xf numFmtId="0" fontId="4" fillId="2" borderId="12" xfId="0" applyFont="1" applyFill="1" applyBorder="1" applyAlignment="1">
      <alignment vertical="center"/>
    </xf>
    <xf numFmtId="0" fontId="4" fillId="2" borderId="0" xfId="0" applyFont="1" applyFill="1" applyAlignment="1">
      <alignment horizontal="center" vertical="center" shrinkToFit="1"/>
    </xf>
    <xf numFmtId="0" fontId="4" fillId="4" borderId="1" xfId="0" applyFont="1" applyFill="1" applyBorder="1" applyAlignment="1" applyProtection="1">
      <alignment vertical="center"/>
      <protection locked="0"/>
    </xf>
    <xf numFmtId="0" fontId="4" fillId="4" borderId="12"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37" fontId="4" fillId="4" borderId="0" xfId="0" applyNumberFormat="1" applyFont="1" applyFill="1" applyAlignment="1" applyProtection="1">
      <alignment horizontal="left" vertical="center"/>
      <protection locked="0"/>
    </xf>
    <xf numFmtId="0" fontId="4" fillId="2" borderId="0" xfId="0" applyFont="1" applyFill="1" applyAlignment="1">
      <alignment horizontal="left" vertical="center"/>
    </xf>
    <xf numFmtId="37" fontId="4" fillId="2" borderId="0" xfId="0" applyNumberFormat="1" applyFont="1" applyFill="1" applyAlignment="1" applyProtection="1">
      <alignment vertical="center"/>
      <protection locked="0"/>
    </xf>
    <xf numFmtId="37" fontId="5" fillId="2" borderId="0" xfId="0" applyNumberFormat="1" applyFont="1" applyFill="1" applyAlignment="1">
      <alignment horizontal="left" vertical="center"/>
    </xf>
    <xf numFmtId="3" fontId="4" fillId="2" borderId="0" xfId="0" applyNumberFormat="1" applyFont="1" applyFill="1" applyAlignment="1" applyProtection="1">
      <alignment vertical="center"/>
      <protection locked="0"/>
    </xf>
    <xf numFmtId="172" fontId="4" fillId="6" borderId="7" xfId="0" applyNumberFormat="1" applyFont="1" applyFill="1" applyBorder="1" applyAlignment="1">
      <alignment vertical="center"/>
    </xf>
    <xf numFmtId="3" fontId="4" fillId="2" borderId="3" xfId="0" applyNumberFormat="1" applyFont="1" applyFill="1" applyBorder="1" applyAlignment="1">
      <alignment vertical="center"/>
    </xf>
    <xf numFmtId="37" fontId="4" fillId="2" borderId="12" xfId="0" applyNumberFormat="1" applyFont="1" applyFill="1" applyBorder="1" applyAlignment="1">
      <alignment horizontal="left" vertical="center"/>
    </xf>
    <xf numFmtId="37" fontId="4" fillId="8" borderId="0" xfId="0" applyNumberFormat="1" applyFont="1" applyFill="1" applyAlignment="1">
      <alignment horizontal="left" vertical="center"/>
    </xf>
    <xf numFmtId="0" fontId="4" fillId="8" borderId="0" xfId="0" applyFont="1" applyFill="1" applyAlignment="1">
      <alignment vertical="center"/>
    </xf>
    <xf numFmtId="171" fontId="4" fillId="8" borderId="0" xfId="0" applyNumberFormat="1" applyFont="1" applyFill="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6" fillId="2" borderId="0" xfId="0" applyFont="1" applyFill="1" applyAlignment="1">
      <alignment vertical="center"/>
    </xf>
    <xf numFmtId="37" fontId="13" fillId="2" borderId="0" xfId="0" applyNumberFormat="1" applyFont="1" applyFill="1" applyAlignment="1">
      <alignment horizontal="left" vertical="center"/>
    </xf>
    <xf numFmtId="0" fontId="3" fillId="4" borderId="7" xfId="0" applyFont="1" applyFill="1" applyBorder="1" applyAlignment="1" applyProtection="1">
      <alignment horizontal="center" vertical="center"/>
      <protection locked="0"/>
    </xf>
    <xf numFmtId="0" fontId="5" fillId="9" borderId="14" xfId="0" applyFont="1" applyFill="1" applyBorder="1" applyAlignment="1">
      <alignment horizontal="center" vertical="center"/>
    </xf>
    <xf numFmtId="0" fontId="5" fillId="9" borderId="2" xfId="0" applyFont="1" applyFill="1" applyBorder="1" applyAlignment="1">
      <alignment horizontal="center" vertical="center"/>
    </xf>
    <xf numFmtId="0" fontId="5" fillId="2" borderId="0" xfId="0" applyFont="1" applyFill="1" applyAlignment="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lignment horizontal="center" vertical="center"/>
    </xf>
    <xf numFmtId="0" fontId="4" fillId="2" borderId="1" xfId="0" applyFont="1" applyFill="1" applyBorder="1" applyAlignment="1">
      <alignment horizontal="left" vertical="center"/>
    </xf>
    <xf numFmtId="37" fontId="4" fillId="2" borderId="12" xfId="0" applyNumberFormat="1" applyFont="1" applyFill="1" applyBorder="1" applyAlignment="1">
      <alignment vertical="center"/>
    </xf>
    <xf numFmtId="0" fontId="4" fillId="2" borderId="1" xfId="0" applyFont="1" applyFill="1" applyBorder="1" applyAlignment="1" applyProtection="1">
      <alignment vertical="center"/>
      <protection locked="0"/>
    </xf>
    <xf numFmtId="165" fontId="4" fillId="3" borderId="4" xfId="0" applyNumberFormat="1" applyFont="1" applyFill="1" applyBorder="1" applyAlignment="1" applyProtection="1">
      <alignment vertical="center"/>
      <protection locked="0"/>
    </xf>
    <xf numFmtId="165" fontId="4" fillId="3" borderId="7" xfId="0" applyNumberFormat="1" applyFont="1" applyFill="1" applyBorder="1" applyAlignment="1" applyProtection="1">
      <alignment vertical="center"/>
      <protection locked="0"/>
    </xf>
    <xf numFmtId="165" fontId="4" fillId="2" borderId="1" xfId="0" applyNumberFormat="1" applyFont="1" applyFill="1" applyBorder="1" applyAlignment="1">
      <alignment vertical="center"/>
    </xf>
    <xf numFmtId="165" fontId="4" fillId="6" borderId="11" xfId="0" applyNumberFormat="1" applyFont="1" applyFill="1" applyBorder="1" applyAlignment="1">
      <alignment vertical="center"/>
    </xf>
    <xf numFmtId="0" fontId="4" fillId="10" borderId="12" xfId="0" applyFont="1" applyFill="1" applyBorder="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5" fillId="0" borderId="0" xfId="0" applyFont="1" applyAlignment="1">
      <alignment vertical="center"/>
    </xf>
    <xf numFmtId="0" fontId="4" fillId="0" borderId="0" xfId="402" applyFont="1" applyAlignment="1">
      <alignment vertical="center"/>
    </xf>
    <xf numFmtId="0" fontId="4" fillId="0" borderId="0" xfId="462" applyFont="1" applyAlignment="1">
      <alignment vertical="center"/>
    </xf>
    <xf numFmtId="0" fontId="15" fillId="0" borderId="0" xfId="0" applyFont="1"/>
    <xf numFmtId="0" fontId="2" fillId="0" borderId="0" xfId="0" applyFont="1"/>
    <xf numFmtId="0" fontId="27" fillId="0" borderId="0" xfId="0" applyFont="1" applyAlignment="1">
      <alignment horizontal="center"/>
    </xf>
    <xf numFmtId="0" fontId="1" fillId="0" borderId="0" xfId="477"/>
    <xf numFmtId="0" fontId="4" fillId="0" borderId="0" xfId="477" applyFont="1" applyAlignment="1">
      <alignment horizontal="left" vertical="center"/>
    </xf>
    <xf numFmtId="0" fontId="15" fillId="0" borderId="0" xfId="0" applyFont="1" applyAlignment="1">
      <alignment horizontal="center"/>
    </xf>
    <xf numFmtId="0" fontId="4" fillId="0" borderId="0" xfId="497" applyFont="1" applyAlignment="1">
      <alignment vertical="center"/>
    </xf>
    <xf numFmtId="0" fontId="5" fillId="0" borderId="0" xfId="92" applyFont="1" applyAlignment="1">
      <alignment vertical="center"/>
    </xf>
    <xf numFmtId="0" fontId="4" fillId="0" borderId="0" xfId="97" applyFont="1" applyAlignment="1">
      <alignment vertical="center"/>
    </xf>
    <xf numFmtId="0" fontId="4" fillId="2" borderId="0" xfId="0" applyFont="1" applyFill="1"/>
    <xf numFmtId="0" fontId="5" fillId="0" borderId="0" xfId="91" applyFont="1" applyAlignment="1">
      <alignment vertical="center"/>
    </xf>
    <xf numFmtId="0" fontId="38" fillId="2" borderId="0" xfId="0" applyFont="1" applyFill="1" applyAlignment="1" applyProtection="1">
      <alignment horizontal="right" vertical="center"/>
      <protection locked="0"/>
    </xf>
    <xf numFmtId="0" fontId="6" fillId="2" borderId="0" xfId="0" applyFont="1" applyFill="1" applyAlignment="1" applyProtection="1">
      <alignment horizontal="left" vertical="center"/>
      <protection locked="0"/>
    </xf>
    <xf numFmtId="14" fontId="4" fillId="3" borderId="7" xfId="0" applyNumberFormat="1" applyFont="1" applyFill="1" applyBorder="1" applyAlignment="1" applyProtection="1">
      <alignment vertical="center"/>
      <protection locked="0"/>
    </xf>
    <xf numFmtId="37" fontId="4" fillId="3" borderId="7" xfId="0" applyNumberFormat="1" applyFont="1" applyFill="1" applyBorder="1" applyAlignment="1" applyProtection="1">
      <alignment horizontal="left"/>
      <protection locked="0"/>
    </xf>
    <xf numFmtId="0" fontId="4" fillId="3" borderId="7" xfId="0" applyFont="1" applyFill="1" applyBorder="1" applyAlignment="1" applyProtection="1">
      <alignment horizontal="center"/>
      <protection locked="0"/>
    </xf>
    <xf numFmtId="3" fontId="3" fillId="2" borderId="5" xfId="0" applyNumberFormat="1" applyFont="1" applyFill="1" applyBorder="1" applyAlignment="1">
      <alignment vertical="center"/>
    </xf>
    <xf numFmtId="3" fontId="11" fillId="5" borderId="5" xfId="0" applyNumberFormat="1" applyFont="1" applyFill="1" applyBorder="1" applyAlignment="1" applyProtection="1">
      <alignment horizontal="center" vertical="center"/>
      <protection locked="0"/>
    </xf>
    <xf numFmtId="3" fontId="11" fillId="5" borderId="5" xfId="0" applyNumberFormat="1" applyFont="1" applyFill="1" applyBorder="1" applyAlignment="1">
      <alignment horizontal="center" vertical="center"/>
    </xf>
    <xf numFmtId="1" fontId="4" fillId="2" borderId="14" xfId="0" applyNumberFormat="1" applyFont="1" applyFill="1" applyBorder="1" applyAlignment="1">
      <alignment horizontal="center" vertical="center"/>
    </xf>
    <xf numFmtId="37" fontId="4" fillId="2" borderId="8" xfId="0" applyNumberFormat="1" applyFont="1" applyFill="1" applyBorder="1" applyAlignment="1">
      <alignment horizontal="center" vertical="center"/>
    </xf>
    <xf numFmtId="3" fontId="4" fillId="2" borderId="5" xfId="0" applyNumberFormat="1" applyFont="1" applyFill="1" applyBorder="1" applyAlignment="1">
      <alignment vertical="center"/>
    </xf>
    <xf numFmtId="37" fontId="4" fillId="2" borderId="14" xfId="0" applyNumberFormat="1" applyFont="1" applyFill="1" applyBorder="1" applyAlignment="1">
      <alignment horizontal="center" vertical="center"/>
    </xf>
    <xf numFmtId="3" fontId="11" fillId="7" borderId="5" xfId="0" applyNumberFormat="1" applyFont="1" applyFill="1" applyBorder="1" applyAlignment="1">
      <alignment horizontal="center" vertical="center"/>
    </xf>
    <xf numFmtId="49" fontId="4" fillId="3" borderId="7" xfId="0" applyNumberFormat="1" applyFont="1" applyFill="1" applyBorder="1" applyAlignment="1" applyProtection="1">
      <alignment horizontal="center" vertical="center"/>
      <protection locked="0"/>
    </xf>
    <xf numFmtId="0" fontId="10" fillId="0" borderId="0" xfId="0" applyFont="1" applyAlignment="1">
      <alignment wrapText="1"/>
    </xf>
    <xf numFmtId="37" fontId="3" fillId="2" borderId="0" xfId="0" applyNumberFormat="1" applyFont="1" applyFill="1" applyAlignment="1">
      <alignment vertical="center"/>
    </xf>
    <xf numFmtId="3" fontId="3" fillId="2" borderId="7" xfId="0" applyNumberFormat="1" applyFont="1" applyFill="1" applyBorder="1" applyAlignment="1">
      <alignment horizontal="center" vertical="center"/>
    </xf>
    <xf numFmtId="1" fontId="3" fillId="2" borderId="7" xfId="0" applyNumberFormat="1" applyFont="1" applyFill="1" applyBorder="1" applyAlignment="1">
      <alignment horizontal="center" vertical="center"/>
    </xf>
    <xf numFmtId="0" fontId="4" fillId="0" borderId="0" xfId="0" applyFont="1"/>
    <xf numFmtId="0" fontId="30" fillId="0" borderId="0" xfId="15" applyFont="1" applyAlignment="1" applyProtection="1"/>
    <xf numFmtId="37" fontId="3" fillId="2" borderId="1" xfId="0" applyNumberFormat="1" applyFont="1" applyFill="1" applyBorder="1" applyAlignment="1">
      <alignment vertical="center"/>
    </xf>
    <xf numFmtId="0" fontId="31" fillId="0" borderId="0" xfId="0" applyFont="1" applyAlignment="1">
      <alignment vertical="center"/>
    </xf>
    <xf numFmtId="0" fontId="4" fillId="2" borderId="16" xfId="0" applyFont="1" applyFill="1" applyBorder="1" applyAlignment="1">
      <alignment vertical="center"/>
    </xf>
    <xf numFmtId="176" fontId="7" fillId="2" borderId="16" xfId="0" applyNumberFormat="1" applyFont="1" applyFill="1" applyBorder="1" applyAlignment="1">
      <alignment horizontal="center" vertical="center"/>
    </xf>
    <xf numFmtId="0" fontId="7" fillId="2" borderId="0" xfId="0" applyFont="1" applyFill="1" applyAlignment="1">
      <alignment horizontal="left" vertical="center"/>
    </xf>
    <xf numFmtId="0" fontId="7" fillId="2" borderId="10" xfId="0" applyFont="1" applyFill="1" applyBorder="1" applyAlignment="1">
      <alignment vertical="center"/>
    </xf>
    <xf numFmtId="0" fontId="7" fillId="2" borderId="0" xfId="0" applyFont="1" applyFill="1" applyAlignment="1">
      <alignment vertical="center"/>
    </xf>
    <xf numFmtId="176" fontId="7" fillId="2" borderId="8" xfId="0" applyNumberFormat="1" applyFont="1" applyFill="1" applyBorder="1" applyAlignment="1">
      <alignment horizontal="center" vertical="center"/>
    </xf>
    <xf numFmtId="176" fontId="7" fillId="2" borderId="16" xfId="0" applyNumberFormat="1" applyFont="1" applyFill="1" applyBorder="1" applyAlignment="1">
      <alignment vertical="center"/>
    </xf>
    <xf numFmtId="176" fontId="33" fillId="5" borderId="8" xfId="0" applyNumberFormat="1" applyFont="1" applyFill="1" applyBorder="1" applyAlignment="1">
      <alignment horizontal="center" vertical="center"/>
    </xf>
    <xf numFmtId="0" fontId="33" fillId="5" borderId="1" xfId="0" applyFont="1" applyFill="1" applyBorder="1" applyAlignment="1">
      <alignment vertical="center"/>
    </xf>
    <xf numFmtId="0" fontId="7" fillId="5" borderId="3" xfId="0" applyFont="1" applyFill="1" applyBorder="1" applyAlignment="1">
      <alignment vertical="center"/>
    </xf>
    <xf numFmtId="0" fontId="4" fillId="5" borderId="3" xfId="0" applyFont="1" applyFill="1" applyBorder="1" applyAlignment="1">
      <alignment vertical="center"/>
    </xf>
    <xf numFmtId="0" fontId="7" fillId="2" borderId="16" xfId="0" applyFont="1" applyFill="1" applyBorder="1" applyAlignment="1">
      <alignment vertical="center"/>
    </xf>
    <xf numFmtId="176" fontId="7" fillId="2" borderId="10" xfId="0" applyNumberFormat="1" applyFont="1" applyFill="1" applyBorder="1" applyAlignment="1">
      <alignment horizontal="center" vertical="center"/>
    </xf>
    <xf numFmtId="0" fontId="7" fillId="2" borderId="16" xfId="0" applyFont="1" applyFill="1" applyBorder="1" applyAlignment="1">
      <alignment horizontal="left" vertical="center"/>
    </xf>
    <xf numFmtId="176" fontId="7" fillId="4" borderId="7" xfId="0" applyNumberFormat="1" applyFont="1" applyFill="1" applyBorder="1" applyAlignment="1" applyProtection="1">
      <alignment horizontal="center" vertical="center"/>
      <protection locked="0"/>
    </xf>
    <xf numFmtId="0" fontId="4" fillId="5" borderId="1" xfId="0" applyFont="1" applyFill="1" applyBorder="1" applyAlignment="1">
      <alignment vertical="center"/>
    </xf>
    <xf numFmtId="0" fontId="7" fillId="2" borderId="16" xfId="0" applyFont="1" applyFill="1" applyBorder="1"/>
    <xf numFmtId="176" fontId="4" fillId="2" borderId="10" xfId="0" applyNumberFormat="1" applyFont="1" applyFill="1" applyBorder="1" applyAlignment="1">
      <alignment horizontal="center"/>
    </xf>
    <xf numFmtId="0" fontId="4" fillId="2" borderId="8" xfId="0" applyFont="1" applyFill="1" applyBorder="1"/>
    <xf numFmtId="0" fontId="4" fillId="2" borderId="1" xfId="0" applyFont="1" applyFill="1" applyBorder="1"/>
    <xf numFmtId="176" fontId="4" fillId="5" borderId="3" xfId="0" applyNumberFormat="1" applyFont="1" applyFill="1" applyBorder="1" applyAlignment="1">
      <alignment horizontal="center"/>
    </xf>
    <xf numFmtId="0" fontId="4" fillId="2" borderId="16" xfId="0" applyFont="1" applyFill="1" applyBorder="1"/>
    <xf numFmtId="0" fontId="4" fillId="2" borderId="10" xfId="0" applyFont="1" applyFill="1" applyBorder="1"/>
    <xf numFmtId="172" fontId="4" fillId="2" borderId="10" xfId="0" applyNumberFormat="1" applyFont="1" applyFill="1" applyBorder="1" applyAlignment="1">
      <alignment horizontal="center"/>
    </xf>
    <xf numFmtId="0" fontId="4" fillId="5" borderId="16" xfId="0" applyFont="1" applyFill="1" applyBorder="1"/>
    <xf numFmtId="0" fontId="4" fillId="5" borderId="0" xfId="0" applyFont="1" applyFill="1"/>
    <xf numFmtId="0" fontId="4" fillId="5" borderId="8" xfId="0" applyFont="1" applyFill="1" applyBorder="1"/>
    <xf numFmtId="0" fontId="4" fillId="5" borderId="1" xfId="0" applyFont="1" applyFill="1" applyBorder="1"/>
    <xf numFmtId="176" fontId="4" fillId="2" borderId="3" xfId="0" applyNumberFormat="1" applyFont="1" applyFill="1" applyBorder="1" applyAlignment="1">
      <alignment horizontal="center"/>
    </xf>
    <xf numFmtId="174" fontId="4" fillId="4" borderId="10" xfId="0" applyNumberFormat="1" applyFont="1" applyFill="1" applyBorder="1" applyAlignment="1" applyProtection="1">
      <alignment horizontal="center"/>
      <protection locked="0"/>
    </xf>
    <xf numFmtId="176" fontId="4" fillId="5" borderId="10" xfId="0" applyNumberFormat="1" applyFont="1" applyFill="1" applyBorder="1" applyAlignment="1">
      <alignment horizontal="center"/>
    </xf>
    <xf numFmtId="0" fontId="4" fillId="5" borderId="8" xfId="0" applyFont="1" applyFill="1" applyBorder="1" applyAlignment="1">
      <alignment vertical="center"/>
    </xf>
    <xf numFmtId="176" fontId="4" fillId="5" borderId="3" xfId="0" applyNumberFormat="1" applyFont="1" applyFill="1" applyBorder="1" applyAlignment="1">
      <alignment horizontal="center" vertical="center"/>
    </xf>
    <xf numFmtId="37" fontId="4" fillId="2" borderId="4" xfId="0" applyNumberFormat="1" applyFont="1" applyFill="1" applyBorder="1" applyAlignment="1">
      <alignment horizontal="fill" vertical="center"/>
    </xf>
    <xf numFmtId="37" fontId="4" fillId="2" borderId="13" xfId="28" applyNumberFormat="1" applyFont="1" applyFill="1" applyBorder="1" applyAlignment="1">
      <alignment horizontal="center" vertical="center"/>
    </xf>
    <xf numFmtId="37" fontId="4" fillId="2" borderId="4" xfId="28" applyNumberFormat="1" applyFont="1" applyFill="1" applyBorder="1" applyAlignment="1">
      <alignment horizontal="center" vertical="center"/>
    </xf>
    <xf numFmtId="172" fontId="4" fillId="2" borderId="7" xfId="0" applyNumberFormat="1" applyFont="1" applyFill="1" applyBorder="1" applyAlignment="1">
      <alignment vertical="center"/>
    </xf>
    <xf numFmtId="3" fontId="4" fillId="6" borderId="11" xfId="0" applyNumberFormat="1" applyFont="1" applyFill="1" applyBorder="1" applyAlignment="1">
      <alignment vertical="center"/>
    </xf>
    <xf numFmtId="3" fontId="4" fillId="2" borderId="4" xfId="0" applyNumberFormat="1" applyFont="1" applyFill="1" applyBorder="1" applyAlignment="1">
      <alignment vertical="center"/>
    </xf>
    <xf numFmtId="37" fontId="4" fillId="2" borderId="0" xfId="0" applyNumberFormat="1" applyFont="1" applyFill="1" applyAlignment="1" applyProtection="1">
      <alignment horizontal="left" vertical="center"/>
      <protection locked="0"/>
    </xf>
    <xf numFmtId="0" fontId="3" fillId="2" borderId="0" xfId="28" applyFont="1" applyFill="1" applyAlignment="1">
      <alignment vertical="center"/>
    </xf>
    <xf numFmtId="0" fontId="4" fillId="0" borderId="0" xfId="56" applyFont="1" applyAlignment="1">
      <alignment vertical="center" wrapText="1"/>
    </xf>
    <xf numFmtId="0" fontId="4" fillId="0" borderId="0" xfId="56" applyFont="1" applyAlignment="1">
      <alignment vertical="center"/>
    </xf>
    <xf numFmtId="0" fontId="4" fillId="2" borderId="0" xfId="36" applyFont="1" applyFill="1"/>
    <xf numFmtId="0" fontId="2" fillId="0" borderId="0" xfId="36"/>
    <xf numFmtId="0" fontId="4" fillId="2" borderId="0" xfId="36" applyFont="1" applyFill="1" applyAlignment="1">
      <alignment vertical="center"/>
    </xf>
    <xf numFmtId="37" fontId="4" fillId="2" borderId="0" xfId="36" applyNumberFormat="1" applyFont="1" applyFill="1" applyAlignment="1">
      <alignment vertical="center"/>
    </xf>
    <xf numFmtId="0" fontId="4" fillId="2" borderId="1" xfId="36" applyFont="1" applyFill="1" applyBorder="1" applyAlignment="1">
      <alignment vertical="center"/>
    </xf>
    <xf numFmtId="0" fontId="4" fillId="2" borderId="0" xfId="36" applyFont="1" applyFill="1" applyAlignment="1">
      <alignment horizontal="center" vertical="center"/>
    </xf>
    <xf numFmtId="0" fontId="5" fillId="2" borderId="0" xfId="36" applyFont="1" applyFill="1" applyAlignment="1">
      <alignment horizontal="center" vertical="center"/>
    </xf>
    <xf numFmtId="176" fontId="4" fillId="2" borderId="0" xfId="36" applyNumberFormat="1" applyFont="1" applyFill="1" applyAlignment="1">
      <alignment vertical="center"/>
    </xf>
    <xf numFmtId="176" fontId="4" fillId="2" borderId="15" xfId="36" applyNumberFormat="1" applyFont="1" applyFill="1" applyBorder="1" applyAlignment="1">
      <alignment vertical="center"/>
    </xf>
    <xf numFmtId="6" fontId="4" fillId="2" borderId="0" xfId="36" applyNumberFormat="1" applyFont="1" applyFill="1" applyAlignment="1">
      <alignment vertical="center"/>
    </xf>
    <xf numFmtId="174" fontId="4" fillId="2" borderId="0" xfId="36" applyNumberFormat="1" applyFont="1" applyFill="1" applyAlignment="1">
      <alignment horizontal="center" vertical="center"/>
    </xf>
    <xf numFmtId="0" fontId="4" fillId="2" borderId="0" xfId="36" applyFont="1" applyFill="1" applyAlignment="1">
      <alignment horizontal="right" vertical="center"/>
    </xf>
    <xf numFmtId="0" fontId="4" fillId="2" borderId="0" xfId="36" applyFont="1" applyFill="1" applyAlignment="1">
      <alignment horizontal="left" vertical="center"/>
    </xf>
    <xf numFmtId="0" fontId="4" fillId="2" borderId="0" xfId="31" applyFont="1" applyFill="1"/>
    <xf numFmtId="0" fontId="2" fillId="2" borderId="0" xfId="36" applyFill="1"/>
    <xf numFmtId="0" fontId="3" fillId="2" borderId="0" xfId="31" applyFont="1" applyFill="1"/>
    <xf numFmtId="0" fontId="2" fillId="2" borderId="0" xfId="31" applyFill="1"/>
    <xf numFmtId="0" fontId="26" fillId="0" borderId="0" xfId="15" applyAlignment="1" applyProtection="1"/>
    <xf numFmtId="0" fontId="4" fillId="5" borderId="0" xfId="0" applyFont="1" applyFill="1" applyAlignment="1">
      <alignment vertical="center"/>
    </xf>
    <xf numFmtId="37" fontId="4" fillId="2" borderId="0" xfId="28" applyNumberFormat="1" applyFont="1" applyFill="1" applyAlignment="1">
      <alignment vertical="center"/>
    </xf>
    <xf numFmtId="0" fontId="4" fillId="2" borderId="0" xfId="28" applyFont="1" applyFill="1" applyAlignment="1">
      <alignment vertical="center"/>
    </xf>
    <xf numFmtId="1" fontId="4" fillId="2" borderId="0" xfId="28" applyNumberFormat="1" applyFont="1" applyFill="1" applyAlignment="1">
      <alignment horizontal="right" vertical="center"/>
    </xf>
    <xf numFmtId="0" fontId="4" fillId="0" borderId="0" xfId="28" applyFont="1" applyProtection="1">
      <protection locked="0"/>
    </xf>
    <xf numFmtId="37" fontId="4" fillId="2" borderId="0" xfId="28" applyNumberFormat="1" applyFont="1" applyFill="1" applyAlignment="1">
      <alignment horizontal="right" vertical="center"/>
    </xf>
    <xf numFmtId="37" fontId="4" fillId="2" borderId="0" xfId="28" applyNumberFormat="1" applyFont="1" applyFill="1" applyAlignment="1">
      <alignment horizontal="fill" vertical="center"/>
    </xf>
    <xf numFmtId="37" fontId="4" fillId="2" borderId="0" xfId="28" quotePrefix="1" applyNumberFormat="1" applyFont="1" applyFill="1" applyAlignment="1">
      <alignment horizontal="right" vertical="center"/>
    </xf>
    <xf numFmtId="37" fontId="4" fillId="2" borderId="0" xfId="28" applyNumberFormat="1" applyFont="1" applyFill="1" applyAlignment="1">
      <alignment horizontal="left" vertical="center"/>
    </xf>
    <xf numFmtId="1" fontId="4" fillId="2" borderId="2" xfId="28" applyNumberFormat="1" applyFont="1" applyFill="1" applyBorder="1" applyAlignment="1">
      <alignment horizontal="center" vertical="center"/>
    </xf>
    <xf numFmtId="37" fontId="4" fillId="2" borderId="14" xfId="28" applyNumberFormat="1" applyFont="1" applyFill="1" applyBorder="1" applyAlignment="1">
      <alignment horizontal="center" vertical="center"/>
    </xf>
    <xf numFmtId="37" fontId="4" fillId="2" borderId="2" xfId="28" applyNumberFormat="1" applyFont="1" applyFill="1" applyBorder="1" applyAlignment="1">
      <alignment horizontal="center" vertical="center"/>
    </xf>
    <xf numFmtId="37" fontId="3" fillId="2" borderId="1" xfId="28" applyNumberFormat="1" applyFont="1" applyFill="1" applyBorder="1" applyAlignment="1">
      <alignment vertical="center"/>
    </xf>
    <xf numFmtId="0" fontId="4" fillId="2" borderId="4" xfId="28" applyFont="1" applyFill="1" applyBorder="1" applyAlignment="1">
      <alignment horizontal="center" vertical="center"/>
    </xf>
    <xf numFmtId="0" fontId="4" fillId="2" borderId="8" xfId="28" applyFont="1" applyFill="1" applyBorder="1" applyAlignment="1">
      <alignment horizontal="center" vertical="center"/>
    </xf>
    <xf numFmtId="1" fontId="4" fillId="2" borderId="4" xfId="28" applyNumberFormat="1" applyFont="1" applyFill="1" applyBorder="1" applyAlignment="1">
      <alignment horizontal="center" vertical="center"/>
    </xf>
    <xf numFmtId="37" fontId="4" fillId="2" borderId="5" xfId="28" applyNumberFormat="1" applyFont="1" applyFill="1" applyBorder="1" applyAlignment="1">
      <alignment horizontal="left" vertical="center"/>
    </xf>
    <xf numFmtId="37" fontId="4" fillId="4" borderId="5" xfId="28" applyNumberFormat="1" applyFont="1" applyFill="1" applyBorder="1" applyAlignment="1" applyProtection="1">
      <alignment vertical="center"/>
      <protection locked="0"/>
    </xf>
    <xf numFmtId="3" fontId="4" fillId="2" borderId="5" xfId="28" applyNumberFormat="1" applyFont="1" applyFill="1" applyBorder="1" applyAlignment="1">
      <alignment vertical="center"/>
    </xf>
    <xf numFmtId="3" fontId="4" fillId="2" borderId="7" xfId="28" applyNumberFormat="1" applyFont="1" applyFill="1" applyBorder="1" applyAlignment="1">
      <alignment vertical="center"/>
    </xf>
    <xf numFmtId="37" fontId="4" fillId="2" borderId="5" xfId="28" applyNumberFormat="1" applyFont="1" applyFill="1" applyBorder="1" applyAlignment="1">
      <alignment vertical="center"/>
    </xf>
    <xf numFmtId="37" fontId="4" fillId="4" borderId="5" xfId="28" applyNumberFormat="1" applyFont="1" applyFill="1" applyBorder="1" applyAlignment="1" applyProtection="1">
      <alignment horizontal="right" vertical="center"/>
      <protection locked="0"/>
    </xf>
    <xf numFmtId="3" fontId="4" fillId="2" borderId="7" xfId="28" applyNumberFormat="1" applyFont="1" applyFill="1" applyBorder="1" applyAlignment="1">
      <alignment horizontal="fill" vertical="center"/>
    </xf>
    <xf numFmtId="3" fontId="4" fillId="3" borderId="5" xfId="28" applyNumberFormat="1" applyFont="1" applyFill="1" applyBorder="1" applyAlignment="1" applyProtection="1">
      <alignment vertical="center"/>
      <protection locked="0"/>
    </xf>
    <xf numFmtId="3" fontId="4" fillId="3" borderId="7" xfId="28" applyNumberFormat="1" applyFont="1" applyFill="1" applyBorder="1" applyAlignment="1" applyProtection="1">
      <alignment vertical="center"/>
      <protection locked="0"/>
    </xf>
    <xf numFmtId="0" fontId="4" fillId="2" borderId="5" xfId="28" applyFont="1" applyFill="1" applyBorder="1" applyAlignment="1">
      <alignment vertical="center"/>
    </xf>
    <xf numFmtId="0" fontId="4" fillId="3" borderId="5" xfId="28" applyFont="1" applyFill="1" applyBorder="1" applyAlignment="1" applyProtection="1">
      <alignment horizontal="left" vertical="center"/>
      <protection locked="0"/>
    </xf>
    <xf numFmtId="0" fontId="4" fillId="3" borderId="7" xfId="28" applyFont="1" applyFill="1" applyBorder="1" applyAlignment="1" applyProtection="1">
      <alignment horizontal="left" vertical="center"/>
      <protection locked="0"/>
    </xf>
    <xf numFmtId="37" fontId="4" fillId="3" borderId="5" xfId="28" applyNumberFormat="1" applyFont="1" applyFill="1" applyBorder="1" applyAlignment="1" applyProtection="1">
      <alignment horizontal="left" vertical="center"/>
      <protection locked="0"/>
    </xf>
    <xf numFmtId="3" fontId="4" fillId="4" borderId="5" xfId="28" applyNumberFormat="1" applyFont="1" applyFill="1" applyBorder="1" applyAlignment="1" applyProtection="1">
      <alignment horizontal="right" vertical="center"/>
      <protection locked="0"/>
    </xf>
    <xf numFmtId="3" fontId="11" fillId="7" borderId="5" xfId="28" applyNumberFormat="1" applyFont="1" applyFill="1" applyBorder="1" applyAlignment="1">
      <alignment horizontal="center" vertical="center"/>
    </xf>
    <xf numFmtId="3" fontId="11" fillId="7" borderId="7" xfId="28" applyNumberFormat="1" applyFont="1" applyFill="1" applyBorder="1" applyAlignment="1">
      <alignment horizontal="center" vertical="center"/>
    </xf>
    <xf numFmtId="37" fontId="3" fillId="2" borderId="5" xfId="28" applyNumberFormat="1" applyFont="1" applyFill="1" applyBorder="1" applyAlignment="1">
      <alignment horizontal="left" vertical="center"/>
    </xf>
    <xf numFmtId="3" fontId="3" fillId="2" borderId="5" xfId="28" applyNumberFormat="1" applyFont="1" applyFill="1" applyBorder="1" applyAlignment="1">
      <alignment vertical="center"/>
    </xf>
    <xf numFmtId="3" fontId="3" fillId="2" borderId="7" xfId="28" applyNumberFormat="1" applyFont="1" applyFill="1" applyBorder="1" applyAlignment="1">
      <alignment vertical="center"/>
    </xf>
    <xf numFmtId="0" fontId="7" fillId="2" borderId="16" xfId="28" applyFont="1" applyFill="1" applyBorder="1" applyAlignment="1">
      <alignment vertical="center"/>
    </xf>
    <xf numFmtId="0" fontId="7" fillId="2" borderId="0" xfId="28" applyFont="1" applyFill="1" applyAlignment="1">
      <alignment vertical="center"/>
    </xf>
    <xf numFmtId="176" fontId="7" fillId="2" borderId="10" xfId="28" applyNumberFormat="1" applyFont="1" applyFill="1" applyBorder="1" applyAlignment="1">
      <alignment horizontal="center" vertical="center"/>
    </xf>
    <xf numFmtId="0" fontId="7" fillId="2" borderId="16" xfId="28" applyFont="1" applyFill="1" applyBorder="1" applyAlignment="1">
      <alignment horizontal="left" vertical="center"/>
    </xf>
    <xf numFmtId="176" fontId="7" fillId="4" borderId="7" xfId="28" applyNumberFormat="1" applyFont="1" applyFill="1" applyBorder="1" applyAlignment="1" applyProtection="1">
      <alignment horizontal="center" vertical="center"/>
      <protection locked="0"/>
    </xf>
    <xf numFmtId="174" fontId="33" fillId="2" borderId="6" xfId="28" applyNumberFormat="1" applyFont="1" applyFill="1" applyBorder="1" applyAlignment="1">
      <alignment horizontal="center" vertical="center"/>
    </xf>
    <xf numFmtId="0" fontId="33" fillId="5" borderId="16" xfId="28" applyFont="1" applyFill="1" applyBorder="1" applyAlignment="1">
      <alignment vertical="center"/>
    </xf>
    <xf numFmtId="0" fontId="4" fillId="5" borderId="0" xfId="28" applyFont="1" applyFill="1" applyAlignment="1">
      <alignment vertical="center"/>
    </xf>
    <xf numFmtId="0" fontId="7" fillId="5" borderId="0" xfId="28" applyFont="1" applyFill="1" applyAlignment="1">
      <alignment vertical="center"/>
    </xf>
    <xf numFmtId="176" fontId="33" fillId="5" borderId="6" xfId="28" applyNumberFormat="1" applyFont="1" applyFill="1" applyBorder="1" applyAlignment="1">
      <alignment horizontal="center" vertical="center"/>
    </xf>
    <xf numFmtId="37" fontId="7" fillId="2" borderId="8" xfId="28" applyNumberFormat="1" applyFont="1" applyFill="1" applyBorder="1" applyAlignment="1">
      <alignment horizontal="left" vertical="center"/>
    </xf>
    <xf numFmtId="0" fontId="35" fillId="2" borderId="1" xfId="28" applyFont="1" applyFill="1" applyBorder="1" applyAlignment="1">
      <alignment horizontal="left" vertical="center"/>
    </xf>
    <xf numFmtId="176" fontId="33" fillId="5" borderId="3" xfId="28" applyNumberFormat="1" applyFont="1" applyFill="1" applyBorder="1" applyAlignment="1" applyProtection="1">
      <alignment horizontal="center" vertical="center"/>
      <protection locked="0"/>
    </xf>
    <xf numFmtId="0" fontId="4" fillId="2" borderId="5" xfId="28" applyFont="1" applyFill="1" applyBorder="1" applyAlignment="1" applyProtection="1">
      <alignment vertical="center"/>
      <protection locked="0"/>
    </xf>
    <xf numFmtId="37" fontId="4" fillId="2" borderId="10" xfId="28" applyNumberFormat="1" applyFont="1" applyFill="1" applyBorder="1" applyAlignment="1">
      <alignment horizontal="right" vertical="center"/>
    </xf>
    <xf numFmtId="3" fontId="3" fillId="6" borderId="5" xfId="28" applyNumberFormat="1" applyFont="1" applyFill="1" applyBorder="1" applyAlignment="1">
      <alignment vertical="center"/>
    </xf>
    <xf numFmtId="3" fontId="3" fillId="6" borderId="7" xfId="28" applyNumberFormat="1" applyFont="1" applyFill="1" applyBorder="1" applyAlignment="1">
      <alignment vertical="center"/>
    </xf>
    <xf numFmtId="176" fontId="7" fillId="2" borderId="16" xfId="28" applyNumberFormat="1" applyFont="1" applyFill="1" applyBorder="1" applyAlignment="1">
      <alignment horizontal="center" vertical="center"/>
    </xf>
    <xf numFmtId="0" fontId="7" fillId="2" borderId="0" xfId="28" applyFont="1" applyFill="1" applyAlignment="1">
      <alignment horizontal="left" vertical="center"/>
    </xf>
    <xf numFmtId="0" fontId="7" fillId="2" borderId="10" xfId="28" applyFont="1" applyFill="1" applyBorder="1" applyAlignment="1">
      <alignment vertical="center"/>
    </xf>
    <xf numFmtId="3" fontId="4" fillId="6" borderId="5" xfId="28" applyNumberFormat="1" applyFont="1" applyFill="1" applyBorder="1" applyAlignment="1">
      <alignment vertical="center"/>
    </xf>
    <xf numFmtId="0" fontId="2" fillId="0" borderId="0" xfId="28"/>
    <xf numFmtId="0" fontId="4" fillId="2" borderId="0" xfId="28" applyFont="1" applyFill="1" applyAlignment="1">
      <alignment horizontal="right" vertical="center"/>
    </xf>
    <xf numFmtId="0" fontId="11" fillId="0" borderId="0" xfId="28" applyFont="1" applyAlignment="1">
      <alignment vertical="center"/>
    </xf>
    <xf numFmtId="176" fontId="7" fillId="2" borderId="8" xfId="28" applyNumberFormat="1" applyFont="1" applyFill="1" applyBorder="1" applyAlignment="1">
      <alignment horizontal="center" vertical="center"/>
    </xf>
    <xf numFmtId="0" fontId="36" fillId="0" borderId="0" xfId="28" applyFont="1" applyAlignment="1">
      <alignment vertical="center"/>
    </xf>
    <xf numFmtId="176" fontId="7" fillId="2" borderId="16" xfId="28" applyNumberFormat="1" applyFont="1" applyFill="1" applyBorder="1" applyAlignment="1">
      <alignment vertical="center"/>
    </xf>
    <xf numFmtId="0" fontId="12" fillId="2" borderId="0" xfId="28" applyFont="1" applyFill="1" applyAlignment="1">
      <alignment horizontal="center" vertical="center"/>
    </xf>
    <xf numFmtId="3" fontId="4" fillId="6" borderId="7" xfId="28" applyNumberFormat="1" applyFont="1" applyFill="1" applyBorder="1" applyAlignment="1">
      <alignment vertical="center"/>
    </xf>
    <xf numFmtId="179" fontId="4" fillId="2" borderId="0" xfId="56" applyNumberFormat="1" applyFont="1" applyFill="1" applyAlignment="1">
      <alignment horizontal="center" vertical="center"/>
    </xf>
    <xf numFmtId="176" fontId="7" fillId="5" borderId="8" xfId="28" applyNumberFormat="1" applyFont="1" applyFill="1" applyBorder="1" applyAlignment="1">
      <alignment horizontal="center" vertical="center"/>
    </xf>
    <xf numFmtId="0" fontId="7" fillId="5" borderId="1" xfId="28" applyFont="1" applyFill="1" applyBorder="1" applyAlignment="1">
      <alignment vertical="center"/>
    </xf>
    <xf numFmtId="0" fontId="7" fillId="5" borderId="3" xfId="28" applyFont="1" applyFill="1" applyBorder="1" applyAlignment="1">
      <alignment vertical="center"/>
    </xf>
    <xf numFmtId="37" fontId="4" fillId="5" borderId="3" xfId="28" applyNumberFormat="1" applyFont="1" applyFill="1" applyBorder="1" applyAlignment="1">
      <alignment horizontal="right" vertical="center"/>
    </xf>
    <xf numFmtId="3" fontId="4" fillId="5" borderId="11" xfId="28" applyNumberFormat="1" applyFont="1" applyFill="1" applyBorder="1" applyAlignment="1">
      <alignment vertical="center"/>
    </xf>
    <xf numFmtId="174" fontId="4" fillId="2" borderId="0" xfId="28" applyNumberFormat="1" applyFont="1" applyFill="1" applyAlignment="1">
      <alignment vertical="center"/>
    </xf>
    <xf numFmtId="37" fontId="3" fillId="2" borderId="0" xfId="28" applyNumberFormat="1" applyFont="1" applyFill="1" applyAlignment="1">
      <alignment vertical="center"/>
    </xf>
    <xf numFmtId="37" fontId="4" fillId="2" borderId="8" xfId="28" applyNumberFormat="1" applyFont="1" applyFill="1" applyBorder="1" applyAlignment="1">
      <alignment horizontal="left" vertical="center"/>
    </xf>
    <xf numFmtId="3" fontId="4" fillId="4" borderId="7" xfId="28" applyNumberFormat="1" applyFont="1" applyFill="1" applyBorder="1" applyAlignment="1" applyProtection="1">
      <alignment horizontal="right" vertical="center"/>
      <protection locked="0"/>
    </xf>
    <xf numFmtId="0" fontId="4" fillId="2" borderId="16" xfId="28" applyFont="1" applyFill="1" applyBorder="1" applyAlignment="1">
      <alignment vertical="center"/>
    </xf>
    <xf numFmtId="0" fontId="4" fillId="2" borderId="10" xfId="28" applyFont="1" applyFill="1" applyBorder="1" applyProtection="1">
      <protection locked="0"/>
    </xf>
    <xf numFmtId="0" fontId="31" fillId="0" borderId="0" xfId="28" applyFont="1" applyAlignment="1">
      <alignment horizontal="right" vertical="center"/>
    </xf>
    <xf numFmtId="176" fontId="18" fillId="2" borderId="16" xfId="28" applyNumberFormat="1" applyFont="1" applyFill="1" applyBorder="1" applyAlignment="1">
      <alignment horizontal="center" vertical="center"/>
    </xf>
    <xf numFmtId="0" fontId="4" fillId="2" borderId="10" xfId="28" applyFont="1" applyFill="1" applyBorder="1" applyAlignment="1">
      <alignment vertical="center"/>
    </xf>
    <xf numFmtId="176" fontId="18" fillId="2" borderId="16" xfId="28" applyNumberFormat="1" applyFont="1" applyFill="1" applyBorder="1" applyAlignment="1">
      <alignment vertical="center"/>
    </xf>
    <xf numFmtId="0" fontId="18" fillId="2" borderId="0" xfId="28" applyFont="1" applyFill="1" applyAlignment="1">
      <alignment vertical="center"/>
    </xf>
    <xf numFmtId="0" fontId="4" fillId="5" borderId="3" xfId="28" applyFont="1" applyFill="1" applyBorder="1" applyAlignment="1">
      <alignment vertical="center"/>
    </xf>
    <xf numFmtId="0" fontId="4" fillId="5" borderId="3" xfId="28" applyFont="1" applyFill="1" applyBorder="1" applyProtection="1">
      <protection locked="0"/>
    </xf>
    <xf numFmtId="0" fontId="4" fillId="0" borderId="0" xfId="28" applyFont="1" applyAlignment="1" applyProtection="1">
      <alignment vertical="center"/>
      <protection locked="0"/>
    </xf>
    <xf numFmtId="37" fontId="4" fillId="2" borderId="7" xfId="0" applyNumberFormat="1" applyFont="1" applyFill="1" applyBorder="1" applyAlignment="1" applyProtection="1">
      <alignment horizontal="center" vertical="center"/>
      <protection locked="0"/>
    </xf>
    <xf numFmtId="0" fontId="3" fillId="2" borderId="5" xfId="512" applyFont="1" applyFill="1" applyBorder="1" applyAlignment="1">
      <alignment vertical="center"/>
    </xf>
    <xf numFmtId="0" fontId="3" fillId="2" borderId="12" xfId="512" applyFont="1" applyFill="1" applyBorder="1" applyAlignment="1">
      <alignment vertical="center"/>
    </xf>
    <xf numFmtId="3" fontId="3" fillId="2" borderId="6" xfId="512" applyNumberFormat="1" applyFont="1" applyFill="1" applyBorder="1" applyAlignment="1">
      <alignment vertical="center"/>
    </xf>
    <xf numFmtId="0" fontId="3" fillId="2" borderId="6" xfId="512" applyFont="1" applyFill="1" applyBorder="1" applyAlignment="1">
      <alignment vertical="center"/>
    </xf>
    <xf numFmtId="0" fontId="3" fillId="2" borderId="7" xfId="512" applyFont="1" applyFill="1" applyBorder="1" applyAlignment="1">
      <alignment horizontal="center" vertical="center"/>
    </xf>
    <xf numFmtId="0" fontId="3" fillId="2" borderId="0" xfId="512" applyFont="1" applyFill="1" applyAlignment="1">
      <alignment horizontal="left" vertical="center"/>
    </xf>
    <xf numFmtId="179" fontId="4" fillId="2" borderId="0" xfId="0" applyNumberFormat="1" applyFont="1" applyFill="1" applyAlignment="1">
      <alignment horizontal="center" vertical="center"/>
    </xf>
    <xf numFmtId="0" fontId="7" fillId="5" borderId="0" xfId="0" applyFont="1" applyFill="1" applyAlignment="1">
      <alignment vertical="center"/>
    </xf>
    <xf numFmtId="0" fontId="33" fillId="2" borderId="6" xfId="0" applyFont="1" applyFill="1" applyBorder="1" applyAlignment="1">
      <alignment horizontal="center" vertical="center"/>
    </xf>
    <xf numFmtId="0" fontId="33" fillId="5" borderId="16" xfId="0" applyFont="1" applyFill="1" applyBorder="1" applyAlignment="1">
      <alignment vertical="center"/>
    </xf>
    <xf numFmtId="176" fontId="33" fillId="5" borderId="6" xfId="0" applyNumberFormat="1" applyFont="1" applyFill="1" applyBorder="1" applyAlignment="1">
      <alignment horizontal="center" vertical="center"/>
    </xf>
    <xf numFmtId="37" fontId="7" fillId="2" borderId="8" xfId="0" applyNumberFormat="1" applyFont="1" applyFill="1" applyBorder="1" applyAlignment="1">
      <alignment horizontal="left" vertical="center"/>
    </xf>
    <xf numFmtId="0" fontId="35" fillId="2" borderId="1" xfId="0" applyFont="1" applyFill="1" applyBorder="1" applyAlignment="1">
      <alignment horizontal="left" vertical="center"/>
    </xf>
    <xf numFmtId="176" fontId="33" fillId="5" borderId="3" xfId="0" applyNumberFormat="1" applyFont="1" applyFill="1" applyBorder="1" applyAlignment="1" applyProtection="1">
      <alignment horizontal="center" vertical="center"/>
      <protection locked="0"/>
    </xf>
    <xf numFmtId="49" fontId="4" fillId="0" borderId="0" xfId="477" applyNumberFormat="1" applyFont="1" applyAlignment="1" applyProtection="1">
      <alignment horizontal="left" vertical="center"/>
      <protection locked="0"/>
    </xf>
    <xf numFmtId="37" fontId="4" fillId="7" borderId="11" xfId="0" applyNumberFormat="1" applyFont="1" applyFill="1" applyBorder="1" applyAlignment="1">
      <alignment horizontal="center" vertical="center"/>
    </xf>
    <xf numFmtId="37" fontId="4" fillId="2" borderId="7" xfId="0" applyNumberFormat="1" applyFont="1" applyFill="1" applyBorder="1" applyAlignment="1">
      <alignment horizontal="right" vertical="center"/>
    </xf>
    <xf numFmtId="165" fontId="4" fillId="2" borderId="7" xfId="0" applyNumberFormat="1" applyFont="1" applyFill="1" applyBorder="1" applyAlignment="1">
      <alignment horizontal="right" vertical="center"/>
    </xf>
    <xf numFmtId="37" fontId="4" fillId="2" borderId="11" xfId="0" applyNumberFormat="1" applyFont="1" applyFill="1" applyBorder="1" applyAlignment="1">
      <alignment horizontal="right" vertical="center"/>
    </xf>
    <xf numFmtId="170" fontId="4" fillId="2" borderId="11" xfId="0" applyNumberFormat="1" applyFont="1" applyFill="1" applyBorder="1" applyAlignment="1">
      <alignment horizontal="right" vertical="center"/>
    </xf>
    <xf numFmtId="37" fontId="4" fillId="2" borderId="0" xfId="0" applyNumberFormat="1" applyFont="1" applyFill="1" applyAlignment="1">
      <alignment horizontal="fill"/>
    </xf>
    <xf numFmtId="37" fontId="4" fillId="2" borderId="0" xfId="0" applyNumberFormat="1" applyFont="1" applyFill="1" applyAlignment="1">
      <alignment horizontal="left"/>
    </xf>
    <xf numFmtId="179" fontId="4" fillId="3" borderId="7" xfId="0" applyNumberFormat="1" applyFont="1" applyFill="1" applyBorder="1" applyAlignment="1" applyProtection="1">
      <alignment vertical="center"/>
      <protection locked="0"/>
    </xf>
    <xf numFmtId="0" fontId="49" fillId="2" borderId="0" xfId="397" applyFill="1"/>
    <xf numFmtId="0" fontId="4" fillId="0" borderId="0" xfId="171" applyFont="1" applyAlignment="1">
      <alignment vertical="center"/>
    </xf>
    <xf numFmtId="0" fontId="4" fillId="0" borderId="0" xfId="92" applyFont="1" applyAlignment="1">
      <alignment vertical="center"/>
    </xf>
    <xf numFmtId="0" fontId="4" fillId="0" borderId="0" xfId="398" applyFont="1" applyAlignment="1">
      <alignment vertical="center"/>
    </xf>
    <xf numFmtId="37" fontId="4" fillId="4" borderId="7"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vertical="center"/>
      <protection locked="0"/>
    </xf>
    <xf numFmtId="172" fontId="4" fillId="4" borderId="7" xfId="0" applyNumberFormat="1" applyFont="1" applyFill="1" applyBorder="1" applyAlignment="1" applyProtection="1">
      <alignment vertical="center"/>
      <protection locked="0"/>
    </xf>
    <xf numFmtId="172" fontId="4" fillId="4" borderId="2" xfId="0" applyNumberFormat="1" applyFont="1" applyFill="1" applyBorder="1" applyAlignment="1" applyProtection="1">
      <alignment vertical="center"/>
      <protection locked="0"/>
    </xf>
    <xf numFmtId="3" fontId="4" fillId="2" borderId="0" xfId="28" applyNumberFormat="1" applyFont="1" applyFill="1" applyAlignment="1">
      <alignment horizontal="right" vertical="center"/>
    </xf>
    <xf numFmtId="3" fontId="4" fillId="2" borderId="7" xfId="28" applyNumberFormat="1" applyFont="1" applyFill="1" applyBorder="1" applyAlignment="1">
      <alignment horizontal="right" vertical="center"/>
    </xf>
    <xf numFmtId="0" fontId="4" fillId="2" borderId="0" xfId="28" applyFont="1" applyFill="1" applyAlignment="1">
      <alignment horizontal="left" vertical="center"/>
    </xf>
    <xf numFmtId="3" fontId="4" fillId="2" borderId="2" xfId="0" applyNumberFormat="1" applyFont="1" applyFill="1" applyBorder="1" applyAlignment="1">
      <alignment horizontal="right" vertical="center"/>
    </xf>
    <xf numFmtId="3" fontId="12" fillId="2" borderId="15" xfId="0" applyNumberFormat="1" applyFont="1" applyFill="1" applyBorder="1" applyAlignment="1">
      <alignment horizontal="center" vertical="center"/>
    </xf>
    <xf numFmtId="0" fontId="12" fillId="2" borderId="15" xfId="0" applyFont="1" applyFill="1" applyBorder="1" applyAlignment="1">
      <alignment horizontal="center" vertical="center"/>
    </xf>
    <xf numFmtId="0" fontId="4" fillId="0" borderId="0" xfId="28" applyFont="1" applyAlignment="1">
      <alignment horizontal="left" vertical="center"/>
    </xf>
    <xf numFmtId="164" fontId="4" fillId="2" borderId="9" xfId="0" applyNumberFormat="1" applyFont="1" applyFill="1" applyBorder="1" applyAlignment="1">
      <alignment horizontal="center" vertical="center"/>
    </xf>
    <xf numFmtId="37" fontId="4" fillId="2" borderId="14" xfId="0" applyNumberFormat="1" applyFont="1" applyFill="1" applyBorder="1" applyAlignment="1">
      <alignment horizontal="left" vertical="center"/>
    </xf>
    <xf numFmtId="0" fontId="4" fillId="0" borderId="0" xfId="31" applyFont="1" applyAlignment="1">
      <alignment vertical="center"/>
    </xf>
    <xf numFmtId="3" fontId="4" fillId="10" borderId="6" xfId="0" applyNumberFormat="1" applyFont="1" applyFill="1" applyBorder="1" applyAlignment="1">
      <alignment vertical="center"/>
    </xf>
    <xf numFmtId="37" fontId="3" fillId="10" borderId="5" xfId="0" applyNumberFormat="1" applyFont="1" applyFill="1" applyBorder="1" applyAlignment="1">
      <alignment horizontal="left" vertical="center"/>
    </xf>
    <xf numFmtId="0" fontId="4" fillId="9" borderId="6" xfId="0" applyFont="1" applyFill="1" applyBorder="1" applyAlignment="1">
      <alignment vertical="center"/>
    </xf>
    <xf numFmtId="0" fontId="4" fillId="9" borderId="12" xfId="0" applyFont="1" applyFill="1" applyBorder="1" applyAlignment="1">
      <alignment vertical="center"/>
    </xf>
    <xf numFmtId="0" fontId="3" fillId="9" borderId="5" xfId="0" applyFont="1" applyFill="1" applyBorder="1" applyAlignment="1">
      <alignment horizontal="left" vertical="center"/>
    </xf>
    <xf numFmtId="0" fontId="4" fillId="10" borderId="5" xfId="0" applyFont="1" applyFill="1" applyBorder="1" applyAlignment="1">
      <alignment vertical="center"/>
    </xf>
    <xf numFmtId="0" fontId="4" fillId="10" borderId="3" xfId="0" applyFont="1" applyFill="1" applyBorder="1" applyAlignment="1">
      <alignment vertical="center"/>
    </xf>
    <xf numFmtId="0" fontId="4" fillId="10" borderId="8" xfId="0" applyFont="1" applyFill="1" applyBorder="1" applyAlignment="1">
      <alignment vertical="center"/>
    </xf>
    <xf numFmtId="0" fontId="4" fillId="10" borderId="14" xfId="0" applyFont="1" applyFill="1" applyBorder="1" applyAlignment="1">
      <alignment vertical="center"/>
    </xf>
    <xf numFmtId="0" fontId="4" fillId="10" borderId="6" xfId="0" applyFont="1" applyFill="1" applyBorder="1" applyAlignment="1">
      <alignment vertical="center"/>
    </xf>
    <xf numFmtId="37" fontId="4" fillId="10" borderId="5" xfId="0" applyNumberFormat="1" applyFont="1" applyFill="1" applyBorder="1" applyAlignment="1">
      <alignment horizontal="left" vertical="center"/>
    </xf>
    <xf numFmtId="0" fontId="4" fillId="9" borderId="3" xfId="0" applyFont="1" applyFill="1" applyBorder="1" applyAlignment="1">
      <alignment vertical="center"/>
    </xf>
    <xf numFmtId="37" fontId="4" fillId="2" borderId="4" xfId="0" applyNumberFormat="1" applyFont="1" applyFill="1" applyBorder="1" applyAlignment="1">
      <alignment vertical="center"/>
    </xf>
    <xf numFmtId="0" fontId="4" fillId="11" borderId="3" xfId="0" applyFont="1" applyFill="1" applyBorder="1" applyAlignment="1">
      <alignment vertical="center"/>
    </xf>
    <xf numFmtId="37" fontId="3" fillId="11" borderId="8" xfId="0" applyNumberFormat="1" applyFont="1" applyFill="1" applyBorder="1" applyAlignment="1">
      <alignment horizontal="left" vertical="center"/>
    </xf>
    <xf numFmtId="0" fontId="4" fillId="11" borderId="10" xfId="0" applyFont="1" applyFill="1" applyBorder="1" applyAlignment="1">
      <alignment vertical="center"/>
    </xf>
    <xf numFmtId="37" fontId="3" fillId="11" borderId="16" xfId="0" applyNumberFormat="1" applyFont="1" applyFill="1" applyBorder="1" applyAlignment="1">
      <alignment horizontal="left" vertical="center"/>
    </xf>
    <xf numFmtId="0" fontId="4" fillId="10" borderId="9" xfId="0" applyFont="1" applyFill="1" applyBorder="1" applyAlignment="1">
      <alignment vertical="center"/>
    </xf>
    <xf numFmtId="0" fontId="3" fillId="10" borderId="14" xfId="0" applyFont="1" applyFill="1" applyBorder="1" applyAlignment="1">
      <alignment vertical="center"/>
    </xf>
    <xf numFmtId="0" fontId="4" fillId="0" borderId="0" xfId="28" applyFont="1" applyAlignment="1">
      <alignment vertical="center"/>
    </xf>
    <xf numFmtId="0" fontId="8" fillId="2" borderId="0" xfId="14" applyFill="1" applyAlignment="1" applyProtection="1"/>
    <xf numFmtId="0" fontId="4" fillId="4" borderId="0" xfId="0" applyFont="1" applyFill="1" applyAlignment="1">
      <alignment horizontal="center" vertical="center"/>
    </xf>
    <xf numFmtId="37" fontId="4" fillId="4" borderId="0" xfId="28" applyNumberFormat="1"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77" fontId="4" fillId="5" borderId="3" xfId="0" applyNumberFormat="1" applyFont="1" applyFill="1" applyBorder="1" applyAlignment="1">
      <alignment horizontal="center"/>
    </xf>
    <xf numFmtId="0" fontId="4" fillId="3" borderId="0" xfId="0" applyFont="1" applyFill="1" applyAlignment="1" applyProtection="1">
      <alignment horizontal="center" vertical="center"/>
      <protection locked="0"/>
    </xf>
    <xf numFmtId="37" fontId="4" fillId="12" borderId="0" xfId="0" applyNumberFormat="1" applyFont="1" applyFill="1" applyAlignment="1">
      <alignment horizontal="left" vertical="center"/>
    </xf>
    <xf numFmtId="166" fontId="4" fillId="12" borderId="0" xfId="0" applyNumberFormat="1" applyFont="1" applyFill="1" applyAlignment="1">
      <alignment vertical="center"/>
    </xf>
    <xf numFmtId="0" fontId="4" fillId="12" borderId="0" xfId="0" applyFont="1" applyFill="1" applyAlignment="1">
      <alignment vertical="center"/>
    </xf>
    <xf numFmtId="37" fontId="4" fillId="2" borderId="12" xfId="400" applyNumberFormat="1" applyFont="1" applyFill="1" applyBorder="1" applyAlignment="1">
      <alignment horizontal="left" vertical="center"/>
    </xf>
    <xf numFmtId="167" fontId="4" fillId="12" borderId="1" xfId="0" applyNumberFormat="1" applyFont="1" applyFill="1" applyBorder="1" applyAlignment="1">
      <alignment vertical="center"/>
    </xf>
    <xf numFmtId="166" fontId="4" fillId="12" borderId="1" xfId="0" applyNumberFormat="1" applyFont="1" applyFill="1" applyBorder="1" applyAlignment="1">
      <alignment vertical="center"/>
    </xf>
    <xf numFmtId="37" fontId="4" fillId="12" borderId="0" xfId="0" applyNumberFormat="1" applyFont="1" applyFill="1" applyAlignment="1">
      <alignment vertical="center"/>
    </xf>
    <xf numFmtId="0" fontId="4" fillId="12" borderId="0" xfId="31" applyFont="1" applyFill="1" applyAlignment="1">
      <alignment vertical="center"/>
    </xf>
    <xf numFmtId="37" fontId="4" fillId="2" borderId="0" xfId="31" applyNumberFormat="1" applyFont="1" applyFill="1" applyAlignment="1">
      <alignment horizontal="left" vertical="center"/>
    </xf>
    <xf numFmtId="0" fontId="4" fillId="12" borderId="0" xfId="28" applyFont="1" applyFill="1" applyAlignment="1">
      <alignment horizontal="right" vertical="center"/>
    </xf>
    <xf numFmtId="37" fontId="4" fillId="2" borderId="4" xfId="31" applyNumberFormat="1" applyFont="1" applyFill="1" applyBorder="1" applyAlignment="1">
      <alignment horizontal="center" vertical="center"/>
    </xf>
    <xf numFmtId="0" fontId="4" fillId="2" borderId="5" xfId="28" applyFont="1" applyFill="1" applyBorder="1" applyAlignment="1">
      <alignment horizontal="left" vertical="center"/>
    </xf>
    <xf numFmtId="175" fontId="4" fillId="12" borderId="0" xfId="28" applyNumberFormat="1" applyFont="1" applyFill="1" applyAlignment="1">
      <alignment horizontal="right" vertical="center"/>
    </xf>
    <xf numFmtId="0" fontId="4" fillId="2" borderId="0" xfId="31" applyFont="1" applyFill="1" applyAlignment="1" applyProtection="1">
      <alignment horizontal="right" vertical="center"/>
      <protection locked="0"/>
    </xf>
    <xf numFmtId="0" fontId="4" fillId="0" borderId="0" xfId="400" applyFont="1" applyAlignment="1">
      <alignment vertical="center"/>
    </xf>
    <xf numFmtId="0" fontId="4" fillId="12" borderId="5" xfId="28" applyFont="1" applyFill="1" applyBorder="1" applyAlignment="1">
      <alignment vertical="center"/>
    </xf>
    <xf numFmtId="0" fontId="4" fillId="0" borderId="0" xfId="401" applyFont="1"/>
    <xf numFmtId="0" fontId="5" fillId="0" borderId="0" xfId="401" applyFont="1"/>
    <xf numFmtId="0" fontId="4" fillId="0" borderId="16" xfId="28" applyFont="1" applyBorder="1" applyProtection="1">
      <protection locked="0"/>
    </xf>
    <xf numFmtId="0" fontId="4" fillId="2" borderId="0" xfId="28" applyFont="1" applyFill="1" applyProtection="1">
      <protection locked="0"/>
    </xf>
    <xf numFmtId="0" fontId="4" fillId="2" borderId="15" xfId="0" applyFont="1" applyFill="1" applyBorder="1" applyAlignment="1">
      <alignment vertical="center" wrapText="1"/>
    </xf>
    <xf numFmtId="0" fontId="4" fillId="2" borderId="0" xfId="0" applyFont="1" applyFill="1" applyAlignment="1">
      <alignment vertical="center" wrapText="1"/>
    </xf>
    <xf numFmtId="0" fontId="4" fillId="2" borderId="1" xfId="0" applyFont="1" applyFill="1" applyBorder="1" applyAlignment="1">
      <alignment vertical="center" wrapText="1"/>
    </xf>
    <xf numFmtId="0" fontId="4" fillId="2" borderId="14" xfId="0" applyFont="1" applyFill="1" applyBorder="1" applyAlignment="1">
      <alignment vertical="center"/>
    </xf>
    <xf numFmtId="0" fontId="4" fillId="2" borderId="8" xfId="0" applyFont="1" applyFill="1" applyBorder="1" applyAlignment="1">
      <alignment vertical="center"/>
    </xf>
    <xf numFmtId="0" fontId="4" fillId="2" borderId="15" xfId="15" applyNumberFormat="1" applyFont="1" applyFill="1" applyBorder="1" applyAlignment="1" applyProtection="1">
      <alignment horizontal="right" vertical="center"/>
    </xf>
    <xf numFmtId="37" fontId="4" fillId="2" borderId="15" xfId="28" applyNumberFormat="1" applyFont="1" applyFill="1" applyBorder="1" applyAlignment="1">
      <alignment horizontal="right" vertical="center"/>
    </xf>
    <xf numFmtId="174" fontId="4" fillId="2" borderId="9" xfId="28" applyNumberFormat="1" applyFont="1" applyFill="1" applyBorder="1" applyAlignment="1">
      <alignment vertical="center"/>
    </xf>
    <xf numFmtId="37" fontId="4" fillId="2" borderId="16" xfId="28" applyNumberFormat="1" applyFont="1" applyFill="1" applyBorder="1" applyAlignment="1">
      <alignment horizontal="right" vertical="center"/>
    </xf>
    <xf numFmtId="174" fontId="4" fillId="2" borderId="10" xfId="28" applyNumberFormat="1" applyFont="1" applyFill="1" applyBorder="1" applyAlignment="1">
      <alignment vertical="center"/>
    </xf>
    <xf numFmtId="37" fontId="4" fillId="2" borderId="8" xfId="28" applyNumberFormat="1" applyFont="1" applyFill="1" applyBorder="1" applyAlignment="1">
      <alignment horizontal="right" vertical="center"/>
    </xf>
    <xf numFmtId="0" fontId="4" fillId="2" borderId="1" xfId="15" applyNumberFormat="1" applyFont="1" applyFill="1" applyBorder="1" applyAlignment="1" applyProtection="1">
      <alignment horizontal="right" vertical="center"/>
    </xf>
    <xf numFmtId="37" fontId="4" fillId="2" borderId="1" xfId="28" applyNumberFormat="1" applyFont="1" applyFill="1" applyBorder="1" applyAlignment="1">
      <alignment horizontal="right" vertical="center"/>
    </xf>
    <xf numFmtId="174" fontId="4" fillId="2" borderId="3" xfId="28" applyNumberFormat="1" applyFont="1" applyFill="1" applyBorder="1" applyAlignment="1">
      <alignment vertical="center"/>
    </xf>
    <xf numFmtId="37" fontId="4" fillId="2" borderId="14" xfId="28" applyNumberFormat="1" applyFont="1" applyFill="1" applyBorder="1" applyAlignment="1">
      <alignment horizontal="left" vertical="center"/>
    </xf>
    <xf numFmtId="3" fontId="3" fillId="2" borderId="0" xfId="0" applyNumberFormat="1" applyFont="1" applyFill="1" applyAlignment="1">
      <alignment horizontal="center" vertical="center"/>
    </xf>
    <xf numFmtId="3" fontId="3" fillId="2" borderId="15" xfId="0" applyNumberFormat="1" applyFont="1" applyFill="1" applyBorder="1" applyAlignment="1">
      <alignment horizontal="center" vertical="center"/>
    </xf>
    <xf numFmtId="37" fontId="3" fillId="2" borderId="16" xfId="0" applyNumberFormat="1" applyFont="1" applyFill="1" applyBorder="1" applyAlignment="1">
      <alignment horizontal="left" vertical="center"/>
    </xf>
    <xf numFmtId="37" fontId="3" fillId="2" borderId="8" xfId="0" applyNumberFormat="1" applyFont="1" applyFill="1" applyBorder="1" applyAlignment="1">
      <alignment horizontal="left" vertical="center"/>
    </xf>
    <xf numFmtId="3" fontId="3" fillId="2" borderId="1" xfId="0" applyNumberFormat="1" applyFont="1" applyFill="1" applyBorder="1" applyAlignment="1">
      <alignment horizontal="center" vertical="center"/>
    </xf>
    <xf numFmtId="0" fontId="7" fillId="0" borderId="0" xfId="0" applyFont="1" applyAlignment="1" applyProtection="1">
      <alignment vertical="center"/>
      <protection locked="0"/>
    </xf>
    <xf numFmtId="3" fontId="7" fillId="0" borderId="0" xfId="0" applyNumberFormat="1" applyFont="1" applyAlignment="1" applyProtection="1">
      <alignment vertical="center"/>
      <protection locked="0"/>
    </xf>
    <xf numFmtId="0" fontId="7" fillId="0" borderId="0" xfId="0" applyFont="1" applyAlignment="1" applyProtection="1">
      <alignment horizontal="left" vertical="center"/>
      <protection locked="0"/>
    </xf>
    <xf numFmtId="0" fontId="4" fillId="2" borderId="14" xfId="0" applyFont="1" applyFill="1" applyBorder="1" applyAlignment="1">
      <alignment vertical="center" wrapText="1"/>
    </xf>
    <xf numFmtId="0" fontId="4" fillId="2" borderId="9" xfId="0" applyFont="1" applyFill="1" applyBorder="1" applyAlignment="1">
      <alignment vertical="center" wrapText="1"/>
    </xf>
    <xf numFmtId="0" fontId="4" fillId="2" borderId="16" xfId="0" applyFont="1" applyFill="1" applyBorder="1" applyAlignment="1">
      <alignment vertical="center" wrapText="1"/>
    </xf>
    <xf numFmtId="0" fontId="4" fillId="2" borderId="10" xfId="0" applyFont="1" applyFill="1" applyBorder="1" applyAlignment="1">
      <alignment vertical="center" wrapText="1"/>
    </xf>
    <xf numFmtId="0" fontId="4" fillId="2" borderId="8" xfId="0" applyFont="1" applyFill="1" applyBorder="1" applyAlignment="1">
      <alignment vertical="center" wrapText="1"/>
    </xf>
    <xf numFmtId="0" fontId="4" fillId="2" borderId="3" xfId="0" applyFont="1" applyFill="1" applyBorder="1" applyAlignment="1">
      <alignment vertical="center" wrapText="1"/>
    </xf>
    <xf numFmtId="0" fontId="5" fillId="0" borderId="0" xfId="31" applyFont="1"/>
    <xf numFmtId="0" fontId="17" fillId="2" borderId="0" xfId="0" applyFont="1" applyFill="1" applyAlignment="1">
      <alignment vertical="center"/>
    </xf>
    <xf numFmtId="0" fontId="42" fillId="0" borderId="0" xfId="0" applyFont="1" applyAlignment="1">
      <alignment horizontal="center" vertical="center" wrapText="1"/>
    </xf>
    <xf numFmtId="0" fontId="29" fillId="0" borderId="0" xfId="0" applyFont="1" applyAlignment="1">
      <alignment horizontal="center" vertical="center" wrapText="1"/>
    </xf>
    <xf numFmtId="0" fontId="50" fillId="0" borderId="0" xfId="0" applyFont="1" applyAlignment="1">
      <alignment vertical="center" wrapText="1"/>
    </xf>
    <xf numFmtId="0" fontId="44"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left" vertical="center" wrapText="1" indent="2"/>
    </xf>
    <xf numFmtId="0" fontId="4" fillId="0" borderId="0" xfId="0" applyFont="1" applyAlignment="1">
      <alignment horizontal="left" vertical="center" wrapText="1"/>
    </xf>
    <xf numFmtId="0" fontId="4" fillId="0" borderId="0" xfId="0" applyFont="1" applyAlignment="1">
      <alignment horizontal="left" vertical="center" indent="2"/>
    </xf>
    <xf numFmtId="0" fontId="45" fillId="0" borderId="0" xfId="0" applyFont="1" applyAlignment="1">
      <alignment horizontal="left" vertical="center" wrapText="1" indent="4"/>
    </xf>
    <xf numFmtId="0" fontId="13" fillId="0" borderId="0" xfId="0" applyFont="1" applyAlignment="1">
      <alignment vertical="center" wrapText="1"/>
    </xf>
    <xf numFmtId="0" fontId="4" fillId="0" borderId="0" xfId="0" applyFont="1" applyAlignment="1">
      <alignment horizontal="right"/>
    </xf>
    <xf numFmtId="0" fontId="0" fillId="0" borderId="0" xfId="0" applyAlignment="1">
      <alignment horizontal="left"/>
    </xf>
    <xf numFmtId="0" fontId="1" fillId="0" borderId="0" xfId="477" applyAlignment="1">
      <alignment horizontal="right"/>
    </xf>
    <xf numFmtId="0" fontId="1" fillId="0" borderId="0" xfId="477" applyAlignment="1">
      <alignment horizontal="left"/>
    </xf>
    <xf numFmtId="0" fontId="4" fillId="0" borderId="0" xfId="477" applyFont="1" applyAlignment="1">
      <alignment horizontal="right" vertical="center"/>
    </xf>
    <xf numFmtId="0" fontId="17" fillId="0" borderId="0" xfId="477" applyFont="1" applyAlignment="1">
      <alignment horizontal="left" vertical="center"/>
    </xf>
    <xf numFmtId="164" fontId="4" fillId="2" borderId="0" xfId="0" applyNumberFormat="1" applyFont="1" applyFill="1" applyAlignment="1">
      <alignment horizontal="center" vertical="center"/>
    </xf>
    <xf numFmtId="174" fontId="7" fillId="13" borderId="8" xfId="0" applyNumberFormat="1" applyFont="1" applyFill="1" applyBorder="1" applyAlignment="1">
      <alignment horizontal="center" vertical="center"/>
    </xf>
    <xf numFmtId="0" fontId="7" fillId="12" borderId="0" xfId="0" applyFont="1" applyFill="1" applyAlignment="1">
      <alignment horizontal="left" vertical="center"/>
    </xf>
    <xf numFmtId="0" fontId="32" fillId="12" borderId="0" xfId="0" applyFont="1" applyFill="1" applyAlignment="1">
      <alignment horizontal="center" vertical="center"/>
    </xf>
    <xf numFmtId="0" fontId="0" fillId="12" borderId="10" xfId="0" applyFill="1" applyBorder="1" applyAlignment="1">
      <alignment vertical="center"/>
    </xf>
    <xf numFmtId="174" fontId="7" fillId="12" borderId="8" xfId="0" applyNumberFormat="1" applyFont="1" applyFill="1" applyBorder="1" applyAlignment="1">
      <alignment horizontal="center" vertical="center"/>
    </xf>
    <xf numFmtId="174" fontId="33" fillId="12" borderId="8" xfId="0" applyNumberFormat="1" applyFont="1" applyFill="1" applyBorder="1" applyAlignment="1">
      <alignment horizontal="center" vertical="center"/>
    </xf>
    <xf numFmtId="0" fontId="33" fillId="12" borderId="0" xfId="0" applyFont="1" applyFill="1" applyAlignment="1">
      <alignment horizontal="left" vertical="center"/>
    </xf>
    <xf numFmtId="174" fontId="7" fillId="12" borderId="5" xfId="0" applyNumberFormat="1" applyFont="1" applyFill="1" applyBorder="1" applyAlignment="1">
      <alignment horizontal="center" vertical="center"/>
    </xf>
    <xf numFmtId="0" fontId="4" fillId="12" borderId="16" xfId="0" applyFont="1" applyFill="1" applyBorder="1" applyAlignment="1">
      <alignment vertical="center"/>
    </xf>
    <xf numFmtId="0" fontId="4" fillId="12" borderId="10" xfId="0" applyFont="1" applyFill="1" applyBorder="1" applyAlignment="1">
      <alignment vertical="center"/>
    </xf>
    <xf numFmtId="174" fontId="17" fillId="2" borderId="4" xfId="0" applyNumberFormat="1" applyFont="1" applyFill="1" applyBorder="1" applyAlignment="1">
      <alignment vertical="center"/>
    </xf>
    <xf numFmtId="37" fontId="4" fillId="2" borderId="11" xfId="0" applyNumberFormat="1" applyFont="1" applyFill="1" applyBorder="1" applyAlignment="1">
      <alignment horizontal="left" vertical="center"/>
    </xf>
    <xf numFmtId="174" fontId="4" fillId="6" borderId="11" xfId="0" applyNumberFormat="1" applyFont="1" applyFill="1" applyBorder="1" applyAlignment="1">
      <alignment vertical="center"/>
    </xf>
    <xf numFmtId="0" fontId="3" fillId="2" borderId="16" xfId="0" applyFont="1" applyFill="1" applyBorder="1"/>
    <xf numFmtId="174" fontId="4" fillId="2" borderId="10" xfId="0" applyNumberFormat="1" applyFont="1" applyFill="1" applyBorder="1" applyAlignment="1">
      <alignment horizontal="center"/>
    </xf>
    <xf numFmtId="172" fontId="4" fillId="2" borderId="7" xfId="0" applyNumberFormat="1" applyFont="1" applyFill="1" applyBorder="1" applyAlignment="1">
      <alignment horizontal="centerContinuous" vertical="center"/>
    </xf>
    <xf numFmtId="172" fontId="4" fillId="2" borderId="7" xfId="0" applyNumberFormat="1" applyFont="1" applyFill="1" applyBorder="1" applyAlignment="1">
      <alignment horizontal="center" vertical="center"/>
    </xf>
    <xf numFmtId="0" fontId="13" fillId="0" borderId="0" xfId="0" applyFont="1" applyAlignment="1">
      <alignment horizontal="center"/>
    </xf>
    <xf numFmtId="0" fontId="3" fillId="0" borderId="0" xfId="0" applyFont="1"/>
    <xf numFmtId="0" fontId="4" fillId="0" borderId="0" xfId="0" quotePrefix="1" applyFont="1"/>
    <xf numFmtId="0" fontId="4" fillId="0" borderId="0" xfId="175" applyFont="1"/>
    <xf numFmtId="0" fontId="5" fillId="0" borderId="0" xfId="0" applyFont="1" applyAlignment="1">
      <alignment vertical="center" wrapText="1"/>
    </xf>
    <xf numFmtId="0" fontId="7" fillId="9" borderId="4" xfId="0" applyFont="1" applyFill="1" applyBorder="1" applyAlignment="1">
      <alignment horizontal="center" vertical="center" shrinkToFit="1"/>
    </xf>
    <xf numFmtId="3" fontId="3" fillId="2" borderId="7" xfId="0" applyNumberFormat="1" applyFont="1" applyFill="1" applyBorder="1" applyAlignment="1">
      <alignment horizontal="right" vertical="center"/>
    </xf>
    <xf numFmtId="0" fontId="4" fillId="13" borderId="0" xfId="0" applyFont="1" applyFill="1"/>
    <xf numFmtId="0" fontId="41" fillId="0" borderId="0" xfId="401"/>
    <xf numFmtId="0" fontId="4" fillId="0" borderId="1" xfId="401" applyFont="1" applyBorder="1"/>
    <xf numFmtId="0" fontId="4" fillId="2" borderId="7"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4" fillId="2" borderId="4" xfId="0" applyFont="1" applyFill="1" applyBorder="1" applyAlignment="1">
      <alignment vertical="center"/>
    </xf>
    <xf numFmtId="41" fontId="4" fillId="2" borderId="4" xfId="514" applyNumberFormat="1" applyFont="1" applyFill="1" applyBorder="1" applyAlignment="1" applyProtection="1">
      <alignment vertical="center"/>
    </xf>
    <xf numFmtId="41" fontId="4" fillId="2" borderId="7" xfId="514" applyNumberFormat="1" applyFont="1" applyFill="1" applyBorder="1" applyAlignment="1" applyProtection="1">
      <alignment vertical="center"/>
    </xf>
    <xf numFmtId="0" fontId="54" fillId="0" borderId="0" xfId="401" applyFont="1"/>
    <xf numFmtId="0" fontId="55" fillId="0" borderId="0" xfId="401" applyFont="1"/>
    <xf numFmtId="0" fontId="56" fillId="0" borderId="0" xfId="401" applyFont="1" applyAlignment="1">
      <alignment horizontal="left" vertical="center" readingOrder="1"/>
    </xf>
    <xf numFmtId="0" fontId="57" fillId="0" borderId="0" xfId="401" applyFont="1" applyAlignment="1">
      <alignment horizontal="left" vertical="center" indent="2" readingOrder="1"/>
    </xf>
    <xf numFmtId="0" fontId="57" fillId="0" borderId="1" xfId="401" applyFont="1" applyBorder="1" applyAlignment="1">
      <alignment horizontal="center" vertical="center" readingOrder="1"/>
    </xf>
    <xf numFmtId="0" fontId="58" fillId="0" borderId="0" xfId="401" applyFont="1" applyAlignment="1">
      <alignment horizontal="left" vertical="center" readingOrder="1"/>
    </xf>
    <xf numFmtId="0" fontId="41" fillId="16" borderId="0" xfId="401" applyFill="1"/>
    <xf numFmtId="0" fontId="56" fillId="16" borderId="0" xfId="401" applyFont="1" applyFill="1" applyAlignment="1">
      <alignment horizontal="left" vertical="center" readingOrder="1"/>
    </xf>
    <xf numFmtId="0" fontId="60" fillId="0" borderId="0" xfId="401" applyFont="1" applyAlignment="1">
      <alignment wrapText="1"/>
    </xf>
    <xf numFmtId="0" fontId="61" fillId="0" borderId="0" xfId="401" applyFont="1"/>
    <xf numFmtId="0" fontId="62" fillId="0" borderId="0" xfId="401" applyFont="1" applyAlignment="1">
      <alignment horizontal="left"/>
    </xf>
    <xf numFmtId="0" fontId="63" fillId="0" borderId="0" xfId="401" applyFont="1"/>
    <xf numFmtId="0" fontId="5" fillId="0" borderId="0" xfId="0" applyFont="1"/>
    <xf numFmtId="0" fontId="11" fillId="2" borderId="0" xfId="0" applyFont="1" applyFill="1" applyAlignment="1">
      <alignment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37" fontId="4" fillId="2" borderId="0" xfId="0" applyNumberFormat="1" applyFont="1" applyFill="1" applyAlignment="1">
      <alignment horizontal="center" vertical="center"/>
    </xf>
    <xf numFmtId="0" fontId="4" fillId="2" borderId="0" xfId="14" applyNumberFormat="1" applyFont="1" applyFill="1" applyBorder="1" applyAlignment="1" applyProtection="1">
      <alignment horizontal="right" vertical="center"/>
    </xf>
    <xf numFmtId="0" fontId="4" fillId="2" borderId="0" xfId="56" applyFont="1" applyFill="1" applyAlignment="1">
      <alignment horizontal="right" vertical="center"/>
    </xf>
    <xf numFmtId="0" fontId="4" fillId="2" borderId="0" xfId="15" applyNumberFormat="1" applyFont="1" applyFill="1" applyBorder="1" applyAlignment="1" applyProtection="1">
      <alignment horizontal="right" vertical="center"/>
    </xf>
    <xf numFmtId="0" fontId="3" fillId="2" borderId="5" xfId="0" applyFont="1" applyFill="1" applyBorder="1" applyAlignment="1">
      <alignment vertical="center"/>
    </xf>
    <xf numFmtId="37" fontId="4" fillId="2" borderId="1" xfId="0" applyNumberFormat="1" applyFont="1" applyFill="1" applyBorder="1" applyAlignment="1" applyProtection="1">
      <alignment horizontal="center" vertical="center"/>
      <protection locked="0"/>
    </xf>
    <xf numFmtId="37" fontId="3" fillId="2" borderId="0" xfId="0" applyNumberFormat="1" applyFont="1" applyFill="1" applyAlignment="1">
      <alignment horizontal="center" vertical="center"/>
    </xf>
    <xf numFmtId="0" fontId="13" fillId="2" borderId="0" xfId="0" applyFont="1" applyFill="1" applyAlignment="1">
      <alignment horizontal="center" vertical="center"/>
    </xf>
    <xf numFmtId="49" fontId="4" fillId="2" borderId="0" xfId="0" applyNumberFormat="1" applyFont="1" applyFill="1" applyAlignment="1" applyProtection="1">
      <alignment horizontal="left" vertical="center"/>
      <protection locked="0"/>
    </xf>
    <xf numFmtId="0" fontId="4" fillId="2" borderId="7" xfId="0" applyFont="1" applyFill="1" applyBorder="1" applyAlignment="1">
      <alignment horizontal="center" vertical="center"/>
    </xf>
    <xf numFmtId="0" fontId="4" fillId="2" borderId="0" xfId="0" applyFont="1" applyFill="1" applyAlignment="1">
      <alignment horizontal="right" vertical="center"/>
    </xf>
    <xf numFmtId="0" fontId="4" fillId="0" borderId="0" xfId="401" applyFont="1" applyAlignment="1">
      <alignment horizontal="left" wrapText="1"/>
    </xf>
    <xf numFmtId="0" fontId="4" fillId="0" borderId="0" xfId="401" applyFont="1" applyAlignment="1">
      <alignment wrapText="1"/>
    </xf>
    <xf numFmtId="0" fontId="20" fillId="0" borderId="0" xfId="0" applyFont="1" applyAlignment="1">
      <alignment vertical="center"/>
    </xf>
    <xf numFmtId="0" fontId="19" fillId="0" borderId="0" xfId="0" applyFont="1" applyAlignment="1">
      <alignment wrapText="1"/>
    </xf>
    <xf numFmtId="0" fontId="24" fillId="0" borderId="0" xfId="0" applyFont="1" applyAlignment="1">
      <alignment vertical="center"/>
    </xf>
    <xf numFmtId="0" fontId="11" fillId="5" borderId="0" xfId="36" applyFont="1" applyFill="1" applyAlignment="1">
      <alignment vertical="center"/>
    </xf>
    <xf numFmtId="0" fontId="11" fillId="2" borderId="0" xfId="36" applyFont="1" applyFill="1" applyAlignment="1">
      <alignment horizontal="center" vertical="center"/>
    </xf>
    <xf numFmtId="178" fontId="11" fillId="2" borderId="0" xfId="36" applyNumberFormat="1" applyFont="1" applyFill="1" applyAlignment="1">
      <alignment horizontal="center" vertical="center"/>
    </xf>
    <xf numFmtId="0" fontId="11" fillId="5" borderId="0" xfId="36" applyFont="1" applyFill="1" applyAlignment="1">
      <alignment horizontal="center" vertical="center"/>
    </xf>
    <xf numFmtId="0" fontId="12" fillId="5" borderId="0" xfId="36" applyFont="1" applyFill="1" applyAlignment="1">
      <alignment horizontal="center" vertical="center"/>
    </xf>
    <xf numFmtId="0" fontId="31" fillId="0" borderId="0" xfId="0" applyFont="1" applyProtection="1">
      <protection locked="0"/>
    </xf>
    <xf numFmtId="0" fontId="14" fillId="2" borderId="0" xfId="0" applyFont="1" applyFill="1" applyAlignment="1">
      <alignment horizontal="center" vertical="center"/>
    </xf>
    <xf numFmtId="0" fontId="31" fillId="0" borderId="16" xfId="28" applyFont="1" applyBorder="1" applyProtection="1">
      <protection locked="0"/>
    </xf>
    <xf numFmtId="0" fontId="14" fillId="2" borderId="0" xfId="28" applyFont="1" applyFill="1" applyAlignment="1">
      <alignment horizontal="center" vertical="center"/>
    </xf>
    <xf numFmtId="0" fontId="31" fillId="0" borderId="0" xfId="28" applyFont="1"/>
    <xf numFmtId="0" fontId="14" fillId="0" borderId="0" xfId="28" applyFont="1" applyProtection="1">
      <protection locked="0"/>
    </xf>
    <xf numFmtId="0" fontId="14" fillId="0" borderId="0" xfId="56" applyFont="1" applyAlignment="1" applyProtection="1">
      <alignment vertical="center"/>
      <protection locked="0"/>
    </xf>
    <xf numFmtId="0" fontId="31" fillId="0" borderId="0" xfId="28" applyFont="1" applyProtection="1">
      <protection locked="0"/>
    </xf>
    <xf numFmtId="3" fontId="12" fillId="2" borderId="0" xfId="0" applyNumberFormat="1" applyFont="1" applyFill="1" applyAlignment="1">
      <alignment horizontal="center" vertical="center"/>
    </xf>
    <xf numFmtId="37" fontId="4" fillId="10" borderId="2" xfId="0" applyNumberFormat="1" applyFont="1" applyFill="1" applyBorder="1" applyAlignment="1">
      <alignment horizontal="center" vertical="center" wrapText="1"/>
    </xf>
    <xf numFmtId="0" fontId="0" fillId="10" borderId="4" xfId="0" applyFill="1" applyBorder="1" applyAlignment="1">
      <alignment vertical="center" wrapText="1"/>
    </xf>
    <xf numFmtId="37" fontId="12" fillId="2" borderId="0" xfId="0" applyNumberFormat="1" applyFont="1" applyFill="1" applyAlignment="1">
      <alignment horizontal="center" vertical="center"/>
    </xf>
    <xf numFmtId="0" fontId="13" fillId="0" borderId="0" xfId="0" applyFont="1" applyAlignment="1">
      <alignment horizontal="center" vertical="center"/>
    </xf>
    <xf numFmtId="37" fontId="13" fillId="2" borderId="0" xfId="0" applyNumberFormat="1" applyFont="1" applyFill="1" applyAlignment="1">
      <alignment horizontal="center" vertical="center"/>
    </xf>
    <xf numFmtId="0" fontId="0" fillId="0" borderId="0" xfId="0" applyAlignment="1">
      <alignment horizontal="center" vertical="center"/>
    </xf>
    <xf numFmtId="37" fontId="3" fillId="2" borderId="0" xfId="28" applyNumberFormat="1" applyFont="1" applyFill="1" applyAlignment="1">
      <alignment vertical="center" wrapText="1"/>
    </xf>
    <xf numFmtId="0" fontId="4" fillId="2" borderId="14" xfId="28" applyFont="1" applyFill="1" applyBorder="1" applyAlignment="1">
      <alignment vertical="center" wrapText="1"/>
    </xf>
    <xf numFmtId="0" fontId="2" fillId="0" borderId="9" xfId="28" applyBorder="1" applyAlignment="1">
      <alignment vertical="center" wrapText="1"/>
    </xf>
    <xf numFmtId="0" fontId="2" fillId="0" borderId="16" xfId="28" applyBorder="1" applyAlignment="1">
      <alignment vertical="center" wrapText="1"/>
    </xf>
    <xf numFmtId="0" fontId="2" fillId="0" borderId="10" xfId="28" applyBorder="1" applyAlignment="1">
      <alignment vertical="center" wrapText="1"/>
    </xf>
    <xf numFmtId="0" fontId="2" fillId="0" borderId="8" xfId="28" applyBorder="1" applyAlignment="1">
      <alignment vertical="center" wrapText="1"/>
    </xf>
    <xf numFmtId="0" fontId="2" fillId="0" borderId="3" xfId="28" applyBorder="1" applyAlignment="1">
      <alignment vertical="center" wrapText="1"/>
    </xf>
    <xf numFmtId="0" fontId="4" fillId="0" borderId="0" xfId="0" applyFont="1" applyAlignment="1">
      <alignment horizontal="center" vertical="center"/>
    </xf>
    <xf numFmtId="0" fontId="3" fillId="9" borderId="5" xfId="0" applyFont="1" applyFill="1" applyBorder="1" applyAlignment="1">
      <alignment horizontal="center" vertical="center"/>
    </xf>
    <xf numFmtId="0" fontId="15" fillId="9" borderId="6" xfId="0" applyFont="1" applyFill="1" applyBorder="1" applyAlignment="1">
      <alignment horizontal="center" vertical="center"/>
    </xf>
    <xf numFmtId="0" fontId="11" fillId="2" borderId="0" xfId="0" applyFont="1" applyFill="1" applyAlignment="1">
      <alignment vertical="center"/>
    </xf>
    <xf numFmtId="0" fontId="16" fillId="0" borderId="0" xfId="0" applyFont="1" applyAlignment="1">
      <alignment vertical="center"/>
    </xf>
    <xf numFmtId="0" fontId="21" fillId="14" borderId="0" xfId="477" applyFont="1" applyFill="1" applyAlignment="1">
      <alignment horizontal="center" vertical="center" wrapText="1"/>
    </xf>
    <xf numFmtId="49" fontId="4" fillId="4" borderId="5" xfId="477" applyNumberFormat="1" applyFont="1" applyFill="1" applyBorder="1" applyAlignment="1" applyProtection="1">
      <alignment horizontal="left" vertical="center"/>
      <protection locked="0"/>
    </xf>
    <xf numFmtId="49" fontId="4" fillId="4" borderId="12" xfId="477" applyNumberFormat="1" applyFont="1" applyFill="1" applyBorder="1" applyAlignment="1" applyProtection="1">
      <alignment horizontal="left" vertical="center"/>
      <protection locked="0"/>
    </xf>
    <xf numFmtId="49" fontId="4" fillId="4" borderId="6" xfId="477" applyNumberFormat="1" applyFont="1" applyFill="1" applyBorder="1" applyAlignment="1" applyProtection="1">
      <alignment horizontal="left" vertical="center"/>
      <protection locked="0"/>
    </xf>
    <xf numFmtId="0" fontId="17" fillId="0" borderId="0" xfId="0" applyFont="1" applyAlignment="1">
      <alignment horizontal="center" vertical="top" wrapText="1"/>
    </xf>
    <xf numFmtId="0" fontId="4" fillId="4" borderId="5" xfId="477" applyFont="1" applyFill="1" applyBorder="1" applyAlignment="1" applyProtection="1">
      <alignment horizontal="left" vertical="center"/>
      <protection locked="0"/>
    </xf>
    <xf numFmtId="0" fontId="4" fillId="4" borderId="12" xfId="477" applyFont="1" applyFill="1" applyBorder="1" applyAlignment="1" applyProtection="1">
      <alignment horizontal="left" vertical="center"/>
      <protection locked="0"/>
    </xf>
    <xf numFmtId="0" fontId="4" fillId="4" borderId="6" xfId="477" applyFont="1" applyFill="1" applyBorder="1" applyAlignment="1" applyProtection="1">
      <alignment horizontal="left" vertical="center"/>
      <protection locked="0"/>
    </xf>
    <xf numFmtId="0" fontId="46" fillId="14" borderId="0" xfId="0" applyFont="1" applyFill="1" applyAlignment="1">
      <alignment horizontal="center" vertical="center"/>
    </xf>
    <xf numFmtId="0" fontId="4" fillId="0" borderId="0" xfId="477" applyFont="1" applyAlignment="1">
      <alignment horizontal="center" vertical="center" wrapText="1"/>
    </xf>
    <xf numFmtId="0" fontId="3" fillId="15" borderId="0" xfId="0" applyFont="1" applyFill="1" applyAlignment="1">
      <alignment horizontal="left" vertical="top" wrapText="1"/>
    </xf>
    <xf numFmtId="0" fontId="7" fillId="9" borderId="7" xfId="0" applyFont="1" applyFill="1" applyBorder="1" applyAlignment="1">
      <alignment horizontal="center" vertical="center" wrapText="1"/>
    </xf>
    <xf numFmtId="37" fontId="4" fillId="2" borderId="0" xfId="0" applyNumberFormat="1" applyFont="1" applyFill="1" applyAlignment="1">
      <alignment horizontal="center" vertical="center"/>
    </xf>
    <xf numFmtId="37" fontId="4" fillId="2" borderId="2" xfId="0" applyNumberFormat="1" applyFont="1" applyFill="1" applyBorder="1" applyAlignment="1">
      <alignment horizontal="center" vertical="center" wrapText="1"/>
    </xf>
    <xf numFmtId="37" fontId="4" fillId="2" borderId="13" xfId="0" applyNumberFormat="1" applyFont="1" applyFill="1" applyBorder="1" applyAlignment="1">
      <alignment horizontal="center" vertical="center" wrapText="1"/>
    </xf>
    <xf numFmtId="37" fontId="4" fillId="2" borderId="4" xfId="0" applyNumberFormat="1" applyFont="1" applyFill="1" applyBorder="1" applyAlignment="1">
      <alignment horizontal="center" vertical="center" wrapText="1"/>
    </xf>
    <xf numFmtId="173" fontId="4" fillId="4" borderId="2" xfId="1" applyNumberFormat="1" applyFont="1" applyFill="1" applyBorder="1" applyAlignment="1" applyProtection="1">
      <alignment vertical="center"/>
      <protection locked="0"/>
    </xf>
    <xf numFmtId="173" fontId="4" fillId="4" borderId="4" xfId="1" applyNumberFormat="1" applyFont="1" applyFill="1" applyBorder="1" applyAlignment="1" applyProtection="1">
      <alignment vertical="center"/>
      <protection locked="0"/>
    </xf>
    <xf numFmtId="0" fontId="3" fillId="2" borderId="0" xfId="0" applyFont="1" applyFill="1" applyAlignment="1">
      <alignment horizontal="center" vertical="center"/>
    </xf>
    <xf numFmtId="0" fontId="0" fillId="0" borderId="13" xfId="0" applyBorder="1" applyAlignment="1">
      <alignment horizontal="center" vertical="center" wrapText="1"/>
    </xf>
    <xf numFmtId="0" fontId="0" fillId="0" borderId="4" xfId="0" applyBorder="1" applyAlignment="1">
      <alignment horizontal="center" vertical="center" wrapText="1"/>
    </xf>
    <xf numFmtId="37" fontId="4" fillId="2" borderId="5" xfId="0" applyNumberFormat="1" applyFont="1" applyFill="1" applyBorder="1" applyAlignment="1">
      <alignment horizontal="center" vertical="center"/>
    </xf>
    <xf numFmtId="0" fontId="0" fillId="0" borderId="12" xfId="0" applyBorder="1" applyAlignment="1">
      <alignment vertical="center"/>
    </xf>
    <xf numFmtId="0" fontId="0" fillId="0" borderId="6" xfId="0" applyBorder="1" applyAlignment="1">
      <alignment vertical="center"/>
    </xf>
    <xf numFmtId="0" fontId="4" fillId="2" borderId="0" xfId="0" applyFont="1" applyFill="1" applyAlignment="1">
      <alignment horizontal="center" vertical="center"/>
    </xf>
    <xf numFmtId="0" fontId="0" fillId="0" borderId="0" xfId="0" applyAlignment="1">
      <alignment vertical="center"/>
    </xf>
    <xf numFmtId="37" fontId="3" fillId="2" borderId="0" xfId="31" applyNumberFormat="1" applyFont="1" applyFill="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wrapText="1"/>
    </xf>
    <xf numFmtId="0" fontId="3" fillId="2" borderId="0" xfId="513" applyFont="1" applyFill="1" applyAlignment="1">
      <alignment horizontal="center" vertical="center"/>
    </xf>
    <xf numFmtId="0" fontId="13" fillId="2" borderId="0" xfId="498" applyFont="1" applyFill="1" applyAlignment="1">
      <alignment horizontal="center"/>
    </xf>
    <xf numFmtId="0" fontId="2" fillId="2" borderId="0" xfId="36" applyFill="1" applyAlignment="1">
      <alignment horizontal="center"/>
    </xf>
    <xf numFmtId="0" fontId="3" fillId="2" borderId="0" xfId="36" applyFont="1" applyFill="1" applyAlignment="1">
      <alignment horizontal="center" vertical="center"/>
    </xf>
    <xf numFmtId="0" fontId="13" fillId="2" borderId="0" xfId="36" applyFont="1" applyFill="1" applyAlignment="1">
      <alignment horizontal="center" vertical="center"/>
    </xf>
    <xf numFmtId="0" fontId="4" fillId="2" borderId="0" xfId="36" applyFont="1" applyFill="1" applyAlignment="1">
      <alignment vertical="center" wrapText="1"/>
    </xf>
    <xf numFmtId="0" fontId="51" fillId="0" borderId="15" xfId="0" applyFont="1" applyBorder="1" applyAlignment="1" applyProtection="1">
      <alignment horizontal="center" vertical="center" wrapText="1"/>
      <protection locked="0"/>
    </xf>
    <xf numFmtId="0" fontId="51" fillId="0" borderId="0" xfId="0" applyFont="1" applyAlignment="1" applyProtection="1">
      <alignment horizontal="center" vertical="center" wrapText="1"/>
      <protection locked="0"/>
    </xf>
    <xf numFmtId="0" fontId="4" fillId="2"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3" fontId="4" fillId="2" borderId="15" xfId="56" applyNumberFormat="1" applyFont="1" applyFill="1" applyBorder="1" applyAlignment="1">
      <alignment horizontal="right" vertical="center"/>
    </xf>
    <xf numFmtId="0" fontId="2" fillId="0" borderId="9" xfId="56" applyBorder="1" applyAlignment="1">
      <alignment horizontal="right" vertical="center"/>
    </xf>
    <xf numFmtId="0" fontId="4" fillId="2" borderId="0" xfId="56" applyFont="1" applyFill="1" applyAlignment="1">
      <alignment horizontal="right" vertical="center"/>
    </xf>
    <xf numFmtId="0" fontId="4" fillId="0" borderId="10" xfId="56" applyFont="1" applyBorder="1" applyAlignment="1">
      <alignment horizontal="right" vertical="center"/>
    </xf>
    <xf numFmtId="0" fontId="32" fillId="2" borderId="14" xfId="0" applyFont="1" applyFill="1" applyBorder="1" applyAlignment="1">
      <alignment horizontal="center" vertical="center"/>
    </xf>
    <xf numFmtId="0" fontId="0" fillId="0" borderId="15" xfId="0" applyBorder="1" applyAlignment="1">
      <alignment vertical="center"/>
    </xf>
    <xf numFmtId="0" fontId="0" fillId="0" borderId="9" xfId="0" applyBorder="1" applyAlignment="1">
      <alignment vertical="center"/>
    </xf>
    <xf numFmtId="174" fontId="32" fillId="12" borderId="14" xfId="0" applyNumberFormat="1" applyFont="1" applyFill="1" applyBorder="1" applyAlignment="1">
      <alignment horizontal="center" wrapText="1"/>
    </xf>
    <xf numFmtId="174" fontId="32" fillId="12" borderId="15" xfId="0" applyNumberFormat="1" applyFont="1" applyFill="1" applyBorder="1" applyAlignment="1">
      <alignment horizontal="center" wrapText="1"/>
    </xf>
    <xf numFmtId="174" fontId="32" fillId="12" borderId="9" xfId="0" applyNumberFormat="1" applyFont="1" applyFill="1" applyBorder="1" applyAlignment="1">
      <alignment horizontal="center" wrapText="1"/>
    </xf>
    <xf numFmtId="174" fontId="32" fillId="12" borderId="16" xfId="0" applyNumberFormat="1" applyFont="1" applyFill="1" applyBorder="1" applyAlignment="1">
      <alignment horizontal="center" wrapText="1"/>
    </xf>
    <xf numFmtId="174" fontId="32" fillId="12" borderId="0" xfId="0" applyNumberFormat="1" applyFont="1" applyFill="1" applyAlignment="1">
      <alignment horizontal="center" wrapText="1"/>
    </xf>
    <xf numFmtId="174" fontId="32" fillId="12" borderId="10" xfId="0" applyNumberFormat="1" applyFont="1" applyFill="1" applyBorder="1" applyAlignment="1">
      <alignment horizontal="center" wrapText="1"/>
    </xf>
    <xf numFmtId="0" fontId="4" fillId="12" borderId="16"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8" xfId="0" applyFont="1" applyFill="1" applyBorder="1" applyAlignment="1">
      <alignment horizontal="center" vertical="center" wrapText="1"/>
    </xf>
    <xf numFmtId="0" fontId="4" fillId="12" borderId="1" xfId="0" applyFont="1" applyFill="1" applyBorder="1" applyAlignment="1">
      <alignment horizontal="center" vertical="center" wrapText="1"/>
    </xf>
    <xf numFmtId="49" fontId="47" fillId="12" borderId="10" xfId="0" applyNumberFormat="1" applyFont="1" applyFill="1" applyBorder="1" applyAlignment="1">
      <alignment horizontal="center" vertical="center"/>
    </xf>
    <xf numFmtId="49" fontId="47" fillId="12" borderId="3" xfId="0" applyNumberFormat="1" applyFont="1" applyFill="1" applyBorder="1" applyAlignment="1">
      <alignment horizontal="center" vertical="center"/>
    </xf>
    <xf numFmtId="0" fontId="4" fillId="2" borderId="0" xfId="15" applyNumberFormat="1" applyFont="1" applyFill="1" applyBorder="1" applyAlignment="1" applyProtection="1">
      <alignment horizontal="right" vertical="center"/>
    </xf>
    <xf numFmtId="0" fontId="4" fillId="0" borderId="0" xfId="15" applyFont="1" applyAlignment="1" applyProtection="1">
      <alignment horizontal="right" vertical="center"/>
    </xf>
    <xf numFmtId="0" fontId="32" fillId="2" borderId="14" xfId="28" applyFont="1" applyFill="1" applyBorder="1" applyAlignment="1">
      <alignment horizontal="center" vertical="center"/>
    </xf>
    <xf numFmtId="0" fontId="2" fillId="0" borderId="15" xfId="28" applyBorder="1" applyAlignment="1">
      <alignment vertical="center"/>
    </xf>
    <xf numFmtId="0" fontId="2" fillId="0" borderId="9" xfId="28" applyBorder="1" applyAlignment="1">
      <alignment vertical="center"/>
    </xf>
    <xf numFmtId="0" fontId="35" fillId="0" borderId="15" xfId="28" applyFont="1" applyBorder="1" applyAlignment="1">
      <alignment horizontal="center" vertical="center"/>
    </xf>
    <xf numFmtId="0" fontId="2" fillId="0" borderId="9" xfId="28" applyBorder="1"/>
    <xf numFmtId="0" fontId="2" fillId="0" borderId="15" xfId="28" applyBorder="1" applyAlignment="1">
      <alignment horizontal="center" vertical="center"/>
    </xf>
    <xf numFmtId="0" fontId="11" fillId="2" borderId="16" xfId="29" applyFont="1" applyFill="1" applyBorder="1" applyAlignment="1">
      <alignment vertical="center" wrapText="1"/>
    </xf>
    <xf numFmtId="0" fontId="0" fillId="0" borderId="0" xfId="0"/>
    <xf numFmtId="0" fontId="0" fillId="0" borderId="16" xfId="0" applyBorder="1"/>
    <xf numFmtId="0" fontId="32" fillId="2" borderId="15" xfId="28" applyFont="1" applyFill="1" applyBorder="1" applyAlignment="1">
      <alignment horizontal="center" vertical="center"/>
    </xf>
    <xf numFmtId="0" fontId="32" fillId="2" borderId="9" xfId="28" applyFont="1" applyFill="1" applyBorder="1" applyAlignment="1">
      <alignment horizontal="center" vertical="center"/>
    </xf>
    <xf numFmtId="0" fontId="4" fillId="8" borderId="1" xfId="0" applyFont="1" applyFill="1" applyBorder="1" applyAlignment="1">
      <alignment horizontal="right" vertical="center"/>
    </xf>
    <xf numFmtId="0" fontId="3" fillId="2" borderId="5" xfId="0" applyFont="1" applyFill="1" applyBorder="1" applyAlignment="1">
      <alignment vertical="center"/>
    </xf>
    <xf numFmtId="0" fontId="3" fillId="2" borderId="6" xfId="0" applyFont="1" applyFill="1" applyBorder="1" applyAlignment="1">
      <alignment vertical="center"/>
    </xf>
    <xf numFmtId="37" fontId="3" fillId="2" borderId="5" xfId="0" applyNumberFormat="1" applyFont="1" applyFill="1" applyBorder="1" applyAlignment="1">
      <alignment vertical="center"/>
    </xf>
    <xf numFmtId="37" fontId="3" fillId="2" borderId="0" xfId="0" applyNumberFormat="1" applyFont="1" applyFill="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37" fontId="4" fillId="2" borderId="15" xfId="0" applyNumberFormat="1" applyFont="1" applyFill="1" applyBorder="1" applyAlignment="1">
      <alignment horizontal="center" vertical="center"/>
    </xf>
    <xf numFmtId="0" fontId="0" fillId="0" borderId="15" xfId="0" applyBorder="1" applyAlignment="1">
      <alignment horizontal="center" vertical="center"/>
    </xf>
    <xf numFmtId="37" fontId="4" fillId="2" borderId="1" xfId="0" applyNumberFormat="1" applyFont="1" applyFill="1" applyBorder="1" applyAlignment="1" applyProtection="1">
      <alignment horizontal="center" vertical="center"/>
      <protection locked="0"/>
    </xf>
    <xf numFmtId="0" fontId="13" fillId="2" borderId="14" xfId="0" applyFont="1" applyFill="1" applyBorder="1" applyAlignment="1">
      <alignment horizontal="center"/>
    </xf>
    <xf numFmtId="0" fontId="13" fillId="2" borderId="15" xfId="0" applyFont="1" applyFill="1" applyBorder="1" applyAlignment="1">
      <alignment horizontal="center"/>
    </xf>
    <xf numFmtId="0" fontId="13" fillId="2" borderId="9" xfId="0" applyFont="1" applyFill="1"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3" fontId="17" fillId="2" borderId="19" xfId="0" applyNumberFormat="1" applyFont="1" applyFill="1" applyBorder="1" applyAlignment="1">
      <alignment horizontal="right" vertical="center"/>
    </xf>
    <xf numFmtId="3" fontId="17" fillId="2" borderId="20" xfId="0" applyNumberFormat="1" applyFont="1" applyFill="1" applyBorder="1" applyAlignment="1">
      <alignment horizontal="right" vertical="center"/>
    </xf>
    <xf numFmtId="3" fontId="17" fillId="2" borderId="21" xfId="0" applyNumberFormat="1" applyFont="1" applyFill="1" applyBorder="1" applyAlignment="1">
      <alignment horizontal="right" vertical="center"/>
    </xf>
    <xf numFmtId="0" fontId="3" fillId="12" borderId="14" xfId="0" applyFont="1" applyFill="1" applyBorder="1" applyAlignment="1">
      <alignment horizontal="center" wrapText="1"/>
    </xf>
    <xf numFmtId="0" fontId="13" fillId="12" borderId="15" xfId="0" applyFont="1" applyFill="1" applyBorder="1" applyAlignment="1">
      <alignment horizontal="center" wrapText="1"/>
    </xf>
    <xf numFmtId="0" fontId="13" fillId="12" borderId="8" xfId="0" applyFont="1" applyFill="1" applyBorder="1" applyAlignment="1">
      <alignment horizontal="center" wrapText="1"/>
    </xf>
    <xf numFmtId="0" fontId="13" fillId="12" borderId="1" xfId="0" applyFont="1" applyFill="1" applyBorder="1" applyAlignment="1">
      <alignment horizontal="center" wrapText="1"/>
    </xf>
    <xf numFmtId="0" fontId="46" fillId="12" borderId="9" xfId="0" applyFont="1" applyFill="1" applyBorder="1" applyAlignment="1">
      <alignment horizontal="center" vertical="center" wrapText="1"/>
    </xf>
    <xf numFmtId="0" fontId="21" fillId="12" borderId="3" xfId="0" applyFont="1" applyFill="1" applyBorder="1" applyAlignment="1">
      <alignment horizontal="center" vertical="center" wrapText="1"/>
    </xf>
    <xf numFmtId="49" fontId="4" fillId="2" borderId="0" xfId="0" applyNumberFormat="1" applyFont="1" applyFill="1" applyAlignment="1" applyProtection="1">
      <alignment horizontal="left" vertical="center"/>
      <protection locked="0"/>
    </xf>
    <xf numFmtId="0" fontId="13" fillId="2" borderId="0" xfId="0" applyFont="1" applyFill="1" applyAlignment="1">
      <alignment horizontal="center" vertical="center"/>
    </xf>
    <xf numFmtId="0" fontId="4" fillId="2" borderId="7" xfId="0" applyFont="1" applyFill="1" applyBorder="1" applyAlignment="1">
      <alignment horizontal="center" vertical="center"/>
    </xf>
    <xf numFmtId="0" fontId="4" fillId="2" borderId="0" xfId="0" applyFont="1" applyFill="1" applyAlignment="1">
      <alignment horizontal="right" vertical="center"/>
    </xf>
    <xf numFmtId="0" fontId="0" fillId="0" borderId="0" xfId="0" applyAlignment="1">
      <alignment horizontal="right" vertical="center"/>
    </xf>
    <xf numFmtId="0" fontId="4" fillId="0" borderId="0" xfId="401" applyFont="1" applyAlignment="1">
      <alignment horizontal="left" wrapText="1"/>
    </xf>
    <xf numFmtId="0" fontId="4" fillId="0" borderId="0" xfId="401" applyFont="1" applyAlignment="1">
      <alignment wrapText="1"/>
    </xf>
    <xf numFmtId="0" fontId="3" fillId="0" borderId="0" xfId="401" applyFont="1" applyAlignment="1">
      <alignment wrapText="1"/>
    </xf>
    <xf numFmtId="0" fontId="4" fillId="0" borderId="0" xfId="401" applyFont="1" applyAlignment="1">
      <alignment horizontal="center"/>
    </xf>
    <xf numFmtId="0" fontId="13" fillId="0" borderId="0" xfId="401" applyFont="1" applyAlignment="1">
      <alignment horizontal="center"/>
    </xf>
    <xf numFmtId="0" fontId="3" fillId="0" borderId="0" xfId="401" applyFont="1" applyAlignment="1">
      <alignment horizontal="left" wrapText="1"/>
    </xf>
    <xf numFmtId="0" fontId="46" fillId="0" borderId="0" xfId="0" applyFont="1" applyAlignment="1">
      <alignment horizontal="center" vertical="center"/>
    </xf>
    <xf numFmtId="0" fontId="46" fillId="0" borderId="0" xfId="0" applyFont="1" applyAlignment="1">
      <alignment horizontal="center"/>
    </xf>
    <xf numFmtId="0" fontId="53" fillId="0" borderId="0" xfId="401" applyFont="1" applyAlignment="1">
      <alignment horizontal="center"/>
    </xf>
    <xf numFmtId="0" fontId="60" fillId="0" borderId="0" xfId="401" applyFont="1" applyAlignment="1">
      <alignment horizontal="center" wrapText="1"/>
    </xf>
    <xf numFmtId="37" fontId="3" fillId="2" borderId="0" xfId="0" applyNumberFormat="1" applyFont="1" applyFill="1" applyAlignment="1">
      <alignment horizontal="right" vertical="center"/>
    </xf>
    <xf numFmtId="37" fontId="4" fillId="2" borderId="0" xfId="0" applyNumberFormat="1" applyFont="1" applyFill="1" applyAlignment="1">
      <alignment horizontal="right" vertical="center"/>
    </xf>
  </cellXfs>
  <cellStyles count="515">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2 2" xfId="6" xr:uid="{00000000-0005-0000-0000-000005000000}"/>
    <cellStyle name="Comma 3 2" xfId="7" xr:uid="{00000000-0005-0000-0000-000006000000}"/>
    <cellStyle name="Comma 3 3" xfId="8" xr:uid="{00000000-0005-0000-0000-000007000000}"/>
    <cellStyle name="Comma 4 2" xfId="9" xr:uid="{00000000-0005-0000-0000-000008000000}"/>
    <cellStyle name="Comma 6 2" xfId="10" xr:uid="{00000000-0005-0000-0000-000009000000}"/>
    <cellStyle name="Comma 7" xfId="11" xr:uid="{00000000-0005-0000-0000-00000A000000}"/>
    <cellStyle name="Comma 7 2" xfId="12" xr:uid="{00000000-0005-0000-0000-00000B000000}"/>
    <cellStyle name="Comma 7 3" xfId="13" xr:uid="{00000000-0005-0000-0000-00000C000000}"/>
    <cellStyle name="Currency" xfId="514" builtinId="4"/>
    <cellStyle name="Hyperlink" xfId="14" builtinId="8"/>
    <cellStyle name="Hyperlink 2" xfId="15" xr:uid="{00000000-0005-0000-0000-00000E000000}"/>
    <cellStyle name="Hyperlink 2 2" xfId="16" xr:uid="{00000000-0005-0000-0000-00000F000000}"/>
    <cellStyle name="Hyperlink 2 3" xfId="17" xr:uid="{00000000-0005-0000-0000-000010000000}"/>
    <cellStyle name="Hyperlink 3 2" xfId="18" xr:uid="{00000000-0005-0000-0000-000011000000}"/>
    <cellStyle name="Hyperlink 3 3" xfId="19" xr:uid="{00000000-0005-0000-0000-000012000000}"/>
    <cellStyle name="Hyperlink 3 4" xfId="20" xr:uid="{00000000-0005-0000-0000-000013000000}"/>
    <cellStyle name="Hyperlink 4" xfId="21" xr:uid="{00000000-0005-0000-0000-000014000000}"/>
    <cellStyle name="Hyperlink 4 2" xfId="22" xr:uid="{00000000-0005-0000-0000-000015000000}"/>
    <cellStyle name="Hyperlink 7" xfId="23" xr:uid="{00000000-0005-0000-0000-000016000000}"/>
    <cellStyle name="Hyperlink 7 2" xfId="24" xr:uid="{00000000-0005-0000-0000-000017000000}"/>
    <cellStyle name="Hyperlink 7 3" xfId="25" xr:uid="{00000000-0005-0000-0000-000018000000}"/>
    <cellStyle name="Hyperlink 8" xfId="26" xr:uid="{00000000-0005-0000-0000-000019000000}"/>
    <cellStyle name="Hyperlink 8 2" xfId="27" xr:uid="{00000000-0005-0000-0000-00001A000000}"/>
    <cellStyle name="Normal" xfId="0" builtinId="0"/>
    <cellStyle name="Normal 10" xfId="28" xr:uid="{00000000-0005-0000-0000-00001C000000}"/>
    <cellStyle name="Normal 10 2" xfId="29" xr:uid="{00000000-0005-0000-0000-00001D000000}"/>
    <cellStyle name="Normal 10 2 2" xfId="30" xr:uid="{00000000-0005-0000-0000-00001E000000}"/>
    <cellStyle name="Normal 10 2 2 2" xfId="31" xr:uid="{00000000-0005-0000-0000-00001F000000}"/>
    <cellStyle name="Normal 10 2 2 3" xfId="32" xr:uid="{00000000-0005-0000-0000-000020000000}"/>
    <cellStyle name="Normal 10 2 3" xfId="33" xr:uid="{00000000-0005-0000-0000-000021000000}"/>
    <cellStyle name="Normal 10 3" xfId="34" xr:uid="{00000000-0005-0000-0000-000022000000}"/>
    <cellStyle name="Normal 10 4" xfId="35" xr:uid="{00000000-0005-0000-0000-000023000000}"/>
    <cellStyle name="Normal 10 5" xfId="36" xr:uid="{00000000-0005-0000-0000-000024000000}"/>
    <cellStyle name="Normal 10 5 2" xfId="37" xr:uid="{00000000-0005-0000-0000-000025000000}"/>
    <cellStyle name="Normal 10 5 3" xfId="38" xr:uid="{00000000-0005-0000-0000-000026000000}"/>
    <cellStyle name="Normal 10 6" xfId="39" xr:uid="{00000000-0005-0000-0000-000027000000}"/>
    <cellStyle name="Normal 10 7" xfId="40" xr:uid="{00000000-0005-0000-0000-000028000000}"/>
    <cellStyle name="Normal 11" xfId="41" xr:uid="{00000000-0005-0000-0000-000029000000}"/>
    <cellStyle name="Normal 11 2" xfId="42" xr:uid="{00000000-0005-0000-0000-00002A000000}"/>
    <cellStyle name="Normal 11 2 2" xfId="43" xr:uid="{00000000-0005-0000-0000-00002B000000}"/>
    <cellStyle name="Normal 11 2 3" xfId="44" xr:uid="{00000000-0005-0000-0000-00002C000000}"/>
    <cellStyle name="Normal 11 3" xfId="45" xr:uid="{00000000-0005-0000-0000-00002D000000}"/>
    <cellStyle name="Normal 11 4" xfId="46" xr:uid="{00000000-0005-0000-0000-00002E000000}"/>
    <cellStyle name="Normal 11 5" xfId="47" xr:uid="{00000000-0005-0000-0000-00002F000000}"/>
    <cellStyle name="Normal 11 5 2" xfId="48" xr:uid="{00000000-0005-0000-0000-000030000000}"/>
    <cellStyle name="Normal 11 5 3" xfId="49" xr:uid="{00000000-0005-0000-0000-000031000000}"/>
    <cellStyle name="Normal 11 6" xfId="50" xr:uid="{00000000-0005-0000-0000-000032000000}"/>
    <cellStyle name="Normal 12" xfId="51" xr:uid="{00000000-0005-0000-0000-000033000000}"/>
    <cellStyle name="Normal 12 10" xfId="52" xr:uid="{00000000-0005-0000-0000-000034000000}"/>
    <cellStyle name="Normal 12 11" xfId="53" xr:uid="{00000000-0005-0000-0000-000035000000}"/>
    <cellStyle name="Normal 12 12" xfId="54" xr:uid="{00000000-0005-0000-0000-000036000000}"/>
    <cellStyle name="Normal 12 13" xfId="55" xr:uid="{00000000-0005-0000-0000-000037000000}"/>
    <cellStyle name="Normal 12 2" xfId="56" xr:uid="{00000000-0005-0000-0000-000038000000}"/>
    <cellStyle name="Normal 12 2 2" xfId="57" xr:uid="{00000000-0005-0000-0000-000039000000}"/>
    <cellStyle name="Normal 12 3" xfId="58" xr:uid="{00000000-0005-0000-0000-00003A000000}"/>
    <cellStyle name="Normal 12 4" xfId="59" xr:uid="{00000000-0005-0000-0000-00003B000000}"/>
    <cellStyle name="Normal 12 5" xfId="60" xr:uid="{00000000-0005-0000-0000-00003C000000}"/>
    <cellStyle name="Normal 12 6" xfId="61" xr:uid="{00000000-0005-0000-0000-00003D000000}"/>
    <cellStyle name="Normal 12 7" xfId="62" xr:uid="{00000000-0005-0000-0000-00003E000000}"/>
    <cellStyle name="Normal 12 8" xfId="63" xr:uid="{00000000-0005-0000-0000-00003F000000}"/>
    <cellStyle name="Normal 12 9" xfId="64" xr:uid="{00000000-0005-0000-0000-000040000000}"/>
    <cellStyle name="Normal 13" xfId="65" xr:uid="{00000000-0005-0000-0000-000041000000}"/>
    <cellStyle name="Normal 13 10" xfId="66" xr:uid="{00000000-0005-0000-0000-000042000000}"/>
    <cellStyle name="Normal 13 11" xfId="67" xr:uid="{00000000-0005-0000-0000-000043000000}"/>
    <cellStyle name="Normal 13 12" xfId="68" xr:uid="{00000000-0005-0000-0000-000044000000}"/>
    <cellStyle name="Normal 13 13" xfId="69" xr:uid="{00000000-0005-0000-0000-000045000000}"/>
    <cellStyle name="Normal 13 2" xfId="70" xr:uid="{00000000-0005-0000-0000-000046000000}"/>
    <cellStyle name="Normal 13 2 2" xfId="71" xr:uid="{00000000-0005-0000-0000-000047000000}"/>
    <cellStyle name="Normal 13 3" xfId="72" xr:uid="{00000000-0005-0000-0000-000048000000}"/>
    <cellStyle name="Normal 13 4" xfId="73" xr:uid="{00000000-0005-0000-0000-000049000000}"/>
    <cellStyle name="Normal 13 5" xfId="74" xr:uid="{00000000-0005-0000-0000-00004A000000}"/>
    <cellStyle name="Normal 13 6" xfId="75" xr:uid="{00000000-0005-0000-0000-00004B000000}"/>
    <cellStyle name="Normal 13 7" xfId="76" xr:uid="{00000000-0005-0000-0000-00004C000000}"/>
    <cellStyle name="Normal 13 8" xfId="77" xr:uid="{00000000-0005-0000-0000-00004D000000}"/>
    <cellStyle name="Normal 13 9" xfId="78" xr:uid="{00000000-0005-0000-0000-00004E000000}"/>
    <cellStyle name="Normal 14" xfId="79" xr:uid="{00000000-0005-0000-0000-00004F000000}"/>
    <cellStyle name="Normal 14 2" xfId="80" xr:uid="{00000000-0005-0000-0000-000050000000}"/>
    <cellStyle name="Normal 14 3" xfId="81" xr:uid="{00000000-0005-0000-0000-000051000000}"/>
    <cellStyle name="Normal 14 4" xfId="82" xr:uid="{00000000-0005-0000-0000-000052000000}"/>
    <cellStyle name="Normal 14 5" xfId="83" xr:uid="{00000000-0005-0000-0000-000053000000}"/>
    <cellStyle name="Normal 14 6" xfId="84" xr:uid="{00000000-0005-0000-0000-000054000000}"/>
    <cellStyle name="Normal 14 7" xfId="85" xr:uid="{00000000-0005-0000-0000-000055000000}"/>
    <cellStyle name="Normal 15" xfId="86" xr:uid="{00000000-0005-0000-0000-000056000000}"/>
    <cellStyle name="Normal 15 2" xfId="87" xr:uid="{00000000-0005-0000-0000-000057000000}"/>
    <cellStyle name="Normal 15 3" xfId="88" xr:uid="{00000000-0005-0000-0000-000058000000}"/>
    <cellStyle name="Normal 15 4" xfId="89" xr:uid="{00000000-0005-0000-0000-000059000000}"/>
    <cellStyle name="Normal 15 5" xfId="90" xr:uid="{00000000-0005-0000-0000-00005A000000}"/>
    <cellStyle name="Normal 16" xfId="91" xr:uid="{00000000-0005-0000-0000-00005B000000}"/>
    <cellStyle name="Normal 16 2" xfId="92" xr:uid="{00000000-0005-0000-0000-00005C000000}"/>
    <cellStyle name="Normal 16 3" xfId="93" xr:uid="{00000000-0005-0000-0000-00005D000000}"/>
    <cellStyle name="Normal 16 4" xfId="94" xr:uid="{00000000-0005-0000-0000-00005E000000}"/>
    <cellStyle name="Normal 16 5" xfId="95" xr:uid="{00000000-0005-0000-0000-00005F000000}"/>
    <cellStyle name="Normal 17" xfId="96" xr:uid="{00000000-0005-0000-0000-000060000000}"/>
    <cellStyle name="Normal 17 2" xfId="97" xr:uid="{00000000-0005-0000-0000-000061000000}"/>
    <cellStyle name="Normal 17 3" xfId="98" xr:uid="{00000000-0005-0000-0000-000062000000}"/>
    <cellStyle name="Normal 17 4" xfId="99" xr:uid="{00000000-0005-0000-0000-000063000000}"/>
    <cellStyle name="Normal 17 5" xfId="100" xr:uid="{00000000-0005-0000-0000-000064000000}"/>
    <cellStyle name="Normal 18" xfId="101" xr:uid="{00000000-0005-0000-0000-000065000000}"/>
    <cellStyle name="Normal 18 2" xfId="102" xr:uid="{00000000-0005-0000-0000-000066000000}"/>
    <cellStyle name="Normal 18 2 2" xfId="103" xr:uid="{00000000-0005-0000-0000-000067000000}"/>
    <cellStyle name="Normal 18 2 3" xfId="104" xr:uid="{00000000-0005-0000-0000-000068000000}"/>
    <cellStyle name="Normal 18 3" xfId="105" xr:uid="{00000000-0005-0000-0000-000069000000}"/>
    <cellStyle name="Normal 18 4" xfId="106" xr:uid="{00000000-0005-0000-0000-00006A000000}"/>
    <cellStyle name="Normal 18 5" xfId="107" xr:uid="{00000000-0005-0000-0000-00006B000000}"/>
    <cellStyle name="Normal 18 6" xfId="108" xr:uid="{00000000-0005-0000-0000-00006C000000}"/>
    <cellStyle name="Normal 18 7" xfId="109" xr:uid="{00000000-0005-0000-0000-00006D000000}"/>
    <cellStyle name="Normal 18 8" xfId="110" xr:uid="{00000000-0005-0000-0000-00006E000000}"/>
    <cellStyle name="Normal 18 9" xfId="111" xr:uid="{00000000-0005-0000-0000-00006F000000}"/>
    <cellStyle name="Normal 19" xfId="112" xr:uid="{00000000-0005-0000-0000-000070000000}"/>
    <cellStyle name="Normal 19 2" xfId="113" xr:uid="{00000000-0005-0000-0000-000071000000}"/>
    <cellStyle name="Normal 19 2 2" xfId="114" xr:uid="{00000000-0005-0000-0000-000072000000}"/>
    <cellStyle name="Normal 19 2 3" xfId="115" xr:uid="{00000000-0005-0000-0000-000073000000}"/>
    <cellStyle name="Normal 19 3" xfId="116" xr:uid="{00000000-0005-0000-0000-000074000000}"/>
    <cellStyle name="Normal 19 4" xfId="117" xr:uid="{00000000-0005-0000-0000-000075000000}"/>
    <cellStyle name="Normal 19 5" xfId="118" xr:uid="{00000000-0005-0000-0000-000076000000}"/>
    <cellStyle name="Normal 19 6" xfId="119" xr:uid="{00000000-0005-0000-0000-000077000000}"/>
    <cellStyle name="Normal 19 7" xfId="120" xr:uid="{00000000-0005-0000-0000-000078000000}"/>
    <cellStyle name="Normal 19 8" xfId="121" xr:uid="{00000000-0005-0000-0000-000079000000}"/>
    <cellStyle name="Normal 2 10" xfId="122" xr:uid="{00000000-0005-0000-0000-00007A000000}"/>
    <cellStyle name="Normal 2 10 10" xfId="123" xr:uid="{00000000-0005-0000-0000-00007B000000}"/>
    <cellStyle name="Normal 2 10 11" xfId="124" xr:uid="{00000000-0005-0000-0000-00007C000000}"/>
    <cellStyle name="Normal 2 10 11 2" xfId="125" xr:uid="{00000000-0005-0000-0000-00007D000000}"/>
    <cellStyle name="Normal 2 10 11 2 2" xfId="126" xr:uid="{00000000-0005-0000-0000-00007E000000}"/>
    <cellStyle name="Normal 2 10 11 2 2 2" xfId="127" xr:uid="{00000000-0005-0000-0000-00007F000000}"/>
    <cellStyle name="Normal 2 10 11 2 2 3" xfId="128" xr:uid="{00000000-0005-0000-0000-000080000000}"/>
    <cellStyle name="Normal 2 10 11 3" xfId="129" xr:uid="{00000000-0005-0000-0000-000081000000}"/>
    <cellStyle name="Normal 2 10 11 4" xfId="130" xr:uid="{00000000-0005-0000-0000-000082000000}"/>
    <cellStyle name="Normal 2 10 11 5" xfId="131" xr:uid="{00000000-0005-0000-0000-000083000000}"/>
    <cellStyle name="Normal 2 10 12" xfId="132" xr:uid="{00000000-0005-0000-0000-000084000000}"/>
    <cellStyle name="Normal 2 10 2" xfId="133" xr:uid="{00000000-0005-0000-0000-000085000000}"/>
    <cellStyle name="Normal 2 10 2 2" xfId="134" xr:uid="{00000000-0005-0000-0000-000086000000}"/>
    <cellStyle name="Normal 2 10 3" xfId="135" xr:uid="{00000000-0005-0000-0000-000087000000}"/>
    <cellStyle name="Normal 2 10 3 2" xfId="136" xr:uid="{00000000-0005-0000-0000-000088000000}"/>
    <cellStyle name="Normal 2 10 4" xfId="137" xr:uid="{00000000-0005-0000-0000-000089000000}"/>
    <cellStyle name="Normal 2 10 4 2" xfId="138" xr:uid="{00000000-0005-0000-0000-00008A000000}"/>
    <cellStyle name="Normal 2 10 5" xfId="139" xr:uid="{00000000-0005-0000-0000-00008B000000}"/>
    <cellStyle name="Normal 2 10 5 2" xfId="140" xr:uid="{00000000-0005-0000-0000-00008C000000}"/>
    <cellStyle name="Normal 2 10 6" xfId="141" xr:uid="{00000000-0005-0000-0000-00008D000000}"/>
    <cellStyle name="Normal 2 10 6 2" xfId="142" xr:uid="{00000000-0005-0000-0000-00008E000000}"/>
    <cellStyle name="Normal 2 10 7" xfId="143" xr:uid="{00000000-0005-0000-0000-00008F000000}"/>
    <cellStyle name="Normal 2 10 7 2" xfId="144" xr:uid="{00000000-0005-0000-0000-000090000000}"/>
    <cellStyle name="Normal 2 10 8" xfId="145" xr:uid="{00000000-0005-0000-0000-000091000000}"/>
    <cellStyle name="Normal 2 10 8 2" xfId="146" xr:uid="{00000000-0005-0000-0000-000092000000}"/>
    <cellStyle name="Normal 2 10 9" xfId="147" xr:uid="{00000000-0005-0000-0000-000093000000}"/>
    <cellStyle name="Normal 2 11" xfId="148" xr:uid="{00000000-0005-0000-0000-000094000000}"/>
    <cellStyle name="Normal 2 11 10" xfId="149" xr:uid="{00000000-0005-0000-0000-000095000000}"/>
    <cellStyle name="Normal 2 11 11" xfId="150" xr:uid="{00000000-0005-0000-0000-000096000000}"/>
    <cellStyle name="Normal 2 11 2" xfId="151" xr:uid="{00000000-0005-0000-0000-000097000000}"/>
    <cellStyle name="Normal 2 11 2 2" xfId="152" xr:uid="{00000000-0005-0000-0000-000098000000}"/>
    <cellStyle name="Normal 2 11 3" xfId="153" xr:uid="{00000000-0005-0000-0000-000099000000}"/>
    <cellStyle name="Normal 2 11 3 2" xfId="154" xr:uid="{00000000-0005-0000-0000-00009A000000}"/>
    <cellStyle name="Normal 2 11 4" xfId="155" xr:uid="{00000000-0005-0000-0000-00009B000000}"/>
    <cellStyle name="Normal 2 11 4 2" xfId="156" xr:uid="{00000000-0005-0000-0000-00009C000000}"/>
    <cellStyle name="Normal 2 11 5" xfId="157" xr:uid="{00000000-0005-0000-0000-00009D000000}"/>
    <cellStyle name="Normal 2 11 5 2" xfId="158" xr:uid="{00000000-0005-0000-0000-00009E000000}"/>
    <cellStyle name="Normal 2 11 6" xfId="159" xr:uid="{00000000-0005-0000-0000-00009F000000}"/>
    <cellStyle name="Normal 2 11 6 2" xfId="160" xr:uid="{00000000-0005-0000-0000-0000A0000000}"/>
    <cellStyle name="Normal 2 11 7" xfId="161" xr:uid="{00000000-0005-0000-0000-0000A1000000}"/>
    <cellStyle name="Normal 2 11 7 2" xfId="162" xr:uid="{00000000-0005-0000-0000-0000A2000000}"/>
    <cellStyle name="Normal 2 11 8" xfId="163" xr:uid="{00000000-0005-0000-0000-0000A3000000}"/>
    <cellStyle name="Normal 2 11 8 2" xfId="164" xr:uid="{00000000-0005-0000-0000-0000A4000000}"/>
    <cellStyle name="Normal 2 11 9" xfId="165" xr:uid="{00000000-0005-0000-0000-0000A5000000}"/>
    <cellStyle name="Normal 2 12" xfId="166" xr:uid="{00000000-0005-0000-0000-0000A6000000}"/>
    <cellStyle name="Normal 2 13" xfId="167" xr:uid="{00000000-0005-0000-0000-0000A7000000}"/>
    <cellStyle name="Normal 2 14" xfId="168" xr:uid="{00000000-0005-0000-0000-0000A8000000}"/>
    <cellStyle name="Normal 2 15" xfId="169" xr:uid="{00000000-0005-0000-0000-0000A9000000}"/>
    <cellStyle name="Normal 2 16" xfId="170" xr:uid="{00000000-0005-0000-0000-0000AA000000}"/>
    <cellStyle name="Normal 2 17" xfId="171" xr:uid="{00000000-0005-0000-0000-0000AB000000}"/>
    <cellStyle name="Normal 2 17 2" xfId="172" xr:uid="{00000000-0005-0000-0000-0000AC000000}"/>
    <cellStyle name="Normal 2 17 3" xfId="173" xr:uid="{00000000-0005-0000-0000-0000AD000000}"/>
    <cellStyle name="Normal 2 2" xfId="174" xr:uid="{00000000-0005-0000-0000-0000AE000000}"/>
    <cellStyle name="Normal 2 2 10" xfId="175" xr:uid="{00000000-0005-0000-0000-0000AF000000}"/>
    <cellStyle name="Normal 2 2 10 2" xfId="176" xr:uid="{00000000-0005-0000-0000-0000B0000000}"/>
    <cellStyle name="Normal 2 2 11" xfId="177" xr:uid="{00000000-0005-0000-0000-0000B1000000}"/>
    <cellStyle name="Normal 2 2 11 2" xfId="178" xr:uid="{00000000-0005-0000-0000-0000B2000000}"/>
    <cellStyle name="Normal 2 2 12" xfId="179" xr:uid="{00000000-0005-0000-0000-0000B3000000}"/>
    <cellStyle name="Normal 2 2 12 2" xfId="180" xr:uid="{00000000-0005-0000-0000-0000B4000000}"/>
    <cellStyle name="Normal 2 2 12 2 2" xfId="181" xr:uid="{00000000-0005-0000-0000-0000B5000000}"/>
    <cellStyle name="Normal 2 2 12 2 3" xfId="182" xr:uid="{00000000-0005-0000-0000-0000B6000000}"/>
    <cellStyle name="Normal 2 2 12 2 4" xfId="183" xr:uid="{00000000-0005-0000-0000-0000B7000000}"/>
    <cellStyle name="Normal 2 2 12 3" xfId="184" xr:uid="{00000000-0005-0000-0000-0000B8000000}"/>
    <cellStyle name="Normal 2 2 12 4" xfId="185" xr:uid="{00000000-0005-0000-0000-0000B9000000}"/>
    <cellStyle name="Normal 2 2 13" xfId="186" xr:uid="{00000000-0005-0000-0000-0000BA000000}"/>
    <cellStyle name="Normal 2 2 13 2" xfId="187" xr:uid="{00000000-0005-0000-0000-0000BB000000}"/>
    <cellStyle name="Normal 2 2 13 2 2" xfId="188" xr:uid="{00000000-0005-0000-0000-0000BC000000}"/>
    <cellStyle name="Normal 2 2 13 2 3" xfId="189" xr:uid="{00000000-0005-0000-0000-0000BD000000}"/>
    <cellStyle name="Normal 2 2 13 2 4" xfId="190" xr:uid="{00000000-0005-0000-0000-0000BE000000}"/>
    <cellStyle name="Normal 2 2 13 3" xfId="191" xr:uid="{00000000-0005-0000-0000-0000BF000000}"/>
    <cellStyle name="Normal 2 2 13 4" xfId="192" xr:uid="{00000000-0005-0000-0000-0000C0000000}"/>
    <cellStyle name="Normal 2 2 14" xfId="193" xr:uid="{00000000-0005-0000-0000-0000C1000000}"/>
    <cellStyle name="Normal 2 2 14 2" xfId="194" xr:uid="{00000000-0005-0000-0000-0000C2000000}"/>
    <cellStyle name="Normal 2 2 15" xfId="195" xr:uid="{00000000-0005-0000-0000-0000C3000000}"/>
    <cellStyle name="Normal 2 2 15 2" xfId="196" xr:uid="{00000000-0005-0000-0000-0000C4000000}"/>
    <cellStyle name="Normal 2 2 16" xfId="197" xr:uid="{00000000-0005-0000-0000-0000C5000000}"/>
    <cellStyle name="Normal 2 2 16 2" xfId="198" xr:uid="{00000000-0005-0000-0000-0000C6000000}"/>
    <cellStyle name="Normal 2 2 16 3" xfId="199" xr:uid="{00000000-0005-0000-0000-0000C7000000}"/>
    <cellStyle name="Normal 2 2 17" xfId="200" xr:uid="{00000000-0005-0000-0000-0000C8000000}"/>
    <cellStyle name="Normal 2 2 18" xfId="201" xr:uid="{00000000-0005-0000-0000-0000C9000000}"/>
    <cellStyle name="Normal 2 2 19" xfId="202" xr:uid="{00000000-0005-0000-0000-0000CA000000}"/>
    <cellStyle name="Normal 2 2 2" xfId="203" xr:uid="{00000000-0005-0000-0000-0000CB000000}"/>
    <cellStyle name="Normal 2 2 2 2" xfId="204" xr:uid="{00000000-0005-0000-0000-0000CC000000}"/>
    <cellStyle name="Normal 2 2 2 2 2" xfId="205" xr:uid="{00000000-0005-0000-0000-0000CD000000}"/>
    <cellStyle name="Normal 2 2 2 2 3" xfId="206" xr:uid="{00000000-0005-0000-0000-0000CE000000}"/>
    <cellStyle name="Normal 2 2 2 2 3 2" xfId="207" xr:uid="{00000000-0005-0000-0000-0000CF000000}"/>
    <cellStyle name="Normal 2 2 2 2 3 3" xfId="208" xr:uid="{00000000-0005-0000-0000-0000D0000000}"/>
    <cellStyle name="Normal 2 2 2 3" xfId="209" xr:uid="{00000000-0005-0000-0000-0000D1000000}"/>
    <cellStyle name="Normal 2 2 2 3 2" xfId="210" xr:uid="{00000000-0005-0000-0000-0000D2000000}"/>
    <cellStyle name="Normal 2 2 2 3 3" xfId="211" xr:uid="{00000000-0005-0000-0000-0000D3000000}"/>
    <cellStyle name="Normal 2 2 2 3 4" xfId="212" xr:uid="{00000000-0005-0000-0000-0000D4000000}"/>
    <cellStyle name="Normal 2 2 2 4" xfId="213" xr:uid="{00000000-0005-0000-0000-0000D5000000}"/>
    <cellStyle name="Normal 2 2 2 4 2" xfId="214" xr:uid="{00000000-0005-0000-0000-0000D6000000}"/>
    <cellStyle name="Normal 2 2 2 5" xfId="215" xr:uid="{00000000-0005-0000-0000-0000D7000000}"/>
    <cellStyle name="Normal 2 2 2 5 2" xfId="216" xr:uid="{00000000-0005-0000-0000-0000D8000000}"/>
    <cellStyle name="Normal 2 2 2 5 3" xfId="217" xr:uid="{00000000-0005-0000-0000-0000D9000000}"/>
    <cellStyle name="Normal 2 2 2 5 4" xfId="218" xr:uid="{00000000-0005-0000-0000-0000DA000000}"/>
    <cellStyle name="Normal 2 2 2 6" xfId="219" xr:uid="{00000000-0005-0000-0000-0000DB000000}"/>
    <cellStyle name="Normal 2 2 2 6 2" xfId="220" xr:uid="{00000000-0005-0000-0000-0000DC000000}"/>
    <cellStyle name="Normal 2 2 2 7" xfId="221" xr:uid="{00000000-0005-0000-0000-0000DD000000}"/>
    <cellStyle name="Normal 2 2 2 7 2" xfId="222" xr:uid="{00000000-0005-0000-0000-0000DE000000}"/>
    <cellStyle name="Normal 2 2 2 7 3" xfId="223" xr:uid="{00000000-0005-0000-0000-0000DF000000}"/>
    <cellStyle name="Normal 2 2 2 8" xfId="224" xr:uid="{00000000-0005-0000-0000-0000E0000000}"/>
    <cellStyle name="Normal 2 2 20" xfId="225" xr:uid="{00000000-0005-0000-0000-0000E1000000}"/>
    <cellStyle name="Normal 2 2 21" xfId="226" xr:uid="{00000000-0005-0000-0000-0000E2000000}"/>
    <cellStyle name="Normal 2 2 22" xfId="227" xr:uid="{00000000-0005-0000-0000-0000E3000000}"/>
    <cellStyle name="Normal 2 2 3" xfId="228" xr:uid="{00000000-0005-0000-0000-0000E4000000}"/>
    <cellStyle name="Normal 2 2 3 2" xfId="229" xr:uid="{00000000-0005-0000-0000-0000E5000000}"/>
    <cellStyle name="Normal 2 2 4" xfId="230" xr:uid="{00000000-0005-0000-0000-0000E6000000}"/>
    <cellStyle name="Normal 2 2 4 2" xfId="231" xr:uid="{00000000-0005-0000-0000-0000E7000000}"/>
    <cellStyle name="Normal 2 2 5" xfId="232" xr:uid="{00000000-0005-0000-0000-0000E8000000}"/>
    <cellStyle name="Normal 2 2 5 2" xfId="233" xr:uid="{00000000-0005-0000-0000-0000E9000000}"/>
    <cellStyle name="Normal 2 2 6" xfId="234" xr:uid="{00000000-0005-0000-0000-0000EA000000}"/>
    <cellStyle name="Normal 2 2 6 2" xfId="235" xr:uid="{00000000-0005-0000-0000-0000EB000000}"/>
    <cellStyle name="Normal 2 2 7" xfId="236" xr:uid="{00000000-0005-0000-0000-0000EC000000}"/>
    <cellStyle name="Normal 2 2 7 2" xfId="237" xr:uid="{00000000-0005-0000-0000-0000ED000000}"/>
    <cellStyle name="Normal 2 2 8" xfId="238" xr:uid="{00000000-0005-0000-0000-0000EE000000}"/>
    <cellStyle name="Normal 2 2 8 2" xfId="239" xr:uid="{00000000-0005-0000-0000-0000EF000000}"/>
    <cellStyle name="Normal 2 2 9" xfId="240" xr:uid="{00000000-0005-0000-0000-0000F0000000}"/>
    <cellStyle name="Normal 2 2 9 2" xfId="241" xr:uid="{00000000-0005-0000-0000-0000F1000000}"/>
    <cellStyle name="Normal 2 3" xfId="242" xr:uid="{00000000-0005-0000-0000-0000F2000000}"/>
    <cellStyle name="Normal 2 3 10" xfId="243" xr:uid="{00000000-0005-0000-0000-0000F3000000}"/>
    <cellStyle name="Normal 2 3 11" xfId="244" xr:uid="{00000000-0005-0000-0000-0000F4000000}"/>
    <cellStyle name="Normal 2 3 12" xfId="245" xr:uid="{00000000-0005-0000-0000-0000F5000000}"/>
    <cellStyle name="Normal 2 3 13" xfId="246" xr:uid="{00000000-0005-0000-0000-0000F6000000}"/>
    <cellStyle name="Normal 2 3 14" xfId="247" xr:uid="{00000000-0005-0000-0000-0000F7000000}"/>
    <cellStyle name="Normal 2 3 15" xfId="248" xr:uid="{00000000-0005-0000-0000-0000F8000000}"/>
    <cellStyle name="Normal 2 3 2" xfId="249" xr:uid="{00000000-0005-0000-0000-0000F9000000}"/>
    <cellStyle name="Normal 2 3 2 2" xfId="250" xr:uid="{00000000-0005-0000-0000-0000FA000000}"/>
    <cellStyle name="Normal 2 3 2 2 2" xfId="251" xr:uid="{00000000-0005-0000-0000-0000FB000000}"/>
    <cellStyle name="Normal 2 3 2 2 3" xfId="252" xr:uid="{00000000-0005-0000-0000-0000FC000000}"/>
    <cellStyle name="Normal 2 3 2 3" xfId="253" xr:uid="{00000000-0005-0000-0000-0000FD000000}"/>
    <cellStyle name="Normal 2 3 2 4" xfId="254" xr:uid="{00000000-0005-0000-0000-0000FE000000}"/>
    <cellStyle name="Normal 2 3 2 5" xfId="255" xr:uid="{00000000-0005-0000-0000-0000FF000000}"/>
    <cellStyle name="Normal 2 3 3" xfId="256" xr:uid="{00000000-0005-0000-0000-000000010000}"/>
    <cellStyle name="Normal 2 3 3 2" xfId="257" xr:uid="{00000000-0005-0000-0000-000001010000}"/>
    <cellStyle name="Normal 2 3 3 3" xfId="258" xr:uid="{00000000-0005-0000-0000-000002010000}"/>
    <cellStyle name="Normal 2 3 4" xfId="259" xr:uid="{00000000-0005-0000-0000-000003010000}"/>
    <cellStyle name="Normal 2 3 5" xfId="260" xr:uid="{00000000-0005-0000-0000-000004010000}"/>
    <cellStyle name="Normal 2 3 6" xfId="261" xr:uid="{00000000-0005-0000-0000-000005010000}"/>
    <cellStyle name="Normal 2 3 7" xfId="262" xr:uid="{00000000-0005-0000-0000-000006010000}"/>
    <cellStyle name="Normal 2 3 8" xfId="263" xr:uid="{00000000-0005-0000-0000-000007010000}"/>
    <cellStyle name="Normal 2 3 9" xfId="264" xr:uid="{00000000-0005-0000-0000-000008010000}"/>
    <cellStyle name="Normal 2 4" xfId="265" xr:uid="{00000000-0005-0000-0000-000009010000}"/>
    <cellStyle name="Normal 2 4 10" xfId="266" xr:uid="{00000000-0005-0000-0000-00000A010000}"/>
    <cellStyle name="Normal 2 4 11" xfId="267" xr:uid="{00000000-0005-0000-0000-00000B010000}"/>
    <cellStyle name="Normal 2 4 12" xfId="268" xr:uid="{00000000-0005-0000-0000-00000C010000}"/>
    <cellStyle name="Normal 2 4 12 2" xfId="269" xr:uid="{00000000-0005-0000-0000-00000D010000}"/>
    <cellStyle name="Normal 2 4 12 3" xfId="270" xr:uid="{00000000-0005-0000-0000-00000E010000}"/>
    <cellStyle name="Normal 2 4 13" xfId="271" xr:uid="{00000000-0005-0000-0000-00000F010000}"/>
    <cellStyle name="Normal 2 4 13 2" xfId="272" xr:uid="{00000000-0005-0000-0000-000010010000}"/>
    <cellStyle name="Normal 2 4 13 3" xfId="273" xr:uid="{00000000-0005-0000-0000-000011010000}"/>
    <cellStyle name="Normal 2 4 2" xfId="274" xr:uid="{00000000-0005-0000-0000-000012010000}"/>
    <cellStyle name="Normal 2 4 2 2" xfId="275" xr:uid="{00000000-0005-0000-0000-000013010000}"/>
    <cellStyle name="Normal 2 4 2 2 2" xfId="276" xr:uid="{00000000-0005-0000-0000-000014010000}"/>
    <cellStyle name="Normal 2 4 2 2 3" xfId="277" xr:uid="{00000000-0005-0000-0000-000015010000}"/>
    <cellStyle name="Normal 2 4 2 3" xfId="278" xr:uid="{00000000-0005-0000-0000-000016010000}"/>
    <cellStyle name="Normal 2 4 2 4" xfId="279" xr:uid="{00000000-0005-0000-0000-000017010000}"/>
    <cellStyle name="Normal 2 4 2 5" xfId="280" xr:uid="{00000000-0005-0000-0000-000018010000}"/>
    <cellStyle name="Normal 2 4 3" xfId="281" xr:uid="{00000000-0005-0000-0000-000019010000}"/>
    <cellStyle name="Normal 2 4 3 2" xfId="282" xr:uid="{00000000-0005-0000-0000-00001A010000}"/>
    <cellStyle name="Normal 2 4 3 3" xfId="283" xr:uid="{00000000-0005-0000-0000-00001B010000}"/>
    <cellStyle name="Normal 2 4 4" xfId="284" xr:uid="{00000000-0005-0000-0000-00001C010000}"/>
    <cellStyle name="Normal 2 4 5" xfId="285" xr:uid="{00000000-0005-0000-0000-00001D010000}"/>
    <cellStyle name="Normal 2 4 6" xfId="286" xr:uid="{00000000-0005-0000-0000-00001E010000}"/>
    <cellStyle name="Normal 2 4 7" xfId="287" xr:uid="{00000000-0005-0000-0000-00001F010000}"/>
    <cellStyle name="Normal 2 4 8" xfId="288" xr:uid="{00000000-0005-0000-0000-000020010000}"/>
    <cellStyle name="Normal 2 4 9" xfId="289" xr:uid="{00000000-0005-0000-0000-000021010000}"/>
    <cellStyle name="Normal 2 5" xfId="290" xr:uid="{00000000-0005-0000-0000-000022010000}"/>
    <cellStyle name="Normal 2 5 10" xfId="291" xr:uid="{00000000-0005-0000-0000-000023010000}"/>
    <cellStyle name="Normal 2 5 11" xfId="292" xr:uid="{00000000-0005-0000-0000-000024010000}"/>
    <cellStyle name="Normal 2 5 12" xfId="293" xr:uid="{00000000-0005-0000-0000-000025010000}"/>
    <cellStyle name="Normal 2 5 12 2" xfId="294" xr:uid="{00000000-0005-0000-0000-000026010000}"/>
    <cellStyle name="Normal 2 5 12 3" xfId="295" xr:uid="{00000000-0005-0000-0000-000027010000}"/>
    <cellStyle name="Normal 2 5 2" xfId="296" xr:uid="{00000000-0005-0000-0000-000028010000}"/>
    <cellStyle name="Normal 2 5 2 2" xfId="297" xr:uid="{00000000-0005-0000-0000-000029010000}"/>
    <cellStyle name="Normal 2 5 3" xfId="298" xr:uid="{00000000-0005-0000-0000-00002A010000}"/>
    <cellStyle name="Normal 2 5 3 2" xfId="299" xr:uid="{00000000-0005-0000-0000-00002B010000}"/>
    <cellStyle name="Normal 2 5 4" xfId="300" xr:uid="{00000000-0005-0000-0000-00002C010000}"/>
    <cellStyle name="Normal 2 5 5" xfId="301" xr:uid="{00000000-0005-0000-0000-00002D010000}"/>
    <cellStyle name="Normal 2 5 6" xfId="302" xr:uid="{00000000-0005-0000-0000-00002E010000}"/>
    <cellStyle name="Normal 2 5 7" xfId="303" xr:uid="{00000000-0005-0000-0000-00002F010000}"/>
    <cellStyle name="Normal 2 5 8" xfId="304" xr:uid="{00000000-0005-0000-0000-000030010000}"/>
    <cellStyle name="Normal 2 5 9" xfId="305" xr:uid="{00000000-0005-0000-0000-000031010000}"/>
    <cellStyle name="Normal 2 6" xfId="306" xr:uid="{00000000-0005-0000-0000-000032010000}"/>
    <cellStyle name="Normal 2 6 10" xfId="307" xr:uid="{00000000-0005-0000-0000-000033010000}"/>
    <cellStyle name="Normal 2 6 11" xfId="308" xr:uid="{00000000-0005-0000-0000-000034010000}"/>
    <cellStyle name="Normal 2 6 12" xfId="309" xr:uid="{00000000-0005-0000-0000-000035010000}"/>
    <cellStyle name="Normal 2 6 2" xfId="310" xr:uid="{00000000-0005-0000-0000-000036010000}"/>
    <cellStyle name="Normal 2 6 2 2" xfId="311" xr:uid="{00000000-0005-0000-0000-000037010000}"/>
    <cellStyle name="Normal 2 6 3" xfId="312" xr:uid="{00000000-0005-0000-0000-000038010000}"/>
    <cellStyle name="Normal 2 6 3 2" xfId="313" xr:uid="{00000000-0005-0000-0000-000039010000}"/>
    <cellStyle name="Normal 2 6 4" xfId="314" xr:uid="{00000000-0005-0000-0000-00003A010000}"/>
    <cellStyle name="Normal 2 6 5" xfId="315" xr:uid="{00000000-0005-0000-0000-00003B010000}"/>
    <cellStyle name="Normal 2 6 6" xfId="316" xr:uid="{00000000-0005-0000-0000-00003C010000}"/>
    <cellStyle name="Normal 2 6 7" xfId="317" xr:uid="{00000000-0005-0000-0000-00003D010000}"/>
    <cellStyle name="Normal 2 6 8" xfId="318" xr:uid="{00000000-0005-0000-0000-00003E010000}"/>
    <cellStyle name="Normal 2 6 9" xfId="319" xr:uid="{00000000-0005-0000-0000-00003F010000}"/>
    <cellStyle name="Normal 2 7" xfId="320" xr:uid="{00000000-0005-0000-0000-000040010000}"/>
    <cellStyle name="Normal 2 7 10" xfId="321" xr:uid="{00000000-0005-0000-0000-000041010000}"/>
    <cellStyle name="Normal 2 7 11" xfId="322" xr:uid="{00000000-0005-0000-0000-000042010000}"/>
    <cellStyle name="Normal 2 7 2" xfId="323" xr:uid="{00000000-0005-0000-0000-000043010000}"/>
    <cellStyle name="Normal 2 7 2 2" xfId="324" xr:uid="{00000000-0005-0000-0000-000044010000}"/>
    <cellStyle name="Normal 2 7 2 3" xfId="325" xr:uid="{00000000-0005-0000-0000-000045010000}"/>
    <cellStyle name="Normal 2 7 3" xfId="326" xr:uid="{00000000-0005-0000-0000-000046010000}"/>
    <cellStyle name="Normal 2 7 3 2" xfId="327" xr:uid="{00000000-0005-0000-0000-000047010000}"/>
    <cellStyle name="Normal 2 7 4" xfId="328" xr:uid="{00000000-0005-0000-0000-000048010000}"/>
    <cellStyle name="Normal 2 7 4 2" xfId="329" xr:uid="{00000000-0005-0000-0000-000049010000}"/>
    <cellStyle name="Normal 2 7 5" xfId="330" xr:uid="{00000000-0005-0000-0000-00004A010000}"/>
    <cellStyle name="Normal 2 7 5 2" xfId="331" xr:uid="{00000000-0005-0000-0000-00004B010000}"/>
    <cellStyle name="Normal 2 7 6" xfId="332" xr:uid="{00000000-0005-0000-0000-00004C010000}"/>
    <cellStyle name="Normal 2 7 6 2" xfId="333" xr:uid="{00000000-0005-0000-0000-00004D010000}"/>
    <cellStyle name="Normal 2 7 7" xfId="334" xr:uid="{00000000-0005-0000-0000-00004E010000}"/>
    <cellStyle name="Normal 2 7 7 2" xfId="335" xr:uid="{00000000-0005-0000-0000-00004F010000}"/>
    <cellStyle name="Normal 2 7 8" xfId="336" xr:uid="{00000000-0005-0000-0000-000050010000}"/>
    <cellStyle name="Normal 2 7 8 2" xfId="337" xr:uid="{00000000-0005-0000-0000-000051010000}"/>
    <cellStyle name="Normal 2 7 9" xfId="338" xr:uid="{00000000-0005-0000-0000-000052010000}"/>
    <cellStyle name="Normal 2 8" xfId="339" xr:uid="{00000000-0005-0000-0000-000053010000}"/>
    <cellStyle name="Normal 2 8 10" xfId="340" xr:uid="{00000000-0005-0000-0000-000054010000}"/>
    <cellStyle name="Normal 2 8 11" xfId="341" xr:uid="{00000000-0005-0000-0000-000055010000}"/>
    <cellStyle name="Normal 2 8 2" xfId="342" xr:uid="{00000000-0005-0000-0000-000056010000}"/>
    <cellStyle name="Normal 2 8 2 2" xfId="343" xr:uid="{00000000-0005-0000-0000-000057010000}"/>
    <cellStyle name="Normal 2 8 3" xfId="344" xr:uid="{00000000-0005-0000-0000-000058010000}"/>
    <cellStyle name="Normal 2 8 3 2" xfId="345" xr:uid="{00000000-0005-0000-0000-000059010000}"/>
    <cellStyle name="Normal 2 8 4" xfId="346" xr:uid="{00000000-0005-0000-0000-00005A010000}"/>
    <cellStyle name="Normal 2 8 4 2" xfId="347" xr:uid="{00000000-0005-0000-0000-00005B010000}"/>
    <cellStyle name="Normal 2 8 5" xfId="348" xr:uid="{00000000-0005-0000-0000-00005C010000}"/>
    <cellStyle name="Normal 2 8 5 2" xfId="349" xr:uid="{00000000-0005-0000-0000-00005D010000}"/>
    <cellStyle name="Normal 2 8 6" xfId="350" xr:uid="{00000000-0005-0000-0000-00005E010000}"/>
    <cellStyle name="Normal 2 8 6 2" xfId="351" xr:uid="{00000000-0005-0000-0000-00005F010000}"/>
    <cellStyle name="Normal 2 8 7" xfId="352" xr:uid="{00000000-0005-0000-0000-000060010000}"/>
    <cellStyle name="Normal 2 8 7 2" xfId="353" xr:uid="{00000000-0005-0000-0000-000061010000}"/>
    <cellStyle name="Normal 2 8 8" xfId="354" xr:uid="{00000000-0005-0000-0000-000062010000}"/>
    <cellStyle name="Normal 2 8 8 2" xfId="355" xr:uid="{00000000-0005-0000-0000-000063010000}"/>
    <cellStyle name="Normal 2 8 9" xfId="356" xr:uid="{00000000-0005-0000-0000-000064010000}"/>
    <cellStyle name="Normal 2 9" xfId="357" xr:uid="{00000000-0005-0000-0000-000065010000}"/>
    <cellStyle name="Normal 2 9 10" xfId="358" xr:uid="{00000000-0005-0000-0000-000066010000}"/>
    <cellStyle name="Normal 2 9 11" xfId="359" xr:uid="{00000000-0005-0000-0000-000067010000}"/>
    <cellStyle name="Normal 2 9 2" xfId="360" xr:uid="{00000000-0005-0000-0000-000068010000}"/>
    <cellStyle name="Normal 2 9 2 2" xfId="361" xr:uid="{00000000-0005-0000-0000-000069010000}"/>
    <cellStyle name="Normal 2 9 3" xfId="362" xr:uid="{00000000-0005-0000-0000-00006A010000}"/>
    <cellStyle name="Normal 2 9 3 2" xfId="363" xr:uid="{00000000-0005-0000-0000-00006B010000}"/>
    <cellStyle name="Normal 2 9 4" xfId="364" xr:uid="{00000000-0005-0000-0000-00006C010000}"/>
    <cellStyle name="Normal 2 9 4 2" xfId="365" xr:uid="{00000000-0005-0000-0000-00006D010000}"/>
    <cellStyle name="Normal 2 9 5" xfId="366" xr:uid="{00000000-0005-0000-0000-00006E010000}"/>
    <cellStyle name="Normal 2 9 5 2" xfId="367" xr:uid="{00000000-0005-0000-0000-00006F010000}"/>
    <cellStyle name="Normal 2 9 6" xfId="368" xr:uid="{00000000-0005-0000-0000-000070010000}"/>
    <cellStyle name="Normal 2 9 6 2" xfId="369" xr:uid="{00000000-0005-0000-0000-000071010000}"/>
    <cellStyle name="Normal 2 9 7" xfId="370" xr:uid="{00000000-0005-0000-0000-000072010000}"/>
    <cellStyle name="Normal 2 9 7 2" xfId="371" xr:uid="{00000000-0005-0000-0000-000073010000}"/>
    <cellStyle name="Normal 2 9 8" xfId="372" xr:uid="{00000000-0005-0000-0000-000074010000}"/>
    <cellStyle name="Normal 2 9 8 2" xfId="373" xr:uid="{00000000-0005-0000-0000-000075010000}"/>
    <cellStyle name="Normal 2 9 9" xfId="374" xr:uid="{00000000-0005-0000-0000-000076010000}"/>
    <cellStyle name="Normal 20" xfId="375" xr:uid="{00000000-0005-0000-0000-000077010000}"/>
    <cellStyle name="Normal 20 2" xfId="376" xr:uid="{00000000-0005-0000-0000-000078010000}"/>
    <cellStyle name="Normal 20 3" xfId="377" xr:uid="{00000000-0005-0000-0000-000079010000}"/>
    <cellStyle name="Normal 21" xfId="378" xr:uid="{00000000-0005-0000-0000-00007A010000}"/>
    <cellStyle name="Normal 21 2" xfId="379" xr:uid="{00000000-0005-0000-0000-00007B010000}"/>
    <cellStyle name="Normal 21 2 2" xfId="380" xr:uid="{00000000-0005-0000-0000-00007C010000}"/>
    <cellStyle name="Normal 21 2 3" xfId="381" xr:uid="{00000000-0005-0000-0000-00007D010000}"/>
    <cellStyle name="Normal 21 3" xfId="382" xr:uid="{00000000-0005-0000-0000-00007E010000}"/>
    <cellStyle name="Normal 21 4" xfId="383" xr:uid="{00000000-0005-0000-0000-00007F010000}"/>
    <cellStyle name="Normal 21 5" xfId="384" xr:uid="{00000000-0005-0000-0000-000080010000}"/>
    <cellStyle name="Normal 22" xfId="385" xr:uid="{00000000-0005-0000-0000-000081010000}"/>
    <cellStyle name="Normal 22 2" xfId="386" xr:uid="{00000000-0005-0000-0000-000082010000}"/>
    <cellStyle name="Normal 22 3" xfId="387" xr:uid="{00000000-0005-0000-0000-000083010000}"/>
    <cellStyle name="Normal 23" xfId="388" xr:uid="{00000000-0005-0000-0000-000084010000}"/>
    <cellStyle name="Normal 23 2" xfId="389" xr:uid="{00000000-0005-0000-0000-000085010000}"/>
    <cellStyle name="Normal 23 3" xfId="390" xr:uid="{00000000-0005-0000-0000-000086010000}"/>
    <cellStyle name="Normal 24" xfId="391" xr:uid="{00000000-0005-0000-0000-000087010000}"/>
    <cellStyle name="Normal 24 2" xfId="392" xr:uid="{00000000-0005-0000-0000-000088010000}"/>
    <cellStyle name="Normal 24 3" xfId="393" xr:uid="{00000000-0005-0000-0000-000089010000}"/>
    <cellStyle name="Normal 25" xfId="394" xr:uid="{00000000-0005-0000-0000-00008A010000}"/>
    <cellStyle name="Normal 25 2" xfId="395" xr:uid="{00000000-0005-0000-0000-00008B010000}"/>
    <cellStyle name="Normal 25 3" xfId="396" xr:uid="{00000000-0005-0000-0000-00008C010000}"/>
    <cellStyle name="Normal 26" xfId="397" xr:uid="{00000000-0005-0000-0000-00008D010000}"/>
    <cellStyle name="Normal 27" xfId="398" xr:uid="{00000000-0005-0000-0000-00008E010000}"/>
    <cellStyle name="Normal 27 2" xfId="399" xr:uid="{00000000-0005-0000-0000-00008F010000}"/>
    <cellStyle name="Normal 28" xfId="400" xr:uid="{00000000-0005-0000-0000-000090010000}"/>
    <cellStyle name="Normal 29" xfId="401" xr:uid="{00000000-0005-0000-0000-000091010000}"/>
    <cellStyle name="Normal 3" xfId="402" xr:uid="{00000000-0005-0000-0000-000092010000}"/>
    <cellStyle name="Normal 3 10" xfId="403" xr:uid="{00000000-0005-0000-0000-000093010000}"/>
    <cellStyle name="Normal 3 10 2" xfId="404" xr:uid="{00000000-0005-0000-0000-000094010000}"/>
    <cellStyle name="Normal 3 11" xfId="405" xr:uid="{00000000-0005-0000-0000-000095010000}"/>
    <cellStyle name="Normal 3 12" xfId="406" xr:uid="{00000000-0005-0000-0000-000096010000}"/>
    <cellStyle name="Normal 3 13" xfId="407" xr:uid="{00000000-0005-0000-0000-000097010000}"/>
    <cellStyle name="Normal 3 14" xfId="408" xr:uid="{00000000-0005-0000-0000-000098010000}"/>
    <cellStyle name="Normal 3 15" xfId="409" xr:uid="{00000000-0005-0000-0000-000099010000}"/>
    <cellStyle name="Normal 3 2" xfId="410" xr:uid="{00000000-0005-0000-0000-00009A010000}"/>
    <cellStyle name="Normal 3 2 2" xfId="411" xr:uid="{00000000-0005-0000-0000-00009B010000}"/>
    <cellStyle name="Normal 3 2 2 2" xfId="412" xr:uid="{00000000-0005-0000-0000-00009C010000}"/>
    <cellStyle name="Normal 3 2 2 3" xfId="413" xr:uid="{00000000-0005-0000-0000-00009D010000}"/>
    <cellStyle name="Normal 3 2 3" xfId="414" xr:uid="{00000000-0005-0000-0000-00009E010000}"/>
    <cellStyle name="Normal 3 2 4" xfId="415" xr:uid="{00000000-0005-0000-0000-00009F010000}"/>
    <cellStyle name="Normal 3 2 5" xfId="416" xr:uid="{00000000-0005-0000-0000-0000A0010000}"/>
    <cellStyle name="Normal 3 3" xfId="417" xr:uid="{00000000-0005-0000-0000-0000A1010000}"/>
    <cellStyle name="Normal 3 3 2" xfId="418" xr:uid="{00000000-0005-0000-0000-0000A2010000}"/>
    <cellStyle name="Normal 3 3 2 2" xfId="419" xr:uid="{00000000-0005-0000-0000-0000A3010000}"/>
    <cellStyle name="Normal 3 3 2 3" xfId="420" xr:uid="{00000000-0005-0000-0000-0000A4010000}"/>
    <cellStyle name="Normal 3 3 3" xfId="421" xr:uid="{00000000-0005-0000-0000-0000A5010000}"/>
    <cellStyle name="Normal 3 3 4" xfId="422" xr:uid="{00000000-0005-0000-0000-0000A6010000}"/>
    <cellStyle name="Normal 3 4" xfId="423" xr:uid="{00000000-0005-0000-0000-0000A7010000}"/>
    <cellStyle name="Normal 3 5" xfId="424" xr:uid="{00000000-0005-0000-0000-0000A8010000}"/>
    <cellStyle name="Normal 3 6" xfId="425" xr:uid="{00000000-0005-0000-0000-0000A9010000}"/>
    <cellStyle name="Normal 3 7" xfId="426" xr:uid="{00000000-0005-0000-0000-0000AA010000}"/>
    <cellStyle name="Normal 3 7 2" xfId="427" xr:uid="{00000000-0005-0000-0000-0000AB010000}"/>
    <cellStyle name="Normal 3 7 3" xfId="428" xr:uid="{00000000-0005-0000-0000-0000AC010000}"/>
    <cellStyle name="Normal 3 8" xfId="429" xr:uid="{00000000-0005-0000-0000-0000AD010000}"/>
    <cellStyle name="Normal 3 8 2" xfId="430" xr:uid="{00000000-0005-0000-0000-0000AE010000}"/>
    <cellStyle name="Normal 3 8 3" xfId="431" xr:uid="{00000000-0005-0000-0000-0000AF010000}"/>
    <cellStyle name="Normal 3 9" xfId="432" xr:uid="{00000000-0005-0000-0000-0000B0010000}"/>
    <cellStyle name="Normal 3 9 2" xfId="433" xr:uid="{00000000-0005-0000-0000-0000B1010000}"/>
    <cellStyle name="Normal 3 9 3" xfId="434" xr:uid="{00000000-0005-0000-0000-0000B2010000}"/>
    <cellStyle name="Normal 4" xfId="435" xr:uid="{00000000-0005-0000-0000-0000B3010000}"/>
    <cellStyle name="Normal 4 10" xfId="436" xr:uid="{00000000-0005-0000-0000-0000B4010000}"/>
    <cellStyle name="Normal 4 11" xfId="437" xr:uid="{00000000-0005-0000-0000-0000B5010000}"/>
    <cellStyle name="Normal 4 12" xfId="438" xr:uid="{00000000-0005-0000-0000-0000B6010000}"/>
    <cellStyle name="Normal 4 13" xfId="439" xr:uid="{00000000-0005-0000-0000-0000B7010000}"/>
    <cellStyle name="Normal 4 2" xfId="440" xr:uid="{00000000-0005-0000-0000-0000B8010000}"/>
    <cellStyle name="Normal 4 2 2" xfId="441" xr:uid="{00000000-0005-0000-0000-0000B9010000}"/>
    <cellStyle name="Normal 4 2 2 2" xfId="442" xr:uid="{00000000-0005-0000-0000-0000BA010000}"/>
    <cellStyle name="Normal 4 2 2 3" xfId="443" xr:uid="{00000000-0005-0000-0000-0000BB010000}"/>
    <cellStyle name="Normal 4 2 2 3 2" xfId="444" xr:uid="{00000000-0005-0000-0000-0000BC010000}"/>
    <cellStyle name="Normal 4 2 2 3 3" xfId="445" xr:uid="{00000000-0005-0000-0000-0000BD010000}"/>
    <cellStyle name="Normal 4 2 3" xfId="446" xr:uid="{00000000-0005-0000-0000-0000BE010000}"/>
    <cellStyle name="Normal 4 2 4" xfId="447" xr:uid="{00000000-0005-0000-0000-0000BF010000}"/>
    <cellStyle name="Normal 4 2 5" xfId="448" xr:uid="{00000000-0005-0000-0000-0000C0010000}"/>
    <cellStyle name="Normal 4 3" xfId="449" xr:uid="{00000000-0005-0000-0000-0000C1010000}"/>
    <cellStyle name="Normal 4 3 2" xfId="450" xr:uid="{00000000-0005-0000-0000-0000C2010000}"/>
    <cellStyle name="Normal 4 3 3" xfId="451" xr:uid="{00000000-0005-0000-0000-0000C3010000}"/>
    <cellStyle name="Normal 4 4" xfId="452" xr:uid="{00000000-0005-0000-0000-0000C4010000}"/>
    <cellStyle name="Normal 4 5" xfId="453" xr:uid="{00000000-0005-0000-0000-0000C5010000}"/>
    <cellStyle name="Normal 4 5 2" xfId="454" xr:uid="{00000000-0005-0000-0000-0000C6010000}"/>
    <cellStyle name="Normal 4 5 3" xfId="455" xr:uid="{00000000-0005-0000-0000-0000C7010000}"/>
    <cellStyle name="Normal 4 6" xfId="456" xr:uid="{00000000-0005-0000-0000-0000C8010000}"/>
    <cellStyle name="Normal 4 6 2" xfId="457" xr:uid="{00000000-0005-0000-0000-0000C9010000}"/>
    <cellStyle name="Normal 4 6 3" xfId="458" xr:uid="{00000000-0005-0000-0000-0000CA010000}"/>
    <cellStyle name="Normal 4 7" xfId="459" xr:uid="{00000000-0005-0000-0000-0000CB010000}"/>
    <cellStyle name="Normal 4 8" xfId="460" xr:uid="{00000000-0005-0000-0000-0000CC010000}"/>
    <cellStyle name="Normal 4 9" xfId="461" xr:uid="{00000000-0005-0000-0000-0000CD010000}"/>
    <cellStyle name="Normal 5" xfId="462" xr:uid="{00000000-0005-0000-0000-0000CE010000}"/>
    <cellStyle name="Normal 5 2" xfId="463" xr:uid="{00000000-0005-0000-0000-0000CF010000}"/>
    <cellStyle name="Normal 5 3" xfId="464" xr:uid="{00000000-0005-0000-0000-0000D0010000}"/>
    <cellStyle name="Normal 5 3 2" xfId="465" xr:uid="{00000000-0005-0000-0000-0000D1010000}"/>
    <cellStyle name="Normal 5 3 3" xfId="466" xr:uid="{00000000-0005-0000-0000-0000D2010000}"/>
    <cellStyle name="Normal 5 4" xfId="467" xr:uid="{00000000-0005-0000-0000-0000D3010000}"/>
    <cellStyle name="Normal 5 5" xfId="468" xr:uid="{00000000-0005-0000-0000-0000D4010000}"/>
    <cellStyle name="Normal 5 5 2" xfId="469" xr:uid="{00000000-0005-0000-0000-0000D5010000}"/>
    <cellStyle name="Normal 5 5 3" xfId="470" xr:uid="{00000000-0005-0000-0000-0000D6010000}"/>
    <cellStyle name="Normal 5 6" xfId="471" xr:uid="{00000000-0005-0000-0000-0000D7010000}"/>
    <cellStyle name="Normal 6" xfId="472" xr:uid="{00000000-0005-0000-0000-0000D8010000}"/>
    <cellStyle name="Normal 6 2" xfId="473" xr:uid="{00000000-0005-0000-0000-0000D9010000}"/>
    <cellStyle name="Normal 6 3" xfId="474" xr:uid="{00000000-0005-0000-0000-0000DA010000}"/>
    <cellStyle name="Normal 6 4" xfId="475" xr:uid="{00000000-0005-0000-0000-0000DB010000}"/>
    <cellStyle name="Normal 6 5" xfId="476" xr:uid="{00000000-0005-0000-0000-0000DC010000}"/>
    <cellStyle name="Normal 7 2" xfId="477" xr:uid="{00000000-0005-0000-0000-0000DD010000}"/>
    <cellStyle name="Normal 7 2 2" xfId="478" xr:uid="{00000000-0005-0000-0000-0000DE010000}"/>
    <cellStyle name="Normal 7 2 2 2" xfId="479" xr:uid="{00000000-0005-0000-0000-0000DF010000}"/>
    <cellStyle name="Normal 7 2 2 3" xfId="480" xr:uid="{00000000-0005-0000-0000-0000E0010000}"/>
    <cellStyle name="Normal 7 2 3" xfId="481" xr:uid="{00000000-0005-0000-0000-0000E1010000}"/>
    <cellStyle name="Normal 7 2 4" xfId="482" xr:uid="{00000000-0005-0000-0000-0000E2010000}"/>
    <cellStyle name="Normal 7 2 4 2" xfId="483" xr:uid="{00000000-0005-0000-0000-0000E3010000}"/>
    <cellStyle name="Normal 7 2 4 3" xfId="484" xr:uid="{00000000-0005-0000-0000-0000E4010000}"/>
    <cellStyle name="Normal 7 2 5" xfId="485" xr:uid="{00000000-0005-0000-0000-0000E5010000}"/>
    <cellStyle name="Normal 7 3" xfId="486" xr:uid="{00000000-0005-0000-0000-0000E6010000}"/>
    <cellStyle name="Normal 7 4" xfId="487" xr:uid="{00000000-0005-0000-0000-0000E7010000}"/>
    <cellStyle name="Normal 7 4 2" xfId="488" xr:uid="{00000000-0005-0000-0000-0000E8010000}"/>
    <cellStyle name="Normal 7 4 3" xfId="489" xr:uid="{00000000-0005-0000-0000-0000E9010000}"/>
    <cellStyle name="Normal 7 5" xfId="490" xr:uid="{00000000-0005-0000-0000-0000EA010000}"/>
    <cellStyle name="Normal 7 5 2" xfId="491" xr:uid="{00000000-0005-0000-0000-0000EB010000}"/>
    <cellStyle name="Normal 7 5 3" xfId="492" xr:uid="{00000000-0005-0000-0000-0000EC010000}"/>
    <cellStyle name="Normal 7 5 4" xfId="493" xr:uid="{00000000-0005-0000-0000-0000ED010000}"/>
    <cellStyle name="Normal 7 5 5" xfId="494" xr:uid="{00000000-0005-0000-0000-0000EE010000}"/>
    <cellStyle name="Normal 7 6" xfId="495" xr:uid="{00000000-0005-0000-0000-0000EF010000}"/>
    <cellStyle name="Normal 7 7" xfId="496" xr:uid="{00000000-0005-0000-0000-0000F0010000}"/>
    <cellStyle name="Normal 8" xfId="497" xr:uid="{00000000-0005-0000-0000-0000F1010000}"/>
    <cellStyle name="Normal 8 2" xfId="498" xr:uid="{00000000-0005-0000-0000-0000F2010000}"/>
    <cellStyle name="Normal 8 3" xfId="499" xr:uid="{00000000-0005-0000-0000-0000F3010000}"/>
    <cellStyle name="Normal 9" xfId="500" xr:uid="{00000000-0005-0000-0000-0000F4010000}"/>
    <cellStyle name="Normal 9 2" xfId="501" xr:uid="{00000000-0005-0000-0000-0000F5010000}"/>
    <cellStyle name="Normal 9 2 2" xfId="502" xr:uid="{00000000-0005-0000-0000-0000F6010000}"/>
    <cellStyle name="Normal 9 2 3" xfId="503" xr:uid="{00000000-0005-0000-0000-0000F7010000}"/>
    <cellStyle name="Normal 9 3" xfId="504" xr:uid="{00000000-0005-0000-0000-0000F8010000}"/>
    <cellStyle name="Normal 9 4" xfId="505" xr:uid="{00000000-0005-0000-0000-0000F9010000}"/>
    <cellStyle name="Normal 9 5" xfId="506" xr:uid="{00000000-0005-0000-0000-0000FA010000}"/>
    <cellStyle name="Normal 9 5 2" xfId="507" xr:uid="{00000000-0005-0000-0000-0000FB010000}"/>
    <cellStyle name="Normal 9 5 3" xfId="508" xr:uid="{00000000-0005-0000-0000-0000FC010000}"/>
    <cellStyle name="Normal 9 6" xfId="509" xr:uid="{00000000-0005-0000-0000-0000FD010000}"/>
    <cellStyle name="Normal 9 6 2" xfId="510" xr:uid="{00000000-0005-0000-0000-0000FE010000}"/>
    <cellStyle name="Normal 9 6 3" xfId="511" xr:uid="{00000000-0005-0000-0000-0000FF010000}"/>
    <cellStyle name="Normal_debt" xfId="512" xr:uid="{00000000-0005-0000-0000-000000020000}"/>
    <cellStyle name="Normal_lpform" xfId="513" xr:uid="{00000000-0005-0000-0000-000001020000}"/>
  </cellStyles>
  <dxfs count="150">
    <dxf>
      <font>
        <b/>
        <i val="0"/>
        <color rgb="FFFF0000"/>
      </font>
    </dxf>
    <dxf>
      <font>
        <b/>
        <i val="0"/>
        <strike val="0"/>
      </font>
      <fill>
        <patternFill>
          <bgColor rgb="FFFF0000"/>
        </patternFill>
      </fill>
    </dxf>
    <dxf>
      <font>
        <b/>
        <i val="0"/>
        <strike val="0"/>
      </font>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microsoft.com/office/2017/10/relationships/person" Target="persons/person.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38100</xdr:rowOff>
    </xdr:from>
    <xdr:to>
      <xdr:col>1</xdr:col>
      <xdr:colOff>209550</xdr:colOff>
      <xdr:row>18</xdr:row>
      <xdr:rowOff>190500</xdr:rowOff>
    </xdr:to>
    <xdr:sp macro="" textlink="">
      <xdr:nvSpPr>
        <xdr:cNvPr id="2" name="Text Box 2">
          <a:extLst>
            <a:ext uri="{FF2B5EF4-FFF2-40B4-BE49-F238E27FC236}">
              <a16:creationId xmlns:a16="http://schemas.microsoft.com/office/drawing/2014/main" id="{D9381A7F-29DE-4683-B3AC-2FFADFFEF124}"/>
            </a:ext>
          </a:extLst>
        </xdr:cNvPr>
        <xdr:cNvSpPr txBox="1"/>
      </xdr:nvSpPr>
      <xdr:spPr>
        <a:xfrm>
          <a:off x="104775" y="533400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47625</xdr:rowOff>
    </xdr:from>
    <xdr:to>
      <xdr:col>1</xdr:col>
      <xdr:colOff>209550</xdr:colOff>
      <xdr:row>20</xdr:row>
      <xdr:rowOff>200025</xdr:rowOff>
    </xdr:to>
    <xdr:sp macro="" textlink="">
      <xdr:nvSpPr>
        <xdr:cNvPr id="3" name="Text Box 5">
          <a:extLst>
            <a:ext uri="{FF2B5EF4-FFF2-40B4-BE49-F238E27FC236}">
              <a16:creationId xmlns:a16="http://schemas.microsoft.com/office/drawing/2014/main" id="{4C0EF393-EE3A-4B9E-AC7E-4E0B993AD42D}"/>
            </a:ext>
          </a:extLst>
        </xdr:cNvPr>
        <xdr:cNvSpPr txBox="1">
          <a:spLocks noChangeArrowheads="1"/>
        </xdr:cNvSpPr>
      </xdr:nvSpPr>
      <xdr:spPr bwMode="auto">
        <a:xfrm>
          <a:off x="104775" y="5743575"/>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28575</xdr:rowOff>
    </xdr:from>
    <xdr:to>
      <xdr:col>1</xdr:col>
      <xdr:colOff>209550</xdr:colOff>
      <xdr:row>22</xdr:row>
      <xdr:rowOff>180975</xdr:rowOff>
    </xdr:to>
    <xdr:sp macro="" textlink="">
      <xdr:nvSpPr>
        <xdr:cNvPr id="4" name="Text Box 6">
          <a:extLst>
            <a:ext uri="{FF2B5EF4-FFF2-40B4-BE49-F238E27FC236}">
              <a16:creationId xmlns:a16="http://schemas.microsoft.com/office/drawing/2014/main" id="{10DE0E42-9075-40DA-84A2-599AD54A8D12}"/>
            </a:ext>
          </a:extLst>
        </xdr:cNvPr>
        <xdr:cNvSpPr txBox="1"/>
      </xdr:nvSpPr>
      <xdr:spPr>
        <a:xfrm>
          <a:off x="104775" y="6724650"/>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9525</xdr:colOff>
      <xdr:row>24</xdr:row>
      <xdr:rowOff>38100</xdr:rowOff>
    </xdr:from>
    <xdr:to>
      <xdr:col>1</xdr:col>
      <xdr:colOff>219075</xdr:colOff>
      <xdr:row>24</xdr:row>
      <xdr:rowOff>190500</xdr:rowOff>
    </xdr:to>
    <xdr:sp macro="" textlink="">
      <xdr:nvSpPr>
        <xdr:cNvPr id="5" name="Text Box 7">
          <a:extLst>
            <a:ext uri="{FF2B5EF4-FFF2-40B4-BE49-F238E27FC236}">
              <a16:creationId xmlns:a16="http://schemas.microsoft.com/office/drawing/2014/main" id="{0EC66D9C-F112-45E9-A026-7E22A0B51C87}"/>
            </a:ext>
          </a:extLst>
        </xdr:cNvPr>
        <xdr:cNvSpPr txBox="1"/>
      </xdr:nvSpPr>
      <xdr:spPr>
        <a:xfrm>
          <a:off x="114300" y="7134225"/>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8495EB66-B3E3-4AF9-B1DC-C4C8C5E80797}"/>
            </a:ext>
          </a:extLst>
        </xdr:cNvPr>
        <xdr:cNvPicPr>
          <a:picLocks noChangeAspect="1"/>
        </xdr:cNvPicPr>
      </xdr:nvPicPr>
      <xdr:blipFill>
        <a:blip xmlns:r="http://schemas.openxmlformats.org/officeDocument/2006/relationships" r:embed="rId1"/>
        <a:stretch>
          <a:fillRect/>
        </a:stretch>
      </xdr:blipFill>
      <xdr:spPr>
        <a:xfrm>
          <a:off x="180975" y="3249326"/>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A7E5C822-3667-4E19-9D81-6BC06E1F2784}"/>
            </a:ext>
          </a:extLst>
        </xdr:cNvPr>
        <xdr:cNvPicPr>
          <a:picLocks noChangeAspect="1"/>
        </xdr:cNvPicPr>
      </xdr:nvPicPr>
      <xdr:blipFill>
        <a:blip xmlns:r="http://schemas.openxmlformats.org/officeDocument/2006/relationships" r:embed="rId2"/>
        <a:stretch>
          <a:fillRect/>
        </a:stretch>
      </xdr:blipFill>
      <xdr:spPr>
        <a:xfrm>
          <a:off x="4857750" y="3648075"/>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E62C713A-893E-44A6-B964-E9F4331484A7}"/>
            </a:ext>
          </a:extLst>
        </xdr:cNvPr>
        <xdr:cNvPicPr>
          <a:picLocks noChangeAspect="1"/>
        </xdr:cNvPicPr>
      </xdr:nvPicPr>
      <xdr:blipFill>
        <a:blip xmlns:r="http://schemas.openxmlformats.org/officeDocument/2006/relationships" r:embed="rId3"/>
        <a:stretch>
          <a:fillRect/>
        </a:stretch>
      </xdr:blipFill>
      <xdr:spPr>
        <a:xfrm>
          <a:off x="123826" y="8703229"/>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48E1858A-4537-4752-AA3E-6A6B26BD5730}"/>
            </a:ext>
          </a:extLst>
        </xdr:cNvPr>
        <xdr:cNvPicPr>
          <a:picLocks noChangeAspect="1"/>
        </xdr:cNvPicPr>
      </xdr:nvPicPr>
      <xdr:blipFill>
        <a:blip xmlns:r="http://schemas.openxmlformats.org/officeDocument/2006/relationships" r:embed="rId4"/>
        <a:stretch>
          <a:fillRect/>
        </a:stretch>
      </xdr:blipFill>
      <xdr:spPr>
        <a:xfrm>
          <a:off x="4838701" y="8559886"/>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F9F799EE-AFB0-4664-A366-E5BB6DB37F6E}"/>
            </a:ext>
          </a:extLst>
        </xdr:cNvPr>
        <xdr:cNvPicPr>
          <a:picLocks noChangeAspect="1"/>
        </xdr:cNvPicPr>
      </xdr:nvPicPr>
      <xdr:blipFill>
        <a:blip xmlns:r="http://schemas.openxmlformats.org/officeDocument/2006/relationships" r:embed="rId5"/>
        <a:stretch>
          <a:fillRect/>
        </a:stretch>
      </xdr:blipFill>
      <xdr:spPr>
        <a:xfrm>
          <a:off x="304799" y="16295682"/>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C1539B57-02B5-4CE9-9DAE-D3520740D7C2}"/>
            </a:ext>
          </a:extLst>
        </xdr:cNvPr>
        <xdr:cNvPicPr>
          <a:picLocks noChangeAspect="1"/>
        </xdr:cNvPicPr>
      </xdr:nvPicPr>
      <xdr:blipFill>
        <a:blip xmlns:r="http://schemas.openxmlformats.org/officeDocument/2006/relationships" r:embed="rId6"/>
        <a:stretch>
          <a:fillRect/>
        </a:stretch>
      </xdr:blipFill>
      <xdr:spPr>
        <a:xfrm>
          <a:off x="304800" y="121528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8E6F5C80-10D6-4F87-83F4-159A43C2E99B}"/>
            </a:ext>
          </a:extLst>
        </xdr:cNvPr>
        <xdr:cNvPicPr>
          <a:picLocks noChangeAspect="1"/>
        </xdr:cNvPicPr>
      </xdr:nvPicPr>
      <xdr:blipFill>
        <a:blip xmlns:r="http://schemas.openxmlformats.org/officeDocument/2006/relationships" r:embed="rId7"/>
        <a:stretch>
          <a:fillRect/>
        </a:stretch>
      </xdr:blipFill>
      <xdr:spPr>
        <a:xfrm>
          <a:off x="295275" y="20906755"/>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6551727C-AEED-4038-B36D-AA732FEE6B62}"/>
            </a:ext>
          </a:extLst>
        </xdr:cNvPr>
        <xdr:cNvPicPr>
          <a:picLocks noChangeAspect="1"/>
        </xdr:cNvPicPr>
      </xdr:nvPicPr>
      <xdr:blipFill>
        <a:blip xmlns:r="http://schemas.openxmlformats.org/officeDocument/2006/relationships" r:embed="rId8"/>
        <a:stretch>
          <a:fillRect/>
        </a:stretch>
      </xdr:blipFill>
      <xdr:spPr>
        <a:xfrm>
          <a:off x="285749" y="26990920"/>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150C4E7D-9687-497B-A956-38B97D9CA5E5}"/>
            </a:ext>
          </a:extLst>
        </xdr:cNvPr>
        <xdr:cNvPicPr>
          <a:picLocks noChangeAspect="1"/>
        </xdr:cNvPicPr>
      </xdr:nvPicPr>
      <xdr:blipFill>
        <a:blip xmlns:r="http://schemas.openxmlformats.org/officeDocument/2006/relationships" r:embed="rId9"/>
        <a:stretch>
          <a:fillRect/>
        </a:stretch>
      </xdr:blipFill>
      <xdr:spPr>
        <a:xfrm>
          <a:off x="295275" y="34874583"/>
          <a:ext cx="5915025" cy="57774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Alice.Smith@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0.bin"/><Relationship Id="rId1" Type="http://schemas.openxmlformats.org/officeDocument/2006/relationships/hyperlink" Target="https://pooledmoneyinvestmentboard.com/"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B109"/>
  <sheetViews>
    <sheetView tabSelected="1" topLeftCell="B1" workbookViewId="0">
      <selection activeCell="B1" sqref="B1"/>
    </sheetView>
  </sheetViews>
  <sheetFormatPr defaultRowHeight="15.75" x14ac:dyDescent="0.25"/>
  <cols>
    <col min="1" max="1" width="1.09765625" style="55" customWidth="1"/>
    <col min="2" max="2" width="76.19921875" style="236" customWidth="1"/>
  </cols>
  <sheetData>
    <row r="1" spans="2:2" ht="18.75" x14ac:dyDescent="0.25">
      <c r="B1" s="537" t="s">
        <v>0</v>
      </c>
    </row>
    <row r="3" spans="2:2" ht="31.5" x14ac:dyDescent="0.25">
      <c r="B3" s="236" t="s">
        <v>1</v>
      </c>
    </row>
    <row r="5" spans="2:2" ht="63" x14ac:dyDescent="0.25">
      <c r="B5" s="236" t="s">
        <v>2</v>
      </c>
    </row>
    <row r="7" spans="2:2" ht="16.5" x14ac:dyDescent="0.25">
      <c r="B7" s="538" t="s">
        <v>3</v>
      </c>
    </row>
    <row r="9" spans="2:2" ht="50.25" x14ac:dyDescent="0.25">
      <c r="B9" s="236" t="s">
        <v>4</v>
      </c>
    </row>
    <row r="11" spans="2:2" ht="31.5" x14ac:dyDescent="0.25">
      <c r="B11" s="236" t="s">
        <v>5</v>
      </c>
    </row>
    <row r="13" spans="2:2" ht="16.5" x14ac:dyDescent="0.25">
      <c r="B13" s="538" t="s">
        <v>6</v>
      </c>
    </row>
    <row r="15" spans="2:2" ht="31.5" x14ac:dyDescent="0.25">
      <c r="B15" s="236" t="s">
        <v>7</v>
      </c>
    </row>
    <row r="17" spans="2:2" x14ac:dyDescent="0.25">
      <c r="B17" s="539" t="s">
        <v>8</v>
      </c>
    </row>
    <row r="18" spans="2:2" x14ac:dyDescent="0.25">
      <c r="B18" s="539"/>
    </row>
    <row r="19" spans="2:2" x14ac:dyDescent="0.25">
      <c r="B19" s="236" t="s">
        <v>9</v>
      </c>
    </row>
    <row r="21" spans="2:2" ht="63" x14ac:dyDescent="0.25">
      <c r="B21" s="236" t="s">
        <v>10</v>
      </c>
    </row>
    <row r="22" spans="2:2" x14ac:dyDescent="0.25">
      <c r="B22" s="540"/>
    </row>
    <row r="23" spans="2:2" x14ac:dyDescent="0.25">
      <c r="B23" s="236" t="s">
        <v>11</v>
      </c>
    </row>
    <row r="24" spans="2:2" x14ac:dyDescent="0.25">
      <c r="B24" s="540"/>
    </row>
    <row r="25" spans="2:2" x14ac:dyDescent="0.25">
      <c r="B25" s="236" t="s">
        <v>12</v>
      </c>
    </row>
    <row r="27" spans="2:2" ht="47.25" x14ac:dyDescent="0.25">
      <c r="B27" s="236" t="s">
        <v>13</v>
      </c>
    </row>
    <row r="29" spans="2:2" ht="16.5" x14ac:dyDescent="0.25">
      <c r="B29" s="538" t="s">
        <v>14</v>
      </c>
    </row>
    <row r="30" spans="2:2" x14ac:dyDescent="0.25">
      <c r="B30" s="541"/>
    </row>
    <row r="31" spans="2:2" ht="47.25" x14ac:dyDescent="0.25">
      <c r="B31" s="236" t="s">
        <v>15</v>
      </c>
    </row>
    <row r="33" spans="1:2" ht="47.25" x14ac:dyDescent="0.25">
      <c r="B33" s="122" t="s">
        <v>16</v>
      </c>
    </row>
    <row r="34" spans="1:2" ht="31.5" x14ac:dyDescent="0.25">
      <c r="B34" s="542" t="s">
        <v>17</v>
      </c>
    </row>
    <row r="35" spans="1:2" ht="47.25" x14ac:dyDescent="0.25">
      <c r="B35" s="542" t="s">
        <v>18</v>
      </c>
    </row>
    <row r="36" spans="1:2" ht="63" x14ac:dyDescent="0.25">
      <c r="B36" s="542" t="s">
        <v>19</v>
      </c>
    </row>
    <row r="37" spans="1:2" ht="31.5" x14ac:dyDescent="0.25">
      <c r="B37" s="542" t="s">
        <v>20</v>
      </c>
    </row>
    <row r="39" spans="1:2" ht="47.25" x14ac:dyDescent="0.25">
      <c r="B39" s="122" t="s">
        <v>21</v>
      </c>
    </row>
    <row r="40" spans="1:2" x14ac:dyDescent="0.25">
      <c r="B40" s="542" t="s">
        <v>22</v>
      </c>
    </row>
    <row r="41" spans="1:2" ht="47.25" x14ac:dyDescent="0.25">
      <c r="B41" s="542" t="s">
        <v>23</v>
      </c>
    </row>
    <row r="42" spans="1:2" ht="94.5" x14ac:dyDescent="0.25">
      <c r="B42" s="542" t="s">
        <v>24</v>
      </c>
    </row>
    <row r="43" spans="1:2" x14ac:dyDescent="0.25">
      <c r="A43" s="236"/>
    </row>
    <row r="44" spans="1:2" ht="47.25" x14ac:dyDescent="0.25">
      <c r="B44" s="122" t="s">
        <v>25</v>
      </c>
    </row>
    <row r="45" spans="1:2" ht="47.25" x14ac:dyDescent="0.25">
      <c r="B45" s="122" t="s">
        <v>26</v>
      </c>
    </row>
    <row r="46" spans="1:2" ht="63" x14ac:dyDescent="0.25">
      <c r="B46" s="542" t="s">
        <v>27</v>
      </c>
    </row>
    <row r="47" spans="1:2" ht="94.5" x14ac:dyDescent="0.25">
      <c r="B47" s="542" t="s">
        <v>28</v>
      </c>
    </row>
    <row r="48" spans="1:2" ht="94.5" x14ac:dyDescent="0.25">
      <c r="B48" s="542" t="s">
        <v>29</v>
      </c>
    </row>
    <row r="50" spans="1:2" ht="47.25" x14ac:dyDescent="0.25">
      <c r="B50" s="122" t="s">
        <v>30</v>
      </c>
    </row>
    <row r="51" spans="1:2" ht="31.5" x14ac:dyDescent="0.25">
      <c r="B51" s="542" t="s">
        <v>31</v>
      </c>
    </row>
    <row r="52" spans="1:2" x14ac:dyDescent="0.25">
      <c r="B52" s="542" t="s">
        <v>32</v>
      </c>
    </row>
    <row r="54" spans="1:2" ht="63" x14ac:dyDescent="0.25">
      <c r="B54" s="122" t="s">
        <v>33</v>
      </c>
    </row>
    <row r="55" spans="1:2" x14ac:dyDescent="0.25">
      <c r="B55" s="542" t="s">
        <v>34</v>
      </c>
    </row>
    <row r="56" spans="1:2" x14ac:dyDescent="0.25">
      <c r="B56" s="543"/>
    </row>
    <row r="57" spans="1:2" ht="47.25" x14ac:dyDescent="0.25">
      <c r="B57" s="122" t="s">
        <v>35</v>
      </c>
    </row>
    <row r="58" spans="1:2" ht="31.5" x14ac:dyDescent="0.25">
      <c r="B58" s="542" t="s">
        <v>36</v>
      </c>
    </row>
    <row r="59" spans="1:2" ht="63" x14ac:dyDescent="0.25">
      <c r="B59" s="542" t="s">
        <v>37</v>
      </c>
    </row>
    <row r="60" spans="1:2" ht="31.5" x14ac:dyDescent="0.25">
      <c r="B60" s="542" t="s">
        <v>38</v>
      </c>
    </row>
    <row r="61" spans="1:2" ht="31.5" x14ac:dyDescent="0.25">
      <c r="B61" s="542" t="s">
        <v>39</v>
      </c>
    </row>
    <row r="63" spans="1:2" ht="31.5" x14ac:dyDescent="0.25">
      <c r="B63" s="122" t="s">
        <v>40</v>
      </c>
    </row>
    <row r="64" spans="1:2" ht="31.5" x14ac:dyDescent="0.25">
      <c r="A64" s="544"/>
      <c r="B64" s="542" t="s">
        <v>41</v>
      </c>
    </row>
    <row r="66" spans="1:2" ht="47.25" x14ac:dyDescent="0.25">
      <c r="B66" s="122" t="s">
        <v>42</v>
      </c>
    </row>
    <row r="67" spans="1:2" ht="31.5" x14ac:dyDescent="0.25">
      <c r="A67" s="544"/>
      <c r="B67" s="542" t="s">
        <v>43</v>
      </c>
    </row>
    <row r="69" spans="1:2" ht="63" x14ac:dyDescent="0.25">
      <c r="B69" s="122" t="s">
        <v>44</v>
      </c>
    </row>
    <row r="70" spans="1:2" ht="47.25" x14ac:dyDescent="0.25">
      <c r="B70" s="542" t="s">
        <v>45</v>
      </c>
    </row>
    <row r="71" spans="1:2" ht="31.5" x14ac:dyDescent="0.25">
      <c r="B71" s="542" t="s">
        <v>46</v>
      </c>
    </row>
    <row r="73" spans="1:2" ht="78.75" x14ac:dyDescent="0.25">
      <c r="B73" s="122" t="s">
        <v>47</v>
      </c>
    </row>
    <row r="74" spans="1:2" ht="63" x14ac:dyDescent="0.25">
      <c r="B74" s="542" t="s">
        <v>48</v>
      </c>
    </row>
    <row r="75" spans="1:2" ht="78.75" x14ac:dyDescent="0.25">
      <c r="B75" s="542" t="s">
        <v>49</v>
      </c>
    </row>
    <row r="76" spans="1:2" ht="63" x14ac:dyDescent="0.25">
      <c r="B76" s="542" t="s">
        <v>50</v>
      </c>
    </row>
    <row r="77" spans="1:2" ht="78.75" x14ac:dyDescent="0.25">
      <c r="B77" s="542" t="s">
        <v>51</v>
      </c>
    </row>
    <row r="78" spans="1:2" ht="110.25" x14ac:dyDescent="0.25">
      <c r="B78" s="542" t="s">
        <v>52</v>
      </c>
    </row>
    <row r="79" spans="1:2" ht="47.25" x14ac:dyDescent="0.25">
      <c r="B79" s="542" t="s">
        <v>53</v>
      </c>
    </row>
    <row r="80" spans="1:2" ht="78.75" x14ac:dyDescent="0.25">
      <c r="B80" s="542" t="s">
        <v>54</v>
      </c>
    </row>
    <row r="81" spans="2:2" ht="110.25" x14ac:dyDescent="0.25">
      <c r="B81" s="542" t="s">
        <v>55</v>
      </c>
    </row>
    <row r="82" spans="2:2" ht="126" x14ac:dyDescent="0.25">
      <c r="B82" s="542" t="s">
        <v>56</v>
      </c>
    </row>
    <row r="83" spans="2:2" x14ac:dyDescent="0.25">
      <c r="B83" s="542" t="s">
        <v>57</v>
      </c>
    </row>
    <row r="84" spans="2:2" ht="47.25" x14ac:dyDescent="0.25">
      <c r="B84" s="542" t="s">
        <v>58</v>
      </c>
    </row>
    <row r="85" spans="2:2" ht="47.25" x14ac:dyDescent="0.25">
      <c r="B85" s="542" t="s">
        <v>59</v>
      </c>
    </row>
    <row r="86" spans="2:2" ht="78.75" x14ac:dyDescent="0.25">
      <c r="B86" s="542" t="s">
        <v>60</v>
      </c>
    </row>
    <row r="87" spans="2:2" ht="63" x14ac:dyDescent="0.25">
      <c r="B87" s="542" t="s">
        <v>61</v>
      </c>
    </row>
    <row r="88" spans="2:2" ht="63" x14ac:dyDescent="0.25">
      <c r="B88" s="542" t="s">
        <v>62</v>
      </c>
    </row>
    <row r="89" spans="2:2" ht="31.5" x14ac:dyDescent="0.25">
      <c r="B89" s="542" t="s">
        <v>63</v>
      </c>
    </row>
    <row r="91" spans="2:2" ht="63" x14ac:dyDescent="0.25">
      <c r="B91" s="122" t="s">
        <v>64</v>
      </c>
    </row>
    <row r="92" spans="2:2" ht="63" x14ac:dyDescent="0.25">
      <c r="B92" s="542" t="s">
        <v>65</v>
      </c>
    </row>
    <row r="93" spans="2:2" x14ac:dyDescent="0.25">
      <c r="B93" s="542" t="s">
        <v>66</v>
      </c>
    </row>
    <row r="94" spans="2:2" x14ac:dyDescent="0.25">
      <c r="B94" s="542" t="s">
        <v>67</v>
      </c>
    </row>
    <row r="95" spans="2:2" ht="31.5" x14ac:dyDescent="0.25">
      <c r="B95" s="545" t="s">
        <v>68</v>
      </c>
    </row>
    <row r="96" spans="2:2" ht="94.5" x14ac:dyDescent="0.25">
      <c r="B96" s="545" t="s">
        <v>69</v>
      </c>
    </row>
    <row r="97" spans="2:2" ht="78.75" x14ac:dyDescent="0.25">
      <c r="B97" s="545" t="s">
        <v>70</v>
      </c>
    </row>
    <row r="98" spans="2:2" ht="94.5" x14ac:dyDescent="0.25">
      <c r="B98" s="542" t="s">
        <v>71</v>
      </c>
    </row>
    <row r="99" spans="2:2" ht="63" x14ac:dyDescent="0.25">
      <c r="B99" s="542" t="s">
        <v>72</v>
      </c>
    </row>
    <row r="101" spans="2:2" ht="94.5" x14ac:dyDescent="0.25">
      <c r="B101" s="122" t="s">
        <v>73</v>
      </c>
    </row>
    <row r="102" spans="2:2" ht="78.75" x14ac:dyDescent="0.25">
      <c r="B102" s="546" t="s">
        <v>74</v>
      </c>
    </row>
    <row r="103" spans="2:2" ht="63" x14ac:dyDescent="0.25">
      <c r="B103" s="542" t="s">
        <v>75</v>
      </c>
    </row>
    <row r="104" spans="2:2" ht="31.5" x14ac:dyDescent="0.25">
      <c r="B104" s="542" t="s">
        <v>76</v>
      </c>
    </row>
    <row r="105" spans="2:2" x14ac:dyDescent="0.25">
      <c r="B105" s="55"/>
    </row>
    <row r="106" spans="2:2" ht="47.25" x14ac:dyDescent="0.25">
      <c r="B106" s="122" t="s">
        <v>77</v>
      </c>
    </row>
    <row r="107" spans="2:2" x14ac:dyDescent="0.25">
      <c r="B107" s="55"/>
    </row>
    <row r="108" spans="2:2" ht="47.25" x14ac:dyDescent="0.25">
      <c r="B108" s="122" t="s">
        <v>78</v>
      </c>
    </row>
    <row r="109" spans="2:2" x14ac:dyDescent="0.25">
      <c r="B109" s="55"/>
    </row>
  </sheetData>
  <sheetProtection sheet="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pageSetUpPr fitToPage="1"/>
  </sheetPr>
  <dimension ref="B1:Y39"/>
  <sheetViews>
    <sheetView zoomScale="75" workbookViewId="0">
      <selection activeCell="F6" sqref="F6"/>
    </sheetView>
  </sheetViews>
  <sheetFormatPr defaultRowHeight="15.75" x14ac:dyDescent="0.25"/>
  <cols>
    <col min="1" max="1" width="8.796875" style="125"/>
    <col min="2" max="2" width="18.69921875" style="125" customWidth="1"/>
    <col min="3" max="3" width="8.796875" style="125"/>
    <col min="4" max="4" width="7.8984375" style="125" customWidth="1"/>
    <col min="5" max="5" width="8.796875" style="125"/>
    <col min="6" max="6" width="16.19921875" style="125" customWidth="1"/>
    <col min="7" max="16384" width="8.796875" style="125"/>
  </cols>
  <sheetData>
    <row r="1" spans="2:12" x14ac:dyDescent="0.25">
      <c r="B1" s="123">
        <f>inputPrYr!$D$3</f>
        <v>0</v>
      </c>
      <c r="C1" s="124"/>
      <c r="D1" s="124"/>
      <c r="E1" s="124"/>
      <c r="F1" s="124"/>
      <c r="G1" s="124"/>
      <c r="H1" s="124"/>
      <c r="I1" s="124"/>
      <c r="J1" s="3"/>
      <c r="K1" s="3"/>
      <c r="L1" s="612">
        <f>inputPrYr!D6</f>
        <v>2025</v>
      </c>
    </row>
    <row r="2" spans="2:12" x14ac:dyDescent="0.25">
      <c r="B2" s="123">
        <f>inputPrYr!$D$4</f>
        <v>0</v>
      </c>
      <c r="C2" s="124"/>
      <c r="D2" s="124"/>
      <c r="E2" s="124"/>
      <c r="F2" s="124"/>
      <c r="G2" s="124"/>
      <c r="H2" s="124"/>
      <c r="I2" s="124"/>
      <c r="J2" s="3"/>
      <c r="K2" s="3"/>
      <c r="L2" s="35"/>
    </row>
    <row r="3" spans="2:12" x14ac:dyDescent="0.25">
      <c r="B3" s="126" t="s">
        <v>227</v>
      </c>
      <c r="C3" s="127"/>
      <c r="D3" s="127"/>
      <c r="E3" s="104"/>
      <c r="F3" s="127"/>
      <c r="G3" s="127"/>
      <c r="H3" s="127"/>
      <c r="I3" s="127"/>
      <c r="J3" s="127"/>
      <c r="K3" s="127"/>
      <c r="L3" s="127"/>
    </row>
    <row r="4" spans="2:12" x14ac:dyDescent="0.25">
      <c r="B4" s="124"/>
      <c r="C4" s="124"/>
      <c r="D4" s="124"/>
      <c r="E4" s="124"/>
      <c r="F4" s="124"/>
      <c r="G4" s="124"/>
      <c r="H4" s="124"/>
      <c r="I4" s="124"/>
      <c r="J4" s="124"/>
      <c r="K4" s="124"/>
      <c r="L4" s="124"/>
    </row>
    <row r="5" spans="2:12" x14ac:dyDescent="0.25">
      <c r="B5" s="128" t="s">
        <v>228</v>
      </c>
      <c r="C5" s="128" t="s">
        <v>229</v>
      </c>
      <c r="D5" s="128" t="s">
        <v>230</v>
      </c>
      <c r="E5" s="128"/>
      <c r="F5" s="128" t="s">
        <v>231</v>
      </c>
      <c r="G5" s="129"/>
      <c r="H5" s="130"/>
      <c r="I5" s="129" t="s">
        <v>232</v>
      </c>
      <c r="J5" s="130"/>
      <c r="K5" s="129" t="s">
        <v>232</v>
      </c>
      <c r="L5" s="130"/>
    </row>
    <row r="6" spans="2:12" x14ac:dyDescent="0.25">
      <c r="B6" s="131" t="s">
        <v>233</v>
      </c>
      <c r="C6" s="131" t="s">
        <v>233</v>
      </c>
      <c r="D6" s="131" t="s">
        <v>110</v>
      </c>
      <c r="E6" s="131" t="s">
        <v>231</v>
      </c>
      <c r="F6" s="131" t="s">
        <v>234</v>
      </c>
      <c r="G6" s="132" t="s">
        <v>235</v>
      </c>
      <c r="H6" s="133"/>
      <c r="I6" s="132">
        <f>L1-1</f>
        <v>2024</v>
      </c>
      <c r="J6" s="133"/>
      <c r="K6" s="132">
        <f>L1</f>
        <v>2025</v>
      </c>
      <c r="L6" s="133"/>
    </row>
    <row r="7" spans="2:12" x14ac:dyDescent="0.25">
      <c r="B7" s="134" t="s">
        <v>236</v>
      </c>
      <c r="C7" s="134" t="s">
        <v>237</v>
      </c>
      <c r="D7" s="134" t="s">
        <v>89</v>
      </c>
      <c r="E7" s="134" t="s">
        <v>238</v>
      </c>
      <c r="F7" s="135" t="str">
        <f>CONCATENATE("Jan 1, ", L1-1,"")</f>
        <v>Jan 1, 2024</v>
      </c>
      <c r="G7" s="611" t="s">
        <v>230</v>
      </c>
      <c r="H7" s="611" t="s">
        <v>239</v>
      </c>
      <c r="I7" s="611" t="s">
        <v>230</v>
      </c>
      <c r="J7" s="611" t="s">
        <v>239</v>
      </c>
      <c r="K7" s="611" t="s">
        <v>230</v>
      </c>
      <c r="L7" s="611" t="s">
        <v>239</v>
      </c>
    </row>
    <row r="8" spans="2:12" x14ac:dyDescent="0.25">
      <c r="B8" s="136" t="s">
        <v>240</v>
      </c>
      <c r="C8" s="137"/>
      <c r="D8" s="136"/>
      <c r="E8" s="136"/>
      <c r="F8" s="136"/>
      <c r="G8" s="138"/>
      <c r="H8" s="138"/>
      <c r="I8" s="136"/>
      <c r="J8" s="136"/>
      <c r="K8" s="136"/>
      <c r="L8" s="139"/>
    </row>
    <row r="9" spans="2:12" x14ac:dyDescent="0.25">
      <c r="B9" s="140"/>
      <c r="C9" s="253"/>
      <c r="D9" s="142"/>
      <c r="E9" s="20"/>
      <c r="F9" s="143"/>
      <c r="G9" s="144"/>
      <c r="H9" s="144"/>
      <c r="I9" s="143"/>
      <c r="J9" s="143"/>
      <c r="K9" s="143"/>
      <c r="L9" s="143"/>
    </row>
    <row r="10" spans="2:12" x14ac:dyDescent="0.25">
      <c r="B10" s="140"/>
      <c r="C10" s="253"/>
      <c r="D10" s="142"/>
      <c r="E10" s="20"/>
      <c r="F10" s="143"/>
      <c r="G10" s="144"/>
      <c r="H10" s="144"/>
      <c r="I10" s="143"/>
      <c r="J10" s="143"/>
      <c r="K10" s="143"/>
      <c r="L10" s="143"/>
    </row>
    <row r="11" spans="2:12" x14ac:dyDescent="0.25">
      <c r="B11" s="50" t="s">
        <v>241</v>
      </c>
      <c r="C11" s="145"/>
      <c r="D11" s="146"/>
      <c r="E11" s="18"/>
      <c r="F11" s="116">
        <f>SUM(F9:F10)</f>
        <v>0</v>
      </c>
      <c r="G11" s="147"/>
      <c r="H11" s="147"/>
      <c r="I11" s="116">
        <f>SUM(I9:I10)</f>
        <v>0</v>
      </c>
      <c r="J11" s="116">
        <f>SUM(J9:J10)</f>
        <v>0</v>
      </c>
      <c r="K11" s="116">
        <f>SUM(K9:K10)</f>
        <v>0</v>
      </c>
      <c r="L11" s="116">
        <f>SUM(L9:L10)</f>
        <v>0</v>
      </c>
    </row>
    <row r="12" spans="2:12" x14ac:dyDescent="0.25">
      <c r="B12" s="50" t="s">
        <v>242</v>
      </c>
      <c r="C12" s="145"/>
      <c r="D12" s="146"/>
      <c r="E12" s="18"/>
      <c r="F12" s="59"/>
      <c r="G12" s="147"/>
      <c r="H12" s="147"/>
      <c r="I12" s="59"/>
      <c r="J12" s="59"/>
      <c r="K12" s="59"/>
      <c r="L12" s="59"/>
    </row>
    <row r="13" spans="2:12" x14ac:dyDescent="0.25">
      <c r="B13" s="140"/>
      <c r="C13" s="253"/>
      <c r="D13" s="142"/>
      <c r="E13" s="20"/>
      <c r="F13" s="143"/>
      <c r="G13" s="144"/>
      <c r="H13" s="144"/>
      <c r="I13" s="143"/>
      <c r="J13" s="143"/>
      <c r="K13" s="143"/>
      <c r="L13" s="143"/>
    </row>
    <row r="14" spans="2:12" x14ac:dyDescent="0.25">
      <c r="B14" s="140"/>
      <c r="C14" s="253"/>
      <c r="D14" s="142"/>
      <c r="E14" s="20"/>
      <c r="F14" s="143"/>
      <c r="G14" s="144"/>
      <c r="H14" s="144"/>
      <c r="I14" s="143"/>
      <c r="J14" s="143"/>
      <c r="K14" s="143"/>
      <c r="L14" s="143"/>
    </row>
    <row r="15" spans="2:12" x14ac:dyDescent="0.25">
      <c r="B15" s="50" t="s">
        <v>243</v>
      </c>
      <c r="C15" s="145"/>
      <c r="D15" s="146"/>
      <c r="E15" s="18"/>
      <c r="F15" s="116">
        <f>SUM(F13:F14)</f>
        <v>0</v>
      </c>
      <c r="G15" s="147"/>
      <c r="H15" s="147"/>
      <c r="I15" s="116">
        <f>SUM(I13:I14)</f>
        <v>0</v>
      </c>
      <c r="J15" s="116">
        <f>SUM(J13:J14)</f>
        <v>0</v>
      </c>
      <c r="K15" s="116">
        <f>SUM(K13:K14)</f>
        <v>0</v>
      </c>
      <c r="L15" s="116">
        <f>SUM(L13:L14)</f>
        <v>0</v>
      </c>
    </row>
    <row r="16" spans="2:12" x14ac:dyDescent="0.25">
      <c r="B16" s="148" t="s">
        <v>244</v>
      </c>
      <c r="C16" s="419"/>
      <c r="D16" s="420"/>
      <c r="E16" s="421"/>
      <c r="F16" s="150">
        <f>SUM(F11+F15)</f>
        <v>0</v>
      </c>
      <c r="G16" s="419"/>
      <c r="H16" s="422"/>
      <c r="I16" s="150">
        <f>SUM(I11+I15)</f>
        <v>0</v>
      </c>
      <c r="J16" s="150">
        <f>SUM(J11+J15)</f>
        <v>0</v>
      </c>
      <c r="K16" s="150">
        <f>SUM(K11+K15)</f>
        <v>0</v>
      </c>
      <c r="L16" s="150">
        <f>SUM(L11+L15)</f>
        <v>0</v>
      </c>
    </row>
    <row r="17" spans="2:25" x14ac:dyDescent="0.25">
      <c r="B17" s="3"/>
      <c r="C17" s="3"/>
      <c r="D17" s="3"/>
      <c r="E17" s="3"/>
      <c r="F17" s="3"/>
      <c r="G17" s="3"/>
      <c r="H17" s="3"/>
      <c r="I17" s="3"/>
      <c r="J17" s="3"/>
      <c r="K17" s="3"/>
      <c r="L17" s="3"/>
      <c r="M17" s="55"/>
      <c r="N17" s="55"/>
      <c r="O17" s="55"/>
      <c r="P17" s="55"/>
      <c r="Q17" s="55"/>
      <c r="R17" s="55"/>
      <c r="S17" s="55"/>
      <c r="T17" s="55"/>
      <c r="U17" s="55"/>
      <c r="V17" s="55"/>
      <c r="W17" s="55"/>
      <c r="X17" s="55"/>
      <c r="Y17" s="55"/>
    </row>
    <row r="18" spans="2:25" s="153" customFormat="1" x14ac:dyDescent="0.25">
      <c r="B18" s="680" t="s">
        <v>245</v>
      </c>
      <c r="C18" s="637"/>
      <c r="D18" s="637"/>
      <c r="E18" s="637"/>
      <c r="F18" s="637"/>
      <c r="G18" s="637"/>
      <c r="H18" s="637"/>
      <c r="I18" s="637"/>
      <c r="J18" s="151"/>
      <c r="K18" s="151"/>
      <c r="L18" s="152"/>
    </row>
    <row r="19" spans="2:25" s="153" customFormat="1" x14ac:dyDescent="0.25">
      <c r="B19" s="3"/>
      <c r="C19" s="154"/>
      <c r="D19" s="154"/>
      <c r="E19" s="154"/>
      <c r="F19" s="154"/>
      <c r="G19" s="154"/>
      <c r="H19" s="154"/>
      <c r="I19" s="154"/>
      <c r="J19" s="155"/>
      <c r="K19" s="155"/>
      <c r="L19" s="152"/>
    </row>
    <row r="20" spans="2:25" s="153" customFormat="1" x14ac:dyDescent="0.25">
      <c r="B20" s="113"/>
      <c r="C20" s="113"/>
      <c r="D20" s="128" t="s">
        <v>246</v>
      </c>
      <c r="E20" s="113"/>
      <c r="F20" s="128" t="s">
        <v>111</v>
      </c>
      <c r="G20" s="113"/>
      <c r="H20" s="113"/>
      <c r="I20" s="113"/>
      <c r="J20" s="156"/>
      <c r="K20" s="152"/>
      <c r="L20" s="152"/>
    </row>
    <row r="21" spans="2:25" s="153" customFormat="1" x14ac:dyDescent="0.25">
      <c r="B21" s="157"/>
      <c r="C21" s="131"/>
      <c r="D21" s="131" t="s">
        <v>233</v>
      </c>
      <c r="E21" s="131" t="s">
        <v>230</v>
      </c>
      <c r="F21" s="131" t="s">
        <v>231</v>
      </c>
      <c r="G21" s="131" t="s">
        <v>239</v>
      </c>
      <c r="H21" s="131" t="s">
        <v>247</v>
      </c>
      <c r="I21" s="131" t="s">
        <v>247</v>
      </c>
      <c r="J21" s="152"/>
      <c r="K21" s="152"/>
      <c r="L21" s="152"/>
    </row>
    <row r="22" spans="2:25" s="153" customFormat="1" x14ac:dyDescent="0.25">
      <c r="B22" s="131" t="s">
        <v>248</v>
      </c>
      <c r="C22" s="131" t="s">
        <v>249</v>
      </c>
      <c r="D22" s="131" t="s">
        <v>250</v>
      </c>
      <c r="E22" s="131" t="s">
        <v>110</v>
      </c>
      <c r="F22" s="131" t="s">
        <v>251</v>
      </c>
      <c r="G22" s="131" t="s">
        <v>252</v>
      </c>
      <c r="H22" s="131" t="s">
        <v>253</v>
      </c>
      <c r="I22" s="131" t="s">
        <v>253</v>
      </c>
      <c r="J22" s="152"/>
      <c r="K22" s="152"/>
      <c r="L22" s="152"/>
    </row>
    <row r="23" spans="2:25" s="153" customFormat="1" x14ac:dyDescent="0.25">
      <c r="B23" s="134" t="s">
        <v>254</v>
      </c>
      <c r="C23" s="134" t="s">
        <v>229</v>
      </c>
      <c r="D23" s="158" t="s">
        <v>255</v>
      </c>
      <c r="E23" s="134" t="s">
        <v>89</v>
      </c>
      <c r="F23" s="158" t="s">
        <v>256</v>
      </c>
      <c r="G23" s="135" t="str">
        <f>CONCATENATE("Jan 1, ", L1-1,"")</f>
        <v>Jan 1, 2024</v>
      </c>
      <c r="H23" s="134">
        <f>L1-1</f>
        <v>2024</v>
      </c>
      <c r="I23" s="134">
        <f>L1</f>
        <v>2025</v>
      </c>
      <c r="J23" s="152"/>
      <c r="K23" s="152"/>
      <c r="L23" s="152"/>
    </row>
    <row r="24" spans="2:25" s="153" customFormat="1" x14ac:dyDescent="0.25">
      <c r="B24" s="140"/>
      <c r="C24" s="141"/>
      <c r="D24" s="159"/>
      <c r="E24" s="142"/>
      <c r="F24" s="20"/>
      <c r="G24" s="20"/>
      <c r="H24" s="20"/>
      <c r="I24" s="20"/>
      <c r="J24" s="152"/>
      <c r="K24" s="152"/>
      <c r="L24" s="152"/>
    </row>
    <row r="25" spans="2:25" s="153" customFormat="1" x14ac:dyDescent="0.25">
      <c r="B25" s="140"/>
      <c r="C25" s="141"/>
      <c r="D25" s="159"/>
      <c r="E25" s="142"/>
      <c r="F25" s="20"/>
      <c r="G25" s="20"/>
      <c r="H25" s="20"/>
      <c r="I25" s="20"/>
      <c r="J25" s="152"/>
      <c r="K25" s="152"/>
      <c r="L25" s="152"/>
    </row>
    <row r="26" spans="2:25" s="153" customFormat="1" x14ac:dyDescent="0.25">
      <c r="B26" s="140"/>
      <c r="C26" s="141"/>
      <c r="D26" s="159"/>
      <c r="E26" s="142"/>
      <c r="F26" s="20"/>
      <c r="G26" s="20"/>
      <c r="H26" s="20"/>
      <c r="I26" s="20"/>
      <c r="J26" s="152"/>
      <c r="K26" s="152"/>
      <c r="L26" s="152"/>
    </row>
    <row r="27" spans="2:25" s="153" customFormat="1" x14ac:dyDescent="0.25">
      <c r="B27" s="140"/>
      <c r="C27" s="141"/>
      <c r="D27" s="159"/>
      <c r="E27" s="142"/>
      <c r="F27" s="20"/>
      <c r="G27" s="20"/>
      <c r="H27" s="20"/>
      <c r="I27" s="20"/>
      <c r="J27" s="152"/>
      <c r="K27" s="152"/>
      <c r="L27" s="152"/>
    </row>
    <row r="28" spans="2:25" s="153" customFormat="1" x14ac:dyDescent="0.25">
      <c r="B28" s="140"/>
      <c r="C28" s="141"/>
      <c r="D28" s="159"/>
      <c r="E28" s="142"/>
      <c r="F28" s="20"/>
      <c r="G28" s="20"/>
      <c r="H28" s="20"/>
      <c r="I28" s="20"/>
      <c r="J28" s="152"/>
      <c r="K28" s="152"/>
      <c r="L28" s="152"/>
    </row>
    <row r="29" spans="2:25" s="153" customFormat="1" x14ac:dyDescent="0.25">
      <c r="B29" s="140"/>
      <c r="C29" s="141"/>
      <c r="D29" s="159"/>
      <c r="E29" s="142"/>
      <c r="F29" s="20"/>
      <c r="G29" s="20"/>
      <c r="H29" s="20"/>
      <c r="I29" s="20"/>
      <c r="J29" s="152"/>
      <c r="K29" s="152"/>
      <c r="L29" s="152"/>
    </row>
    <row r="30" spans="2:25" s="153" customFormat="1" x14ac:dyDescent="0.25">
      <c r="B30" s="140"/>
      <c r="C30" s="141"/>
      <c r="D30" s="159"/>
      <c r="E30" s="142"/>
      <c r="F30" s="20"/>
      <c r="G30" s="20"/>
      <c r="H30" s="20"/>
      <c r="I30" s="20"/>
      <c r="J30" s="152"/>
      <c r="K30" s="152"/>
      <c r="L30" s="152"/>
    </row>
    <row r="31" spans="2:25" s="153" customFormat="1" x14ac:dyDescent="0.25">
      <c r="B31" s="140"/>
      <c r="C31" s="141"/>
      <c r="D31" s="159"/>
      <c r="E31" s="142"/>
      <c r="F31" s="20"/>
      <c r="G31" s="20"/>
      <c r="H31" s="20"/>
      <c r="I31" s="20"/>
      <c r="J31" s="152"/>
      <c r="K31" s="152"/>
      <c r="L31" s="152"/>
    </row>
    <row r="32" spans="2:25" s="153" customFormat="1" x14ac:dyDescent="0.25">
      <c r="B32" s="140"/>
      <c r="C32" s="141"/>
      <c r="D32" s="159"/>
      <c r="E32" s="142"/>
      <c r="F32" s="20"/>
      <c r="G32" s="20"/>
      <c r="H32" s="20"/>
      <c r="I32" s="20"/>
      <c r="J32" s="152"/>
      <c r="K32" s="152"/>
      <c r="L32" s="152"/>
    </row>
    <row r="33" spans="2:12" s="153" customFormat="1" x14ac:dyDescent="0.25">
      <c r="B33" s="140"/>
      <c r="C33" s="141"/>
      <c r="D33" s="159"/>
      <c r="E33" s="142"/>
      <c r="F33" s="20"/>
      <c r="G33" s="20"/>
      <c r="H33" s="20"/>
      <c r="I33" s="20"/>
      <c r="J33" s="152"/>
      <c r="K33" s="152"/>
      <c r="L33" s="152"/>
    </row>
    <row r="34" spans="2:12" s="153" customFormat="1" x14ac:dyDescent="0.25">
      <c r="B34" s="140"/>
      <c r="C34" s="141"/>
      <c r="D34" s="159"/>
      <c r="E34" s="142"/>
      <c r="F34" s="20"/>
      <c r="G34" s="20"/>
      <c r="H34" s="20"/>
      <c r="I34" s="20"/>
      <c r="J34" s="152"/>
      <c r="K34" s="152"/>
      <c r="L34" s="152"/>
    </row>
    <row r="35" spans="2:12" s="153" customFormat="1" x14ac:dyDescent="0.25">
      <c r="B35" s="140"/>
      <c r="C35" s="141"/>
      <c r="D35" s="159"/>
      <c r="E35" s="142"/>
      <c r="F35" s="20"/>
      <c r="G35" s="20"/>
      <c r="H35" s="20"/>
      <c r="I35" s="20"/>
      <c r="J35" s="152"/>
      <c r="K35" s="152"/>
      <c r="L35" s="152"/>
    </row>
    <row r="36" spans="2:12" x14ac:dyDescent="0.25">
      <c r="B36" s="424"/>
      <c r="C36" s="149"/>
      <c r="D36" s="149"/>
      <c r="E36" s="160"/>
      <c r="F36" s="423" t="s">
        <v>111</v>
      </c>
      <c r="G36" s="150">
        <f>SUM(G24:G35)</f>
        <v>0</v>
      </c>
      <c r="H36" s="150">
        <f>SUM(H24:H35)</f>
        <v>0</v>
      </c>
      <c r="I36" s="150">
        <f>SUM(I24:I35)</f>
        <v>0</v>
      </c>
      <c r="J36" s="124"/>
      <c r="K36" s="124"/>
      <c r="L36" s="100"/>
    </row>
    <row r="37" spans="2:12" x14ac:dyDescent="0.25">
      <c r="B37" s="124"/>
      <c r="C37" s="124"/>
      <c r="D37" s="124"/>
      <c r="E37" s="124"/>
      <c r="F37" s="124"/>
      <c r="G37" s="124"/>
      <c r="H37" s="124"/>
      <c r="I37" s="124"/>
      <c r="J37" s="124"/>
      <c r="K37" s="124"/>
      <c r="L37" s="124"/>
    </row>
    <row r="38" spans="2:12" x14ac:dyDescent="0.25">
      <c r="B38" s="161" t="s">
        <v>257</v>
      </c>
      <c r="C38" s="161"/>
      <c r="D38" s="161"/>
      <c r="E38" s="161"/>
      <c r="F38" s="161"/>
      <c r="G38" s="161"/>
      <c r="H38" s="161"/>
      <c r="I38" s="124"/>
      <c r="J38" s="124"/>
      <c r="K38" s="124"/>
      <c r="L38" s="124"/>
    </row>
    <row r="39" spans="2:12" x14ac:dyDescent="0.25">
      <c r="B39" s="162"/>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sheetPr>
  <dimension ref="B1:I108"/>
  <sheetViews>
    <sheetView zoomScaleNormal="100" workbookViewId="0">
      <selection activeCell="K1" sqref="K1"/>
    </sheetView>
  </sheetViews>
  <sheetFormatPr defaultRowHeight="15" x14ac:dyDescent="0.2"/>
  <cols>
    <col min="1" max="1" width="2.296875" style="317" customWidth="1"/>
    <col min="2" max="4" width="8.796875" style="317"/>
    <col min="5" max="5" width="8.69921875" style="317" customWidth="1"/>
    <col min="6" max="6" width="8.796875" style="317"/>
    <col min="7" max="7" width="8.69921875" style="317" customWidth="1"/>
    <col min="8" max="16384" width="8.796875" style="317"/>
  </cols>
  <sheetData>
    <row r="1" spans="2:9" ht="15.75" x14ac:dyDescent="0.25">
      <c r="B1" s="316"/>
      <c r="C1" s="316"/>
      <c r="D1" s="316"/>
      <c r="E1" s="316"/>
      <c r="F1" s="316"/>
      <c r="G1" s="316"/>
      <c r="H1" s="316"/>
      <c r="I1" s="316"/>
    </row>
    <row r="2" spans="2:9" ht="15.75" x14ac:dyDescent="0.2">
      <c r="B2" s="683" t="s">
        <v>258</v>
      </c>
      <c r="C2" s="683"/>
      <c r="D2" s="683"/>
      <c r="E2" s="683"/>
      <c r="F2" s="683"/>
      <c r="G2" s="683"/>
      <c r="H2" s="683"/>
      <c r="I2" s="683"/>
    </row>
    <row r="3" spans="2:9" ht="15.75" x14ac:dyDescent="0.2">
      <c r="B3" s="683" t="s">
        <v>259</v>
      </c>
      <c r="C3" s="683"/>
      <c r="D3" s="683"/>
      <c r="E3" s="683"/>
      <c r="F3" s="683"/>
      <c r="G3" s="683"/>
      <c r="H3" s="683"/>
      <c r="I3" s="683"/>
    </row>
    <row r="4" spans="2:9" ht="15.75" x14ac:dyDescent="0.2">
      <c r="B4" s="318"/>
      <c r="C4" s="318"/>
      <c r="D4" s="318"/>
      <c r="E4" s="318"/>
      <c r="F4" s="318"/>
      <c r="G4" s="318"/>
      <c r="H4" s="318"/>
      <c r="I4" s="318"/>
    </row>
    <row r="5" spans="2:9" ht="15.75" x14ac:dyDescent="0.2">
      <c r="B5" s="684" t="str">
        <f>CONCATENATE("Budgeted Year: ",inputPrYr!D6,"")</f>
        <v>Budgeted Year: 2025</v>
      </c>
      <c r="C5" s="684"/>
      <c r="D5" s="684"/>
      <c r="E5" s="684"/>
      <c r="F5" s="684"/>
      <c r="G5" s="684"/>
      <c r="H5" s="684"/>
      <c r="I5" s="684"/>
    </row>
    <row r="6" spans="2:9" ht="15.75" x14ac:dyDescent="0.2">
      <c r="B6" s="319"/>
      <c r="C6" s="318"/>
      <c r="D6" s="318"/>
      <c r="E6" s="318"/>
      <c r="F6" s="318"/>
      <c r="G6" s="318"/>
      <c r="H6" s="318"/>
      <c r="I6" s="318"/>
    </row>
    <row r="7" spans="2:9" ht="15.75" x14ac:dyDescent="0.2">
      <c r="B7" s="319" t="str">
        <f>CONCATENATE("Library found in: ",inputPrYr!D3,"")</f>
        <v xml:space="preserve">Library found in: </v>
      </c>
      <c r="C7" s="318"/>
      <c r="D7" s="318"/>
      <c r="E7" s="318"/>
      <c r="F7" s="318"/>
      <c r="G7" s="318"/>
      <c r="H7" s="318"/>
      <c r="I7" s="318"/>
    </row>
    <row r="8" spans="2:9" ht="15.75" x14ac:dyDescent="0.2">
      <c r="B8" s="319">
        <f>inputPrYr!D4</f>
        <v>0</v>
      </c>
      <c r="C8" s="318"/>
      <c r="D8" s="318"/>
      <c r="E8" s="318"/>
      <c r="F8" s="318"/>
      <c r="G8" s="318"/>
      <c r="H8" s="318"/>
      <c r="I8" s="318"/>
    </row>
    <row r="9" spans="2:9" ht="15.75" x14ac:dyDescent="0.2">
      <c r="B9" s="318"/>
      <c r="C9" s="318"/>
      <c r="D9" s="318"/>
      <c r="E9" s="318"/>
      <c r="F9" s="318"/>
      <c r="G9" s="318"/>
      <c r="H9" s="318"/>
      <c r="I9" s="318"/>
    </row>
    <row r="10" spans="2:9" ht="39" customHeight="1" x14ac:dyDescent="0.2">
      <c r="B10" s="685" t="s">
        <v>260</v>
      </c>
      <c r="C10" s="685"/>
      <c r="D10" s="685"/>
      <c r="E10" s="685"/>
      <c r="F10" s="685"/>
      <c r="G10" s="685"/>
      <c r="H10" s="685"/>
      <c r="I10" s="685"/>
    </row>
    <row r="11" spans="2:9" ht="15.75" x14ac:dyDescent="0.2">
      <c r="B11" s="318"/>
      <c r="C11" s="318"/>
      <c r="D11" s="318"/>
      <c r="E11" s="318"/>
      <c r="F11" s="318"/>
      <c r="G11" s="318"/>
      <c r="H11" s="318"/>
      <c r="I11" s="318"/>
    </row>
    <row r="12" spans="2:9" ht="15.75" x14ac:dyDescent="0.2">
      <c r="B12" s="320" t="s">
        <v>261</v>
      </c>
      <c r="C12" s="318"/>
      <c r="D12" s="318"/>
      <c r="E12" s="318"/>
      <c r="F12" s="318"/>
      <c r="G12" s="318"/>
      <c r="H12" s="318"/>
      <c r="I12" s="318"/>
    </row>
    <row r="13" spans="2:9" ht="15.75" x14ac:dyDescent="0.2">
      <c r="B13" s="318"/>
      <c r="C13" s="318"/>
      <c r="D13" s="318"/>
      <c r="E13" s="321" t="s">
        <v>262</v>
      </c>
      <c r="F13" s="318"/>
      <c r="G13" s="321" t="s">
        <v>263</v>
      </c>
      <c r="H13" s="318"/>
      <c r="I13" s="318"/>
    </row>
    <row r="14" spans="2:9" ht="15.75" x14ac:dyDescent="0.2">
      <c r="B14" s="318"/>
      <c r="C14" s="318"/>
      <c r="D14" s="318"/>
      <c r="E14" s="322">
        <f>inputPrYr!D6-1</f>
        <v>2024</v>
      </c>
      <c r="F14" s="318"/>
      <c r="G14" s="322">
        <f>inputPrYr!D6</f>
        <v>2025</v>
      </c>
      <c r="H14" s="318"/>
      <c r="I14" s="318"/>
    </row>
    <row r="15" spans="2:9" ht="15.75" x14ac:dyDescent="0.2">
      <c r="B15" s="319" t="str">
        <f>'DebtSvs-Library'!B47</f>
        <v>Ad Valorem Tax</v>
      </c>
      <c r="C15" s="318"/>
      <c r="D15" s="318"/>
      <c r="E15" s="323">
        <f>'DebtSvs-Library'!D47</f>
        <v>0</v>
      </c>
      <c r="F15" s="318"/>
      <c r="G15" s="323">
        <f>'DebtSvs-Library'!E80</f>
        <v>0</v>
      </c>
      <c r="H15" s="318"/>
      <c r="I15" s="318"/>
    </row>
    <row r="16" spans="2:9" ht="15.75" x14ac:dyDescent="0.2">
      <c r="B16" s="319" t="str">
        <f>'DebtSvs-Library'!B48</f>
        <v>Delinquent Tax</v>
      </c>
      <c r="C16" s="318"/>
      <c r="D16" s="318"/>
      <c r="E16" s="323">
        <f>'DebtSvs-Library'!D48</f>
        <v>0</v>
      </c>
      <c r="F16" s="318"/>
      <c r="G16" s="323">
        <f>'DebtSvs-Library'!E48</f>
        <v>0</v>
      </c>
      <c r="H16" s="318"/>
      <c r="I16" s="318"/>
    </row>
    <row r="17" spans="2:9" ht="15.75" x14ac:dyDescent="0.2">
      <c r="B17" s="319" t="str">
        <f>'DebtSvs-Library'!B49</f>
        <v>Motor Vehicle Tax</v>
      </c>
      <c r="C17" s="318"/>
      <c r="D17" s="318"/>
      <c r="E17" s="323">
        <f>'DebtSvs-Library'!D49</f>
        <v>0</v>
      </c>
      <c r="F17" s="318"/>
      <c r="G17" s="323">
        <f>'DebtSvs-Library'!E49</f>
        <v>0</v>
      </c>
      <c r="H17" s="318"/>
      <c r="I17" s="318"/>
    </row>
    <row r="18" spans="2:9" ht="15.75" x14ac:dyDescent="0.2">
      <c r="B18" s="319" t="str">
        <f>'DebtSvs-Library'!B50</f>
        <v>Recreational Vehicle Tax</v>
      </c>
      <c r="C18" s="318"/>
      <c r="D18" s="318"/>
      <c r="E18" s="323">
        <f>'DebtSvs-Library'!D50</f>
        <v>0</v>
      </c>
      <c r="F18" s="318"/>
      <c r="G18" s="323">
        <f>'DebtSvs-Library'!E50</f>
        <v>0</v>
      </c>
      <c r="H18" s="318"/>
      <c r="I18" s="318"/>
    </row>
    <row r="19" spans="2:9" ht="15.75" x14ac:dyDescent="0.2">
      <c r="B19" s="319" t="str">
        <f>'DebtSvs-Library'!B51</f>
        <v>16/20M Vehicle Tax</v>
      </c>
      <c r="C19" s="318"/>
      <c r="D19" s="318"/>
      <c r="E19" s="323">
        <f>'DebtSvs-Library'!D51</f>
        <v>0</v>
      </c>
      <c r="F19" s="318"/>
      <c r="G19" s="323">
        <f>'DebtSvs-Library'!E51</f>
        <v>0</v>
      </c>
      <c r="H19" s="318"/>
      <c r="I19" s="318"/>
    </row>
    <row r="20" spans="2:9" ht="15.75" x14ac:dyDescent="0.2">
      <c r="B20" s="318" t="s">
        <v>117</v>
      </c>
      <c r="C20" s="318"/>
      <c r="D20" s="318"/>
      <c r="E20" s="323">
        <v>0</v>
      </c>
      <c r="F20" s="318"/>
      <c r="G20" s="323">
        <v>0</v>
      </c>
      <c r="H20" s="318"/>
      <c r="I20" s="318"/>
    </row>
    <row r="21" spans="2:9" ht="15.75" x14ac:dyDescent="0.2">
      <c r="B21" s="318"/>
      <c r="C21" s="318"/>
      <c r="D21" s="318"/>
      <c r="E21" s="323">
        <v>0</v>
      </c>
      <c r="F21" s="318"/>
      <c r="G21" s="323">
        <v>0</v>
      </c>
      <c r="H21" s="318"/>
      <c r="I21" s="318"/>
    </row>
    <row r="22" spans="2:9" ht="15.75" x14ac:dyDescent="0.2">
      <c r="B22" s="318" t="s">
        <v>264</v>
      </c>
      <c r="C22" s="318"/>
      <c r="D22" s="318"/>
      <c r="E22" s="324">
        <f>SUM(E15:E21)</f>
        <v>0</v>
      </c>
      <c r="F22" s="318"/>
      <c r="G22" s="324">
        <f>SUM(G15:G21)</f>
        <v>0</v>
      </c>
      <c r="H22" s="318"/>
      <c r="I22" s="318"/>
    </row>
    <row r="23" spans="2:9" ht="15.75" x14ac:dyDescent="0.2">
      <c r="B23" s="318" t="s">
        <v>265</v>
      </c>
      <c r="C23" s="318"/>
      <c r="D23" s="318"/>
      <c r="E23" s="325">
        <f>G22-E22</f>
        <v>0</v>
      </c>
      <c r="F23" s="318"/>
      <c r="G23" s="323"/>
      <c r="H23" s="318"/>
      <c r="I23" s="318"/>
    </row>
    <row r="24" spans="2:9" ht="15.75" x14ac:dyDescent="0.2">
      <c r="B24" s="318" t="s">
        <v>266</v>
      </c>
      <c r="C24" s="318"/>
      <c r="D24" s="618" t="str">
        <f>IF((G22-E22)&gt;=0,"Qualify","Not Qualify")</f>
        <v>Qualify</v>
      </c>
      <c r="E24" s="318"/>
      <c r="F24" s="318"/>
      <c r="G24" s="318"/>
      <c r="H24" s="318"/>
      <c r="I24" s="318"/>
    </row>
    <row r="25" spans="2:9" ht="15.75" x14ac:dyDescent="0.2">
      <c r="B25" s="318"/>
      <c r="C25" s="318"/>
      <c r="D25" s="318"/>
      <c r="E25" s="318"/>
      <c r="F25" s="318"/>
      <c r="G25" s="318"/>
      <c r="H25" s="318"/>
      <c r="I25" s="318"/>
    </row>
    <row r="26" spans="2:9" ht="15.75" x14ac:dyDescent="0.2">
      <c r="B26" s="320" t="s">
        <v>267</v>
      </c>
      <c r="C26" s="318"/>
      <c r="D26" s="318"/>
      <c r="E26" s="318"/>
      <c r="F26" s="318"/>
      <c r="G26" s="318"/>
      <c r="H26" s="318"/>
      <c r="I26" s="318"/>
    </row>
    <row r="27" spans="2:9" ht="15.75" x14ac:dyDescent="0.2">
      <c r="B27" s="318" t="s">
        <v>268</v>
      </c>
      <c r="C27" s="318"/>
      <c r="D27" s="318"/>
      <c r="E27" s="323">
        <f>'Budget Hearing Notice'!E38</f>
        <v>0</v>
      </c>
      <c r="F27" s="318"/>
      <c r="G27" s="323">
        <f>'Budget Hearing Notice'!G38</f>
        <v>0</v>
      </c>
      <c r="H27" s="318"/>
      <c r="I27" s="318"/>
    </row>
    <row r="28" spans="2:9" ht="15.75" x14ac:dyDescent="0.2">
      <c r="B28" s="318" t="s">
        <v>269</v>
      </c>
      <c r="C28" s="318"/>
      <c r="D28" s="318"/>
      <c r="E28" s="619" t="str">
        <f>IF(G27-E27&gt;=0,"No","Yes")</f>
        <v>No</v>
      </c>
      <c r="F28" s="318"/>
      <c r="G28" s="318"/>
      <c r="H28" s="318"/>
      <c r="I28" s="318"/>
    </row>
    <row r="29" spans="2:9" ht="15.75" x14ac:dyDescent="0.2">
      <c r="B29" s="318" t="s">
        <v>270</v>
      </c>
      <c r="C29" s="318"/>
      <c r="D29" s="318"/>
      <c r="E29" s="326" t="str">
        <f>'Budget Hearing Notice'!F20</f>
        <v xml:space="preserve">  </v>
      </c>
      <c r="F29" s="318"/>
      <c r="G29" s="326" t="str">
        <f>'Budget Hearing Notice'!I20</f>
        <v xml:space="preserve"> </v>
      </c>
      <c r="H29" s="318"/>
      <c r="I29" s="318"/>
    </row>
    <row r="30" spans="2:9" ht="15.75" x14ac:dyDescent="0.2">
      <c r="B30" s="318" t="s">
        <v>271</v>
      </c>
      <c r="C30" s="318"/>
      <c r="D30" s="318"/>
      <c r="E30" s="620" t="e">
        <f>G29-E29</f>
        <v>#VALUE!</v>
      </c>
      <c r="F30" s="318"/>
      <c r="G30" s="318"/>
      <c r="H30" s="318"/>
      <c r="I30" s="318"/>
    </row>
    <row r="31" spans="2:9" ht="15.75" x14ac:dyDescent="0.2">
      <c r="B31" s="318" t="s">
        <v>266</v>
      </c>
      <c r="C31" s="318"/>
      <c r="D31" s="621" t="e">
        <f>IF(E30&gt;=0,"Qualify","Not Qualify")</f>
        <v>#VALUE!</v>
      </c>
      <c r="E31" s="318"/>
      <c r="F31" s="318"/>
      <c r="G31" s="318"/>
      <c r="H31" s="318"/>
      <c r="I31" s="318"/>
    </row>
    <row r="32" spans="2:9" ht="15.75" x14ac:dyDescent="0.2">
      <c r="B32" s="318"/>
      <c r="C32" s="318"/>
      <c r="D32" s="318"/>
      <c r="E32" s="318"/>
      <c r="F32" s="318"/>
      <c r="G32" s="318"/>
      <c r="H32" s="318"/>
      <c r="I32" s="318"/>
    </row>
    <row r="33" spans="2:9" ht="15.75" x14ac:dyDescent="0.2">
      <c r="B33" s="318" t="s">
        <v>272</v>
      </c>
      <c r="C33" s="318"/>
      <c r="D33" s="318"/>
      <c r="E33" s="318"/>
      <c r="F33" s="622" t="str">
        <f>IF(D24="Not Qualify",IF(D31="Not Qualify",IF(D31="Not Qualify","Not Qualify","Qualify"),"Qualify"),"Qualify")</f>
        <v>Qualify</v>
      </c>
      <c r="G33" s="318"/>
      <c r="H33" s="318"/>
      <c r="I33" s="318"/>
    </row>
    <row r="34" spans="2:9" ht="15.75" x14ac:dyDescent="0.2">
      <c r="B34" s="318"/>
      <c r="C34" s="318"/>
      <c r="D34" s="318"/>
      <c r="E34" s="318"/>
      <c r="F34" s="318"/>
      <c r="G34" s="318"/>
      <c r="H34" s="318"/>
      <c r="I34" s="318"/>
    </row>
    <row r="35" spans="2:9" ht="15.75" x14ac:dyDescent="0.2">
      <c r="B35" s="318"/>
      <c r="C35" s="318"/>
      <c r="D35" s="318"/>
      <c r="E35" s="318"/>
      <c r="F35" s="318"/>
      <c r="G35" s="318"/>
      <c r="H35" s="318"/>
      <c r="I35" s="318"/>
    </row>
    <row r="36" spans="2:9" ht="37.5" customHeight="1" x14ac:dyDescent="0.2">
      <c r="B36" s="685" t="s">
        <v>273</v>
      </c>
      <c r="C36" s="685"/>
      <c r="D36" s="685"/>
      <c r="E36" s="685"/>
      <c r="F36" s="685"/>
      <c r="G36" s="685"/>
      <c r="H36" s="685"/>
      <c r="I36" s="685"/>
    </row>
    <row r="37" spans="2:9" ht="15.75" x14ac:dyDescent="0.2">
      <c r="B37" s="318"/>
      <c r="C37" s="318"/>
      <c r="D37" s="318"/>
      <c r="E37" s="318"/>
      <c r="F37" s="318"/>
      <c r="G37" s="318"/>
      <c r="H37" s="318"/>
      <c r="I37" s="318"/>
    </row>
    <row r="38" spans="2:9" ht="15.75" x14ac:dyDescent="0.2">
      <c r="B38" s="318"/>
      <c r="C38" s="318"/>
      <c r="D38" s="318"/>
      <c r="E38" s="318"/>
      <c r="F38" s="318"/>
      <c r="G38" s="318"/>
      <c r="H38" s="318"/>
      <c r="I38" s="318"/>
    </row>
    <row r="39" spans="2:9" ht="15.75" x14ac:dyDescent="0.2">
      <c r="B39" s="318"/>
      <c r="C39" s="318"/>
      <c r="D39" s="318"/>
      <c r="E39" s="318"/>
      <c r="F39" s="318"/>
      <c r="G39" s="318"/>
      <c r="H39" s="318"/>
      <c r="I39" s="318"/>
    </row>
    <row r="40" spans="2:9" ht="15.75" x14ac:dyDescent="0.2">
      <c r="B40" s="318"/>
      <c r="C40" s="318"/>
      <c r="D40" s="318"/>
      <c r="E40" s="327" t="s">
        <v>274</v>
      </c>
      <c r="F40" s="328">
        <v>5</v>
      </c>
      <c r="G40" s="318"/>
      <c r="H40" s="318"/>
      <c r="I40" s="318"/>
    </row>
    <row r="41" spans="2:9" ht="15.75" x14ac:dyDescent="0.2">
      <c r="B41" s="318"/>
      <c r="C41" s="318"/>
      <c r="D41" s="318"/>
      <c r="E41" s="318"/>
      <c r="F41" s="318"/>
      <c r="G41" s="318"/>
      <c r="H41" s="318"/>
      <c r="I41" s="318"/>
    </row>
    <row r="42" spans="2:9" ht="15.75" x14ac:dyDescent="0.2">
      <c r="B42" s="318"/>
      <c r="C42" s="318"/>
      <c r="D42" s="318"/>
      <c r="E42" s="318"/>
      <c r="F42" s="318"/>
      <c r="G42" s="318"/>
      <c r="H42" s="318"/>
      <c r="I42" s="318"/>
    </row>
    <row r="43" spans="2:9" ht="15.75" x14ac:dyDescent="0.25">
      <c r="B43" s="681" t="s">
        <v>275</v>
      </c>
      <c r="C43" s="682"/>
      <c r="D43" s="682"/>
      <c r="E43" s="682"/>
      <c r="F43" s="682"/>
      <c r="G43" s="682"/>
      <c r="H43" s="682"/>
      <c r="I43" s="682"/>
    </row>
    <row r="44" spans="2:9" ht="15.75" x14ac:dyDescent="0.2">
      <c r="B44" s="318"/>
      <c r="C44" s="318"/>
      <c r="D44" s="318"/>
      <c r="E44" s="318"/>
      <c r="F44" s="318"/>
      <c r="G44" s="318"/>
      <c r="H44" s="318"/>
      <c r="I44" s="318"/>
    </row>
    <row r="45" spans="2:9" ht="15.75" x14ac:dyDescent="0.25">
      <c r="B45" s="329" t="s">
        <v>276</v>
      </c>
      <c r="C45" s="318"/>
      <c r="D45" s="318"/>
      <c r="E45" s="318"/>
      <c r="F45" s="318"/>
      <c r="G45" s="318"/>
      <c r="H45" s="318"/>
      <c r="I45" s="318"/>
    </row>
    <row r="46" spans="2:9" ht="15.75" x14ac:dyDescent="0.25">
      <c r="B46" s="329" t="str">
        <f>CONCATENATE("sources in your ",G14," library fund is not equal to or greater than the amount from the same")</f>
        <v>sources in your 2025 library fund is not equal to or greater than the amount from the same</v>
      </c>
      <c r="C46" s="318"/>
      <c r="D46" s="318"/>
      <c r="E46" s="318"/>
      <c r="F46" s="318"/>
      <c r="G46" s="318"/>
      <c r="H46" s="318"/>
      <c r="I46" s="318"/>
    </row>
    <row r="47" spans="2:9" ht="15.75" x14ac:dyDescent="0.25">
      <c r="B47" s="329" t="str">
        <f>CONCATENATE("sources in ",E14,".")</f>
        <v>sources in 2024.</v>
      </c>
      <c r="C47" s="316"/>
      <c r="D47" s="316"/>
      <c r="E47" s="316"/>
      <c r="F47" s="316"/>
      <c r="G47" s="316"/>
      <c r="H47" s="316"/>
      <c r="I47" s="316"/>
    </row>
    <row r="48" spans="2:9" ht="15.75" x14ac:dyDescent="0.25">
      <c r="B48" s="316"/>
      <c r="C48" s="316"/>
      <c r="D48" s="316"/>
      <c r="E48" s="316"/>
      <c r="F48" s="316"/>
      <c r="G48" s="316"/>
      <c r="H48" s="316"/>
      <c r="I48" s="316"/>
    </row>
    <row r="49" spans="2:9" ht="15.75" x14ac:dyDescent="0.25">
      <c r="B49" s="329" t="s">
        <v>277</v>
      </c>
      <c r="C49" s="329"/>
      <c r="D49" s="330"/>
      <c r="E49" s="330"/>
      <c r="F49" s="330"/>
      <c r="G49" s="330"/>
      <c r="H49" s="330"/>
      <c r="I49" s="330"/>
    </row>
    <row r="50" spans="2:9" ht="15.75" x14ac:dyDescent="0.25">
      <c r="B50" s="329" t="s">
        <v>278</v>
      </c>
      <c r="C50" s="329"/>
      <c r="D50" s="330"/>
      <c r="E50" s="330"/>
      <c r="F50" s="330"/>
      <c r="G50" s="330"/>
      <c r="H50" s="330"/>
      <c r="I50" s="330"/>
    </row>
    <row r="51" spans="2:9" ht="15.75" x14ac:dyDescent="0.25">
      <c r="B51" s="329" t="s">
        <v>279</v>
      </c>
      <c r="C51" s="329"/>
      <c r="D51" s="330"/>
      <c r="E51" s="330"/>
      <c r="F51" s="330"/>
      <c r="G51" s="330"/>
      <c r="H51" s="330"/>
      <c r="I51" s="330"/>
    </row>
    <row r="52" spans="2:9" x14ac:dyDescent="0.2">
      <c r="B52" s="330"/>
      <c r="C52" s="330"/>
      <c r="D52" s="330"/>
      <c r="E52" s="330"/>
      <c r="F52" s="330"/>
      <c r="G52" s="330"/>
      <c r="H52" s="330"/>
      <c r="I52" s="330"/>
    </row>
    <row r="53" spans="2:9" ht="15.75" x14ac:dyDescent="0.25">
      <c r="B53" s="331" t="s">
        <v>280</v>
      </c>
      <c r="C53" s="330"/>
      <c r="D53" s="330"/>
      <c r="E53" s="330"/>
      <c r="F53" s="330"/>
      <c r="G53" s="330"/>
      <c r="H53" s="330"/>
      <c r="I53" s="330"/>
    </row>
    <row r="54" spans="2:9" x14ac:dyDescent="0.2">
      <c r="B54" s="330"/>
      <c r="C54" s="330"/>
      <c r="D54" s="330"/>
      <c r="E54" s="330"/>
      <c r="F54" s="330"/>
      <c r="G54" s="330"/>
      <c r="H54" s="330"/>
      <c r="I54" s="330"/>
    </row>
    <row r="55" spans="2:9" ht="15.75" x14ac:dyDescent="0.25">
      <c r="B55" s="329" t="s">
        <v>281</v>
      </c>
      <c r="C55" s="330"/>
      <c r="D55" s="330"/>
      <c r="E55" s="330"/>
      <c r="F55" s="330"/>
      <c r="G55" s="330"/>
      <c r="H55" s="330"/>
      <c r="I55" s="330"/>
    </row>
    <row r="56" spans="2:9" ht="15.75" x14ac:dyDescent="0.25">
      <c r="B56" s="329" t="s">
        <v>282</v>
      </c>
      <c r="C56" s="330"/>
      <c r="D56" s="330"/>
      <c r="E56" s="330"/>
      <c r="F56" s="330"/>
      <c r="G56" s="330"/>
      <c r="H56" s="330"/>
      <c r="I56" s="330"/>
    </row>
    <row r="57" spans="2:9" x14ac:dyDescent="0.2">
      <c r="B57" s="330"/>
      <c r="C57" s="330"/>
      <c r="D57" s="330"/>
      <c r="E57" s="330"/>
      <c r="F57" s="330"/>
      <c r="G57" s="330"/>
      <c r="H57" s="330"/>
      <c r="I57" s="330"/>
    </row>
    <row r="58" spans="2:9" ht="15.75" x14ac:dyDescent="0.25">
      <c r="B58" s="331" t="s">
        <v>283</v>
      </c>
      <c r="C58" s="329"/>
      <c r="D58" s="329"/>
      <c r="E58" s="329"/>
      <c r="F58" s="329"/>
      <c r="G58" s="330"/>
      <c r="H58" s="330"/>
      <c r="I58" s="330"/>
    </row>
    <row r="59" spans="2:9" ht="15.75" x14ac:dyDescent="0.25">
      <c r="B59" s="329"/>
      <c r="C59" s="329"/>
      <c r="D59" s="329"/>
      <c r="E59" s="329"/>
      <c r="F59" s="329"/>
      <c r="G59" s="330"/>
      <c r="H59" s="330"/>
      <c r="I59" s="330"/>
    </row>
    <row r="60" spans="2:9" ht="15.75" x14ac:dyDescent="0.25">
      <c r="B60" s="329" t="s">
        <v>284</v>
      </c>
      <c r="C60" s="329"/>
      <c r="D60" s="329"/>
      <c r="E60" s="329"/>
      <c r="F60" s="329"/>
      <c r="G60" s="330"/>
      <c r="H60" s="330"/>
      <c r="I60" s="330"/>
    </row>
    <row r="61" spans="2:9" ht="15.75" x14ac:dyDescent="0.25">
      <c r="B61" s="329" t="s">
        <v>285</v>
      </c>
      <c r="C61" s="329"/>
      <c r="D61" s="329"/>
      <c r="E61" s="329"/>
      <c r="F61" s="329"/>
      <c r="G61" s="330"/>
      <c r="H61" s="330"/>
      <c r="I61" s="330"/>
    </row>
    <row r="62" spans="2:9" ht="15.75" x14ac:dyDescent="0.25">
      <c r="B62" s="329" t="s">
        <v>286</v>
      </c>
      <c r="C62" s="329"/>
      <c r="D62" s="329"/>
      <c r="E62" s="329"/>
      <c r="F62" s="329"/>
      <c r="G62" s="330"/>
      <c r="H62" s="330"/>
      <c r="I62" s="330"/>
    </row>
    <row r="63" spans="2:9" ht="15.75" x14ac:dyDescent="0.25">
      <c r="B63" s="329" t="s">
        <v>287</v>
      </c>
      <c r="C63" s="329"/>
      <c r="D63" s="329"/>
      <c r="E63" s="329"/>
      <c r="F63" s="329"/>
      <c r="G63" s="330"/>
      <c r="H63" s="330"/>
      <c r="I63" s="330"/>
    </row>
    <row r="64" spans="2:9" x14ac:dyDescent="0.2">
      <c r="B64" s="332"/>
      <c r="C64" s="332"/>
      <c r="D64" s="332"/>
      <c r="E64" s="332"/>
      <c r="F64" s="332"/>
      <c r="G64" s="330"/>
      <c r="H64" s="330"/>
      <c r="I64" s="330"/>
    </row>
    <row r="65" spans="2:9" ht="15.75" x14ac:dyDescent="0.25">
      <c r="B65" s="329" t="s">
        <v>288</v>
      </c>
      <c r="C65" s="332"/>
      <c r="D65" s="332"/>
      <c r="E65" s="332"/>
      <c r="F65" s="332"/>
      <c r="G65" s="330"/>
      <c r="H65" s="330"/>
      <c r="I65" s="330"/>
    </row>
    <row r="66" spans="2:9" ht="15.75" x14ac:dyDescent="0.25">
      <c r="B66" s="329" t="s">
        <v>289</v>
      </c>
      <c r="C66" s="332"/>
      <c r="D66" s="332"/>
      <c r="E66" s="332"/>
      <c r="F66" s="332"/>
      <c r="G66" s="330"/>
      <c r="H66" s="330"/>
      <c r="I66" s="330"/>
    </row>
    <row r="67" spans="2:9" x14ac:dyDescent="0.2">
      <c r="B67" s="332"/>
      <c r="C67" s="332"/>
      <c r="D67" s="332"/>
      <c r="E67" s="332"/>
      <c r="F67" s="332"/>
      <c r="G67" s="330"/>
      <c r="H67" s="330"/>
      <c r="I67" s="330"/>
    </row>
    <row r="68" spans="2:9" ht="15.75" x14ac:dyDescent="0.25">
      <c r="B68" s="329" t="s">
        <v>290</v>
      </c>
      <c r="C68" s="332"/>
      <c r="D68" s="332"/>
      <c r="E68" s="332"/>
      <c r="F68" s="332"/>
      <c r="G68" s="330"/>
      <c r="H68" s="330"/>
      <c r="I68" s="330"/>
    </row>
    <row r="69" spans="2:9" ht="15.75" x14ac:dyDescent="0.25">
      <c r="B69" s="329" t="s">
        <v>291</v>
      </c>
      <c r="C69" s="332"/>
      <c r="D69" s="332"/>
      <c r="E69" s="332"/>
      <c r="F69" s="332"/>
      <c r="G69" s="330"/>
      <c r="H69" s="330"/>
      <c r="I69" s="330"/>
    </row>
    <row r="70" spans="2:9" x14ac:dyDescent="0.2">
      <c r="B70" s="332"/>
      <c r="C70" s="332"/>
      <c r="D70" s="332"/>
      <c r="E70" s="332"/>
      <c r="F70" s="332"/>
      <c r="G70" s="330"/>
      <c r="H70" s="330"/>
      <c r="I70" s="330"/>
    </row>
    <row r="71" spans="2:9" ht="15.75" x14ac:dyDescent="0.25">
      <c r="B71" s="331" t="s">
        <v>292</v>
      </c>
      <c r="C71" s="332"/>
      <c r="D71" s="332"/>
      <c r="E71" s="332"/>
      <c r="F71" s="332"/>
      <c r="G71" s="330"/>
      <c r="H71" s="330"/>
      <c r="I71" s="330"/>
    </row>
    <row r="72" spans="2:9" x14ac:dyDescent="0.2">
      <c r="B72" s="332"/>
      <c r="C72" s="332"/>
      <c r="D72" s="332"/>
      <c r="E72" s="332"/>
      <c r="F72" s="332"/>
      <c r="G72" s="330"/>
      <c r="H72" s="330"/>
      <c r="I72" s="330"/>
    </row>
    <row r="73" spans="2:9" ht="15.75" x14ac:dyDescent="0.25">
      <c r="B73" s="329" t="s">
        <v>293</v>
      </c>
      <c r="C73" s="332"/>
      <c r="D73" s="332"/>
      <c r="E73" s="332"/>
      <c r="F73" s="332"/>
      <c r="G73" s="330"/>
      <c r="H73" s="330"/>
      <c r="I73" s="330"/>
    </row>
    <row r="74" spans="2:9" ht="15.75" x14ac:dyDescent="0.25">
      <c r="B74" s="329" t="s">
        <v>294</v>
      </c>
      <c r="C74" s="332"/>
      <c r="D74" s="332"/>
      <c r="E74" s="332"/>
      <c r="F74" s="332"/>
      <c r="G74" s="330"/>
      <c r="H74" s="330"/>
      <c r="I74" s="330"/>
    </row>
    <row r="75" spans="2:9" x14ac:dyDescent="0.2">
      <c r="B75" s="332"/>
      <c r="C75" s="332"/>
      <c r="D75" s="332"/>
      <c r="E75" s="332"/>
      <c r="F75" s="332"/>
      <c r="G75" s="330"/>
      <c r="H75" s="330"/>
      <c r="I75" s="330"/>
    </row>
    <row r="76" spans="2:9" ht="15.75" x14ac:dyDescent="0.25">
      <c r="B76" s="331" t="s">
        <v>295</v>
      </c>
      <c r="C76" s="332"/>
      <c r="D76" s="332"/>
      <c r="E76" s="332"/>
      <c r="F76" s="332"/>
      <c r="G76" s="330"/>
      <c r="H76" s="330"/>
      <c r="I76" s="330"/>
    </row>
    <row r="77" spans="2:9" x14ac:dyDescent="0.2">
      <c r="B77" s="332"/>
      <c r="C77" s="332"/>
      <c r="D77" s="332"/>
      <c r="E77" s="332"/>
      <c r="F77" s="332"/>
      <c r="G77" s="330"/>
      <c r="H77" s="330"/>
      <c r="I77" s="330"/>
    </row>
    <row r="78" spans="2:9" ht="15.75" x14ac:dyDescent="0.25">
      <c r="B78" s="329" t="str">
        <f>CONCATENATE("If the ",G14," municipal budget has not been published and has not been submitted to the County")</f>
        <v>If the 2025 municipal budget has not been published and has not been submitted to the County</v>
      </c>
      <c r="C78" s="332"/>
      <c r="D78" s="332"/>
      <c r="E78" s="332"/>
      <c r="F78" s="332"/>
      <c r="G78" s="330"/>
      <c r="H78" s="330"/>
      <c r="I78" s="330"/>
    </row>
    <row r="79" spans="2:9" ht="15.75" x14ac:dyDescent="0.25">
      <c r="B79" s="329" t="s">
        <v>296</v>
      </c>
      <c r="C79" s="332"/>
      <c r="D79" s="332"/>
      <c r="E79" s="332"/>
      <c r="F79" s="332"/>
      <c r="G79" s="330"/>
      <c r="H79" s="330"/>
      <c r="I79" s="330"/>
    </row>
    <row r="80" spans="2:9" x14ac:dyDescent="0.2">
      <c r="B80" s="332"/>
      <c r="C80" s="332"/>
      <c r="D80" s="332"/>
      <c r="E80" s="332"/>
      <c r="F80" s="332"/>
      <c r="G80" s="330"/>
      <c r="H80" s="330"/>
      <c r="I80" s="330"/>
    </row>
    <row r="81" spans="2:9" ht="15.75" x14ac:dyDescent="0.25">
      <c r="B81" s="331" t="s">
        <v>297</v>
      </c>
      <c r="C81" s="332"/>
      <c r="D81" s="332"/>
      <c r="E81" s="332"/>
      <c r="F81" s="332"/>
      <c r="G81" s="330"/>
      <c r="H81" s="330"/>
      <c r="I81" s="330"/>
    </row>
    <row r="82" spans="2:9" x14ac:dyDescent="0.2">
      <c r="B82" s="332"/>
      <c r="C82" s="332"/>
      <c r="D82" s="332"/>
      <c r="E82" s="332"/>
      <c r="F82" s="332"/>
      <c r="G82" s="330"/>
      <c r="H82" s="330"/>
      <c r="I82" s="330"/>
    </row>
    <row r="83" spans="2:9" ht="15.75" x14ac:dyDescent="0.25">
      <c r="B83" s="329" t="s">
        <v>298</v>
      </c>
      <c r="C83" s="332"/>
      <c r="D83" s="332"/>
      <c r="E83" s="332"/>
      <c r="F83" s="332"/>
      <c r="G83" s="330"/>
      <c r="H83" s="330"/>
      <c r="I83" s="330"/>
    </row>
    <row r="84" spans="2:9" ht="15.75" x14ac:dyDescent="0.25">
      <c r="B84" s="329" t="str">
        <f>CONCATENATE("Budget Year ",G14," is equal to or greater than that for Current Year Estimate ",E14,".")</f>
        <v>Budget Year 2025 is equal to or greater than that for Current Year Estimate 2024.</v>
      </c>
      <c r="C84" s="332"/>
      <c r="D84" s="332"/>
      <c r="E84" s="332"/>
      <c r="F84" s="332"/>
      <c r="G84" s="330"/>
      <c r="H84" s="330"/>
      <c r="I84" s="330"/>
    </row>
    <row r="85" spans="2:9" x14ac:dyDescent="0.2">
      <c r="B85" s="332"/>
      <c r="C85" s="332"/>
      <c r="D85" s="332"/>
      <c r="E85" s="332"/>
      <c r="F85" s="332"/>
      <c r="G85" s="330"/>
      <c r="H85" s="330"/>
      <c r="I85" s="330"/>
    </row>
    <row r="86" spans="2:9" ht="15.75" x14ac:dyDescent="0.25">
      <c r="B86" s="329" t="s">
        <v>299</v>
      </c>
      <c r="C86" s="332"/>
      <c r="D86" s="332"/>
      <c r="E86" s="332"/>
      <c r="F86" s="332"/>
      <c r="G86" s="330"/>
      <c r="H86" s="330"/>
      <c r="I86" s="330"/>
    </row>
    <row r="87" spans="2:9" ht="15.75" x14ac:dyDescent="0.25">
      <c r="B87" s="329" t="s">
        <v>300</v>
      </c>
      <c r="C87" s="332"/>
      <c r="D87" s="332"/>
      <c r="E87" s="332"/>
      <c r="F87" s="332"/>
      <c r="G87" s="330"/>
      <c r="H87" s="330"/>
      <c r="I87" s="330"/>
    </row>
    <row r="88" spans="2:9" ht="15.75" x14ac:dyDescent="0.25">
      <c r="B88" s="329" t="s">
        <v>301</v>
      </c>
      <c r="C88" s="332"/>
      <c r="D88" s="332"/>
      <c r="E88" s="332"/>
      <c r="F88" s="332"/>
      <c r="G88" s="330"/>
      <c r="H88" s="330"/>
      <c r="I88" s="330"/>
    </row>
    <row r="89" spans="2:9" ht="15.75" x14ac:dyDescent="0.25">
      <c r="B89" s="329" t="str">
        <f>CONCATENATE("purpose for the previous (",E14,") year.")</f>
        <v>purpose for the previous (2024) year.</v>
      </c>
      <c r="C89" s="332"/>
      <c r="D89" s="332"/>
      <c r="E89" s="332"/>
      <c r="F89" s="332"/>
      <c r="G89" s="330"/>
      <c r="H89" s="330"/>
      <c r="I89" s="330"/>
    </row>
    <row r="90" spans="2:9" x14ac:dyDescent="0.2">
      <c r="B90" s="332"/>
      <c r="C90" s="332"/>
      <c r="D90" s="332"/>
      <c r="E90" s="332"/>
      <c r="F90" s="332"/>
      <c r="G90" s="330"/>
      <c r="H90" s="330"/>
      <c r="I90" s="330"/>
    </row>
    <row r="91" spans="2:9" ht="15.75" x14ac:dyDescent="0.25">
      <c r="B91" s="329" t="str">
        <f>CONCATENATE("Next, look to see if delinquent tax for ",G14," is budgeted. Often this line is budgeted at $0 or left")</f>
        <v>Next, look to see if delinquent tax for 2025 is budgeted. Often this line is budgeted at $0 or left</v>
      </c>
      <c r="C91" s="332"/>
      <c r="D91" s="332"/>
      <c r="E91" s="332"/>
      <c r="F91" s="332"/>
      <c r="G91" s="330"/>
      <c r="H91" s="330"/>
      <c r="I91" s="330"/>
    </row>
    <row r="92" spans="2:9" ht="15.75" x14ac:dyDescent="0.25">
      <c r="B92" s="329" t="s">
        <v>302</v>
      </c>
      <c r="C92" s="332"/>
      <c r="D92" s="332"/>
      <c r="E92" s="332"/>
      <c r="F92" s="332"/>
      <c r="G92" s="330"/>
      <c r="H92" s="330"/>
      <c r="I92" s="330"/>
    </row>
    <row r="93" spans="2:9" ht="15.75" x14ac:dyDescent="0.25">
      <c r="B93" s="329" t="s">
        <v>303</v>
      </c>
      <c r="C93" s="332"/>
      <c r="D93" s="332"/>
      <c r="E93" s="332"/>
      <c r="F93" s="332"/>
      <c r="G93" s="330"/>
      <c r="H93" s="330"/>
      <c r="I93" s="330"/>
    </row>
    <row r="94" spans="2:9" ht="15.75" x14ac:dyDescent="0.25">
      <c r="B94" s="329" t="s">
        <v>304</v>
      </c>
      <c r="C94" s="332"/>
      <c r="D94" s="332"/>
      <c r="E94" s="332"/>
      <c r="F94" s="332"/>
      <c r="G94" s="330"/>
      <c r="H94" s="330"/>
      <c r="I94" s="330"/>
    </row>
    <row r="95" spans="2:9" x14ac:dyDescent="0.2">
      <c r="B95" s="332"/>
      <c r="C95" s="332"/>
      <c r="D95" s="332"/>
      <c r="E95" s="332"/>
      <c r="F95" s="332"/>
      <c r="G95" s="330"/>
      <c r="H95" s="330"/>
      <c r="I95" s="330"/>
    </row>
    <row r="96" spans="2:9" ht="15.75" x14ac:dyDescent="0.25">
      <c r="B96" s="331" t="s">
        <v>305</v>
      </c>
      <c r="C96" s="332"/>
      <c r="D96" s="332"/>
      <c r="E96" s="332"/>
      <c r="F96" s="332"/>
      <c r="G96" s="330"/>
      <c r="H96" s="330"/>
      <c r="I96" s="330"/>
    </row>
    <row r="97" spans="2:9" x14ac:dyDescent="0.2">
      <c r="B97" s="332"/>
      <c r="C97" s="332"/>
      <c r="D97" s="332"/>
      <c r="E97" s="332"/>
      <c r="F97" s="332"/>
      <c r="G97" s="330"/>
      <c r="H97" s="330"/>
      <c r="I97" s="330"/>
    </row>
    <row r="98" spans="2:9" ht="15.75" x14ac:dyDescent="0.25">
      <c r="B98" s="329" t="s">
        <v>306</v>
      </c>
      <c r="C98" s="332"/>
      <c r="D98" s="332"/>
      <c r="E98" s="332"/>
      <c r="F98" s="332"/>
      <c r="G98" s="330"/>
      <c r="H98" s="330"/>
      <c r="I98" s="330"/>
    </row>
    <row r="99" spans="2:9" ht="15.75" x14ac:dyDescent="0.25">
      <c r="B99" s="329" t="s">
        <v>307</v>
      </c>
      <c r="C99" s="332"/>
      <c r="D99" s="332"/>
      <c r="E99" s="332"/>
      <c r="F99" s="332"/>
      <c r="G99" s="330"/>
      <c r="H99" s="330"/>
      <c r="I99" s="330"/>
    </row>
    <row r="100" spans="2:9" x14ac:dyDescent="0.2">
      <c r="B100" s="332"/>
      <c r="C100" s="332"/>
      <c r="D100" s="332"/>
      <c r="E100" s="332"/>
      <c r="F100" s="332"/>
      <c r="G100" s="330"/>
      <c r="H100" s="330"/>
      <c r="I100" s="330"/>
    </row>
    <row r="101" spans="2:9" ht="15.75" x14ac:dyDescent="0.25">
      <c r="B101" s="329" t="s">
        <v>308</v>
      </c>
      <c r="C101" s="332"/>
      <c r="D101" s="332"/>
      <c r="E101" s="332"/>
      <c r="F101" s="332"/>
      <c r="G101" s="330"/>
      <c r="H101" s="330"/>
      <c r="I101" s="330"/>
    </row>
    <row r="102" spans="2:9" ht="15.75" x14ac:dyDescent="0.25">
      <c r="B102" s="329" t="s">
        <v>309</v>
      </c>
      <c r="C102" s="332"/>
      <c r="D102" s="332"/>
      <c r="E102" s="332"/>
      <c r="F102" s="332"/>
      <c r="G102" s="330"/>
      <c r="H102" s="330"/>
      <c r="I102" s="330"/>
    </row>
    <row r="103" spans="2:9" ht="15.75" x14ac:dyDescent="0.25">
      <c r="B103" s="329" t="s">
        <v>310</v>
      </c>
      <c r="C103" s="332"/>
      <c r="D103" s="332"/>
      <c r="E103" s="332"/>
      <c r="F103" s="332"/>
      <c r="G103" s="330"/>
      <c r="H103" s="330"/>
      <c r="I103" s="330"/>
    </row>
    <row r="104" spans="2:9" ht="15.75" x14ac:dyDescent="0.25">
      <c r="B104" s="329" t="s">
        <v>311</v>
      </c>
      <c r="C104" s="332"/>
      <c r="D104" s="332"/>
      <c r="E104" s="332"/>
      <c r="F104" s="332"/>
      <c r="G104" s="330"/>
      <c r="H104" s="330"/>
      <c r="I104" s="330"/>
    </row>
    <row r="105" spans="2:9" ht="15.75" x14ac:dyDescent="0.25">
      <c r="B105" s="480" t="s">
        <v>312</v>
      </c>
      <c r="C105" s="442"/>
      <c r="D105" s="442"/>
      <c r="E105" s="442"/>
      <c r="F105" s="442"/>
      <c r="G105" s="330"/>
      <c r="H105" s="330"/>
      <c r="I105" s="330"/>
    </row>
    <row r="108" spans="2:9" x14ac:dyDescent="0.2">
      <c r="G108" s="333"/>
    </row>
  </sheetData>
  <sheetProtection sheet="1"/>
  <mergeCells count="6">
    <mergeCell ref="B43:I43"/>
    <mergeCell ref="B2:I2"/>
    <mergeCell ref="B3:I3"/>
    <mergeCell ref="B5:I5"/>
    <mergeCell ref="B10:I10"/>
    <mergeCell ref="B36:I36"/>
  </mergeCells>
  <hyperlinks>
    <hyperlink ref="B105" r:id="rId1" xr:uid="{00000000-0004-0000-0A00-000000000000}"/>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pageSetUpPr fitToPage="1"/>
  </sheetPr>
  <dimension ref="B1:K76"/>
  <sheetViews>
    <sheetView workbookViewId="0">
      <selection activeCell="B15" sqref="B15:E15"/>
    </sheetView>
  </sheetViews>
  <sheetFormatPr defaultRowHeight="15.75" x14ac:dyDescent="0.25"/>
  <cols>
    <col min="1" max="1" width="2.3984375" style="4" customWidth="1"/>
    <col min="2" max="2" width="31" style="4" customWidth="1"/>
    <col min="3" max="4" width="15.69921875" style="4" customWidth="1"/>
    <col min="5" max="5" width="13.69921875" style="4" customWidth="1"/>
    <col min="6" max="6" width="7.3984375" style="4" customWidth="1"/>
    <col min="7" max="7" width="10.8984375" style="4" customWidth="1"/>
    <col min="8" max="8" width="8.796875" style="4"/>
    <col min="9" max="9" width="3.3984375" style="4" customWidth="1"/>
    <col min="10" max="10" width="10.3984375" style="4" customWidth="1"/>
    <col min="11" max="16384" width="8.796875" style="4"/>
  </cols>
  <sheetData>
    <row r="1" spans="2:5" x14ac:dyDescent="0.25">
      <c r="B1" s="2">
        <f>inputPrYr!D3</f>
        <v>0</v>
      </c>
      <c r="C1" s="3"/>
      <c r="D1" s="3"/>
      <c r="E1" s="612">
        <f>inputPrYr!D6</f>
        <v>2025</v>
      </c>
    </row>
    <row r="2" spans="2:5" x14ac:dyDescent="0.25">
      <c r="B2" s="5"/>
      <c r="C2" s="3"/>
      <c r="D2" s="3"/>
      <c r="E2" s="6"/>
    </row>
    <row r="3" spans="2:5" x14ac:dyDescent="0.25">
      <c r="B3" s="313" t="s">
        <v>313</v>
      </c>
      <c r="C3" s="7"/>
      <c r="D3" s="7"/>
      <c r="E3" s="8"/>
    </row>
    <row r="4" spans="2:5" x14ac:dyDescent="0.25">
      <c r="B4" s="9" t="s">
        <v>314</v>
      </c>
      <c r="C4" s="259" t="s">
        <v>315</v>
      </c>
      <c r="D4" s="262" t="s">
        <v>262</v>
      </c>
      <c r="E4" s="10" t="s">
        <v>316</v>
      </c>
    </row>
    <row r="5" spans="2:5" x14ac:dyDescent="0.25">
      <c r="B5" s="266" t="str">
        <f>inputPrYr!B17</f>
        <v>General</v>
      </c>
      <c r="C5" s="260" t="str">
        <f>CONCATENATE("Actual for ",$E$1-2,"")</f>
        <v>Actual for 2023</v>
      </c>
      <c r="D5" s="260" t="str">
        <f>CONCATENATE("Estimate for ",$E$1-1,"")</f>
        <v>Estimate for 2024</v>
      </c>
      <c r="E5" s="12" t="str">
        <f>CONCATENATE("Year for ",$E$1,"")</f>
        <v>Year for 2025</v>
      </c>
    </row>
    <row r="6" spans="2:5" x14ac:dyDescent="0.25">
      <c r="B6" s="13" t="s">
        <v>317</v>
      </c>
      <c r="C6" s="15"/>
      <c r="D6" s="261">
        <f>C50</f>
        <v>0</v>
      </c>
      <c r="E6" s="18">
        <f>D50</f>
        <v>0</v>
      </c>
    </row>
    <row r="7" spans="2:5" x14ac:dyDescent="0.25">
      <c r="B7" s="13" t="s">
        <v>318</v>
      </c>
      <c r="C7" s="261"/>
      <c r="D7" s="261"/>
      <c r="E7" s="19"/>
    </row>
    <row r="8" spans="2:5" x14ac:dyDescent="0.25">
      <c r="B8" s="13" t="s">
        <v>93</v>
      </c>
      <c r="C8" s="15"/>
      <c r="D8" s="261">
        <f>IF(inputPrYr!H16&gt;0,inputPrYr!G17,inputPrYr!E17)</f>
        <v>0</v>
      </c>
      <c r="E8" s="19" t="s">
        <v>165</v>
      </c>
    </row>
    <row r="9" spans="2:5" x14ac:dyDescent="0.25">
      <c r="B9" s="13" t="s">
        <v>319</v>
      </c>
      <c r="C9" s="15"/>
      <c r="D9" s="15"/>
      <c r="E9" s="20"/>
    </row>
    <row r="10" spans="2:5" x14ac:dyDescent="0.25">
      <c r="B10" s="13" t="s">
        <v>320</v>
      </c>
      <c r="C10" s="15"/>
      <c r="D10" s="15"/>
      <c r="E10" s="18">
        <f>Mvalloc!D11</f>
        <v>0</v>
      </c>
    </row>
    <row r="11" spans="2:5" x14ac:dyDescent="0.25">
      <c r="B11" s="13" t="s">
        <v>321</v>
      </c>
      <c r="C11" s="15"/>
      <c r="D11" s="15"/>
      <c r="E11" s="18">
        <f>Mvalloc!E11</f>
        <v>0</v>
      </c>
    </row>
    <row r="12" spans="2:5" x14ac:dyDescent="0.25">
      <c r="B12" s="21" t="s">
        <v>322</v>
      </c>
      <c r="C12" s="15"/>
      <c r="D12" s="15"/>
      <c r="E12" s="18">
        <f>Mvalloc!F11</f>
        <v>0</v>
      </c>
    </row>
    <row r="13" spans="2:5" x14ac:dyDescent="0.25">
      <c r="B13" s="497" t="s">
        <v>323</v>
      </c>
      <c r="C13" s="15"/>
      <c r="D13" s="15"/>
      <c r="E13" s="18">
        <f>Mvalloc!G11</f>
        <v>0</v>
      </c>
    </row>
    <row r="14" spans="2:5" x14ac:dyDescent="0.25">
      <c r="B14" s="497" t="s">
        <v>324</v>
      </c>
      <c r="C14" s="15"/>
      <c r="D14" s="15"/>
      <c r="E14" s="18">
        <f>Mvalloc!H11</f>
        <v>0</v>
      </c>
    </row>
    <row r="15" spans="2:5" x14ac:dyDescent="0.25">
      <c r="B15" s="13" t="s">
        <v>325</v>
      </c>
      <c r="C15" s="15"/>
      <c r="D15" s="15"/>
      <c r="E15" s="18">
        <f>inputOth!E12</f>
        <v>0</v>
      </c>
    </row>
    <row r="16" spans="2:5" x14ac:dyDescent="0.25">
      <c r="B16" s="23"/>
      <c r="C16" s="15"/>
      <c r="D16" s="15"/>
      <c r="E16" s="22"/>
    </row>
    <row r="17" spans="2:10" x14ac:dyDescent="0.25">
      <c r="B17" s="23"/>
      <c r="C17" s="15"/>
      <c r="D17" s="15"/>
      <c r="E17" s="20"/>
    </row>
    <row r="18" spans="2:10" x14ac:dyDescent="0.25">
      <c r="B18" s="23"/>
      <c r="C18" s="15"/>
      <c r="D18" s="15"/>
      <c r="E18" s="20"/>
    </row>
    <row r="19" spans="2:10" x14ac:dyDescent="0.25">
      <c r="B19" s="24"/>
      <c r="C19" s="15"/>
      <c r="D19" s="15"/>
      <c r="E19" s="20"/>
    </row>
    <row r="20" spans="2:10" x14ac:dyDescent="0.25">
      <c r="B20" s="24"/>
      <c r="C20" s="15"/>
      <c r="D20" s="15"/>
      <c r="E20" s="20"/>
    </row>
    <row r="21" spans="2:10" x14ac:dyDescent="0.25">
      <c r="B21" s="24"/>
      <c r="C21" s="15"/>
      <c r="D21" s="15"/>
      <c r="E21" s="20"/>
    </row>
    <row r="22" spans="2:10" x14ac:dyDescent="0.25">
      <c r="B22" s="23"/>
      <c r="C22" s="15"/>
      <c r="D22" s="15"/>
      <c r="E22" s="20"/>
    </row>
    <row r="23" spans="2:10" x14ac:dyDescent="0.25">
      <c r="B23" s="24" t="s">
        <v>326</v>
      </c>
      <c r="C23" s="15"/>
      <c r="D23" s="15"/>
      <c r="E23" s="20"/>
    </row>
    <row r="24" spans="2:10" x14ac:dyDescent="0.25">
      <c r="B24" s="21" t="s">
        <v>170</v>
      </c>
      <c r="C24" s="15"/>
      <c r="D24" s="15"/>
      <c r="E24" s="18">
        <f>'NR Rebate'!E6*-1</f>
        <v>0</v>
      </c>
    </row>
    <row r="25" spans="2:10" x14ac:dyDescent="0.25">
      <c r="B25" s="25" t="s">
        <v>327</v>
      </c>
      <c r="C25" s="15"/>
      <c r="D25" s="15"/>
      <c r="E25" s="20"/>
    </row>
    <row r="26" spans="2:10" x14ac:dyDescent="0.25">
      <c r="B26" s="25" t="s">
        <v>328</v>
      </c>
      <c r="C26" s="258" t="str">
        <f>IF(C27*0.1&lt;C25,"Exceed 10% Rule","")</f>
        <v/>
      </c>
      <c r="D26" s="258" t="str">
        <f>IF(D27*0.1&lt;D25,"Exceed 10% Rule","")</f>
        <v/>
      </c>
      <c r="E26" s="30" t="str">
        <f>IF(E27*0.1+E56&lt;E25,"Exceed 10% Rule","")</f>
        <v/>
      </c>
    </row>
    <row r="27" spans="2:10" x14ac:dyDescent="0.25">
      <c r="B27" s="606" t="s">
        <v>329</v>
      </c>
      <c r="C27" s="32">
        <f>SUM(C8:C25)</f>
        <v>0</v>
      </c>
      <c r="D27" s="32">
        <f>SUM(D8:D25)</f>
        <v>0</v>
      </c>
      <c r="E27" s="32">
        <f>SUM(E8:E25)</f>
        <v>0</v>
      </c>
    </row>
    <row r="28" spans="2:10" x14ac:dyDescent="0.25">
      <c r="B28" s="28" t="s">
        <v>330</v>
      </c>
      <c r="C28" s="32">
        <f>C27+C6</f>
        <v>0</v>
      </c>
      <c r="D28" s="32">
        <f>D27+D6</f>
        <v>0</v>
      </c>
      <c r="E28" s="32">
        <f>E27+E6</f>
        <v>0</v>
      </c>
    </row>
    <row r="29" spans="2:10" x14ac:dyDescent="0.25">
      <c r="B29" s="13" t="s">
        <v>331</v>
      </c>
      <c r="C29" s="261"/>
      <c r="D29" s="261"/>
      <c r="E29" s="18"/>
    </row>
    <row r="30" spans="2:10" x14ac:dyDescent="0.25">
      <c r="B30" s="23"/>
      <c r="C30" s="15"/>
      <c r="D30" s="15"/>
      <c r="E30" s="20"/>
    </row>
    <row r="31" spans="2:10" x14ac:dyDescent="0.25">
      <c r="B31" s="24" t="s">
        <v>332</v>
      </c>
      <c r="C31" s="15"/>
      <c r="D31" s="15"/>
      <c r="E31" s="20"/>
      <c r="G31" s="694" t="str">
        <f>CONCATENATE("Desired Carryover Into ",E1+1,"")</f>
        <v>Desired Carryover Into 2026</v>
      </c>
      <c r="H31" s="695"/>
      <c r="I31" s="695"/>
      <c r="J31" s="696"/>
    </row>
    <row r="32" spans="2:10" x14ac:dyDescent="0.25">
      <c r="B32" s="24" t="s">
        <v>333</v>
      </c>
      <c r="C32" s="15"/>
      <c r="D32" s="15"/>
      <c r="E32" s="20"/>
      <c r="G32" s="284"/>
      <c r="H32" s="3"/>
      <c r="I32" s="277"/>
      <c r="J32" s="285"/>
    </row>
    <row r="33" spans="2:11" x14ac:dyDescent="0.25">
      <c r="B33" s="24" t="s">
        <v>335</v>
      </c>
      <c r="C33" s="15"/>
      <c r="D33" s="15"/>
      <c r="E33" s="20"/>
      <c r="G33" s="286" t="s">
        <v>334</v>
      </c>
      <c r="H33" s="277"/>
      <c r="I33" s="277"/>
      <c r="J33" s="287">
        <v>0</v>
      </c>
    </row>
    <row r="34" spans="2:11" x14ac:dyDescent="0.25">
      <c r="B34" s="24" t="s">
        <v>337</v>
      </c>
      <c r="C34" s="15"/>
      <c r="D34" s="15"/>
      <c r="E34" s="20"/>
      <c r="G34" s="284" t="s">
        <v>336</v>
      </c>
      <c r="H34" s="3"/>
      <c r="I34" s="3"/>
      <c r="J34" s="427" t="str">
        <f>IF(J33=0,"",ROUND((J33+E56-G46)/inputOth!E7*1000,3)-G51)</f>
        <v/>
      </c>
    </row>
    <row r="35" spans="2:11" x14ac:dyDescent="0.25">
      <c r="B35" s="23" t="s">
        <v>338</v>
      </c>
      <c r="C35" s="15"/>
      <c r="D35" s="15"/>
      <c r="E35" s="20"/>
      <c r="G35" s="428" t="str">
        <f>CONCATENATE("",E1," Tot Exp/Non-Appr Must Be:")</f>
        <v>2025 Tot Exp/Non-Appr Must Be:</v>
      </c>
      <c r="H35" s="334"/>
      <c r="I35" s="426"/>
      <c r="J35" s="429">
        <f>IF(J33&gt;0,IF(E53&lt;E23,IF(J33=G46,E53,((J33-G46)*(1-D55))+E23),E53+(J33-G46)),0)</f>
        <v>0</v>
      </c>
    </row>
    <row r="36" spans="2:11" x14ac:dyDescent="0.25">
      <c r="B36" s="23" t="s">
        <v>340</v>
      </c>
      <c r="C36" s="15"/>
      <c r="D36" s="15"/>
      <c r="E36" s="20"/>
      <c r="G36" s="430" t="s">
        <v>339</v>
      </c>
      <c r="H36" s="431"/>
      <c r="I36" s="431"/>
      <c r="J36" s="432">
        <f>IF(J33&gt;0,J35-E53,0)</f>
        <v>0</v>
      </c>
    </row>
    <row r="37" spans="2:11" x14ac:dyDescent="0.25">
      <c r="B37" s="24" t="s">
        <v>341</v>
      </c>
      <c r="C37" s="15"/>
      <c r="D37" s="15"/>
      <c r="E37" s="20"/>
    </row>
    <row r="38" spans="2:11" x14ac:dyDescent="0.25">
      <c r="B38" s="24"/>
      <c r="C38" s="15"/>
      <c r="D38" s="15"/>
      <c r="E38" s="20"/>
      <c r="G38" s="694" t="str">
        <f>CONCATENATE("Projected Carryover Into ",E1+1,"")</f>
        <v>Projected Carryover Into 2026</v>
      </c>
      <c r="H38" s="695"/>
      <c r="I38" s="695"/>
      <c r="J38" s="696"/>
    </row>
    <row r="39" spans="2:11" x14ac:dyDescent="0.25">
      <c r="B39" s="23"/>
      <c r="C39" s="15"/>
      <c r="D39" s="15"/>
      <c r="E39" s="20"/>
      <c r="G39" s="273"/>
      <c r="H39" s="3"/>
      <c r="I39" s="3"/>
      <c r="J39" s="187"/>
    </row>
    <row r="40" spans="2:11" x14ac:dyDescent="0.25">
      <c r="B40" s="24"/>
      <c r="C40" s="15"/>
      <c r="D40" s="15"/>
      <c r="E40" s="20"/>
      <c r="G40" s="274">
        <f>D50</f>
        <v>0</v>
      </c>
      <c r="H40" s="275" t="str">
        <f>CONCATENATE("",E1-1," Ending Cash Balance (est.)")</f>
        <v>2024 Ending Cash Balance (est.)</v>
      </c>
      <c r="I40" s="276"/>
      <c r="J40" s="187"/>
    </row>
    <row r="41" spans="2:11" x14ac:dyDescent="0.25">
      <c r="B41" s="23"/>
      <c r="C41" s="15"/>
      <c r="D41" s="15"/>
      <c r="E41" s="20"/>
      <c r="G41" s="274">
        <f>E27</f>
        <v>0</v>
      </c>
      <c r="H41" s="277" t="str">
        <f>CONCATENATE("",E1," Non-AV Receipts (est.)")</f>
        <v>2025 Non-AV Receipts (est.)</v>
      </c>
      <c r="I41" s="276"/>
      <c r="J41" s="187"/>
    </row>
    <row r="42" spans="2:11" x14ac:dyDescent="0.2">
      <c r="B42" s="21" t="str">
        <f>CONCATENATE("Cash Reserve (",E1," column)")</f>
        <v>Cash Reserve (2025 column)</v>
      </c>
      <c r="C42" s="15"/>
      <c r="D42" s="15"/>
      <c r="E42" s="20"/>
      <c r="G42" s="278">
        <f>IF(D55&gt;0,E54,E56)</f>
        <v>0</v>
      </c>
      <c r="H42" s="277" t="str">
        <f>CONCATENATE("",E1," Ad Valorem Tax (est.)")</f>
        <v>2025 Ad Valorem Tax (est.)</v>
      </c>
      <c r="I42" s="276"/>
      <c r="J42" s="187"/>
      <c r="K42" s="623" t="str">
        <f>IF(G42=E56,"","Note: Does not include Delinquent Taxes")</f>
        <v/>
      </c>
    </row>
    <row r="43" spans="2:11" x14ac:dyDescent="0.25">
      <c r="B43" s="21" t="s">
        <v>342</v>
      </c>
      <c r="C43" s="15"/>
      <c r="D43" s="15"/>
      <c r="E43" s="20"/>
      <c r="G43" s="274">
        <f>SUM(G40:G42)</f>
        <v>0</v>
      </c>
      <c r="H43" s="277" t="str">
        <f>CONCATENATE("Total ",E1," Resources Available")</f>
        <v>Total 2025 Resources Available</v>
      </c>
      <c r="I43" s="276"/>
      <c r="J43" s="187"/>
    </row>
    <row r="44" spans="2:11" x14ac:dyDescent="0.25">
      <c r="B44" s="21" t="s">
        <v>343</v>
      </c>
      <c r="C44" s="257" t="str">
        <f>IF(AND($C$43&gt;0,$C$8&gt;0),"Not Authorized","")</f>
        <v/>
      </c>
      <c r="D44" s="257" t="str">
        <f>IF(AND($D$43&gt;0,$D$8&gt;0),"Not Authorized","")</f>
        <v/>
      </c>
      <c r="E44" s="29" t="str">
        <f>IF(AND(Cert!E20&gt;0,$E$43&gt;0),"Not Authorized","")</f>
        <v/>
      </c>
      <c r="G44" s="279"/>
      <c r="H44" s="277"/>
      <c r="I44" s="277"/>
      <c r="J44" s="187"/>
    </row>
    <row r="45" spans="2:11" x14ac:dyDescent="0.25">
      <c r="B45" s="13" t="s">
        <v>344</v>
      </c>
      <c r="C45" s="15"/>
      <c r="D45" s="15"/>
      <c r="E45" s="20"/>
      <c r="G45" s="278">
        <f>ROUND(C49*0.05+C49,0)</f>
        <v>0</v>
      </c>
      <c r="H45" s="277" t="str">
        <f>CONCATENATE("Less ",E1-2," Expenditures + 5%")</f>
        <v>Less 2023 Expenditures + 5%</v>
      </c>
      <c r="I45" s="276"/>
      <c r="J45" s="187"/>
    </row>
    <row r="46" spans="2:11" x14ac:dyDescent="0.25">
      <c r="B46" s="13" t="s">
        <v>345</v>
      </c>
      <c r="C46" s="258" t="str">
        <f>IF(C28*0.25&lt;C45,"Exceeds 25%","")</f>
        <v/>
      </c>
      <c r="D46" s="258" t="str">
        <f>IF(D28*0.25&lt;D45,"Exceeds 25%","")</f>
        <v/>
      </c>
      <c r="E46" s="30" t="str">
        <f>IF(E28*0.25+E56&lt;E45,"Exceeds 25%","")</f>
        <v/>
      </c>
      <c r="G46" s="280">
        <f>G43-G45</f>
        <v>0</v>
      </c>
      <c r="H46" s="281" t="str">
        <f>CONCATENATE("Projected ",E1+1," Carryover (est.)")</f>
        <v>Projected 2026 Carryover (est.)</v>
      </c>
      <c r="I46" s="282"/>
      <c r="J46" s="283"/>
    </row>
    <row r="47" spans="2:11" x14ac:dyDescent="0.25">
      <c r="B47" s="21" t="s">
        <v>327</v>
      </c>
      <c r="C47" s="15"/>
      <c r="D47" s="15"/>
      <c r="E47" s="20"/>
    </row>
    <row r="48" spans="2:11" x14ac:dyDescent="0.25">
      <c r="B48" s="21" t="s">
        <v>347</v>
      </c>
      <c r="C48" s="258" t="str">
        <f>IF(C49*0.1&lt;C47,"Exceed 10% Rule","")</f>
        <v/>
      </c>
      <c r="D48" s="258" t="str">
        <f>IF(D49*0.1&lt;D47,"Exceed 10% Rule","")</f>
        <v/>
      </c>
      <c r="E48" s="30" t="str">
        <f>IF(E49*0.1&lt;E47,"Exceed 10% Rule","")</f>
        <v/>
      </c>
      <c r="G48" s="697" t="s">
        <v>346</v>
      </c>
      <c r="H48" s="698"/>
      <c r="I48" s="698"/>
      <c r="J48" s="699"/>
    </row>
    <row r="49" spans="2:10" x14ac:dyDescent="0.25">
      <c r="B49" s="28" t="s">
        <v>348</v>
      </c>
      <c r="C49" s="256">
        <f>SUM(C30:C47)</f>
        <v>0</v>
      </c>
      <c r="D49" s="256">
        <f>SUM(D30:D47)</f>
        <v>0</v>
      </c>
      <c r="E49" s="32">
        <f>SUM(E30:E43,E45,E47:E47)</f>
        <v>0</v>
      </c>
      <c r="G49" s="700"/>
      <c r="H49" s="701"/>
      <c r="I49" s="701"/>
      <c r="J49" s="702"/>
    </row>
    <row r="50" spans="2:10" x14ac:dyDescent="0.25">
      <c r="B50" s="13" t="s">
        <v>349</v>
      </c>
      <c r="C50" s="18">
        <f>C28-C49</f>
        <v>0</v>
      </c>
      <c r="D50" s="18">
        <f>SUM(D28-D49)</f>
        <v>0</v>
      </c>
      <c r="E50" s="19" t="s">
        <v>165</v>
      </c>
      <c r="G50" s="554" t="str">
        <f>'Budget Hearing Notice'!I18</f>
        <v xml:space="preserve"> </v>
      </c>
      <c r="H50" s="555" t="str">
        <f>CONCATENATE("",E1," Estimated Fund Mill Rate")</f>
        <v>2025 Estimated Fund Mill Rate</v>
      </c>
      <c r="I50" s="556"/>
      <c r="J50" s="557"/>
    </row>
    <row r="51" spans="2:10" x14ac:dyDescent="0.25">
      <c r="B51" s="203" t="str">
        <f>CONCATENATE("",E1-2,"/",E1-1,"/",E1," Budget Authority Amount:")</f>
        <v>2023/2024/2025 Budget Authority Amount:</v>
      </c>
      <c r="C51" s="41">
        <f>inputOth!B49</f>
        <v>0</v>
      </c>
      <c r="D51" s="41">
        <f>inputPrYr!D17</f>
        <v>0</v>
      </c>
      <c r="E51" s="18">
        <f>E49</f>
        <v>0</v>
      </c>
      <c r="G51" s="558" t="str">
        <f>'Budget Hearing Notice'!F18</f>
        <v xml:space="preserve">  </v>
      </c>
      <c r="H51" s="555" t="str">
        <f>CONCATENATE("",E1-1," Fund Mill Rate")</f>
        <v>2024 Fund Mill Rate</v>
      </c>
      <c r="I51" s="556"/>
      <c r="J51" s="557"/>
    </row>
    <row r="52" spans="2:10" x14ac:dyDescent="0.25">
      <c r="B52" s="612"/>
      <c r="C52" s="690" t="s">
        <v>351</v>
      </c>
      <c r="D52" s="691"/>
      <c r="E52" s="20"/>
      <c r="G52" s="559">
        <f>'Budget Hearing Notice'!I33</f>
        <v>0</v>
      </c>
      <c r="H52" s="560" t="s">
        <v>350</v>
      </c>
      <c r="I52" s="556"/>
      <c r="J52" s="557"/>
    </row>
    <row r="53" spans="2:10" x14ac:dyDescent="0.25">
      <c r="B53" s="624" t="str">
        <f>CONCATENATE(C73,"     ",D73)</f>
        <v xml:space="preserve">     </v>
      </c>
      <c r="C53" s="692" t="s">
        <v>352</v>
      </c>
      <c r="D53" s="693"/>
      <c r="E53" s="18">
        <f>E49+E52</f>
        <v>0</v>
      </c>
      <c r="F53" s="33"/>
      <c r="G53" s="554">
        <f>'Budget Hearing Notice'!I32</f>
        <v>0</v>
      </c>
      <c r="H53" s="555" t="str">
        <f>CONCATENATE(E1," Estimated Total Mill Rate")</f>
        <v>2025 Estimated Total Mill Rate</v>
      </c>
      <c r="I53" s="556"/>
      <c r="J53" s="557"/>
    </row>
    <row r="54" spans="2:10" x14ac:dyDescent="0.25">
      <c r="B54" s="624" t="str">
        <f>CONCATENATE(C74,"     ",D74)</f>
        <v xml:space="preserve">     </v>
      </c>
      <c r="C54" s="34"/>
      <c r="D54" s="35" t="s">
        <v>353</v>
      </c>
      <c r="E54" s="41">
        <f>IF(E53-E28&gt;0,E53-E28,0)</f>
        <v>0</v>
      </c>
      <c r="F54" s="272" t="str">
        <f>IF(E49/0.95-E49&lt;E52,"Exceeds 5%","")</f>
        <v/>
      </c>
      <c r="G54" s="561">
        <f>'Budget Hearing Notice'!F32</f>
        <v>0</v>
      </c>
      <c r="H54" s="555" t="str">
        <f>CONCATENATE(E1-1," Total Mill Rate")</f>
        <v>2024 Total Mill Rate</v>
      </c>
      <c r="I54" s="556"/>
      <c r="J54" s="557"/>
    </row>
    <row r="55" spans="2:10" x14ac:dyDescent="0.25">
      <c r="B55" s="35"/>
      <c r="C55" s="604" t="s">
        <v>354</v>
      </c>
      <c r="D55" s="425">
        <f>inputOth!$E$43</f>
        <v>0</v>
      </c>
      <c r="E55" s="18">
        <f>ROUND(IF(D55&gt;0,(E54*D55),0),0)</f>
        <v>0</v>
      </c>
      <c r="G55" s="562"/>
      <c r="H55" s="488"/>
      <c r="I55" s="488"/>
      <c r="J55" s="563"/>
    </row>
    <row r="56" spans="2:10" x14ac:dyDescent="0.25">
      <c r="B56" s="3"/>
      <c r="C56" s="688" t="str">
        <f>CONCATENATE("Amount of  ",$E$1-1," Ad Valorem Tax")</f>
        <v>Amount of  2024 Ad Valorem Tax</v>
      </c>
      <c r="D56" s="689"/>
      <c r="E56" s="41">
        <f>E54+E55</f>
        <v>0</v>
      </c>
      <c r="G56" s="703" t="s">
        <v>355</v>
      </c>
      <c r="H56" s="704"/>
      <c r="I56" s="704"/>
      <c r="J56" s="707" t="str">
        <f>IF(G53&gt;G52, "Yes", "No")</f>
        <v>No</v>
      </c>
    </row>
    <row r="57" spans="2:10" x14ac:dyDescent="0.25">
      <c r="B57" s="3"/>
      <c r="C57" s="3"/>
      <c r="D57" s="3"/>
      <c r="E57" s="3"/>
      <c r="G57" s="705"/>
      <c r="H57" s="706"/>
      <c r="I57" s="706"/>
      <c r="J57" s="708"/>
    </row>
    <row r="58" spans="2:10" x14ac:dyDescent="0.25">
      <c r="B58" s="509" t="s">
        <v>181</v>
      </c>
      <c r="C58" s="184"/>
      <c r="D58" s="184"/>
      <c r="E58" s="186"/>
      <c r="G58" s="686" t="str">
        <f>IF(J56="Yes", "Follow procedure prescribed by KSA 79-2988 to exceed the Revenue Neutral Rate.", " ")</f>
        <v xml:space="preserve"> </v>
      </c>
      <c r="H58" s="686"/>
      <c r="I58" s="686"/>
      <c r="J58" s="686"/>
    </row>
    <row r="59" spans="2:10" x14ac:dyDescent="0.25">
      <c r="B59" s="273"/>
      <c r="C59" s="3"/>
      <c r="D59" s="3"/>
      <c r="E59" s="187"/>
      <c r="G59" s="687"/>
      <c r="H59" s="687"/>
      <c r="I59" s="687"/>
      <c r="J59" s="687"/>
    </row>
    <row r="60" spans="2:10" x14ac:dyDescent="0.25">
      <c r="B60" s="510"/>
      <c r="C60" s="7"/>
      <c r="D60" s="183"/>
      <c r="E60" s="189"/>
      <c r="G60" s="687"/>
      <c r="H60" s="687"/>
      <c r="I60" s="687"/>
      <c r="J60" s="687"/>
    </row>
    <row r="61" spans="2:10" x14ac:dyDescent="0.25">
      <c r="B61" s="3"/>
      <c r="C61" s="3"/>
      <c r="D61" s="36"/>
      <c r="E61" s="3"/>
    </row>
    <row r="62" spans="2:10" x14ac:dyDescent="0.25">
      <c r="B62" s="35" t="s">
        <v>356</v>
      </c>
      <c r="C62" s="481"/>
      <c r="D62" s="3"/>
      <c r="E62" s="36"/>
    </row>
    <row r="64" spans="2:10" x14ac:dyDescent="0.25">
      <c r="B64" s="1"/>
    </row>
    <row r="67" spans="3:5" x14ac:dyDescent="0.25">
      <c r="E67" s="37"/>
    </row>
    <row r="69" spans="3:5" x14ac:dyDescent="0.25">
      <c r="E69" s="37"/>
    </row>
    <row r="71" spans="3:5" x14ac:dyDescent="0.25">
      <c r="C71" s="38"/>
    </row>
    <row r="72" spans="3:5" x14ac:dyDescent="0.25">
      <c r="C72" s="37"/>
      <c r="E72" s="37"/>
    </row>
    <row r="73" spans="3:5" x14ac:dyDescent="0.25">
      <c r="C73" s="4" t="str">
        <f>IF(C49&gt;C51,"See Tab A","")</f>
        <v/>
      </c>
      <c r="D73" s="4" t="str">
        <f>IF(D49&gt;D51,"See Tab C","")</f>
        <v/>
      </c>
    </row>
    <row r="74" spans="3:5" x14ac:dyDescent="0.25">
      <c r="C74" s="4" t="str">
        <f>IF(C50&lt;0,"See Tab B","")</f>
        <v/>
      </c>
      <c r="D74" s="4" t="str">
        <f>IF(D50&lt;0,"See Tab D","")</f>
        <v/>
      </c>
    </row>
    <row r="75" spans="3:5" hidden="1" x14ac:dyDescent="0.25"/>
    <row r="76" spans="3:5" hidden="1" x14ac:dyDescent="0.25"/>
  </sheetData>
  <sheetProtection sheet="1" objects="1" scenarios="1"/>
  <mergeCells count="9">
    <mergeCell ref="G58:J60"/>
    <mergeCell ref="C56:D56"/>
    <mergeCell ref="C52:D52"/>
    <mergeCell ref="C53:D53"/>
    <mergeCell ref="G31:J31"/>
    <mergeCell ref="G38:J38"/>
    <mergeCell ref="G48:J49"/>
    <mergeCell ref="G56:I57"/>
    <mergeCell ref="J56:J57"/>
  </mergeCells>
  <phoneticPr fontId="0" type="noConversion"/>
  <conditionalFormatting sqref="C25">
    <cfRule type="cellIs" dxfId="148" priority="23" stopIfTrue="1" operator="greaterThan">
      <formula>$C$27*0.1</formula>
    </cfRule>
  </conditionalFormatting>
  <conditionalFormatting sqref="C42">
    <cfRule type="expression" dxfId="147" priority="26" stopIfTrue="1">
      <formula>"Mike"</formula>
    </cfRule>
  </conditionalFormatting>
  <conditionalFormatting sqref="C44">
    <cfRule type="expression" dxfId="146" priority="29" stopIfTrue="1">
      <formula>$C$8&gt;0</formula>
    </cfRule>
  </conditionalFormatting>
  <conditionalFormatting sqref="C45">
    <cfRule type="cellIs" dxfId="145" priority="22" stopIfTrue="1" operator="greaterThan">
      <formula>$C$28*0.25</formula>
    </cfRule>
  </conditionalFormatting>
  <conditionalFormatting sqref="C47">
    <cfRule type="cellIs" dxfId="144" priority="16" stopIfTrue="1" operator="greaterThan">
      <formula>$C$49*0.1</formula>
    </cfRule>
  </conditionalFormatting>
  <conditionalFormatting sqref="C49">
    <cfRule type="cellIs" dxfId="143" priority="13" stopIfTrue="1" operator="greaterThan">
      <formula>$C$51</formula>
    </cfRule>
  </conditionalFormatting>
  <conditionalFormatting sqref="C50">
    <cfRule type="expression" dxfId="142" priority="2">
      <formula>$C$50&lt;0</formula>
    </cfRule>
  </conditionalFormatting>
  <conditionalFormatting sqref="D25">
    <cfRule type="cellIs" dxfId="141" priority="24" stopIfTrue="1" operator="greaterThan">
      <formula>$D$27*0.1</formula>
    </cfRule>
  </conditionalFormatting>
  <conditionalFormatting sqref="D44">
    <cfRule type="expression" dxfId="140" priority="31" stopIfTrue="1">
      <formula>$D$8&gt;0</formula>
    </cfRule>
  </conditionalFormatting>
  <conditionalFormatting sqref="D45">
    <cfRule type="expression" dxfId="139" priority="27" stopIfTrue="1">
      <formula>$D$45&gt;($D$28*0.25)</formula>
    </cfRule>
  </conditionalFormatting>
  <conditionalFormatting sqref="D47">
    <cfRule type="cellIs" dxfId="138" priority="17" stopIfTrue="1" operator="greaterThan">
      <formula>$D$49*0.1</formula>
    </cfRule>
  </conditionalFormatting>
  <conditionalFormatting sqref="D49">
    <cfRule type="cellIs" dxfId="137" priority="21" stopIfTrue="1" operator="greaterThan">
      <formula>$D$51</formula>
    </cfRule>
  </conditionalFormatting>
  <conditionalFormatting sqref="D50">
    <cfRule type="expression" dxfId="136" priority="1">
      <formula>$D$50&lt;0</formula>
    </cfRule>
  </conditionalFormatting>
  <conditionalFormatting sqref="E25">
    <cfRule type="cellIs" dxfId="135" priority="43" stopIfTrue="1" operator="greaterThan">
      <formula>$E$27*0.1+$E$56</formula>
    </cfRule>
  </conditionalFormatting>
  <conditionalFormatting sqref="E44">
    <cfRule type="expression" dxfId="134" priority="5" stopIfTrue="1">
      <formula>$E$56&gt;0</formula>
    </cfRule>
  </conditionalFormatting>
  <conditionalFormatting sqref="E45">
    <cfRule type="cellIs" dxfId="133" priority="33" stopIfTrue="1" operator="greaterThan">
      <formula>$E$28*0.25+$E$56</formula>
    </cfRule>
  </conditionalFormatting>
  <conditionalFormatting sqref="E47">
    <cfRule type="cellIs" dxfId="132" priority="18" stopIfTrue="1" operator="greaterThan">
      <formula>$E$49*0.1</formula>
    </cfRule>
  </conditionalFormatting>
  <conditionalFormatting sqref="E52">
    <cfRule type="cellIs" dxfId="131" priority="15" stopIfTrue="1" operator="greaterThan">
      <formula>$E$49/0.95-$E$49</formula>
    </cfRule>
  </conditionalFormatting>
  <conditionalFormatting sqref="J56">
    <cfRule type="containsText" dxfId="130" priority="3" operator="containsText" text="Yes">
      <formula>NOT(ISERROR(SEARCH("Yes",J56)))</formula>
    </cfRule>
  </conditionalFormatting>
  <pageMargins left="0.9" right="0.9" top="0.96" bottom="0.5" header="0.41" footer="0.3"/>
  <pageSetup scale="75" orientation="portrait" blackAndWhite="1" horizontalDpi="4294967292" verticalDpi="96"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F0"/>
    <pageSetUpPr fitToPage="1"/>
  </sheetPr>
  <dimension ref="B1:K99"/>
  <sheetViews>
    <sheetView zoomScaleNormal="100" workbookViewId="0">
      <selection activeCell="B32" sqref="B32"/>
    </sheetView>
  </sheetViews>
  <sheetFormatPr defaultRowHeight="15.75" x14ac:dyDescent="0.25"/>
  <cols>
    <col min="1" max="1" width="2.19921875" style="338" customWidth="1"/>
    <col min="2" max="2" width="28.59765625" style="338" customWidth="1"/>
    <col min="3" max="4" width="14.19921875" style="338" customWidth="1"/>
    <col min="5" max="5" width="14.59765625" style="338" customWidth="1"/>
    <col min="6" max="7" width="9.19921875" style="338" customWidth="1"/>
    <col min="8" max="8" width="8.796875" style="338"/>
    <col min="9" max="9" width="4.5" style="338" customWidth="1"/>
    <col min="10" max="10" width="9" style="338" customWidth="1"/>
    <col min="11" max="16384" width="8.796875" style="338"/>
  </cols>
  <sheetData>
    <row r="1" spans="2:10" x14ac:dyDescent="0.25">
      <c r="B1" s="335">
        <f>inputPrYr!D3</f>
        <v>0</v>
      </c>
      <c r="C1" s="335"/>
      <c r="D1" s="336"/>
      <c r="E1" s="337">
        <f>inputPrYr!D6</f>
        <v>2025</v>
      </c>
    </row>
    <row r="2" spans="2:10" x14ac:dyDescent="0.25">
      <c r="B2" s="336"/>
      <c r="C2" s="336"/>
      <c r="D2" s="336"/>
      <c r="E2" s="339"/>
    </row>
    <row r="3" spans="2:10" x14ac:dyDescent="0.25">
      <c r="B3" s="313" t="s">
        <v>313</v>
      </c>
      <c r="C3" s="313"/>
      <c r="D3" s="340"/>
      <c r="E3" s="341"/>
    </row>
    <row r="4" spans="2:10" x14ac:dyDescent="0.25">
      <c r="B4" s="342" t="s">
        <v>314</v>
      </c>
      <c r="C4" s="343" t="s">
        <v>357</v>
      </c>
      <c r="D4" s="344" t="s">
        <v>358</v>
      </c>
      <c r="E4" s="345" t="s">
        <v>359</v>
      </c>
    </row>
    <row r="5" spans="2:10" x14ac:dyDescent="0.25">
      <c r="B5" s="346" t="str">
        <f>inputPrYr!B18</f>
        <v>Debt Service</v>
      </c>
      <c r="C5" s="347" t="str">
        <f>CONCATENATE("Actual for ",$E$1-2,"")</f>
        <v>Actual for 2023</v>
      </c>
      <c r="D5" s="348" t="str">
        <f>CONCATENATE("Estimate for ",$E$1-1,"")</f>
        <v>Estimate for 2024</v>
      </c>
      <c r="E5" s="349" t="str">
        <f>CONCATENATE("Year for ",$E$1,"")</f>
        <v>Year for 2025</v>
      </c>
    </row>
    <row r="6" spans="2:10" x14ac:dyDescent="0.25">
      <c r="B6" s="350" t="s">
        <v>360</v>
      </c>
      <c r="C6" s="351"/>
      <c r="D6" s="352">
        <f>C35</f>
        <v>0</v>
      </c>
      <c r="E6" s="353">
        <f>D35</f>
        <v>0</v>
      </c>
    </row>
    <row r="7" spans="2:10" x14ac:dyDescent="0.25">
      <c r="B7" s="350" t="s">
        <v>318</v>
      </c>
      <c r="C7" s="354"/>
      <c r="D7" s="352"/>
      <c r="E7" s="353"/>
    </row>
    <row r="8" spans="2:10" x14ac:dyDescent="0.25">
      <c r="B8" s="350" t="s">
        <v>93</v>
      </c>
      <c r="C8" s="355"/>
      <c r="D8" s="352">
        <f>IF(inputPrYr!H16&gt;0,inputPrYr!G18,inputPrYr!E18)</f>
        <v>0</v>
      </c>
      <c r="E8" s="356" t="s">
        <v>165</v>
      </c>
    </row>
    <row r="9" spans="2:10" x14ac:dyDescent="0.25">
      <c r="B9" s="350" t="s">
        <v>319</v>
      </c>
      <c r="C9" s="355"/>
      <c r="D9" s="357"/>
      <c r="E9" s="358"/>
    </row>
    <row r="10" spans="2:10" x14ac:dyDescent="0.25">
      <c r="B10" s="350" t="s">
        <v>320</v>
      </c>
      <c r="C10" s="355"/>
      <c r="D10" s="357"/>
      <c r="E10" s="353">
        <f>Mvalloc!D12</f>
        <v>0</v>
      </c>
    </row>
    <row r="11" spans="2:10" x14ac:dyDescent="0.25">
      <c r="B11" s="350" t="s">
        <v>321</v>
      </c>
      <c r="C11" s="355"/>
      <c r="D11" s="357"/>
      <c r="E11" s="353">
        <f>Mvalloc!E12</f>
        <v>0</v>
      </c>
    </row>
    <row r="12" spans="2:10" x14ac:dyDescent="0.25">
      <c r="B12" s="359" t="s">
        <v>361</v>
      </c>
      <c r="C12" s="355"/>
      <c r="D12" s="357"/>
      <c r="E12" s="353">
        <f>Mvalloc!F12</f>
        <v>0</v>
      </c>
      <c r="G12" s="711" t="str">
        <f>CONCATENATE("Desired Carryover Into ",E1+1,"")</f>
        <v>Desired Carryover Into 2026</v>
      </c>
      <c r="H12" s="712"/>
      <c r="I12" s="712"/>
      <c r="J12" s="713"/>
    </row>
    <row r="13" spans="2:10" x14ac:dyDescent="0.25">
      <c r="B13" s="497" t="s">
        <v>323</v>
      </c>
      <c r="C13" s="355"/>
      <c r="D13" s="357"/>
      <c r="E13" s="353">
        <f>Mvalloc!G12</f>
        <v>0</v>
      </c>
      <c r="G13" s="369"/>
      <c r="H13" s="336"/>
      <c r="I13" s="370"/>
      <c r="J13" s="371"/>
    </row>
    <row r="14" spans="2:10" x14ac:dyDescent="0.25">
      <c r="B14" s="497" t="s">
        <v>324</v>
      </c>
      <c r="C14" s="355"/>
      <c r="D14" s="357"/>
      <c r="E14" s="353">
        <f>Mvalloc!H12</f>
        <v>0</v>
      </c>
      <c r="G14" s="372" t="s">
        <v>334</v>
      </c>
      <c r="H14" s="370"/>
      <c r="I14" s="370"/>
      <c r="J14" s="373">
        <v>0</v>
      </c>
    </row>
    <row r="15" spans="2:10" x14ac:dyDescent="0.25">
      <c r="B15" s="360"/>
      <c r="C15" s="355"/>
      <c r="D15" s="357"/>
      <c r="E15" s="358"/>
      <c r="G15" s="369" t="s">
        <v>336</v>
      </c>
      <c r="H15" s="336"/>
      <c r="I15" s="336"/>
      <c r="J15" s="374" t="str">
        <f>IF(J14=0,"",ROUND((J14+E41-G27)/inputOth!E7*1000,3)-G32)</f>
        <v/>
      </c>
    </row>
    <row r="16" spans="2:10" x14ac:dyDescent="0.25">
      <c r="B16" s="360"/>
      <c r="C16" s="355"/>
      <c r="D16" s="357"/>
      <c r="E16" s="358"/>
      <c r="G16" s="375" t="str">
        <f>CONCATENATE("",E1," Tot Exp/Non-Appr Must Be:")</f>
        <v>2025 Tot Exp/Non-Appr Must Be:</v>
      </c>
      <c r="H16" s="376"/>
      <c r="I16" s="377"/>
      <c r="J16" s="378">
        <f>IF(J14&gt;0,IF(E38&lt;E23,IF(J14=G27,E38,((J14-G27)*(1-D40))+E23),E38+(J14-G27)),0)</f>
        <v>0</v>
      </c>
    </row>
    <row r="17" spans="2:11" x14ac:dyDescent="0.25">
      <c r="B17" s="360"/>
      <c r="C17" s="355"/>
      <c r="D17" s="357"/>
      <c r="E17" s="358"/>
      <c r="G17" s="379" t="s">
        <v>339</v>
      </c>
      <c r="H17" s="380"/>
      <c r="I17" s="380"/>
      <c r="J17" s="381">
        <f>IF(J14&gt;0,J16-E38,0)</f>
        <v>0</v>
      </c>
    </row>
    <row r="18" spans="2:11" x14ac:dyDescent="0.25">
      <c r="B18" s="362" t="s">
        <v>326</v>
      </c>
      <c r="C18" s="355"/>
      <c r="D18" s="357"/>
      <c r="E18" s="358"/>
    </row>
    <row r="19" spans="2:11" x14ac:dyDescent="0.25">
      <c r="B19" s="382" t="s">
        <v>170</v>
      </c>
      <c r="C19" s="355"/>
      <c r="D19" s="357"/>
      <c r="E19" s="353">
        <f>'NR Rebate'!E7*-1</f>
        <v>0</v>
      </c>
      <c r="G19" s="711" t="str">
        <f>CONCATENATE("Projected Carryover Into ",E1+1,"")</f>
        <v>Projected Carryover Into 2026</v>
      </c>
      <c r="H19" s="716"/>
      <c r="I19" s="716"/>
      <c r="J19" s="715"/>
    </row>
    <row r="20" spans="2:11" x14ac:dyDescent="0.25">
      <c r="B20" s="350" t="s">
        <v>327</v>
      </c>
      <c r="C20" s="363"/>
      <c r="D20" s="357"/>
      <c r="E20" s="358"/>
      <c r="G20" s="369"/>
      <c r="H20" s="370"/>
      <c r="I20" s="370"/>
      <c r="J20" s="383"/>
    </row>
    <row r="21" spans="2:11" x14ac:dyDescent="0.25">
      <c r="B21" s="350" t="s">
        <v>362</v>
      </c>
      <c r="C21" s="364" t="str">
        <f>IF(C22*0.1&lt;C20,"Exceed 10% Rule","")</f>
        <v/>
      </c>
      <c r="D21" s="364" t="str">
        <f>IF(D22*0.1&lt;D20,"Exceeds 10% Rule","")</f>
        <v/>
      </c>
      <c r="E21" s="365" t="str">
        <f>IF(E22*0.1+E41&lt;E20,"Exceed 10% Rule","")</f>
        <v/>
      </c>
      <c r="G21" s="386">
        <f>D35</f>
        <v>0</v>
      </c>
      <c r="H21" s="387" t="str">
        <f>CONCATENATE("",E1-1," Ending Cash Balance (est.)")</f>
        <v>2024 Ending Cash Balance (est.)</v>
      </c>
      <c r="I21" s="388"/>
      <c r="J21" s="383"/>
    </row>
    <row r="22" spans="2:11" x14ac:dyDescent="0.25">
      <c r="B22" s="366" t="s">
        <v>329</v>
      </c>
      <c r="C22" s="367">
        <f>SUM(C8:C20)</f>
        <v>0</v>
      </c>
      <c r="D22" s="367">
        <f>SUM(D8:D20)</f>
        <v>0</v>
      </c>
      <c r="E22" s="368">
        <f>SUM(E9:E20)</f>
        <v>0</v>
      </c>
      <c r="G22" s="386">
        <f>E22</f>
        <v>0</v>
      </c>
      <c r="H22" s="370" t="str">
        <f>CONCATENATE("",E1," Non-AV Receipts (est.)")</f>
        <v>2025 Non-AV Receipts (est.)</v>
      </c>
      <c r="I22" s="388"/>
      <c r="J22" s="383"/>
    </row>
    <row r="23" spans="2:11" x14ac:dyDescent="0.25">
      <c r="B23" s="366" t="s">
        <v>330</v>
      </c>
      <c r="C23" s="367">
        <f>C6+C22</f>
        <v>0</v>
      </c>
      <c r="D23" s="367">
        <f>D6+D22</f>
        <v>0</v>
      </c>
      <c r="E23" s="368">
        <f>E6+E22</f>
        <v>0</v>
      </c>
      <c r="G23" s="393">
        <f>IF(E40&gt;0,E39,E41)</f>
        <v>0</v>
      </c>
      <c r="H23" s="370" t="str">
        <f>CONCATENATE("",E1," Ad Valorem Tax (est.)")</f>
        <v>2025 Ad Valorem Tax (est.)</v>
      </c>
      <c r="I23" s="370"/>
      <c r="J23" s="339"/>
      <c r="K23" s="625" t="str">
        <f>IF(G23=E41,"","Note: Does not include Delinquent Taxes")</f>
        <v/>
      </c>
    </row>
    <row r="24" spans="2:11" x14ac:dyDescent="0.25">
      <c r="B24" s="350" t="s">
        <v>331</v>
      </c>
      <c r="C24" s="350"/>
      <c r="D24" s="352"/>
      <c r="E24" s="353"/>
      <c r="G24" s="386">
        <f>SUM(G21:G23)</f>
        <v>0</v>
      </c>
      <c r="H24" s="370" t="str">
        <f>CONCATENATE("Total ",E1," Resources Available")</f>
        <v>Total 2025 Resources Available</v>
      </c>
      <c r="I24" s="388"/>
      <c r="J24" s="383"/>
    </row>
    <row r="25" spans="2:11" x14ac:dyDescent="0.25">
      <c r="B25" s="360"/>
      <c r="C25" s="355"/>
      <c r="D25" s="357"/>
      <c r="E25" s="358"/>
      <c r="G25" s="395"/>
      <c r="H25" s="370"/>
      <c r="I25" s="370"/>
      <c r="J25" s="383"/>
    </row>
    <row r="26" spans="2:11" x14ac:dyDescent="0.25">
      <c r="B26" s="360"/>
      <c r="C26" s="355"/>
      <c r="D26" s="357"/>
      <c r="E26" s="358"/>
      <c r="G26" s="393">
        <f>C34</f>
        <v>0</v>
      </c>
      <c r="H26" s="370" t="str">
        <f>CONCATENATE("Less ",E1-2," Expenditures")</f>
        <v>Less 2023 Expenditures</v>
      </c>
      <c r="I26" s="370"/>
      <c r="J26" s="383"/>
    </row>
    <row r="27" spans="2:11" x14ac:dyDescent="0.25">
      <c r="B27" s="360"/>
      <c r="C27" s="357"/>
      <c r="D27" s="357"/>
      <c r="E27" s="358"/>
      <c r="G27" s="399">
        <f>G24-G26</f>
        <v>0</v>
      </c>
      <c r="H27" s="400" t="str">
        <f>CONCATENATE("Projected ",E1+1," carryover (est.)")</f>
        <v>Projected 2026 carryover (est.)</v>
      </c>
      <c r="I27" s="401"/>
      <c r="J27" s="402"/>
    </row>
    <row r="28" spans="2:11" x14ac:dyDescent="0.25">
      <c r="B28" s="360"/>
      <c r="C28" s="355"/>
      <c r="D28" s="357"/>
      <c r="E28" s="358"/>
    </row>
    <row r="29" spans="2:11" x14ac:dyDescent="0.25">
      <c r="B29" s="360"/>
      <c r="C29" s="355"/>
      <c r="D29" s="357"/>
      <c r="E29" s="358"/>
      <c r="G29" s="697" t="s">
        <v>346</v>
      </c>
      <c r="H29" s="698"/>
      <c r="I29" s="698"/>
      <c r="J29" s="699"/>
    </row>
    <row r="30" spans="2:11" x14ac:dyDescent="0.25">
      <c r="B30" s="360"/>
      <c r="C30" s="355"/>
      <c r="D30" s="357"/>
      <c r="E30" s="358"/>
      <c r="G30" s="700"/>
      <c r="H30" s="701"/>
      <c r="I30" s="701"/>
      <c r="J30" s="702"/>
    </row>
    <row r="31" spans="2:11" x14ac:dyDescent="0.25">
      <c r="B31" s="382" t="str">
        <f>CONCATENATE("Cash Reserve (",E1," column)")</f>
        <v>Cash Reserve (2025 column)</v>
      </c>
      <c r="C31" s="355"/>
      <c r="D31" s="357"/>
      <c r="E31" s="358"/>
      <c r="G31" s="554" t="str">
        <f>'Budget Hearing Notice'!I19</f>
        <v xml:space="preserve"> </v>
      </c>
      <c r="H31" s="555" t="str">
        <f>CONCATENATE("",E1," Estimated Fund Mill Rate")</f>
        <v>2025 Estimated Fund Mill Rate</v>
      </c>
      <c r="I31" s="556"/>
      <c r="J31" s="557"/>
    </row>
    <row r="32" spans="2:11" x14ac:dyDescent="0.25">
      <c r="B32" s="382" t="s">
        <v>327</v>
      </c>
      <c r="C32" s="363"/>
      <c r="D32" s="357"/>
      <c r="E32" s="358"/>
      <c r="G32" s="558" t="str">
        <f>'Budget Hearing Notice'!F19</f>
        <v xml:space="preserve">  </v>
      </c>
      <c r="H32" s="555" t="str">
        <f>CONCATENATE("",E1-1," Fund Mill Rate")</f>
        <v>2024 Fund Mill Rate</v>
      </c>
      <c r="I32" s="556"/>
      <c r="J32" s="557"/>
    </row>
    <row r="33" spans="2:10" x14ac:dyDescent="0.25">
      <c r="B33" s="382" t="s">
        <v>347</v>
      </c>
      <c r="C33" s="364" t="str">
        <f>IF(C34*0.1&lt;C32,"Exceed 10% Rule","")</f>
        <v/>
      </c>
      <c r="D33" s="364" t="str">
        <f>IF(D34*0.1&lt;D32,"Exceed 10% Rule","")</f>
        <v/>
      </c>
      <c r="E33" s="365" t="str">
        <f>IF(E34*0.1&lt;E32,"Exceed 10% Rule","")</f>
        <v/>
      </c>
      <c r="G33" s="559">
        <f>inputOth!D15</f>
        <v>0</v>
      </c>
      <c r="H33" s="560" t="s">
        <v>350</v>
      </c>
      <c r="I33" s="556"/>
      <c r="J33" s="557"/>
    </row>
    <row r="34" spans="2:10" x14ac:dyDescent="0.25">
      <c r="B34" s="366" t="s">
        <v>348</v>
      </c>
      <c r="C34" s="384">
        <f>SUM(C25:C32)</f>
        <v>0</v>
      </c>
      <c r="D34" s="384">
        <f>SUM(D25:D32)</f>
        <v>0</v>
      </c>
      <c r="E34" s="385">
        <f>SUM(E25:E32)</f>
        <v>0</v>
      </c>
      <c r="G34" s="554">
        <f>'Budget Hearing Notice'!I32</f>
        <v>0</v>
      </c>
      <c r="H34" s="555" t="str">
        <f>CONCATENATE(E1," Estimated Total Mill Rate")</f>
        <v>2025 Estimated Total Mill Rate</v>
      </c>
      <c r="I34" s="556"/>
      <c r="J34" s="557"/>
    </row>
    <row r="35" spans="2:10" x14ac:dyDescent="0.25">
      <c r="B35" s="350" t="s">
        <v>349</v>
      </c>
      <c r="C35" s="389">
        <f>C23-C34</f>
        <v>0</v>
      </c>
      <c r="D35" s="389">
        <f>D23-D34</f>
        <v>0</v>
      </c>
      <c r="E35" s="356" t="s">
        <v>165</v>
      </c>
      <c r="F35" s="390"/>
      <c r="G35" s="561">
        <f>'Budget Hearing Notice'!F32</f>
        <v>0</v>
      </c>
      <c r="H35" s="555" t="str">
        <f>CONCATENATE(E1-1," Total Mill Rate")</f>
        <v>2024 Total Mill Rate</v>
      </c>
      <c r="I35" s="556"/>
      <c r="J35" s="557"/>
    </row>
    <row r="36" spans="2:10" x14ac:dyDescent="0.25">
      <c r="B36" s="452" t="str">
        <f>CONCATENATE("",E1-2,"/",E1-1,"/",E1," Budget Authority Amount:")</f>
        <v>2023/2024/2025 Budget Authority Amount:</v>
      </c>
      <c r="C36" s="451">
        <f>inputOth!B50</f>
        <v>0</v>
      </c>
      <c r="D36" s="450">
        <f>inputPrYr!D18</f>
        <v>0</v>
      </c>
      <c r="E36" s="353">
        <f>E34</f>
        <v>0</v>
      </c>
      <c r="F36" s="392"/>
      <c r="G36" s="562"/>
      <c r="H36" s="488"/>
      <c r="I36" s="488"/>
      <c r="J36" s="563"/>
    </row>
    <row r="37" spans="2:10" x14ac:dyDescent="0.25">
      <c r="B37" s="391"/>
      <c r="C37" s="690" t="s">
        <v>351</v>
      </c>
      <c r="D37" s="691"/>
      <c r="E37" s="358"/>
      <c r="F37" s="394" t="str">
        <f>IF(E34/0.95-E34&lt;E37,"Exceeds 5%","")</f>
        <v/>
      </c>
      <c r="G37" s="703" t="s">
        <v>355</v>
      </c>
      <c r="H37" s="704"/>
      <c r="I37" s="704"/>
      <c r="J37" s="707" t="str">
        <f>IF(G34&gt;G33, "Yes", "No")</f>
        <v>No</v>
      </c>
    </row>
    <row r="38" spans="2:10" x14ac:dyDescent="0.25">
      <c r="B38" s="626" t="str">
        <f>CONCATENATE(C96,"     ",D96)</f>
        <v xml:space="preserve">     </v>
      </c>
      <c r="C38" s="692" t="s">
        <v>352</v>
      </c>
      <c r="D38" s="693"/>
      <c r="E38" s="353">
        <f>E34+E37</f>
        <v>0</v>
      </c>
      <c r="F38" s="390"/>
      <c r="G38" s="705"/>
      <c r="H38" s="706"/>
      <c r="I38" s="706"/>
      <c r="J38" s="708"/>
    </row>
    <row r="39" spans="2:10" x14ac:dyDescent="0.25">
      <c r="B39" s="626" t="str">
        <f>CONCATENATE(C97,"     ",D97)</f>
        <v xml:space="preserve">     </v>
      </c>
      <c r="C39" s="396"/>
      <c r="D39" s="339" t="s">
        <v>353</v>
      </c>
      <c r="E39" s="397">
        <f>IF(E38-E23&gt;0,E38-E23,0)</f>
        <v>0</v>
      </c>
      <c r="F39" s="390"/>
      <c r="G39" s="686" t="str">
        <f>IF(J37="Yes", "Follow procedure prescribed by KSA 79-2988 to exceed the Revenue Neutral Rate.", " ")</f>
        <v xml:space="preserve"> </v>
      </c>
      <c r="H39" s="686"/>
      <c r="I39" s="686"/>
      <c r="J39" s="686"/>
    </row>
    <row r="40" spans="2:10" x14ac:dyDescent="0.25">
      <c r="B40" s="339"/>
      <c r="C40" s="604" t="s">
        <v>354</v>
      </c>
      <c r="D40" s="398">
        <f>inputOth!E43</f>
        <v>0</v>
      </c>
      <c r="E40" s="353">
        <f>ROUND(IF(D40&gt;0,(E39*D40),0),0)</f>
        <v>0</v>
      </c>
      <c r="F40" s="390"/>
      <c r="G40" s="687"/>
      <c r="H40" s="687"/>
      <c r="I40" s="687"/>
      <c r="J40" s="687"/>
    </row>
    <row r="41" spans="2:10" ht="16.5" thickBot="1" x14ac:dyDescent="0.3">
      <c r="B41" s="336"/>
      <c r="C41" s="709" t="str">
        <f>CONCATENATE("Amount of  ",E1-1," Ad Valorem Tax")</f>
        <v>Amount of  2024 Ad Valorem Tax</v>
      </c>
      <c r="D41" s="710"/>
      <c r="E41" s="403">
        <f>SUM(E39:E40)</f>
        <v>0</v>
      </c>
      <c r="F41" s="390"/>
      <c r="G41" s="687"/>
      <c r="H41" s="687"/>
      <c r="I41" s="687"/>
      <c r="J41" s="687"/>
    </row>
    <row r="42" spans="2:10" ht="16.5" thickTop="1" x14ac:dyDescent="0.25">
      <c r="B42" s="342"/>
      <c r="C42" s="342"/>
      <c r="D42" s="340"/>
      <c r="E42" s="340"/>
      <c r="F42" s="390"/>
    </row>
    <row r="43" spans="2:10" x14ac:dyDescent="0.25">
      <c r="B43" s="342" t="s">
        <v>314</v>
      </c>
      <c r="C43" s="343" t="s">
        <v>357</v>
      </c>
      <c r="D43" s="344" t="s">
        <v>358</v>
      </c>
      <c r="E43" s="345" t="s">
        <v>359</v>
      </c>
      <c r="F43" s="390"/>
    </row>
    <row r="44" spans="2:10" x14ac:dyDescent="0.25">
      <c r="B44" s="405" t="str">
        <f>inputPrYr!B19</f>
        <v>Library</v>
      </c>
      <c r="C44" s="347" t="str">
        <f>CONCATENATE("Actual for ",$E$1-2,"")</f>
        <v>Actual for 2023</v>
      </c>
      <c r="D44" s="348" t="str">
        <f>CONCATENATE("Estimate for ",$E$1-1,"")</f>
        <v>Estimate for 2024</v>
      </c>
      <c r="E44" s="349" t="str">
        <f>CONCATENATE("Year for ",$E$1,"")</f>
        <v>Year for 2025</v>
      </c>
      <c r="F44" s="390"/>
    </row>
    <row r="45" spans="2:10" x14ac:dyDescent="0.25">
      <c r="B45" s="350" t="s">
        <v>360</v>
      </c>
      <c r="C45" s="355">
        <v>0</v>
      </c>
      <c r="D45" s="352">
        <f>C74</f>
        <v>0</v>
      </c>
      <c r="E45" s="353">
        <f>D74</f>
        <v>0</v>
      </c>
      <c r="F45" s="390"/>
    </row>
    <row r="46" spans="2:10" x14ac:dyDescent="0.25">
      <c r="B46" s="406" t="s">
        <v>318</v>
      </c>
      <c r="C46" s="350"/>
      <c r="D46" s="352"/>
      <c r="E46" s="353"/>
      <c r="F46" s="390"/>
    </row>
    <row r="47" spans="2:10" x14ac:dyDescent="0.25">
      <c r="B47" s="350" t="s">
        <v>93</v>
      </c>
      <c r="C47" s="363"/>
      <c r="D47" s="352">
        <f>IF(inputPrYr!H16&gt;0,inputPrYr!G19,inputPrYr!E19)</f>
        <v>0</v>
      </c>
      <c r="E47" s="356" t="s">
        <v>165</v>
      </c>
      <c r="F47" s="390"/>
    </row>
    <row r="48" spans="2:10" x14ac:dyDescent="0.25">
      <c r="B48" s="350" t="s">
        <v>319</v>
      </c>
      <c r="C48" s="363"/>
      <c r="D48" s="357"/>
      <c r="E48" s="358"/>
      <c r="F48" s="390"/>
    </row>
    <row r="49" spans="2:11" x14ac:dyDescent="0.25">
      <c r="B49" s="350" t="s">
        <v>320</v>
      </c>
      <c r="C49" s="363"/>
      <c r="D49" s="357"/>
      <c r="E49" s="353">
        <f>Mvalloc!D13</f>
        <v>0</v>
      </c>
      <c r="F49" s="390"/>
    </row>
    <row r="50" spans="2:11" x14ac:dyDescent="0.25">
      <c r="B50" s="350" t="s">
        <v>321</v>
      </c>
      <c r="C50" s="363"/>
      <c r="D50" s="357"/>
      <c r="E50" s="353">
        <f>Mvalloc!E13</f>
        <v>0</v>
      </c>
      <c r="F50" s="390"/>
      <c r="G50" s="711" t="str">
        <f>CONCATENATE("Desired Carryover Into ",E1+1,"")</f>
        <v>Desired Carryover Into 2026</v>
      </c>
      <c r="H50" s="712"/>
      <c r="I50" s="712"/>
      <c r="J50" s="713"/>
    </row>
    <row r="51" spans="2:11" x14ac:dyDescent="0.25">
      <c r="B51" s="359" t="s">
        <v>361</v>
      </c>
      <c r="C51" s="363"/>
      <c r="D51" s="357"/>
      <c r="E51" s="353">
        <f>Mvalloc!F13</f>
        <v>0</v>
      </c>
      <c r="G51" s="369"/>
      <c r="H51" s="336"/>
      <c r="I51" s="370"/>
      <c r="J51" s="371"/>
    </row>
    <row r="52" spans="2:11" x14ac:dyDescent="0.25">
      <c r="B52" s="497" t="s">
        <v>323</v>
      </c>
      <c r="C52" s="363"/>
      <c r="D52" s="357"/>
      <c r="E52" s="353">
        <f>Mvalloc!G13</f>
        <v>0</v>
      </c>
      <c r="G52" s="372" t="s">
        <v>334</v>
      </c>
      <c r="H52" s="370"/>
      <c r="I52" s="370"/>
      <c r="J52" s="373">
        <v>0</v>
      </c>
    </row>
    <row r="53" spans="2:11" x14ac:dyDescent="0.25">
      <c r="B53" s="497" t="s">
        <v>324</v>
      </c>
      <c r="C53" s="363"/>
      <c r="D53" s="357"/>
      <c r="E53" s="353">
        <f>Mvalloc!H13</f>
        <v>0</v>
      </c>
      <c r="G53" s="369" t="s">
        <v>336</v>
      </c>
      <c r="H53" s="336"/>
      <c r="I53" s="336"/>
      <c r="J53" s="374" t="str">
        <f>IF(J52=0,"",ROUND((J52+E80-G65)/inputOth!E7*1000,3)-G70)</f>
        <v/>
      </c>
    </row>
    <row r="54" spans="2:11" x14ac:dyDescent="0.25">
      <c r="B54" s="360"/>
      <c r="C54" s="363"/>
      <c r="D54" s="357"/>
      <c r="E54" s="361"/>
      <c r="G54" s="375" t="str">
        <f>CONCATENATE("",E1," Tot Exp/Non-Appr Must Be:")</f>
        <v>2025 Tot Exp/Non-Appr Must Be:</v>
      </c>
      <c r="H54" s="376"/>
      <c r="I54" s="377"/>
      <c r="J54" s="378">
        <f>IF(J52&gt;0,IF(E77&lt;E62,IF(J52=G65,E77,((J52-G65)*(1-D79))+E62),E77+(J52-G65)),0)</f>
        <v>0</v>
      </c>
    </row>
    <row r="55" spans="2:11" x14ac:dyDescent="0.25">
      <c r="B55" s="360"/>
      <c r="C55" s="363"/>
      <c r="D55" s="357"/>
      <c r="E55" s="358"/>
      <c r="G55" s="379" t="s">
        <v>339</v>
      </c>
      <c r="H55" s="380"/>
      <c r="I55" s="380"/>
      <c r="J55" s="381">
        <f>IF(J52&gt;0,J54-E77,0)</f>
        <v>0</v>
      </c>
    </row>
    <row r="56" spans="2:11" x14ac:dyDescent="0.25">
      <c r="B56" s="360"/>
      <c r="C56" s="363"/>
      <c r="D56" s="357"/>
      <c r="E56" s="358"/>
    </row>
    <row r="57" spans="2:11" x14ac:dyDescent="0.25">
      <c r="B57" s="362" t="s">
        <v>326</v>
      </c>
      <c r="C57" s="363"/>
      <c r="D57" s="357"/>
      <c r="E57" s="358"/>
      <c r="G57" s="711" t="str">
        <f>CONCATENATE("Projected Carryover Into ",E1+1,"")</f>
        <v>Projected Carryover Into 2026</v>
      </c>
      <c r="H57" s="714"/>
      <c r="I57" s="714"/>
      <c r="J57" s="715"/>
    </row>
    <row r="58" spans="2:11" x14ac:dyDescent="0.25">
      <c r="B58" s="359" t="s">
        <v>170</v>
      </c>
      <c r="C58" s="363"/>
      <c r="D58" s="357"/>
      <c r="E58" s="353">
        <f>'NR Rebate'!E8*-1</f>
        <v>0</v>
      </c>
      <c r="G58" s="408"/>
      <c r="H58" s="336"/>
      <c r="I58" s="336"/>
      <c r="J58" s="409"/>
    </row>
    <row r="59" spans="2:11" x14ac:dyDescent="0.25">
      <c r="B59" s="350" t="s">
        <v>327</v>
      </c>
      <c r="C59" s="363"/>
      <c r="D59" s="363"/>
      <c r="E59" s="407"/>
      <c r="G59" s="386">
        <f>D74</f>
        <v>0</v>
      </c>
      <c r="H59" s="387" t="str">
        <f>CONCATENATE("",E1-1," Ending Cash Balance (est.)")</f>
        <v>2024 Ending Cash Balance (est.)</v>
      </c>
      <c r="I59" s="388"/>
      <c r="J59" s="409"/>
    </row>
    <row r="60" spans="2:11" x14ac:dyDescent="0.25">
      <c r="B60" s="350" t="s">
        <v>362</v>
      </c>
      <c r="C60" s="364" t="str">
        <f>IF(C61*0.1&lt;C59,"Exceed 10% Rule","")</f>
        <v/>
      </c>
      <c r="D60" s="364" t="str">
        <f>IF(D61*0.1&lt;D59,"Exceeds 10% Rule","")</f>
        <v/>
      </c>
      <c r="E60" s="365" t="str">
        <f>IF(E61*0.1+E80&lt;E59,"Exceed 10% Rule","")</f>
        <v/>
      </c>
      <c r="G60" s="386">
        <f>E61</f>
        <v>0</v>
      </c>
      <c r="H60" s="370" t="str">
        <f>CONCATENATE("",E1," Non-AV Receipts (est.)")</f>
        <v>2025 Non-AV Receipts (est.)</v>
      </c>
      <c r="I60" s="388"/>
      <c r="J60" s="409"/>
    </row>
    <row r="61" spans="2:11" x14ac:dyDescent="0.25">
      <c r="B61" s="366" t="s">
        <v>329</v>
      </c>
      <c r="C61" s="384">
        <f>SUM(C47:C59)</f>
        <v>0</v>
      </c>
      <c r="D61" s="384">
        <f>SUM(D47:D59)</f>
        <v>0</v>
      </c>
      <c r="E61" s="385">
        <f>SUM(E48:E59)</f>
        <v>0</v>
      </c>
      <c r="G61" s="393">
        <f>IF(E79&gt;0,E78,E80)</f>
        <v>0</v>
      </c>
      <c r="H61" s="370" t="str">
        <f>CONCATENATE("",E1," Ad Valorem Tax (est.)")</f>
        <v>2025 Ad Valorem Tax (est.)</v>
      </c>
      <c r="I61" s="370"/>
      <c r="J61" s="505"/>
      <c r="K61" s="625" t="str">
        <f>IF(G61=E80,"","Note: Does not include Delinquent Taxes")</f>
        <v/>
      </c>
    </row>
    <row r="62" spans="2:11" x14ac:dyDescent="0.25">
      <c r="B62" s="366" t="s">
        <v>330</v>
      </c>
      <c r="C62" s="384">
        <f>C45+C61</f>
        <v>0</v>
      </c>
      <c r="D62" s="384">
        <f>D45+D61</f>
        <v>0</v>
      </c>
      <c r="E62" s="385">
        <f>E45+E61</f>
        <v>0</v>
      </c>
      <c r="G62" s="411">
        <f>SUM(G59:G61)</f>
        <v>0</v>
      </c>
      <c r="H62" s="370" t="str">
        <f>CONCATENATE("Total ",E1," Resources Available")</f>
        <v>Total 2025 Resources Available</v>
      </c>
      <c r="I62" s="412"/>
      <c r="J62" s="409"/>
    </row>
    <row r="63" spans="2:11" x14ac:dyDescent="0.25">
      <c r="B63" s="350" t="s">
        <v>331</v>
      </c>
      <c r="C63" s="350"/>
      <c r="D63" s="352"/>
      <c r="E63" s="353"/>
      <c r="G63" s="413"/>
      <c r="H63" s="414"/>
      <c r="I63" s="336"/>
      <c r="J63" s="409"/>
    </row>
    <row r="64" spans="2:11" x14ac:dyDescent="0.25">
      <c r="B64" s="360"/>
      <c r="C64" s="355"/>
      <c r="D64" s="357"/>
      <c r="E64" s="358"/>
      <c r="G64" s="393">
        <f>ROUND(C73*0.05+C73,0)</f>
        <v>0</v>
      </c>
      <c r="H64" s="370" t="str">
        <f>CONCATENATE("Less ",E1-2," Expenditures + 5%")</f>
        <v>Less 2023 Expenditures + 5%</v>
      </c>
      <c r="I64" s="412"/>
      <c r="J64" s="409"/>
    </row>
    <row r="65" spans="2:10" x14ac:dyDescent="0.25">
      <c r="B65" s="360"/>
      <c r="C65" s="355"/>
      <c r="D65" s="357"/>
      <c r="E65" s="358"/>
      <c r="G65" s="399">
        <f>G62-G64</f>
        <v>0</v>
      </c>
      <c r="H65" s="400" t="str">
        <f>CONCATENATE("Projected ",E1+1," carryover (est.)")</f>
        <v>Projected 2026 carryover (est.)</v>
      </c>
      <c r="I65" s="415"/>
      <c r="J65" s="416"/>
    </row>
    <row r="66" spans="2:10" x14ac:dyDescent="0.25">
      <c r="B66" s="360"/>
      <c r="C66" s="355"/>
      <c r="D66" s="357"/>
      <c r="E66" s="358"/>
    </row>
    <row r="67" spans="2:10" x14ac:dyDescent="0.25">
      <c r="B67" s="360"/>
      <c r="C67" s="355"/>
      <c r="D67" s="357"/>
      <c r="E67" s="358"/>
      <c r="G67" s="697" t="s">
        <v>346</v>
      </c>
      <c r="H67" s="698"/>
      <c r="I67" s="698"/>
      <c r="J67" s="699"/>
    </row>
    <row r="68" spans="2:10" x14ac:dyDescent="0.25">
      <c r="B68" s="360"/>
      <c r="C68" s="355"/>
      <c r="D68" s="357"/>
      <c r="E68" s="358"/>
      <c r="G68" s="700"/>
      <c r="H68" s="701"/>
      <c r="I68" s="701"/>
      <c r="J68" s="702"/>
    </row>
    <row r="69" spans="2:10" x14ac:dyDescent="0.25">
      <c r="B69" s="360"/>
      <c r="C69" s="355"/>
      <c r="D69" s="357"/>
      <c r="E69" s="358"/>
      <c r="G69" s="554" t="str">
        <f>'Budget Hearing Notice'!I20</f>
        <v xml:space="preserve"> </v>
      </c>
      <c r="H69" s="555" t="str">
        <f>CONCATENATE("",E1," Estimated Fund Mill Rate")</f>
        <v>2025 Estimated Fund Mill Rate</v>
      </c>
      <c r="I69" s="556"/>
      <c r="J69" s="557"/>
    </row>
    <row r="70" spans="2:10" x14ac:dyDescent="0.25">
      <c r="B70" s="360"/>
      <c r="C70" s="355"/>
      <c r="D70" s="357"/>
      <c r="E70" s="358"/>
      <c r="F70" s="390"/>
      <c r="G70" s="558" t="str">
        <f>'Budget Hearing Notice'!F20</f>
        <v xml:space="preserve">  </v>
      </c>
      <c r="H70" s="555" t="str">
        <f>CONCATENATE("",E1-1," Fund Mill Rate")</f>
        <v>2024 Fund Mill Rate</v>
      </c>
      <c r="I70" s="556"/>
      <c r="J70" s="557"/>
    </row>
    <row r="71" spans="2:10" x14ac:dyDescent="0.25">
      <c r="B71" s="359" t="s">
        <v>327</v>
      </c>
      <c r="C71" s="363"/>
      <c r="D71" s="357"/>
      <c r="E71" s="358"/>
      <c r="F71" s="390"/>
      <c r="G71" s="559">
        <f>inputOth!D15</f>
        <v>0</v>
      </c>
      <c r="H71" s="560" t="s">
        <v>350</v>
      </c>
      <c r="I71" s="556"/>
      <c r="J71" s="557"/>
    </row>
    <row r="72" spans="2:10" x14ac:dyDescent="0.25">
      <c r="B72" s="359" t="s">
        <v>347</v>
      </c>
      <c r="C72" s="364" t="str">
        <f>IF(C73*0.1&lt;C71,"Exceed 10% Rule","")</f>
        <v/>
      </c>
      <c r="D72" s="364" t="str">
        <f>IF(D73*0.1&lt;D71,"Exceed 10% Rule","")</f>
        <v/>
      </c>
      <c r="E72" s="365" t="str">
        <f>IF(E73*0.1&lt;E71,"Exceed 10% Rule","")</f>
        <v/>
      </c>
      <c r="F72" s="390"/>
      <c r="G72" s="554">
        <f>'Budget Hearing Notice'!I32</f>
        <v>0</v>
      </c>
      <c r="H72" s="555" t="str">
        <f>CONCATENATE(E1," Estimated Total Mill Rate")</f>
        <v>2025 Estimated Total Mill Rate</v>
      </c>
      <c r="I72" s="556"/>
      <c r="J72" s="557"/>
    </row>
    <row r="73" spans="2:10" x14ac:dyDescent="0.25">
      <c r="B73" s="366" t="s">
        <v>348</v>
      </c>
      <c r="C73" s="384">
        <f>SUM(C64:C71)</f>
        <v>0</v>
      </c>
      <c r="D73" s="384">
        <f>SUM(D64:D71)</f>
        <v>0</v>
      </c>
      <c r="E73" s="385">
        <f>SUM(E64:E71)</f>
        <v>0</v>
      </c>
      <c r="F73" s="390"/>
      <c r="G73" s="561">
        <f>'Budget Hearing Notice'!F32</f>
        <v>0</v>
      </c>
      <c r="H73" s="555" t="str">
        <f>CONCATENATE(E1-1," Total Mill Rate")</f>
        <v>2024 Total Mill Rate</v>
      </c>
      <c r="I73" s="556"/>
      <c r="J73" s="557"/>
    </row>
    <row r="74" spans="2:10" x14ac:dyDescent="0.25">
      <c r="B74" s="350" t="s">
        <v>349</v>
      </c>
      <c r="C74" s="389">
        <f>C62-C73</f>
        <v>0</v>
      </c>
      <c r="D74" s="389">
        <f>D62-D73</f>
        <v>0</v>
      </c>
      <c r="E74" s="356" t="s">
        <v>165</v>
      </c>
      <c r="F74" s="390"/>
      <c r="G74" s="562"/>
      <c r="H74" s="488"/>
      <c r="I74" s="488"/>
      <c r="J74" s="563"/>
    </row>
    <row r="75" spans="2:10" x14ac:dyDescent="0.25">
      <c r="B75" s="452" t="str">
        <f>CONCATENATE("",E1-2,"/",E1-1,"/",E1," Budget Authority Amount:")</f>
        <v>2023/2024/2025 Budget Authority Amount:</v>
      </c>
      <c r="C75" s="451">
        <f>inputOth!B51</f>
        <v>0</v>
      </c>
      <c r="D75" s="451">
        <f>inputPrYr!D19</f>
        <v>0</v>
      </c>
      <c r="E75" s="353">
        <f>E73</f>
        <v>0</v>
      </c>
      <c r="F75" s="392"/>
      <c r="G75" s="703" t="s">
        <v>355</v>
      </c>
      <c r="H75" s="704"/>
      <c r="I75" s="704"/>
      <c r="J75" s="707" t="str">
        <f>IF(G72&gt;G71, "Yes", "No")</f>
        <v>No</v>
      </c>
    </row>
    <row r="76" spans="2:10" x14ac:dyDescent="0.25">
      <c r="B76" s="391"/>
      <c r="C76" s="690" t="s">
        <v>351</v>
      </c>
      <c r="D76" s="691"/>
      <c r="E76" s="358"/>
      <c r="F76" s="410" t="str">
        <f>IF(E73/0.95-E73&lt;E76,"Exceeds 5%","")</f>
        <v/>
      </c>
      <c r="G76" s="705"/>
      <c r="H76" s="706"/>
      <c r="I76" s="706"/>
      <c r="J76" s="708"/>
    </row>
    <row r="77" spans="2:10" x14ac:dyDescent="0.25">
      <c r="B77" s="626" t="str">
        <f>CONCATENATE(C98,"     ",D98)</f>
        <v xml:space="preserve">     </v>
      </c>
      <c r="C77" s="692" t="s">
        <v>352</v>
      </c>
      <c r="D77" s="693"/>
      <c r="E77" s="353">
        <f>E73+E76</f>
        <v>0</v>
      </c>
      <c r="F77" s="390"/>
      <c r="G77" s="686" t="str">
        <f>IF(J75="Yes", "Follow procedure prescribed by KSA 79-2988 to exceed the Revenue Neutral Rate.", " ")</f>
        <v xml:space="preserve"> </v>
      </c>
      <c r="H77" s="686"/>
      <c r="I77" s="686"/>
      <c r="J77" s="686"/>
    </row>
    <row r="78" spans="2:10" x14ac:dyDescent="0.25">
      <c r="B78" s="626" t="str">
        <f>CONCATENATE(C99,"     ",D99)</f>
        <v xml:space="preserve">     </v>
      </c>
      <c r="C78" s="396"/>
      <c r="D78" s="339" t="s">
        <v>353</v>
      </c>
      <c r="E78" s="397">
        <f>IF(E77-E62&gt;0,E77-E62,0)</f>
        <v>0</v>
      </c>
      <c r="F78" s="390"/>
      <c r="G78" s="687"/>
      <c r="H78" s="687"/>
      <c r="I78" s="687"/>
      <c r="J78" s="687"/>
    </row>
    <row r="79" spans="2:10" x14ac:dyDescent="0.25">
      <c r="B79" s="339"/>
      <c r="C79" s="604" t="s">
        <v>354</v>
      </c>
      <c r="D79" s="398">
        <f>inputOth!E43</f>
        <v>0</v>
      </c>
      <c r="E79" s="353">
        <f>ROUND(IF(E78&gt;0,(E78*D79),0),0)</f>
        <v>0</v>
      </c>
      <c r="F79" s="390"/>
      <c r="G79" s="687"/>
      <c r="H79" s="687"/>
      <c r="I79" s="687"/>
      <c r="J79" s="687"/>
    </row>
    <row r="80" spans="2:10" ht="16.5" thickBot="1" x14ac:dyDescent="0.3">
      <c r="B80" s="336"/>
      <c r="C80" s="709" t="str">
        <f>CONCATENATE("Amount of  ",E1-1," Ad Valorem Tax")</f>
        <v>Amount of  2024 Ad Valorem Tax</v>
      </c>
      <c r="D80" s="710"/>
      <c r="E80" s="403">
        <f>E78+E79</f>
        <v>0</v>
      </c>
      <c r="F80" s="627" t="str">
        <f>IF('Library Grant'!F33="","",IF('Library Grant'!F33="Qualify","Qualifies for State Library Grant","See 'Library Grant' tab"))</f>
        <v>Qualifies for State Library Grant</v>
      </c>
    </row>
    <row r="81" spans="2:6" ht="16.5" thickTop="1" x14ac:dyDescent="0.25">
      <c r="B81" s="339"/>
      <c r="C81" s="709"/>
      <c r="D81" s="710"/>
      <c r="E81" s="404"/>
      <c r="F81" s="390"/>
    </row>
    <row r="82" spans="2:6" x14ac:dyDescent="0.25">
      <c r="B82" s="520" t="s">
        <v>181</v>
      </c>
      <c r="C82" s="511"/>
      <c r="D82" s="512"/>
      <c r="E82" s="513"/>
      <c r="F82" s="390"/>
    </row>
    <row r="83" spans="2:6" x14ac:dyDescent="0.25">
      <c r="B83" s="514"/>
      <c r="C83" s="605"/>
      <c r="D83" s="339"/>
      <c r="E83" s="515"/>
      <c r="F83" s="390"/>
    </row>
    <row r="84" spans="2:6" x14ac:dyDescent="0.25">
      <c r="B84" s="516"/>
      <c r="C84" s="517"/>
      <c r="D84" s="518"/>
      <c r="E84" s="519"/>
      <c r="F84" s="390"/>
    </row>
    <row r="85" spans="2:6" x14ac:dyDescent="0.25">
      <c r="B85" s="339"/>
      <c r="C85" s="339"/>
      <c r="D85" s="339"/>
      <c r="E85" s="339"/>
    </row>
    <row r="86" spans="2:6" x14ac:dyDescent="0.25">
      <c r="B86" s="339" t="s">
        <v>356</v>
      </c>
      <c r="C86" s="482"/>
      <c r="D86" s="339"/>
      <c r="E86" s="339"/>
      <c r="F86" s="390"/>
    </row>
    <row r="91" spans="2:6" x14ac:dyDescent="0.25">
      <c r="C91" s="417" t="s">
        <v>363</v>
      </c>
      <c r="D91" s="417" t="s">
        <v>363</v>
      </c>
    </row>
    <row r="92" spans="2:6" x14ac:dyDescent="0.25">
      <c r="C92" s="417" t="s">
        <v>363</v>
      </c>
      <c r="D92" s="417" t="s">
        <v>363</v>
      </c>
    </row>
    <row r="94" spans="2:6" x14ac:dyDescent="0.25">
      <c r="C94" s="417" t="s">
        <v>363</v>
      </c>
      <c r="D94" s="417" t="s">
        <v>363</v>
      </c>
    </row>
    <row r="95" spans="2:6" x14ac:dyDescent="0.25">
      <c r="C95" s="417" t="s">
        <v>363</v>
      </c>
      <c r="D95" s="417" t="s">
        <v>363</v>
      </c>
    </row>
    <row r="96" spans="2:6" hidden="1" x14ac:dyDescent="0.25">
      <c r="C96" s="628" t="str">
        <f>IF(C34&gt;C36,"See Tab A","")</f>
        <v/>
      </c>
      <c r="D96" s="628" t="str">
        <f>IF(D34&gt;D36,"See Tab C","")</f>
        <v/>
      </c>
    </row>
    <row r="97" spans="3:4" hidden="1" x14ac:dyDescent="0.25">
      <c r="C97" s="628" t="str">
        <f>IF(C35&lt;0,"See Tab B","")</f>
        <v/>
      </c>
      <c r="D97" s="628" t="str">
        <f>IF(D35&lt;0,"See Tab D","")</f>
        <v/>
      </c>
    </row>
    <row r="98" spans="3:4" hidden="1" x14ac:dyDescent="0.25">
      <c r="C98" s="629" t="str">
        <f>IF(C73&gt;C75,"See Tab A","")</f>
        <v/>
      </c>
      <c r="D98" s="629" t="str">
        <f>IF(D73&gt;D75,"See Tab C","")</f>
        <v/>
      </c>
    </row>
    <row r="99" spans="3:4" hidden="1" x14ac:dyDescent="0.25">
      <c r="C99" s="629" t="str">
        <f>IF(C74&lt;0,"See Tab B","")</f>
        <v/>
      </c>
      <c r="D99" s="629" t="str">
        <f>IF(D74&lt;0,"See Tab D","")</f>
        <v/>
      </c>
    </row>
  </sheetData>
  <sheetProtection sheet="1"/>
  <mergeCells count="19">
    <mergeCell ref="G50:J50"/>
    <mergeCell ref="G57:J57"/>
    <mergeCell ref="G12:J12"/>
    <mergeCell ref="G19:J19"/>
    <mergeCell ref="C37:D37"/>
    <mergeCell ref="C38:D38"/>
    <mergeCell ref="C41:D41"/>
    <mergeCell ref="G29:J30"/>
    <mergeCell ref="G39:J41"/>
    <mergeCell ref="G37:I38"/>
    <mergeCell ref="J37:J38"/>
    <mergeCell ref="C76:D76"/>
    <mergeCell ref="C77:D77"/>
    <mergeCell ref="C80:D80"/>
    <mergeCell ref="C81:D81"/>
    <mergeCell ref="G67:J68"/>
    <mergeCell ref="G75:I76"/>
    <mergeCell ref="J75:J76"/>
    <mergeCell ref="G77:J79"/>
  </mergeCells>
  <conditionalFormatting sqref="C20 C59:E59">
    <cfRule type="cellIs" dxfId="129" priority="10" stopIfTrue="1" operator="greaterThan">
      <formula>$C$22*0.1</formula>
    </cfRule>
  </conditionalFormatting>
  <conditionalFormatting sqref="C32">
    <cfRule type="cellIs" dxfId="128" priority="13" stopIfTrue="1" operator="greaterThan">
      <formula>$C$34*0.1</formula>
    </cfRule>
  </conditionalFormatting>
  <conditionalFormatting sqref="C34">
    <cfRule type="cellIs" dxfId="127" priority="15" stopIfTrue="1" operator="greaterThan">
      <formula>$C$36</formula>
    </cfRule>
  </conditionalFormatting>
  <conditionalFormatting sqref="C71">
    <cfRule type="cellIs" dxfId="126" priority="7" stopIfTrue="1" operator="greaterThan">
      <formula>$C$73*0.1</formula>
    </cfRule>
  </conditionalFormatting>
  <conditionalFormatting sqref="C73">
    <cfRule type="cellIs" dxfId="125" priority="18" stopIfTrue="1" operator="greaterThan">
      <formula>$C$75</formula>
    </cfRule>
  </conditionalFormatting>
  <conditionalFormatting sqref="C35:D35 C74:D74">
    <cfRule type="cellIs" dxfId="124" priority="17" stopIfTrue="1" operator="lessThan">
      <formula>0</formula>
    </cfRule>
  </conditionalFormatting>
  <conditionalFormatting sqref="D20">
    <cfRule type="cellIs" dxfId="123" priority="9" stopIfTrue="1" operator="greaterThan">
      <formula>$D$22*0.1</formula>
    </cfRule>
  </conditionalFormatting>
  <conditionalFormatting sqref="D32">
    <cfRule type="cellIs" dxfId="122" priority="12" stopIfTrue="1" operator="greaterThan">
      <formula>$D$34*0.1</formula>
    </cfRule>
  </conditionalFormatting>
  <conditionalFormatting sqref="D34">
    <cfRule type="cellIs" dxfId="121" priority="14" stopIfTrue="1" operator="greaterThan">
      <formula>$D$36</formula>
    </cfRule>
  </conditionalFormatting>
  <conditionalFormatting sqref="D71">
    <cfRule type="cellIs" dxfId="120" priority="6" stopIfTrue="1" operator="greaterThan">
      <formula>$D$73*0.1</formula>
    </cfRule>
  </conditionalFormatting>
  <conditionalFormatting sqref="D73">
    <cfRule type="cellIs" dxfId="119" priority="16" stopIfTrue="1" operator="greaterThan">
      <formula>$D$75</formula>
    </cfRule>
  </conditionalFormatting>
  <conditionalFormatting sqref="E20">
    <cfRule type="cellIs" dxfId="118" priority="33" stopIfTrue="1" operator="greaterThan">
      <formula>$E$22*0.1+$E$41</formula>
    </cfRule>
  </conditionalFormatting>
  <conditionalFormatting sqref="E32">
    <cfRule type="cellIs" dxfId="117" priority="11" stopIfTrue="1" operator="greaterThan">
      <formula>$E$34*0.1</formula>
    </cfRule>
  </conditionalFormatting>
  <conditionalFormatting sqref="E37">
    <cfRule type="cellIs" dxfId="116" priority="4" stopIfTrue="1" operator="greaterThan">
      <formula>$E$34/0.95-$E$34</formula>
    </cfRule>
  </conditionalFormatting>
  <conditionalFormatting sqref="E71">
    <cfRule type="cellIs" dxfId="115" priority="5" stopIfTrue="1" operator="greaterThan">
      <formula>$E$73*0.1</formula>
    </cfRule>
  </conditionalFormatting>
  <conditionalFormatting sqref="E76">
    <cfRule type="cellIs" dxfId="114" priority="3" stopIfTrue="1" operator="greaterThan">
      <formula>$E$73/0.98-$E$73</formula>
    </cfRule>
  </conditionalFormatting>
  <conditionalFormatting sqref="J37">
    <cfRule type="containsText" dxfId="113" priority="2" operator="containsText" text="Yes">
      <formula>NOT(ISERROR(SEARCH("Yes",J37)))</formula>
    </cfRule>
  </conditionalFormatting>
  <conditionalFormatting sqref="J75">
    <cfRule type="containsText" dxfId="112" priority="1" operator="containsText" text="Yes">
      <formula>NOT(ISERROR(SEARCH("Yes",J75)))</formula>
    </cfRule>
  </conditionalFormatting>
  <pageMargins left="0.25" right="0.25" top="0.75" bottom="0.75" header="0.3" footer="0.3"/>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pageSetUpPr fitToPage="1"/>
  </sheetPr>
  <dimension ref="B1:K79"/>
  <sheetViews>
    <sheetView zoomScaleNormal="100" workbookViewId="0">
      <selection activeCell="C41" sqref="C41:E41"/>
    </sheetView>
  </sheetViews>
  <sheetFormatPr defaultRowHeight="15.75" x14ac:dyDescent="0.25"/>
  <cols>
    <col min="1" max="1" width="2.3984375" style="4" customWidth="1"/>
    <col min="2" max="2" width="31" style="4" customWidth="1"/>
    <col min="3" max="4" width="15.69921875" style="4" customWidth="1"/>
    <col min="5" max="5" width="13.69921875" style="4" customWidth="1"/>
    <col min="6" max="6" width="7.3984375" style="4" customWidth="1"/>
    <col min="7" max="7" width="10.09765625" style="4" customWidth="1"/>
    <col min="8" max="8" width="8.796875" style="4"/>
    <col min="9" max="9" width="4.8984375" style="4" customWidth="1"/>
    <col min="10" max="10" width="9.8984375" style="4" customWidth="1"/>
    <col min="11" max="16384" width="8.796875" style="4"/>
  </cols>
  <sheetData>
    <row r="1" spans="2:5" x14ac:dyDescent="0.25">
      <c r="B1" s="2">
        <f>inputPrYr!D3</f>
        <v>0</v>
      </c>
      <c r="C1" s="3"/>
      <c r="D1" s="3"/>
      <c r="E1" s="612">
        <f>inputPrYr!D6</f>
        <v>2025</v>
      </c>
    </row>
    <row r="2" spans="2:5" x14ac:dyDescent="0.25">
      <c r="B2" s="5"/>
      <c r="C2" s="3"/>
      <c r="D2" s="39"/>
      <c r="E2" s="40"/>
    </row>
    <row r="3" spans="2:5" x14ac:dyDescent="0.25">
      <c r="B3" s="313" t="s">
        <v>313</v>
      </c>
      <c r="C3" s="43"/>
      <c r="D3" s="43"/>
      <c r="E3" s="43"/>
    </row>
    <row r="4" spans="2:5" x14ac:dyDescent="0.25">
      <c r="B4" s="9" t="s">
        <v>314</v>
      </c>
      <c r="C4" s="259" t="s">
        <v>315</v>
      </c>
      <c r="D4" s="262" t="s">
        <v>262</v>
      </c>
      <c r="E4" s="10" t="s">
        <v>316</v>
      </c>
    </row>
    <row r="5" spans="2:5" x14ac:dyDescent="0.25">
      <c r="B5" s="266" t="str">
        <f>inputPrYr!B20</f>
        <v>Road</v>
      </c>
      <c r="C5" s="260" t="str">
        <f>General!C5</f>
        <v>Actual for 2023</v>
      </c>
      <c r="D5" s="260" t="str">
        <f>General!D5</f>
        <v>Estimate for 2024</v>
      </c>
      <c r="E5" s="12" t="str">
        <f>General!E5</f>
        <v>Year for 2025</v>
      </c>
    </row>
    <row r="6" spans="2:5" x14ac:dyDescent="0.25">
      <c r="B6" s="13" t="s">
        <v>317</v>
      </c>
      <c r="C6" s="15"/>
      <c r="D6" s="261">
        <f>C44</f>
        <v>0</v>
      </c>
      <c r="E6" s="18">
        <f>D44</f>
        <v>0</v>
      </c>
    </row>
    <row r="7" spans="2:5" x14ac:dyDescent="0.25">
      <c r="B7" s="13" t="s">
        <v>318</v>
      </c>
      <c r="C7" s="261"/>
      <c r="D7" s="261"/>
      <c r="E7" s="19"/>
    </row>
    <row r="8" spans="2:5" x14ac:dyDescent="0.25">
      <c r="B8" s="13" t="s">
        <v>93</v>
      </c>
      <c r="C8" s="15"/>
      <c r="D8" s="261">
        <f>IF(inputPrYr!H16&gt;0,inputPrYr!G20,inputPrYr!E20)</f>
        <v>0</v>
      </c>
      <c r="E8" s="19" t="s">
        <v>165</v>
      </c>
    </row>
    <row r="9" spans="2:5" x14ac:dyDescent="0.25">
      <c r="B9" s="13" t="s">
        <v>319</v>
      </c>
      <c r="C9" s="15"/>
      <c r="D9" s="15"/>
      <c r="E9" s="20"/>
    </row>
    <row r="10" spans="2:5" x14ac:dyDescent="0.25">
      <c r="B10" s="13" t="s">
        <v>320</v>
      </c>
      <c r="C10" s="15"/>
      <c r="D10" s="15"/>
      <c r="E10" s="18">
        <f>Mvalloc!D14</f>
        <v>0</v>
      </c>
    </row>
    <row r="11" spans="2:5" x14ac:dyDescent="0.25">
      <c r="B11" s="13" t="s">
        <v>321</v>
      </c>
      <c r="C11" s="15"/>
      <c r="D11" s="15"/>
      <c r="E11" s="18">
        <f>Mvalloc!E14</f>
        <v>0</v>
      </c>
    </row>
    <row r="12" spans="2:5" x14ac:dyDescent="0.25">
      <c r="B12" s="13" t="s">
        <v>361</v>
      </c>
      <c r="C12" s="15"/>
      <c r="D12" s="15"/>
      <c r="E12" s="18">
        <f>Mvalloc!F14</f>
        <v>0</v>
      </c>
    </row>
    <row r="13" spans="2:5" x14ac:dyDescent="0.25">
      <c r="B13" s="497" t="s">
        <v>323</v>
      </c>
      <c r="C13" s="15"/>
      <c r="D13" s="15"/>
      <c r="E13" s="18">
        <f>Mvalloc!G14</f>
        <v>0</v>
      </c>
    </row>
    <row r="14" spans="2:5" x14ac:dyDescent="0.25">
      <c r="B14" s="497" t="s">
        <v>324</v>
      </c>
      <c r="C14" s="15"/>
      <c r="D14" s="15"/>
      <c r="E14" s="18">
        <f>Mvalloc!H14</f>
        <v>0</v>
      </c>
    </row>
    <row r="15" spans="2:5" x14ac:dyDescent="0.25">
      <c r="B15" s="13" t="s">
        <v>118</v>
      </c>
      <c r="C15" s="15"/>
      <c r="D15" s="15"/>
      <c r="E15" s="18">
        <f>inputOth!E39</f>
        <v>0</v>
      </c>
    </row>
    <row r="16" spans="2:5" x14ac:dyDescent="0.25">
      <c r="B16" s="24"/>
      <c r="C16" s="15"/>
      <c r="D16" s="15"/>
      <c r="E16" s="20"/>
    </row>
    <row r="17" spans="2:11" x14ac:dyDescent="0.25">
      <c r="B17" s="24"/>
      <c r="C17" s="15"/>
      <c r="D17" s="15"/>
      <c r="E17" s="20"/>
    </row>
    <row r="18" spans="2:11" x14ac:dyDescent="0.25">
      <c r="B18" s="24"/>
      <c r="C18" s="15"/>
      <c r="D18" s="15"/>
      <c r="E18" s="20"/>
    </row>
    <row r="19" spans="2:11" x14ac:dyDescent="0.25">
      <c r="B19" s="24"/>
      <c r="C19" s="15"/>
      <c r="D19" s="15"/>
      <c r="E19" s="20"/>
    </row>
    <row r="20" spans="2:11" x14ac:dyDescent="0.25">
      <c r="B20" s="24"/>
      <c r="C20" s="15"/>
      <c r="D20" s="15"/>
      <c r="E20" s="20"/>
    </row>
    <row r="21" spans="2:11" x14ac:dyDescent="0.25">
      <c r="B21" s="24" t="s">
        <v>326</v>
      </c>
      <c r="C21" s="15"/>
      <c r="D21" s="15"/>
      <c r="E21" s="20"/>
      <c r="G21" s="694" t="str">
        <f>CONCATENATE("Desired Carryover Into ",E1+1,"")</f>
        <v>Desired Carryover Into 2026</v>
      </c>
      <c r="H21" s="695"/>
      <c r="I21" s="695"/>
      <c r="J21" s="696"/>
    </row>
    <row r="22" spans="2:11" x14ac:dyDescent="0.25">
      <c r="B22" s="21" t="s">
        <v>170</v>
      </c>
      <c r="C22" s="15"/>
      <c r="D22" s="15"/>
      <c r="E22" s="31">
        <f>'NR Rebate'!E9*-1</f>
        <v>0</v>
      </c>
      <c r="G22" s="284"/>
      <c r="H22" s="3"/>
      <c r="I22" s="277"/>
      <c r="J22" s="285"/>
    </row>
    <row r="23" spans="2:11" x14ac:dyDescent="0.25">
      <c r="B23" s="25" t="s">
        <v>327</v>
      </c>
      <c r="C23" s="15"/>
      <c r="D23" s="15"/>
      <c r="E23" s="20"/>
      <c r="G23" s="286" t="s">
        <v>334</v>
      </c>
      <c r="H23" s="277"/>
      <c r="I23" s="277"/>
      <c r="J23" s="287">
        <v>0</v>
      </c>
    </row>
    <row r="24" spans="2:11" x14ac:dyDescent="0.25">
      <c r="B24" s="25" t="s">
        <v>328</v>
      </c>
      <c r="C24" s="258" t="str">
        <f>IF(C25*0.1&lt;C23,"Exceed 10% Rule","")</f>
        <v/>
      </c>
      <c r="D24" s="258" t="str">
        <f>IF(D25*0.1&lt;D23,"Exceed 10% Rule","")</f>
        <v/>
      </c>
      <c r="E24" s="30" t="str">
        <f>IF(E25*0.1+E50&lt;E23,"Exceed 10% Rule","")</f>
        <v/>
      </c>
      <c r="G24" s="284" t="s">
        <v>336</v>
      </c>
      <c r="H24" s="3"/>
      <c r="I24" s="3"/>
      <c r="J24" s="427" t="str">
        <f>IF(J23=0,"",ROUND((J23+E50-G36)/inputOth!E7*1000,3)-G41)</f>
        <v/>
      </c>
    </row>
    <row r="25" spans="2:11" x14ac:dyDescent="0.25">
      <c r="B25" s="606" t="s">
        <v>329</v>
      </c>
      <c r="C25" s="27">
        <f>SUM(C8:C23)</f>
        <v>0</v>
      </c>
      <c r="D25" s="27">
        <f>SUM(D8:D23)</f>
        <v>0</v>
      </c>
      <c r="E25" s="27">
        <f>SUM(E8:E23)</f>
        <v>0</v>
      </c>
      <c r="G25" s="428" t="str">
        <f>CONCATENATE("",E1," Tot Exp/Non-Appr Must Be:")</f>
        <v>2025 Tot Exp/Non-Appr Must Be:</v>
      </c>
      <c r="H25" s="334"/>
      <c r="I25" s="426"/>
      <c r="J25" s="429">
        <f>IF(J23&gt;0,IF(E47&lt;#REF!,IF(J23=G36,E47,((J23-G36)*(1-D49))+#REF!),E47+(J23-G36)),0)</f>
        <v>0</v>
      </c>
    </row>
    <row r="26" spans="2:11" x14ac:dyDescent="0.25">
      <c r="B26" s="28" t="s">
        <v>330</v>
      </c>
      <c r="C26" s="27">
        <f>C25+C6</f>
        <v>0</v>
      </c>
      <c r="D26" s="27">
        <f>D25+D6</f>
        <v>0</v>
      </c>
      <c r="E26" s="27">
        <f>E25+E6</f>
        <v>0</v>
      </c>
      <c r="G26" s="430" t="s">
        <v>339</v>
      </c>
      <c r="H26" s="431"/>
      <c r="I26" s="431"/>
      <c r="J26" s="432">
        <f>IF(J23&gt;0,J25-E47,0)</f>
        <v>0</v>
      </c>
    </row>
    <row r="27" spans="2:11" x14ac:dyDescent="0.25">
      <c r="B27" s="13" t="s">
        <v>331</v>
      </c>
      <c r="C27" s="261"/>
      <c r="D27" s="261"/>
      <c r="E27" s="18"/>
    </row>
    <row r="28" spans="2:11" x14ac:dyDescent="0.25">
      <c r="B28" s="24" t="s">
        <v>333</v>
      </c>
      <c r="C28" s="15"/>
      <c r="D28" s="15"/>
      <c r="E28" s="20"/>
      <c r="G28" s="694" t="str">
        <f>CONCATENATE("Projected Carryover Into ",E1+1,"")</f>
        <v>Projected Carryover Into 2026</v>
      </c>
      <c r="H28" s="695"/>
      <c r="I28" s="695"/>
      <c r="J28" s="696"/>
    </row>
    <row r="29" spans="2:11" x14ac:dyDescent="0.25">
      <c r="B29" s="23" t="s">
        <v>335</v>
      </c>
      <c r="C29" s="15"/>
      <c r="D29" s="15"/>
      <c r="E29" s="20"/>
      <c r="G29" s="273"/>
      <c r="H29" s="3"/>
      <c r="I29" s="3"/>
      <c r="J29" s="187"/>
    </row>
    <row r="30" spans="2:11" x14ac:dyDescent="0.25">
      <c r="B30" s="24" t="s">
        <v>364</v>
      </c>
      <c r="C30" s="15"/>
      <c r="D30" s="15"/>
      <c r="E30" s="20"/>
      <c r="G30" s="274">
        <f>D44</f>
        <v>0</v>
      </c>
      <c r="H30" s="275" t="str">
        <f>CONCATENATE("",E1-1," Ending Cash Balance (est.)")</f>
        <v>2024 Ending Cash Balance (est.)</v>
      </c>
      <c r="I30" s="276"/>
      <c r="J30" s="187"/>
    </row>
    <row r="31" spans="2:11" x14ac:dyDescent="0.25">
      <c r="B31" s="24" t="s">
        <v>365</v>
      </c>
      <c r="C31" s="15"/>
      <c r="D31" s="15"/>
      <c r="E31" s="20"/>
      <c r="G31" s="274">
        <f>E25</f>
        <v>0</v>
      </c>
      <c r="H31" s="277" t="str">
        <f>CONCATENATE("",E1," Non-AV Receipts (est.)")</f>
        <v>2025 Non-AV Receipts (est.)</v>
      </c>
      <c r="I31" s="277"/>
      <c r="J31" s="187"/>
    </row>
    <row r="32" spans="2:11" x14ac:dyDescent="0.2">
      <c r="B32" s="24" t="s">
        <v>338</v>
      </c>
      <c r="C32" s="15"/>
      <c r="D32" s="15"/>
      <c r="E32" s="20"/>
      <c r="G32" s="278">
        <f>IF(D49&gt;0,E48,E50)</f>
        <v>0</v>
      </c>
      <c r="H32" s="277" t="str">
        <f>CONCATENATE("",E1," Ad Valorem Tax (est.)")</f>
        <v>2025 Ad Valorem Tax (est.)</v>
      </c>
      <c r="I32" s="277"/>
      <c r="J32" s="187"/>
      <c r="K32" s="623" t="str">
        <f>IF(G32=E50,"","Note: Does not include Delinquent Taxes")</f>
        <v/>
      </c>
    </row>
    <row r="33" spans="2:10" x14ac:dyDescent="0.25">
      <c r="B33" s="24"/>
      <c r="C33" s="15"/>
      <c r="D33" s="15"/>
      <c r="E33" s="20"/>
      <c r="G33" s="274">
        <f>SUM(G30:G32)</f>
        <v>0</v>
      </c>
      <c r="H33" s="277" t="str">
        <f>CONCATENATE("Total ",E1," Resources Available")</f>
        <v>Total 2025 Resources Available</v>
      </c>
      <c r="I33" s="276"/>
      <c r="J33" s="187"/>
    </row>
    <row r="34" spans="2:10" x14ac:dyDescent="0.25">
      <c r="B34" s="24"/>
      <c r="C34" s="15"/>
      <c r="D34" s="15"/>
      <c r="E34" s="20"/>
      <c r="G34" s="279"/>
      <c r="H34" s="277"/>
      <c r="I34" s="277"/>
      <c r="J34" s="187"/>
    </row>
    <row r="35" spans="2:10" x14ac:dyDescent="0.25">
      <c r="B35" s="24"/>
      <c r="C35" s="15"/>
      <c r="D35" s="15"/>
      <c r="E35" s="20"/>
      <c r="G35" s="278">
        <f>ROUND(C43*0.05+C43,0)</f>
        <v>0</v>
      </c>
      <c r="H35" s="277" t="str">
        <f>CONCATENATE("Less ",E1-2," Expenditures + 5%")</f>
        <v>Less 2023 Expenditures + 5%</v>
      </c>
      <c r="I35" s="276"/>
      <c r="J35" s="187"/>
    </row>
    <row r="36" spans="2:10" x14ac:dyDescent="0.25">
      <c r="B36" s="23"/>
      <c r="C36" s="15"/>
      <c r="D36" s="15"/>
      <c r="E36" s="20"/>
      <c r="G36" s="280">
        <f>G33-G35</f>
        <v>0</v>
      </c>
      <c r="H36" s="281" t="str">
        <f>CONCATENATE("Projected ",E1+1," Carryover (est.)")</f>
        <v>Projected 2026 Carryover (est.)</v>
      </c>
      <c r="I36" s="282"/>
      <c r="J36" s="283"/>
    </row>
    <row r="37" spans="2:10" x14ac:dyDescent="0.25">
      <c r="B37" s="24"/>
      <c r="C37" s="15"/>
      <c r="D37" s="15"/>
      <c r="E37" s="20"/>
    </row>
    <row r="38" spans="2:10" x14ac:dyDescent="0.25">
      <c r="B38" s="13" t="str">
        <f>CONCATENATE("Cash Reserve (",E1," column)")</f>
        <v>Cash Reserve (2025 column)</v>
      </c>
      <c r="C38" s="15"/>
      <c r="D38" s="15"/>
      <c r="E38" s="20"/>
      <c r="G38" s="697" t="s">
        <v>346</v>
      </c>
      <c r="H38" s="698"/>
      <c r="I38" s="698"/>
      <c r="J38" s="699"/>
    </row>
    <row r="39" spans="2:10" x14ac:dyDescent="0.25">
      <c r="B39" s="13" t="s">
        <v>366</v>
      </c>
      <c r="C39" s="15"/>
      <c r="D39" s="15"/>
      <c r="E39" s="20"/>
      <c r="G39" s="700"/>
      <c r="H39" s="701"/>
      <c r="I39" s="701"/>
      <c r="J39" s="702"/>
    </row>
    <row r="40" spans="2:10" x14ac:dyDescent="0.25">
      <c r="B40" s="13" t="s">
        <v>367</v>
      </c>
      <c r="C40" s="263" t="str">
        <f>IF(C26*0.25&lt;C39,"Not Authorized","")</f>
        <v/>
      </c>
      <c r="D40" s="263" t="str">
        <f>IF(D26*0.25&lt;D39,"Not Authorized","")</f>
        <v/>
      </c>
      <c r="E40" s="44" t="str">
        <f>IF(E26*0.25+E50&lt;E39,"Not Authorized","")</f>
        <v/>
      </c>
      <c r="G40" s="554" t="str">
        <f>'Budget Hearing Notice'!I21</f>
        <v xml:space="preserve"> </v>
      </c>
      <c r="H40" s="555" t="str">
        <f>CONCATENATE("",E1," Estimated Fund Mill Rate")</f>
        <v>2025 Estimated Fund Mill Rate</v>
      </c>
      <c r="I40" s="556"/>
      <c r="J40" s="557"/>
    </row>
    <row r="41" spans="2:10" x14ac:dyDescent="0.25">
      <c r="B41" s="21" t="s">
        <v>327</v>
      </c>
      <c r="C41" s="15"/>
      <c r="D41" s="15"/>
      <c r="E41" s="20"/>
      <c r="G41" s="558" t="str">
        <f>'Budget Hearing Notice'!F21</f>
        <v xml:space="preserve">  </v>
      </c>
      <c r="H41" s="555" t="str">
        <f>CONCATENATE("",E1-1," Fund Mill Rate")</f>
        <v>2024 Fund Mill Rate</v>
      </c>
      <c r="I41" s="556"/>
      <c r="J41" s="557"/>
    </row>
    <row r="42" spans="2:10" x14ac:dyDescent="0.25">
      <c r="B42" s="21" t="s">
        <v>347</v>
      </c>
      <c r="C42" s="258" t="str">
        <f>IF(C43*0.1&lt;C41,"Exceed 10% Rule","")</f>
        <v/>
      </c>
      <c r="D42" s="258" t="str">
        <f>IF(D43*0.1&lt;D41,"Exceed 10% Rule","")</f>
        <v/>
      </c>
      <c r="E42" s="30" t="str">
        <f>IF(E43*0.1&lt;E41,"Exceed 10% Rule","")</f>
        <v/>
      </c>
      <c r="G42" s="559">
        <f>inputOth!D15</f>
        <v>0</v>
      </c>
      <c r="H42" s="560" t="s">
        <v>350</v>
      </c>
      <c r="I42" s="556"/>
      <c r="J42" s="557"/>
    </row>
    <row r="43" spans="2:10" x14ac:dyDescent="0.25">
      <c r="B43" s="28" t="s">
        <v>348</v>
      </c>
      <c r="C43" s="577">
        <f>SUM(C28:C39,C41:C41)</f>
        <v>0</v>
      </c>
      <c r="D43" s="577">
        <f>SUM(D28:D39,D41:D41)</f>
        <v>0</v>
      </c>
      <c r="E43" s="577">
        <f>SUM(E28:E39,E41:E41)</f>
        <v>0</v>
      </c>
      <c r="G43" s="554">
        <f>'Budget Hearing Notice'!I32</f>
        <v>0</v>
      </c>
      <c r="H43" s="555" t="str">
        <f>CONCATENATE(E1," Estimated Total Mill Rate")</f>
        <v>2025 Estimated Total Mill Rate</v>
      </c>
      <c r="I43" s="556"/>
      <c r="J43" s="557"/>
    </row>
    <row r="44" spans="2:10" x14ac:dyDescent="0.25">
      <c r="B44" s="13" t="s">
        <v>349</v>
      </c>
      <c r="C44" s="41">
        <f>C26-C43</f>
        <v>0</v>
      </c>
      <c r="D44" s="41">
        <f>D26-D43</f>
        <v>0</v>
      </c>
      <c r="E44" s="19" t="s">
        <v>165</v>
      </c>
      <c r="G44" s="561">
        <f>'Budget Hearing Notice'!F32</f>
        <v>0</v>
      </c>
      <c r="H44" s="555" t="str">
        <f>CONCATENATE(E1-1," Total Mill Rate")</f>
        <v>2024 Total Mill Rate</v>
      </c>
      <c r="I44" s="556"/>
      <c r="J44" s="557"/>
    </row>
    <row r="45" spans="2:10" x14ac:dyDescent="0.25">
      <c r="B45" s="203" t="str">
        <f>CONCATENATE("",E1-2,"/",E1-1,"/",E1," Budget Authority Amount:")</f>
        <v>2023/2024/2025 Budget Authority Amount:</v>
      </c>
      <c r="C45" s="41">
        <f>inputOth!B52</f>
        <v>0</v>
      </c>
      <c r="D45" s="41">
        <f>inputPrYr!D20</f>
        <v>0</v>
      </c>
      <c r="E45" s="18">
        <f>E43</f>
        <v>0</v>
      </c>
      <c r="G45" s="562"/>
      <c r="H45" s="488"/>
      <c r="I45" s="488"/>
      <c r="J45" s="563"/>
    </row>
    <row r="46" spans="2:10" x14ac:dyDescent="0.25">
      <c r="B46" s="612"/>
      <c r="C46" s="690" t="s">
        <v>351</v>
      </c>
      <c r="D46" s="691"/>
      <c r="E46" s="20"/>
      <c r="F46" s="33"/>
      <c r="G46" s="703" t="s">
        <v>355</v>
      </c>
      <c r="H46" s="704"/>
      <c r="I46" s="704"/>
      <c r="J46" s="707" t="str">
        <f>IF(G43&gt;G42, "Yes", "No")</f>
        <v>No</v>
      </c>
    </row>
    <row r="47" spans="2:10" x14ac:dyDescent="0.25">
      <c r="B47" s="624" t="str">
        <f>CONCATENATE(C77,"     ",D77)</f>
        <v xml:space="preserve">     </v>
      </c>
      <c r="C47" s="692" t="s">
        <v>352</v>
      </c>
      <c r="D47" s="693"/>
      <c r="E47" s="18">
        <f>E43+E46</f>
        <v>0</v>
      </c>
      <c r="F47" s="272" t="str">
        <f>IF(E43/0.95-E43&lt;E46,"Exceeds 5%","")</f>
        <v/>
      </c>
      <c r="G47" s="705"/>
      <c r="H47" s="706"/>
      <c r="I47" s="706"/>
      <c r="J47" s="708"/>
    </row>
    <row r="48" spans="2:10" x14ac:dyDescent="0.25">
      <c r="B48" s="624" t="str">
        <f>CONCATENATE(C78,"     ",D78)</f>
        <v xml:space="preserve">     </v>
      </c>
      <c r="C48" s="34"/>
      <c r="D48" s="35" t="s">
        <v>353</v>
      </c>
      <c r="E48" s="18">
        <f>IF(E47-E26&gt;0,E47-E26,0)</f>
        <v>0</v>
      </c>
      <c r="G48" s="686" t="str">
        <f>IF(J46="Yes", "Follow procedure prescribed by KSA 79-2988 to exceed the Revenue Neutral Rate.", " ")</f>
        <v xml:space="preserve"> </v>
      </c>
      <c r="H48" s="686"/>
      <c r="I48" s="686"/>
      <c r="J48" s="686"/>
    </row>
    <row r="49" spans="2:10" x14ac:dyDescent="0.25">
      <c r="B49" s="35"/>
      <c r="C49" s="604" t="s">
        <v>354</v>
      </c>
      <c r="D49" s="425">
        <f>inputOth!$E$43</f>
        <v>0</v>
      </c>
      <c r="E49" s="18">
        <f>ROUND(IF(D49&gt;0,(E48*D49),0),0)</f>
        <v>0</v>
      </c>
      <c r="G49" s="687"/>
      <c r="H49" s="687"/>
      <c r="I49" s="687"/>
      <c r="J49" s="687"/>
    </row>
    <row r="50" spans="2:10" x14ac:dyDescent="0.25">
      <c r="B50" s="3"/>
      <c r="C50" s="688" t="str">
        <f>CONCATENATE("Amount of  ",$E$1-1," Ad Valorem Tax")</f>
        <v>Amount of  2024 Ad Valorem Tax</v>
      </c>
      <c r="D50" s="689"/>
      <c r="E50" s="18">
        <f>E48+E49</f>
        <v>0</v>
      </c>
      <c r="G50" s="687"/>
      <c r="H50" s="687"/>
      <c r="I50" s="687"/>
      <c r="J50" s="687"/>
    </row>
    <row r="51" spans="2:10" x14ac:dyDescent="0.25">
      <c r="B51" s="3"/>
      <c r="C51" s="3"/>
      <c r="D51" s="3"/>
      <c r="E51" s="3"/>
    </row>
    <row r="52" spans="2:10" x14ac:dyDescent="0.25">
      <c r="B52" s="45" t="s">
        <v>368</v>
      </c>
      <c r="C52" s="47"/>
      <c r="D52" s="3"/>
      <c r="E52" s="3"/>
    </row>
    <row r="53" spans="2:10" x14ac:dyDescent="0.25">
      <c r="B53" s="48" t="s">
        <v>369</v>
      </c>
      <c r="C53" s="268" t="str">
        <f>CONCATENATE("",E1-2," Actual Year")</f>
        <v>2023 Actual Year</v>
      </c>
      <c r="D53" s="3"/>
      <c r="E53" s="3"/>
    </row>
    <row r="54" spans="2:10" x14ac:dyDescent="0.25">
      <c r="B54" s="49" t="s">
        <v>370</v>
      </c>
      <c r="C54" s="91"/>
      <c r="D54" s="3"/>
      <c r="E54" s="3"/>
    </row>
    <row r="55" spans="2:10" x14ac:dyDescent="0.25">
      <c r="B55" s="49" t="s">
        <v>371</v>
      </c>
      <c r="C55" s="93"/>
      <c r="D55" s="3"/>
      <c r="E55" s="3"/>
    </row>
    <row r="56" spans="2:10" x14ac:dyDescent="0.25">
      <c r="B56" s="49" t="s">
        <v>372</v>
      </c>
      <c r="C56" s="93">
        <f>C39</f>
        <v>0</v>
      </c>
      <c r="D56" s="599"/>
      <c r="E56" s="3"/>
    </row>
    <row r="57" spans="2:10" x14ac:dyDescent="0.25">
      <c r="B57" s="49" t="s">
        <v>373</v>
      </c>
      <c r="C57" s="93">
        <f>General!C43</f>
        <v>0</v>
      </c>
      <c r="D57" s="717" t="str">
        <f>IF(AND(C57&gt;0,C58&gt;0),"Not Auth. Two General Transfers - Only One","")</f>
        <v/>
      </c>
      <c r="E57" s="718"/>
    </row>
    <row r="58" spans="2:10" x14ac:dyDescent="0.25">
      <c r="B58" s="51" t="s">
        <v>374</v>
      </c>
      <c r="C58" s="93">
        <f>General!C45</f>
        <v>0</v>
      </c>
      <c r="D58" s="719"/>
      <c r="E58" s="718"/>
    </row>
    <row r="59" spans="2:10" x14ac:dyDescent="0.25">
      <c r="B59" s="52"/>
      <c r="C59" s="91"/>
      <c r="D59" s="3"/>
      <c r="E59" s="3"/>
    </row>
    <row r="60" spans="2:10" x14ac:dyDescent="0.25">
      <c r="B60" s="52" t="s">
        <v>326</v>
      </c>
      <c r="C60" s="91"/>
      <c r="D60" s="3"/>
      <c r="E60" s="3"/>
    </row>
    <row r="61" spans="2:10" x14ac:dyDescent="0.25">
      <c r="B61" s="52" t="s">
        <v>242</v>
      </c>
      <c r="C61" s="91"/>
      <c r="D61" s="3"/>
      <c r="E61" s="3"/>
    </row>
    <row r="62" spans="2:10" x14ac:dyDescent="0.25">
      <c r="B62" s="53" t="s">
        <v>330</v>
      </c>
      <c r="C62" s="93">
        <f>SUM(C54:C61)</f>
        <v>0</v>
      </c>
      <c r="D62" s="3"/>
      <c r="E62" s="3"/>
    </row>
    <row r="63" spans="2:10" x14ac:dyDescent="0.25">
      <c r="B63" s="53" t="s">
        <v>348</v>
      </c>
      <c r="C63" s="91"/>
      <c r="D63" s="3"/>
      <c r="E63" s="3"/>
    </row>
    <row r="64" spans="2:10" x14ac:dyDescent="0.25">
      <c r="B64" s="53" t="s">
        <v>375</v>
      </c>
      <c r="C64" s="267">
        <f>SUM(C62-C63)</f>
        <v>0</v>
      </c>
      <c r="D64" s="3"/>
      <c r="E64" s="3"/>
    </row>
    <row r="65" spans="2:5" x14ac:dyDescent="0.25">
      <c r="B65" s="45"/>
      <c r="C65" s="521"/>
      <c r="D65" s="3"/>
      <c r="E65" s="3"/>
    </row>
    <row r="66" spans="2:5" x14ac:dyDescent="0.25">
      <c r="B66" s="196" t="s">
        <v>181</v>
      </c>
      <c r="C66" s="522"/>
      <c r="D66" s="184"/>
      <c r="E66" s="186"/>
    </row>
    <row r="67" spans="2:5" x14ac:dyDescent="0.25">
      <c r="B67" s="523"/>
      <c r="C67" s="521"/>
      <c r="D67" s="3"/>
      <c r="E67" s="187"/>
    </row>
    <row r="68" spans="2:5" x14ac:dyDescent="0.25">
      <c r="B68" s="524"/>
      <c r="C68" s="525"/>
      <c r="D68" s="7"/>
      <c r="E68" s="189"/>
    </row>
    <row r="69" spans="2:5" x14ac:dyDescent="0.25">
      <c r="B69" s="3"/>
      <c r="C69" s="3"/>
      <c r="D69" s="3"/>
      <c r="E69" s="3"/>
    </row>
    <row r="70" spans="2:5" x14ac:dyDescent="0.25">
      <c r="B70" s="35" t="s">
        <v>356</v>
      </c>
      <c r="C70" s="483"/>
      <c r="D70" s="3"/>
      <c r="E70" s="3"/>
    </row>
    <row r="72" spans="2:5" x14ac:dyDescent="0.25">
      <c r="B72" s="1"/>
    </row>
    <row r="77" spans="2:5" x14ac:dyDescent="0.25">
      <c r="C77" s="4" t="str">
        <f>IF(C43&gt;C45,"See Tab A","")</f>
        <v/>
      </c>
      <c r="D77" s="4" t="str">
        <f>IF(D43&gt;D45,"See Tab C","")</f>
        <v/>
      </c>
    </row>
    <row r="78" spans="2:5" hidden="1" x14ac:dyDescent="0.25">
      <c r="C78" s="4" t="str">
        <f>IF(C44&lt;0,"See Tab B","")</f>
        <v/>
      </c>
      <c r="D78" s="4" t="str">
        <f>IF(D44&lt;0,"See Tab D","")</f>
        <v/>
      </c>
    </row>
    <row r="79" spans="2:5" hidden="1" x14ac:dyDescent="0.25"/>
  </sheetData>
  <sheetProtection sheet="1"/>
  <mergeCells count="10">
    <mergeCell ref="G48:J50"/>
    <mergeCell ref="C50:D50"/>
    <mergeCell ref="C46:D46"/>
    <mergeCell ref="C47:D47"/>
    <mergeCell ref="D57:E58"/>
    <mergeCell ref="G21:J21"/>
    <mergeCell ref="G28:J28"/>
    <mergeCell ref="G38:J39"/>
    <mergeCell ref="G46:I47"/>
    <mergeCell ref="J46:J47"/>
  </mergeCells>
  <phoneticPr fontId="0" type="noConversion"/>
  <conditionalFormatting sqref="C23">
    <cfRule type="cellIs" dxfId="111" priority="12" stopIfTrue="1" operator="greaterThan">
      <formula>$C$25*0.1</formula>
    </cfRule>
  </conditionalFormatting>
  <conditionalFormatting sqref="C39">
    <cfRule type="cellIs" dxfId="110" priority="14" stopIfTrue="1" operator="greaterThan">
      <formula>$C$26*0.25</formula>
    </cfRule>
  </conditionalFormatting>
  <conditionalFormatting sqref="C41">
    <cfRule type="cellIs" dxfId="109" priority="9" stopIfTrue="1" operator="greaterThan">
      <formula>$C$43*0.1</formula>
    </cfRule>
  </conditionalFormatting>
  <conditionalFormatting sqref="C43">
    <cfRule type="expression" dxfId="108" priority="4">
      <formula>$C$43&gt;$C$45</formula>
    </cfRule>
  </conditionalFormatting>
  <conditionalFormatting sqref="C44">
    <cfRule type="expression" dxfId="107" priority="3">
      <formula>$C$44&lt;0</formula>
    </cfRule>
  </conditionalFormatting>
  <conditionalFormatting sqref="D23">
    <cfRule type="cellIs" dxfId="106" priority="13" stopIfTrue="1" operator="greaterThan">
      <formula>$D$25*0.1</formula>
    </cfRule>
  </conditionalFormatting>
  <conditionalFormatting sqref="D39">
    <cfRule type="cellIs" dxfId="105" priority="19" stopIfTrue="1" operator="greaterThan">
      <formula>$D$26*0.25</formula>
    </cfRule>
  </conditionalFormatting>
  <conditionalFormatting sqref="D41">
    <cfRule type="cellIs" dxfId="104" priority="10" stopIfTrue="1" operator="greaterThan">
      <formula>$D$43*0.1</formula>
    </cfRule>
  </conditionalFormatting>
  <conditionalFormatting sqref="D43">
    <cfRule type="expression" dxfId="103" priority="2">
      <formula>$D$43&gt;$D$45</formula>
    </cfRule>
  </conditionalFormatting>
  <conditionalFormatting sqref="D44">
    <cfRule type="expression" dxfId="102" priority="1">
      <formula>$D$44&lt;0</formula>
    </cfRule>
  </conditionalFormatting>
  <conditionalFormatting sqref="E23">
    <cfRule type="cellIs" dxfId="101" priority="46" stopIfTrue="1" operator="greaterThan">
      <formula>$E$25*0.1+$E$50</formula>
    </cfRule>
  </conditionalFormatting>
  <conditionalFormatting sqref="E39">
    <cfRule type="cellIs" dxfId="100" priority="38" stopIfTrue="1" operator="greaterThan">
      <formula>$E$26*0.25+$E$50</formula>
    </cfRule>
  </conditionalFormatting>
  <conditionalFormatting sqref="E41">
    <cfRule type="cellIs" dxfId="99" priority="11" stopIfTrue="1" operator="greaterThan">
      <formula>$E$43*0.1</formula>
    </cfRule>
  </conditionalFormatting>
  <conditionalFormatting sqref="E46">
    <cfRule type="cellIs" dxfId="98" priority="8" stopIfTrue="1" operator="greaterThan">
      <formula>$E$43/0.95-$E$43</formula>
    </cfRule>
  </conditionalFormatting>
  <conditionalFormatting sqref="J46">
    <cfRule type="containsText" dxfId="97" priority="5" operator="containsText" text="Yes">
      <formula>NOT(ISERROR(SEARCH("Yes",J46)))</formula>
    </cfRule>
  </conditionalFormatting>
  <pageMargins left="0.9" right="0.9" top="0.96" bottom="0.5" header="0.41" footer="0.3"/>
  <pageSetup scale="69" orientation="portrait" blackAndWhite="1" horizontalDpi="4294967292" verticalDpi="96"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F0"/>
    <pageSetUpPr fitToPage="1"/>
  </sheetPr>
  <dimension ref="B1:K101"/>
  <sheetViews>
    <sheetView zoomScaleNormal="100" workbookViewId="0">
      <selection activeCell="C72" sqref="C71:F72"/>
    </sheetView>
  </sheetViews>
  <sheetFormatPr defaultRowHeight="15.75" x14ac:dyDescent="0.25"/>
  <cols>
    <col min="1" max="1" width="2.3984375" style="4" customWidth="1"/>
    <col min="2" max="2" width="31" style="4" customWidth="1"/>
    <col min="3" max="4" width="15.69921875" style="4" customWidth="1"/>
    <col min="5" max="5" width="13.69921875" style="4" customWidth="1"/>
    <col min="6" max="6" width="7.3984375" style="4" customWidth="1"/>
    <col min="7" max="7" width="10.09765625" style="4" customWidth="1"/>
    <col min="8" max="8" width="8.796875" style="4"/>
    <col min="9" max="9" width="4.8984375" style="4" customWidth="1"/>
    <col min="10" max="10" width="9.8984375" style="4" customWidth="1"/>
    <col min="11" max="16384" width="8.796875" style="4"/>
  </cols>
  <sheetData>
    <row r="1" spans="2:11" x14ac:dyDescent="0.25">
      <c r="B1" s="2">
        <f>inputPrYr!D3</f>
        <v>0</v>
      </c>
      <c r="C1" s="9" t="s">
        <v>376</v>
      </c>
      <c r="D1" s="3"/>
      <c r="E1" s="612">
        <f>inputPrYr!D6</f>
        <v>2025</v>
      </c>
    </row>
    <row r="2" spans="2:11" x14ac:dyDescent="0.25">
      <c r="B2" s="5"/>
      <c r="C2" s="3"/>
      <c r="D2" s="3"/>
      <c r="E2" s="40"/>
    </row>
    <row r="3" spans="2:11" x14ac:dyDescent="0.25">
      <c r="B3" s="313" t="s">
        <v>313</v>
      </c>
      <c r="C3" s="43"/>
      <c r="D3" s="43"/>
      <c r="E3" s="3"/>
    </row>
    <row r="4" spans="2:11" x14ac:dyDescent="0.25">
      <c r="B4" s="9" t="s">
        <v>314</v>
      </c>
      <c r="C4" s="259" t="s">
        <v>315</v>
      </c>
      <c r="D4" s="262" t="s">
        <v>262</v>
      </c>
      <c r="E4" s="10" t="s">
        <v>316</v>
      </c>
    </row>
    <row r="5" spans="2:11" x14ac:dyDescent="0.25">
      <c r="B5" s="266">
        <f>inputPrYr!B21</f>
        <v>0</v>
      </c>
      <c r="C5" s="260" t="str">
        <f>General!C5</f>
        <v>Actual for 2023</v>
      </c>
      <c r="D5" s="260" t="str">
        <f>General!D5</f>
        <v>Estimate for 2024</v>
      </c>
      <c r="E5" s="12" t="str">
        <f>General!E5</f>
        <v>Year for 2025</v>
      </c>
    </row>
    <row r="6" spans="2:11" x14ac:dyDescent="0.25">
      <c r="B6" s="13" t="s">
        <v>317</v>
      </c>
      <c r="C6" s="15"/>
      <c r="D6" s="261">
        <f>C35</f>
        <v>0</v>
      </c>
      <c r="E6" s="18">
        <f>D35</f>
        <v>0</v>
      </c>
    </row>
    <row r="7" spans="2:11" x14ac:dyDescent="0.25">
      <c r="B7" s="13" t="s">
        <v>318</v>
      </c>
      <c r="C7" s="261"/>
      <c r="D7" s="261"/>
      <c r="E7" s="19"/>
    </row>
    <row r="8" spans="2:11" x14ac:dyDescent="0.25">
      <c r="B8" s="13" t="s">
        <v>93</v>
      </c>
      <c r="C8" s="15"/>
      <c r="D8" s="261">
        <f>IF(inputPrYr!H16&gt;0,inputPrYr!G21,inputPrYr!E21)</f>
        <v>0</v>
      </c>
      <c r="E8" s="19" t="s">
        <v>165</v>
      </c>
    </row>
    <row r="9" spans="2:11" x14ac:dyDescent="0.25">
      <c r="B9" s="13" t="s">
        <v>319</v>
      </c>
      <c r="C9" s="15"/>
      <c r="D9" s="15"/>
      <c r="E9" s="20"/>
    </row>
    <row r="10" spans="2:11" x14ac:dyDescent="0.25">
      <c r="B10" s="13" t="s">
        <v>320</v>
      </c>
      <c r="C10" s="15"/>
      <c r="D10" s="15"/>
      <c r="E10" s="18">
        <f>Mvalloc!D15</f>
        <v>0</v>
      </c>
    </row>
    <row r="11" spans="2:11" x14ac:dyDescent="0.25">
      <c r="B11" s="13" t="s">
        <v>321</v>
      </c>
      <c r="C11" s="15"/>
      <c r="D11" s="15"/>
      <c r="E11" s="18">
        <f>Mvalloc!E15</f>
        <v>0</v>
      </c>
    </row>
    <row r="12" spans="2:11" x14ac:dyDescent="0.25">
      <c r="B12" s="21" t="s">
        <v>322</v>
      </c>
      <c r="C12" s="15"/>
      <c r="D12" s="15"/>
      <c r="E12" s="18">
        <f>Mvalloc!F15</f>
        <v>0</v>
      </c>
      <c r="G12" s="711" t="str">
        <f>CONCATENATE("Desired Carryover Into ",E1+1,"")</f>
        <v>Desired Carryover Into 2026</v>
      </c>
      <c r="H12" s="720"/>
      <c r="I12" s="720"/>
      <c r="J12" s="721"/>
      <c r="K12" s="338"/>
    </row>
    <row r="13" spans="2:11" x14ac:dyDescent="0.25">
      <c r="B13" s="497" t="s">
        <v>323</v>
      </c>
      <c r="C13" s="15"/>
      <c r="D13" s="15"/>
      <c r="E13" s="18">
        <f>Mvalloc!G15</f>
        <v>0</v>
      </c>
      <c r="G13" s="369"/>
      <c r="H13" s="336"/>
      <c r="I13" s="370"/>
      <c r="J13" s="371"/>
      <c r="K13" s="338"/>
    </row>
    <row r="14" spans="2:11" x14ac:dyDescent="0.25">
      <c r="B14" s="497" t="s">
        <v>324</v>
      </c>
      <c r="C14" s="15"/>
      <c r="D14" s="15"/>
      <c r="E14" s="18">
        <f>Mvalloc!H15</f>
        <v>0</v>
      </c>
      <c r="G14" s="372" t="s">
        <v>334</v>
      </c>
      <c r="H14" s="370"/>
      <c r="I14" s="370"/>
      <c r="J14" s="373">
        <v>0</v>
      </c>
      <c r="K14" s="338"/>
    </row>
    <row r="15" spans="2:11" x14ac:dyDescent="0.25">
      <c r="B15" s="24"/>
      <c r="C15" s="15"/>
      <c r="D15" s="15"/>
      <c r="E15" s="20"/>
      <c r="G15" s="369" t="s">
        <v>336</v>
      </c>
      <c r="H15" s="336"/>
      <c r="I15" s="336"/>
      <c r="J15" s="374" t="str">
        <f>IF(J14=0,"",ROUND((J14+E41-G27)/inputOth!E7*1000,3)-#REF!)</f>
        <v/>
      </c>
      <c r="K15" s="338"/>
    </row>
    <row r="16" spans="2:11" x14ac:dyDescent="0.25">
      <c r="B16" s="24"/>
      <c r="C16" s="15"/>
      <c r="D16" s="15"/>
      <c r="E16" s="20"/>
      <c r="G16" s="375" t="str">
        <f>CONCATENATE("",E1," Tot Exp/Non-Appr Must Be:")</f>
        <v>2025 Tot Exp/Non-Appr Must Be:</v>
      </c>
      <c r="H16" s="376"/>
      <c r="I16" s="377"/>
      <c r="J16" s="378">
        <f>IF(J14&gt;0,IF(E38&lt;E23,IF(J14=G27,E38,((J14-G27)*(1-D40))+E23),E38+(J14-G27)),0)</f>
        <v>0</v>
      </c>
      <c r="K16" s="338"/>
    </row>
    <row r="17" spans="2:11" x14ac:dyDescent="0.25">
      <c r="B17" s="24"/>
      <c r="C17" s="15"/>
      <c r="D17" s="15"/>
      <c r="E17" s="20"/>
      <c r="G17" s="379" t="s">
        <v>339</v>
      </c>
      <c r="H17" s="380"/>
      <c r="I17" s="380"/>
      <c r="J17" s="381">
        <f>IF(J14&gt;0,J16-E38,0)</f>
        <v>0</v>
      </c>
      <c r="K17" s="338"/>
    </row>
    <row r="18" spans="2:11" x14ac:dyDescent="0.25">
      <c r="B18" s="24" t="s">
        <v>326</v>
      </c>
      <c r="C18" s="15"/>
      <c r="D18" s="15"/>
      <c r="E18" s="20"/>
      <c r="G18" s="338"/>
      <c r="H18" s="338"/>
      <c r="I18" s="338"/>
      <c r="J18" s="338"/>
      <c r="K18" s="338"/>
    </row>
    <row r="19" spans="2:11" x14ac:dyDescent="0.25">
      <c r="B19" s="21" t="s">
        <v>170</v>
      </c>
      <c r="C19" s="15"/>
      <c r="D19" s="15"/>
      <c r="E19" s="18">
        <f>'NR Rebate'!E10*-1</f>
        <v>0</v>
      </c>
      <c r="G19" s="711" t="str">
        <f>CONCATENATE("Projected Carryover Into ",E1+1,"")</f>
        <v>Projected Carryover Into 2026</v>
      </c>
      <c r="H19" s="720"/>
      <c r="I19" s="720"/>
      <c r="J19" s="721"/>
      <c r="K19" s="338"/>
    </row>
    <row r="20" spans="2:11" x14ac:dyDescent="0.25">
      <c r="B20" s="25" t="s">
        <v>327</v>
      </c>
      <c r="C20" s="15"/>
      <c r="D20" s="15"/>
      <c r="E20" s="20"/>
      <c r="G20" s="369"/>
      <c r="H20" s="370"/>
      <c r="I20" s="370"/>
      <c r="J20" s="383"/>
      <c r="K20" s="338"/>
    </row>
    <row r="21" spans="2:11" x14ac:dyDescent="0.25">
      <c r="B21" s="25" t="s">
        <v>328</v>
      </c>
      <c r="C21" s="258" t="str">
        <f>IF(C22*0.1&lt;C20,"Exceed 10% Rule","")</f>
        <v/>
      </c>
      <c r="D21" s="258" t="str">
        <f>IF(D22*0.1&lt;D20,"Exceed 10% Rule","")</f>
        <v/>
      </c>
      <c r="E21" s="30" t="str">
        <f>IF(E22*0.1+E41&lt;E20,"Exceed 10% Rule","")</f>
        <v/>
      </c>
      <c r="G21" s="386">
        <f>D35</f>
        <v>0</v>
      </c>
      <c r="H21" s="387" t="str">
        <f>CONCATENATE("",E1-1," Ending Cash Balance (est.)")</f>
        <v>2024 Ending Cash Balance (est.)</v>
      </c>
      <c r="I21" s="388"/>
      <c r="J21" s="383"/>
      <c r="K21" s="338"/>
    </row>
    <row r="22" spans="2:11" x14ac:dyDescent="0.25">
      <c r="B22" s="606" t="s">
        <v>329</v>
      </c>
      <c r="C22" s="32">
        <f>SUM(C8:C20)</f>
        <v>0</v>
      </c>
      <c r="D22" s="32">
        <f>SUM(D8:D20)</f>
        <v>0</v>
      </c>
      <c r="E22" s="32">
        <f>SUM(E8:E20)</f>
        <v>0</v>
      </c>
      <c r="G22" s="386">
        <f>E22</f>
        <v>0</v>
      </c>
      <c r="H22" s="370" t="str">
        <f>CONCATENATE("",E1," Non-AV Receipts (est.)")</f>
        <v>2025 Non-AV Receipts (est.)</v>
      </c>
      <c r="I22" s="370"/>
      <c r="J22" s="339"/>
      <c r="K22" s="504"/>
    </row>
    <row r="23" spans="2:11" x14ac:dyDescent="0.2">
      <c r="B23" s="28" t="s">
        <v>330</v>
      </c>
      <c r="C23" s="32">
        <f>C22+C6</f>
        <v>0</v>
      </c>
      <c r="D23" s="32">
        <f>D22+D6</f>
        <v>0</v>
      </c>
      <c r="E23" s="32">
        <f>E22+E6</f>
        <v>0</v>
      </c>
      <c r="G23" s="393">
        <f>IF(E40&gt;0,E39,E41)</f>
        <v>0</v>
      </c>
      <c r="H23" s="370" t="str">
        <f>CONCATENATE("",E1," Ad Valorem Tax (est.)")</f>
        <v>2025 Ad Valorem Tax (est.)</v>
      </c>
      <c r="I23" s="370"/>
      <c r="J23" s="339"/>
      <c r="K23" s="625" t="str">
        <f>IF(G23=E41,"","Note: Does not include Delinquent Taxes")</f>
        <v/>
      </c>
    </row>
    <row r="24" spans="2:11" x14ac:dyDescent="0.25">
      <c r="B24" s="13" t="s">
        <v>331</v>
      </c>
      <c r="C24" s="261"/>
      <c r="D24" s="261"/>
      <c r="E24" s="18"/>
      <c r="G24" s="386">
        <f>SUM(G21:G23)</f>
        <v>0</v>
      </c>
      <c r="H24" s="370" t="str">
        <f>CONCATENATE("Total ",E1," Resources Available")</f>
        <v>Total 2025 Resources Available</v>
      </c>
      <c r="I24" s="388"/>
      <c r="J24" s="383"/>
      <c r="K24" s="338"/>
    </row>
    <row r="25" spans="2:11" x14ac:dyDescent="0.25">
      <c r="B25" s="24"/>
      <c r="C25" s="15"/>
      <c r="D25" s="15"/>
      <c r="E25" s="20"/>
      <c r="G25" s="395"/>
      <c r="H25" s="370"/>
      <c r="I25" s="370"/>
      <c r="J25" s="383"/>
      <c r="K25" s="338"/>
    </row>
    <row r="26" spans="2:11" x14ac:dyDescent="0.25">
      <c r="B26" s="24"/>
      <c r="C26" s="15"/>
      <c r="D26" s="15"/>
      <c r="E26" s="20"/>
      <c r="G26" s="393">
        <f>C34*0.05+C34</f>
        <v>0</v>
      </c>
      <c r="H26" s="370" t="str">
        <f>CONCATENATE("Less ",E1-2," Expenditures + 5%")</f>
        <v>Less 2023 Expenditures + 5%</v>
      </c>
      <c r="I26" s="370"/>
      <c r="J26" s="383"/>
      <c r="K26" s="338"/>
    </row>
    <row r="27" spans="2:11" x14ac:dyDescent="0.25">
      <c r="B27" s="24"/>
      <c r="C27" s="15"/>
      <c r="D27" s="15"/>
      <c r="E27" s="20"/>
      <c r="G27" s="399">
        <f>G24-G26</f>
        <v>0</v>
      </c>
      <c r="H27" s="400" t="str">
        <f>CONCATENATE("Projected ",E1+1," carryover (est.)")</f>
        <v>Projected 2026 carryover (est.)</v>
      </c>
      <c r="I27" s="401"/>
      <c r="J27" s="402"/>
      <c r="K27" s="338"/>
    </row>
    <row r="28" spans="2:11" x14ac:dyDescent="0.25">
      <c r="B28" s="24"/>
      <c r="C28" s="15"/>
      <c r="D28" s="15"/>
      <c r="E28" s="20"/>
      <c r="G28" s="338"/>
      <c r="H28" s="338"/>
      <c r="I28" s="338"/>
      <c r="J28" s="338"/>
      <c r="K28" s="338"/>
    </row>
    <row r="29" spans="2:11" x14ac:dyDescent="0.25">
      <c r="B29" s="24"/>
      <c r="C29" s="15"/>
      <c r="D29" s="15"/>
      <c r="E29" s="20"/>
      <c r="G29" s="697" t="s">
        <v>346</v>
      </c>
      <c r="H29" s="698"/>
      <c r="I29" s="698"/>
      <c r="J29" s="699"/>
      <c r="K29" s="338"/>
    </row>
    <row r="30" spans="2:11" x14ac:dyDescent="0.25">
      <c r="B30" s="24"/>
      <c r="C30" s="15"/>
      <c r="D30" s="15"/>
      <c r="E30" s="20"/>
      <c r="G30" s="700"/>
      <c r="H30" s="701"/>
      <c r="I30" s="701"/>
      <c r="J30" s="702"/>
      <c r="K30" s="338"/>
    </row>
    <row r="31" spans="2:11" x14ac:dyDescent="0.25">
      <c r="B31" s="21" t="str">
        <f>CONCATENATE("Cash Reserve (",E1," column)")</f>
        <v>Cash Reserve (2025 column)</v>
      </c>
      <c r="C31" s="15"/>
      <c r="D31" s="15"/>
      <c r="E31" s="20"/>
      <c r="G31" s="554" t="str">
        <f>'Budget Hearing Notice'!I22</f>
        <v xml:space="preserve"> </v>
      </c>
      <c r="H31" s="555" t="str">
        <f>CONCATENATE("",E1," Estimated Fund Mill Rate")</f>
        <v>2025 Estimated Fund Mill Rate</v>
      </c>
      <c r="I31" s="556"/>
      <c r="J31" s="557"/>
      <c r="K31" s="338"/>
    </row>
    <row r="32" spans="2:11" x14ac:dyDescent="0.25">
      <c r="B32" s="21" t="s">
        <v>327</v>
      </c>
      <c r="C32" s="15"/>
      <c r="D32" s="15"/>
      <c r="E32" s="20"/>
      <c r="G32" s="558" t="str">
        <f>'Budget Hearing Notice'!F22</f>
        <v xml:space="preserve">  </v>
      </c>
      <c r="H32" s="555" t="str">
        <f>CONCATENATE("",E1-1," Fund Mill Rate")</f>
        <v>2024 Fund Mill Rate</v>
      </c>
      <c r="I32" s="556"/>
      <c r="J32" s="557"/>
      <c r="K32" s="338"/>
    </row>
    <row r="33" spans="2:11" ht="15.75" customHeight="1" x14ac:dyDescent="0.25">
      <c r="B33" s="21" t="s">
        <v>347</v>
      </c>
      <c r="C33" s="258" t="str">
        <f>IF(C34*0.1&lt;C32,"Exceed 10% Rule","")</f>
        <v/>
      </c>
      <c r="D33" s="258" t="str">
        <f>IF(D34*0.1&lt;D32,"Exceed 10% Rule","")</f>
        <v/>
      </c>
      <c r="E33" s="30" t="str">
        <f>IF(E34*0.1&lt;E32,"Exceed 10% Rule","")</f>
        <v/>
      </c>
      <c r="G33" s="559">
        <f>inputOth!D15</f>
        <v>0</v>
      </c>
      <c r="H33" s="560" t="s">
        <v>350</v>
      </c>
      <c r="I33" s="556"/>
      <c r="J33" s="557"/>
      <c r="K33" s="338"/>
    </row>
    <row r="34" spans="2:11" x14ac:dyDescent="0.25">
      <c r="B34" s="28" t="s">
        <v>348</v>
      </c>
      <c r="C34" s="32">
        <f>SUM(C25:C32)</f>
        <v>0</v>
      </c>
      <c r="D34" s="32">
        <f>SUM(D25:D32)</f>
        <v>0</v>
      </c>
      <c r="E34" s="32">
        <f>SUM(E25:E32)</f>
        <v>0</v>
      </c>
      <c r="G34" s="554">
        <f>'Budget Hearing Notice'!I32</f>
        <v>0</v>
      </c>
      <c r="H34" s="555" t="str">
        <f>CONCATENATE(E1," Estimated Total Mill Rate")</f>
        <v>2025 Estimated Total Mill Rate</v>
      </c>
      <c r="I34" s="556"/>
      <c r="J34" s="557"/>
      <c r="K34" s="338"/>
    </row>
    <row r="35" spans="2:11" x14ac:dyDescent="0.25">
      <c r="B35" s="13" t="s">
        <v>349</v>
      </c>
      <c r="C35" s="18">
        <f>C23-C34</f>
        <v>0</v>
      </c>
      <c r="D35" s="18">
        <f>D23-D34</f>
        <v>0</v>
      </c>
      <c r="E35" s="19" t="s">
        <v>165</v>
      </c>
      <c r="G35" s="561">
        <f>'Budget Hearing Notice'!F32</f>
        <v>0</v>
      </c>
      <c r="H35" s="555" t="str">
        <f>CONCATENATE(E1-1," Total Mill Rate")</f>
        <v>2024 Total Mill Rate</v>
      </c>
      <c r="I35" s="556"/>
      <c r="J35" s="557"/>
    </row>
    <row r="36" spans="2:11" x14ac:dyDescent="0.25">
      <c r="B36" s="203" t="str">
        <f>CONCATENATE("",E1-2,"/",E1-1,"/",E1," Budget Authority Amount:")</f>
        <v>2023/2024/2025 Budget Authority Amount:</v>
      </c>
      <c r="C36" s="41">
        <f>inputOth!B53</f>
        <v>0</v>
      </c>
      <c r="D36" s="41">
        <f>inputPrYr!D21</f>
        <v>0</v>
      </c>
      <c r="E36" s="18">
        <f>E34</f>
        <v>0</v>
      </c>
      <c r="F36" s="33"/>
      <c r="G36" s="562"/>
      <c r="H36" s="488"/>
      <c r="I36" s="488"/>
      <c r="J36" s="563"/>
    </row>
    <row r="37" spans="2:11" x14ac:dyDescent="0.25">
      <c r="B37" s="612"/>
      <c r="C37" s="690" t="s">
        <v>351</v>
      </c>
      <c r="D37" s="691"/>
      <c r="E37" s="20"/>
      <c r="F37" s="272" t="str">
        <f>IF(E34/0.95-E34&lt;E37,"Exceeds 5%","")</f>
        <v/>
      </c>
      <c r="G37" s="703" t="s">
        <v>355</v>
      </c>
      <c r="H37" s="704"/>
      <c r="I37" s="704"/>
      <c r="J37" s="707" t="str">
        <f>IF(G34&gt;G33, "Yes", "No")</f>
        <v>No</v>
      </c>
    </row>
    <row r="38" spans="2:11" x14ac:dyDescent="0.25">
      <c r="B38" s="624" t="str">
        <f>CONCATENATE(C98,"     ",D98)</f>
        <v xml:space="preserve">     </v>
      </c>
      <c r="C38" s="692" t="s">
        <v>352</v>
      </c>
      <c r="D38" s="693"/>
      <c r="E38" s="18">
        <f>E34+E37</f>
        <v>0</v>
      </c>
      <c r="G38" s="705"/>
      <c r="H38" s="706"/>
      <c r="I38" s="706"/>
      <c r="J38" s="708"/>
    </row>
    <row r="39" spans="2:11" x14ac:dyDescent="0.25">
      <c r="B39" s="624" t="str">
        <f>CONCATENATE(C99,"     ",D99)</f>
        <v xml:space="preserve">     </v>
      </c>
      <c r="C39" s="34"/>
      <c r="D39" s="35" t="s">
        <v>353</v>
      </c>
      <c r="E39" s="18">
        <f>IF(E38-E23&gt;0,E38-E23,0)</f>
        <v>0</v>
      </c>
      <c r="G39" s="686" t="str">
        <f>IF(J37="Yes", "Follow procedure prescribed by KSA 79-2988 to exceed the Revenue Neutral Rate.", " ")</f>
        <v xml:space="preserve"> </v>
      </c>
      <c r="H39" s="686"/>
      <c r="I39" s="686"/>
      <c r="J39" s="686"/>
    </row>
    <row r="40" spans="2:11" x14ac:dyDescent="0.25">
      <c r="B40" s="35"/>
      <c r="C40" s="604" t="s">
        <v>354</v>
      </c>
      <c r="D40" s="425">
        <f>inputOth!$E$43</f>
        <v>0</v>
      </c>
      <c r="E40" s="18">
        <f>ROUND(IF(D40&gt;0,(E39*D40),0),0)</f>
        <v>0</v>
      </c>
      <c r="G40" s="687"/>
      <c r="H40" s="687"/>
      <c r="I40" s="687"/>
      <c r="J40" s="687"/>
    </row>
    <row r="41" spans="2:11" ht="15.75" customHeight="1" x14ac:dyDescent="0.25">
      <c r="B41" s="3"/>
      <c r="C41" s="688" t="str">
        <f>CONCATENATE("Amount of  ",$E$1-1," Ad Valorem Tax")</f>
        <v>Amount of  2024 Ad Valorem Tax</v>
      </c>
      <c r="D41" s="689"/>
      <c r="E41" s="18">
        <f>E39+E40</f>
        <v>0</v>
      </c>
      <c r="G41" s="687"/>
      <c r="H41" s="687"/>
      <c r="I41" s="687"/>
      <c r="J41" s="687"/>
    </row>
    <row r="42" spans="2:11" ht="15.75" customHeight="1" x14ac:dyDescent="0.25">
      <c r="B42" s="3"/>
      <c r="C42" s="603"/>
      <c r="D42" s="3"/>
      <c r="E42" s="3"/>
    </row>
    <row r="43" spans="2:11" x14ac:dyDescent="0.25">
      <c r="B43" s="9" t="s">
        <v>314</v>
      </c>
      <c r="C43" s="43"/>
      <c r="D43" s="43"/>
      <c r="E43" s="43"/>
    </row>
    <row r="44" spans="2:11" x14ac:dyDescent="0.25">
      <c r="B44" s="3"/>
      <c r="C44" s="259" t="s">
        <v>315</v>
      </c>
      <c r="D44" s="262" t="s">
        <v>262</v>
      </c>
      <c r="E44" s="10" t="s">
        <v>316</v>
      </c>
    </row>
    <row r="45" spans="2:11" x14ac:dyDescent="0.25">
      <c r="B45" s="271">
        <f>inputPrYr!B22</f>
        <v>0</v>
      </c>
      <c r="C45" s="260" t="str">
        <f>C5</f>
        <v>Actual for 2023</v>
      </c>
      <c r="D45" s="260" t="str">
        <f>D5</f>
        <v>Estimate for 2024</v>
      </c>
      <c r="E45" s="12" t="str">
        <f>E5</f>
        <v>Year for 2025</v>
      </c>
    </row>
    <row r="46" spans="2:11" x14ac:dyDescent="0.25">
      <c r="B46" s="13" t="s">
        <v>317</v>
      </c>
      <c r="C46" s="15"/>
      <c r="D46" s="261">
        <f>C75</f>
        <v>0</v>
      </c>
      <c r="E46" s="18">
        <f>D75</f>
        <v>0</v>
      </c>
    </row>
    <row r="47" spans="2:11" x14ac:dyDescent="0.25">
      <c r="B47" s="13" t="s">
        <v>318</v>
      </c>
      <c r="C47" s="261"/>
      <c r="D47" s="261"/>
      <c r="E47" s="19"/>
    </row>
    <row r="48" spans="2:11" x14ac:dyDescent="0.25">
      <c r="B48" s="13" t="s">
        <v>93</v>
      </c>
      <c r="C48" s="15"/>
      <c r="D48" s="261">
        <f>IF(inputPrYr!H16&gt;0,inputPrYr!G22,inputPrYr!E22)</f>
        <v>0</v>
      </c>
      <c r="E48" s="19" t="s">
        <v>165</v>
      </c>
    </row>
    <row r="49" spans="2:11" x14ac:dyDescent="0.25">
      <c r="B49" s="13" t="s">
        <v>319</v>
      </c>
      <c r="C49" s="15"/>
      <c r="D49" s="15"/>
      <c r="E49" s="20"/>
    </row>
    <row r="50" spans="2:11" x14ac:dyDescent="0.25">
      <c r="B50" s="13" t="s">
        <v>320</v>
      </c>
      <c r="C50" s="15"/>
      <c r="D50" s="15"/>
      <c r="E50" s="18">
        <f>Mvalloc!D16</f>
        <v>0</v>
      </c>
    </row>
    <row r="51" spans="2:11" x14ac:dyDescent="0.25">
      <c r="B51" s="13" t="s">
        <v>321</v>
      </c>
      <c r="C51" s="15"/>
      <c r="D51" s="15"/>
      <c r="E51" s="18">
        <f>Mvalloc!E16</f>
        <v>0</v>
      </c>
    </row>
    <row r="52" spans="2:11" x14ac:dyDescent="0.25">
      <c r="B52" s="13" t="s">
        <v>361</v>
      </c>
      <c r="C52" s="15"/>
      <c r="D52" s="15"/>
      <c r="E52" s="18">
        <f>Mvalloc!F16</f>
        <v>0</v>
      </c>
      <c r="G52" s="711" t="str">
        <f>CONCATENATE("Desired Carryover Into ",E1+1,"")</f>
        <v>Desired Carryover Into 2026</v>
      </c>
      <c r="H52" s="712"/>
      <c r="I52" s="712"/>
      <c r="J52" s="713"/>
    </row>
    <row r="53" spans="2:11" x14ac:dyDescent="0.25">
      <c r="B53" s="497" t="s">
        <v>323</v>
      </c>
      <c r="C53" s="15"/>
      <c r="D53" s="15"/>
      <c r="E53" s="18">
        <f>Mvalloc!G16</f>
        <v>0</v>
      </c>
      <c r="G53" s="369"/>
      <c r="H53" s="336"/>
      <c r="I53" s="370"/>
      <c r="J53" s="371"/>
    </row>
    <row r="54" spans="2:11" x14ac:dyDescent="0.25">
      <c r="B54" s="497" t="s">
        <v>324</v>
      </c>
      <c r="C54" s="15"/>
      <c r="D54" s="15"/>
      <c r="E54" s="18">
        <f>Mvalloc!H16</f>
        <v>0</v>
      </c>
      <c r="G54" s="372" t="s">
        <v>334</v>
      </c>
      <c r="H54" s="370"/>
      <c r="I54" s="370"/>
      <c r="J54" s="373">
        <v>0</v>
      </c>
    </row>
    <row r="55" spans="2:11" x14ac:dyDescent="0.25">
      <c r="B55" s="23"/>
      <c r="C55" s="15"/>
      <c r="D55" s="15"/>
      <c r="E55" s="20"/>
      <c r="G55" s="369" t="s">
        <v>336</v>
      </c>
      <c r="H55" s="336"/>
      <c r="I55" s="336"/>
      <c r="J55" s="374" t="str">
        <f>IF(J54=0,"",ROUND((J54+E81-G67)/inputOth!E7*1000,3)-#REF!)</f>
        <v/>
      </c>
      <c r="K55" s="338"/>
    </row>
    <row r="56" spans="2:11" x14ac:dyDescent="0.25">
      <c r="B56" s="23"/>
      <c r="C56" s="15"/>
      <c r="D56" s="15"/>
      <c r="E56" s="20"/>
      <c r="G56" s="375" t="str">
        <f>CONCATENATE("",E1," Tot Exp/Non-Appr Must Be:")</f>
        <v>2025 Tot Exp/Non-Appr Must Be:</v>
      </c>
      <c r="H56" s="376"/>
      <c r="I56" s="377"/>
      <c r="J56" s="378">
        <f>IF(J54&gt;0,IF(E78&lt;E63,IF(J54=G67,E78,((J54-G67)*(1-D80))+E63),E78+(J54-G67)),0)</f>
        <v>0</v>
      </c>
      <c r="K56" s="338"/>
    </row>
    <row r="57" spans="2:11" x14ac:dyDescent="0.25">
      <c r="B57" s="24"/>
      <c r="C57" s="15"/>
      <c r="D57" s="15"/>
      <c r="E57" s="20"/>
      <c r="G57" s="379" t="s">
        <v>339</v>
      </c>
      <c r="H57" s="380"/>
      <c r="I57" s="380"/>
      <c r="J57" s="381">
        <f>IF(J54&gt;0,J56-E78,0)</f>
        <v>0</v>
      </c>
      <c r="K57" s="338"/>
    </row>
    <row r="58" spans="2:11" x14ac:dyDescent="0.25">
      <c r="B58" s="24" t="s">
        <v>326</v>
      </c>
      <c r="C58" s="15"/>
      <c r="D58" s="15"/>
      <c r="E58" s="20"/>
      <c r="G58" s="338"/>
      <c r="H58" s="338"/>
      <c r="I58" s="338"/>
      <c r="J58" s="338"/>
      <c r="K58" s="338"/>
    </row>
    <row r="59" spans="2:11" x14ac:dyDescent="0.25">
      <c r="B59" s="21" t="s">
        <v>170</v>
      </c>
      <c r="C59" s="15"/>
      <c r="D59" s="15"/>
      <c r="E59" s="18">
        <f>'NR Rebate'!E11*-1</f>
        <v>0</v>
      </c>
      <c r="G59" s="711" t="str">
        <f>CONCATENATE("Projected Carryover Into ",E1+1,"")</f>
        <v>Projected Carryover Into 2026</v>
      </c>
      <c r="H59" s="714"/>
      <c r="I59" s="714"/>
      <c r="J59" s="715"/>
      <c r="K59" s="338"/>
    </row>
    <row r="60" spans="2:11" x14ac:dyDescent="0.25">
      <c r="B60" s="25" t="s">
        <v>327</v>
      </c>
      <c r="C60" s="15"/>
      <c r="D60" s="15"/>
      <c r="E60" s="20"/>
      <c r="G60" s="408"/>
      <c r="H60" s="336"/>
      <c r="I60" s="336"/>
      <c r="J60" s="409"/>
      <c r="K60" s="338"/>
    </row>
    <row r="61" spans="2:11" x14ac:dyDescent="0.25">
      <c r="B61" s="25" t="s">
        <v>328</v>
      </c>
      <c r="C61" s="258" t="str">
        <f>IF(C62*0.1&lt;C60,"Exceed 10% Rule","")</f>
        <v/>
      </c>
      <c r="D61" s="258" t="str">
        <f>IF(D62*0.1&lt;D60,"Exceed 10% Rule","")</f>
        <v/>
      </c>
      <c r="E61" s="30" t="str">
        <f>IF(E62*0.1+E81&lt;E60,"Exceed 10% Rule","")</f>
        <v/>
      </c>
      <c r="G61" s="386">
        <f>D75</f>
        <v>0</v>
      </c>
      <c r="H61" s="387" t="str">
        <f>CONCATENATE("",E1-1," Ending Cash Balance (est.)")</f>
        <v>2024 Ending Cash Balance (est.)</v>
      </c>
      <c r="I61" s="388"/>
      <c r="J61" s="409"/>
      <c r="K61" s="338"/>
    </row>
    <row r="62" spans="2:11" x14ac:dyDescent="0.25">
      <c r="B62" s="606" t="s">
        <v>329</v>
      </c>
      <c r="C62" s="32">
        <f>SUM(C48:C60)</f>
        <v>0</v>
      </c>
      <c r="D62" s="32">
        <f>SUM(D48:D60)</f>
        <v>0</v>
      </c>
      <c r="E62" s="32">
        <f>SUM(E48:E60)</f>
        <v>0</v>
      </c>
      <c r="G62" s="386">
        <f>E62</f>
        <v>0</v>
      </c>
      <c r="H62" s="370" t="str">
        <f>CONCATENATE("",E1," Non-AV Receipts (est.)")</f>
        <v>2025 Non-AV Receipts (est.)</v>
      </c>
      <c r="I62" s="370"/>
      <c r="J62" s="409"/>
      <c r="K62" s="338"/>
    </row>
    <row r="63" spans="2:11" x14ac:dyDescent="0.25">
      <c r="B63" s="28" t="s">
        <v>330</v>
      </c>
      <c r="C63" s="32">
        <f>C62+C46</f>
        <v>0</v>
      </c>
      <c r="D63" s="32">
        <f>D62+D46</f>
        <v>0</v>
      </c>
      <c r="E63" s="32">
        <f>E62+E46</f>
        <v>0</v>
      </c>
      <c r="G63" s="393">
        <f>IF(E80&gt;0,E79,E81)</f>
        <v>0</v>
      </c>
      <c r="H63" s="370" t="str">
        <f>CONCATENATE("",E1," Ad Valorem Tax (est.)")</f>
        <v>2025 Ad Valorem Tax (est.)</v>
      </c>
      <c r="I63" s="370"/>
      <c r="J63" s="409"/>
      <c r="K63" s="630" t="str">
        <f>IF(G63=E81,"","Note: Does not include Delinquent Taxes")</f>
        <v/>
      </c>
    </row>
    <row r="64" spans="2:11" x14ac:dyDescent="0.25">
      <c r="B64" s="13" t="s">
        <v>331</v>
      </c>
      <c r="C64" s="261"/>
      <c r="D64" s="261"/>
      <c r="E64" s="18"/>
      <c r="G64" s="411">
        <f>SUM(G61:G63)</f>
        <v>0</v>
      </c>
      <c r="H64" s="370" t="str">
        <f>CONCATENATE("Total ",E1," Resources Available")</f>
        <v>Total 2025 Resources Available</v>
      </c>
      <c r="I64" s="412"/>
      <c r="J64" s="409"/>
      <c r="K64" s="338"/>
    </row>
    <row r="65" spans="2:11" x14ac:dyDescent="0.25">
      <c r="B65" s="24"/>
      <c r="C65" s="15"/>
      <c r="D65" s="15"/>
      <c r="E65" s="20"/>
      <c r="G65" s="413"/>
      <c r="H65" s="414"/>
      <c r="I65" s="336"/>
      <c r="J65" s="409"/>
      <c r="K65" s="338"/>
    </row>
    <row r="66" spans="2:11" x14ac:dyDescent="0.25">
      <c r="B66" s="24"/>
      <c r="C66" s="15"/>
      <c r="D66" s="15"/>
      <c r="E66" s="20"/>
      <c r="G66" s="393">
        <f>ROUND(C74*0.05+C74,0)</f>
        <v>0</v>
      </c>
      <c r="H66" s="370" t="str">
        <f>CONCATENATE("Less ",E1-2," Expenditures + 5%")</f>
        <v>Less 2023 Expenditures + 5%</v>
      </c>
      <c r="I66" s="412"/>
      <c r="J66" s="409"/>
      <c r="K66" s="338"/>
    </row>
    <row r="67" spans="2:11" x14ac:dyDescent="0.25">
      <c r="B67" s="24"/>
      <c r="C67" s="15"/>
      <c r="D67" s="15"/>
      <c r="E67" s="20"/>
      <c r="G67" s="399">
        <f>G64-G66</f>
        <v>0</v>
      </c>
      <c r="H67" s="400" t="str">
        <f>CONCATENATE("Projected ",E1+1," carryover (est.)")</f>
        <v>Projected 2026 carryover (est.)</v>
      </c>
      <c r="I67" s="415"/>
      <c r="J67" s="416"/>
      <c r="K67" s="338"/>
    </row>
    <row r="68" spans="2:11" x14ac:dyDescent="0.25">
      <c r="B68" s="24"/>
      <c r="C68" s="15"/>
      <c r="D68" s="15"/>
      <c r="E68" s="20"/>
      <c r="K68" s="338"/>
    </row>
    <row r="69" spans="2:11" x14ac:dyDescent="0.25">
      <c r="B69" s="24"/>
      <c r="C69" s="15"/>
      <c r="D69" s="15"/>
      <c r="E69" s="20"/>
      <c r="G69" s="697" t="s">
        <v>346</v>
      </c>
      <c r="H69" s="698"/>
      <c r="I69" s="698"/>
      <c r="J69" s="699"/>
      <c r="K69" s="504"/>
    </row>
    <row r="70" spans="2:11" x14ac:dyDescent="0.25">
      <c r="B70" s="24"/>
      <c r="C70" s="15"/>
      <c r="D70" s="15"/>
      <c r="E70" s="20"/>
      <c r="G70" s="700"/>
      <c r="H70" s="701"/>
      <c r="I70" s="701"/>
      <c r="J70" s="702"/>
    </row>
    <row r="71" spans="2:11" x14ac:dyDescent="0.25">
      <c r="B71" s="21" t="str">
        <f>CONCATENATE("Cash Reserve (",E1," column)")</f>
        <v>Cash Reserve (2025 column)</v>
      </c>
      <c r="C71" s="15"/>
      <c r="D71" s="15"/>
      <c r="E71" s="20"/>
      <c r="G71" s="554" t="str">
        <f>'Budget Hearing Notice'!I23</f>
        <v xml:space="preserve"> </v>
      </c>
      <c r="H71" s="555" t="str">
        <f>CONCATENATE("",E1," Estimated Fund Mill Rate")</f>
        <v>2025 Estimated Fund Mill Rate</v>
      </c>
      <c r="I71" s="556"/>
      <c r="J71" s="557"/>
      <c r="K71" s="338"/>
    </row>
    <row r="72" spans="2:11" x14ac:dyDescent="0.25">
      <c r="B72" s="21" t="s">
        <v>327</v>
      </c>
      <c r="C72" s="15"/>
      <c r="D72" s="15"/>
      <c r="E72" s="20"/>
      <c r="G72" s="558" t="str">
        <f>'Budget Hearing Notice'!F23</f>
        <v xml:space="preserve">  </v>
      </c>
      <c r="H72" s="555" t="str">
        <f>CONCATENATE("",E1-1," Fund Mill Rate")</f>
        <v>2024 Fund Mill Rate</v>
      </c>
      <c r="I72" s="556"/>
      <c r="J72" s="557"/>
      <c r="K72" s="338"/>
    </row>
    <row r="73" spans="2:11" x14ac:dyDescent="0.25">
      <c r="B73" s="21" t="s">
        <v>347</v>
      </c>
      <c r="C73" s="258" t="str">
        <f>IF(C74*0.1&lt;C72,"Exceed 10% Rule","")</f>
        <v/>
      </c>
      <c r="D73" s="258" t="str">
        <f>IF(D74*0.1&lt;D72,"Exceed 10% Rule","")</f>
        <v/>
      </c>
      <c r="E73" s="30" t="str">
        <f>IF(E74*0.1&lt;E72,"Exceed 10% Rule","")</f>
        <v/>
      </c>
      <c r="G73" s="559">
        <f>inputOth!D15</f>
        <v>0</v>
      </c>
      <c r="H73" s="560" t="s">
        <v>350</v>
      </c>
      <c r="I73" s="556"/>
      <c r="J73" s="557"/>
      <c r="K73" s="338"/>
    </row>
    <row r="74" spans="2:11" x14ac:dyDescent="0.25">
      <c r="B74" s="28" t="s">
        <v>348</v>
      </c>
      <c r="C74" s="32">
        <f>SUM(C65:C72)</f>
        <v>0</v>
      </c>
      <c r="D74" s="32">
        <f>SUM(D65:D72)</f>
        <v>0</v>
      </c>
      <c r="E74" s="32">
        <f>SUM(E65:E72)</f>
        <v>0</v>
      </c>
      <c r="G74" s="554">
        <f>'Budget Hearing Notice'!I32</f>
        <v>0</v>
      </c>
      <c r="H74" s="555" t="str">
        <f>CONCATENATE(E1," Estimated Total Mill Rate")</f>
        <v>2025 Estimated Total Mill Rate</v>
      </c>
      <c r="I74" s="556"/>
      <c r="J74" s="557"/>
      <c r="K74" s="338"/>
    </row>
    <row r="75" spans="2:11" x14ac:dyDescent="0.25">
      <c r="B75" s="13" t="s">
        <v>349</v>
      </c>
      <c r="C75" s="18">
        <f>C63-C74</f>
        <v>0</v>
      </c>
      <c r="D75" s="18">
        <f>D63-D74</f>
        <v>0</v>
      </c>
      <c r="E75" s="19" t="s">
        <v>165</v>
      </c>
      <c r="G75" s="561">
        <f>'Budget Hearing Notice'!F32</f>
        <v>0</v>
      </c>
      <c r="H75" s="555" t="str">
        <f>CONCATENATE(E1-1," Total Mill Rate")</f>
        <v>2024 Total Mill Rate</v>
      </c>
      <c r="I75" s="556"/>
      <c r="J75" s="557"/>
      <c r="K75" s="338"/>
    </row>
    <row r="76" spans="2:11" x14ac:dyDescent="0.25">
      <c r="B76" s="203" t="str">
        <f>CONCATENATE("",E1-2,"/",E1-1,"/",E1," Budget Authority Amount:")</f>
        <v>2023/2024/2025 Budget Authority Amount:</v>
      </c>
      <c r="C76" s="41">
        <f>inputOth!B54</f>
        <v>0</v>
      </c>
      <c r="D76" s="41">
        <f>inputPrYr!D22</f>
        <v>0</v>
      </c>
      <c r="E76" s="18">
        <f>E74</f>
        <v>0</v>
      </c>
      <c r="F76" s="33"/>
      <c r="G76" s="562"/>
      <c r="H76" s="488"/>
      <c r="I76" s="488"/>
      <c r="J76" s="563"/>
      <c r="K76" s="338"/>
    </row>
    <row r="77" spans="2:11" x14ac:dyDescent="0.25">
      <c r="B77" s="612"/>
      <c r="C77" s="690" t="s">
        <v>351</v>
      </c>
      <c r="D77" s="691"/>
      <c r="E77" s="20"/>
      <c r="F77" s="272" t="str">
        <f>IF(E74/0.95-E74&lt;E77,"Exceeds 5%","")</f>
        <v/>
      </c>
      <c r="G77" s="703" t="s">
        <v>355</v>
      </c>
      <c r="H77" s="704"/>
      <c r="I77" s="704"/>
      <c r="J77" s="707" t="str">
        <f>IF(G74&gt;G73, "Yes", "No")</f>
        <v>No</v>
      </c>
      <c r="K77" s="338"/>
    </row>
    <row r="78" spans="2:11" x14ac:dyDescent="0.25">
      <c r="B78" s="624" t="str">
        <f>CONCATENATE(C100,"     ",D100)</f>
        <v xml:space="preserve">     </v>
      </c>
      <c r="C78" s="692" t="s">
        <v>352</v>
      </c>
      <c r="D78" s="693"/>
      <c r="E78" s="18">
        <f>E74+E77</f>
        <v>0</v>
      </c>
      <c r="G78" s="705"/>
      <c r="H78" s="706"/>
      <c r="I78" s="706"/>
      <c r="J78" s="708"/>
      <c r="K78" s="338"/>
    </row>
    <row r="79" spans="2:11" ht="15.75" customHeight="1" x14ac:dyDescent="0.25">
      <c r="B79" s="624" t="str">
        <f>CONCATENATE(C101,"     ",D101)</f>
        <v xml:space="preserve">     </v>
      </c>
      <c r="C79" s="34"/>
      <c r="D79" s="35" t="s">
        <v>353</v>
      </c>
      <c r="E79" s="18">
        <f>IF(E78-E63&gt;0,E78-E63,0)</f>
        <v>0</v>
      </c>
      <c r="G79" s="686" t="str">
        <f>IF(J77="Yes", "Follow procedure prescribed by KSA 79-2988 to exceed the Revenue Neutral Rate.", " ")</f>
        <v xml:space="preserve"> </v>
      </c>
      <c r="H79" s="686"/>
      <c r="I79" s="686"/>
      <c r="J79" s="686"/>
      <c r="K79" s="338"/>
    </row>
    <row r="80" spans="2:11" x14ac:dyDescent="0.25">
      <c r="B80" s="35"/>
      <c r="C80" s="604" t="s">
        <v>354</v>
      </c>
      <c r="D80" s="425">
        <f>inputOth!$E$43</f>
        <v>0</v>
      </c>
      <c r="E80" s="18">
        <f>ROUND(IF(D80&gt;0,(E79*D80),0),0)</f>
        <v>0</v>
      </c>
      <c r="G80" s="687"/>
      <c r="H80" s="687"/>
      <c r="I80" s="687"/>
      <c r="J80" s="687"/>
      <c r="K80" s="338"/>
    </row>
    <row r="81" spans="2:11" x14ac:dyDescent="0.25">
      <c r="B81" s="3"/>
      <c r="C81" s="688" t="str">
        <f>CONCATENATE("Amount of  ",$E$1-1," Ad Valorem Tax")</f>
        <v>Amount of  2024 Ad Valorem Tax</v>
      </c>
      <c r="D81" s="689"/>
      <c r="E81" s="18">
        <f>E79+E80</f>
        <v>0</v>
      </c>
      <c r="G81" s="687"/>
      <c r="H81" s="687"/>
      <c r="I81" s="687"/>
      <c r="J81" s="687"/>
      <c r="K81" s="338"/>
    </row>
    <row r="82" spans="2:11" x14ac:dyDescent="0.25">
      <c r="B82" s="3"/>
      <c r="C82" s="603"/>
      <c r="D82" s="3"/>
      <c r="E82" s="3"/>
    </row>
    <row r="83" spans="2:11" x14ac:dyDescent="0.25">
      <c r="B83" s="196" t="s">
        <v>181</v>
      </c>
      <c r="C83" s="522"/>
      <c r="D83" s="184"/>
      <c r="E83" s="186"/>
    </row>
    <row r="84" spans="2:11" x14ac:dyDescent="0.25">
      <c r="B84" s="523"/>
      <c r="C84" s="521"/>
      <c r="D84" s="3"/>
      <c r="E84" s="187"/>
    </row>
    <row r="85" spans="2:11" x14ac:dyDescent="0.25">
      <c r="B85" s="524"/>
      <c r="C85" s="525"/>
      <c r="D85" s="7"/>
      <c r="E85" s="189"/>
    </row>
    <row r="86" spans="2:11" x14ac:dyDescent="0.25">
      <c r="B86" s="3"/>
      <c r="C86" s="603"/>
      <c r="D86" s="3"/>
      <c r="E86" s="3"/>
    </row>
    <row r="87" spans="2:11" ht="15.75" customHeight="1" x14ac:dyDescent="0.25">
      <c r="B87" s="35" t="s">
        <v>356</v>
      </c>
      <c r="C87" s="483"/>
      <c r="D87" s="3"/>
      <c r="E87" s="3"/>
    </row>
    <row r="88" spans="2:11" ht="15.75" customHeight="1" x14ac:dyDescent="0.25">
      <c r="B88" s="55"/>
    </row>
    <row r="98" spans="3:4" hidden="1" x14ac:dyDescent="0.25">
      <c r="C98" s="4" t="str">
        <f>IF(C34&gt;C36,"See Tab A","")</f>
        <v/>
      </c>
      <c r="D98" s="4" t="str">
        <f>IF(D34&gt;D36,"See Tab C","")</f>
        <v/>
      </c>
    </row>
    <row r="99" spans="3:4" hidden="1" x14ac:dyDescent="0.25">
      <c r="C99" s="4" t="str">
        <f>IF(C35&lt;0,"See Tab B","")</f>
        <v/>
      </c>
      <c r="D99" s="4" t="str">
        <f>IF(D35&lt;0,"See Tab D","")</f>
        <v/>
      </c>
    </row>
    <row r="100" spans="3:4" hidden="1" x14ac:dyDescent="0.25">
      <c r="C100" s="4" t="str">
        <f>IF(C74&gt;C76,"See Tab A","")</f>
        <v/>
      </c>
      <c r="D100" s="4" t="str">
        <f>IF(D74&gt;D76,"See Tab C","")</f>
        <v/>
      </c>
    </row>
    <row r="101" spans="3:4" hidden="1" x14ac:dyDescent="0.25">
      <c r="C101" s="4" t="str">
        <f>IF(C75&lt;0,"See Tab B","")</f>
        <v/>
      </c>
      <c r="D101" s="4" t="str">
        <f>IF(D75&lt;0,"See Tab D","")</f>
        <v/>
      </c>
    </row>
  </sheetData>
  <sheetProtection sheet="1"/>
  <mergeCells count="18">
    <mergeCell ref="G79:J81"/>
    <mergeCell ref="G29:J30"/>
    <mergeCell ref="G37:I38"/>
    <mergeCell ref="J37:J38"/>
    <mergeCell ref="G39:J41"/>
    <mergeCell ref="G69:J70"/>
    <mergeCell ref="G77:I78"/>
    <mergeCell ref="C81:D81"/>
    <mergeCell ref="C41:D41"/>
    <mergeCell ref="C37:D37"/>
    <mergeCell ref="C38:D38"/>
    <mergeCell ref="C77:D77"/>
    <mergeCell ref="C78:D78"/>
    <mergeCell ref="G12:J12"/>
    <mergeCell ref="G19:J19"/>
    <mergeCell ref="G52:J52"/>
    <mergeCell ref="G59:J59"/>
    <mergeCell ref="J77:J78"/>
  </mergeCells>
  <phoneticPr fontId="0" type="noConversion"/>
  <conditionalFormatting sqref="C20">
    <cfRule type="cellIs" dxfId="96" priority="23" stopIfTrue="1" operator="greaterThan">
      <formula>$C$22*0.1</formula>
    </cfRule>
  </conditionalFormatting>
  <conditionalFormatting sqref="C32">
    <cfRule type="cellIs" dxfId="95" priority="20" stopIfTrue="1" operator="greaterThan">
      <formula>$C$34*0.1</formula>
    </cfRule>
  </conditionalFormatting>
  <conditionalFormatting sqref="C34">
    <cfRule type="expression" dxfId="94" priority="8">
      <formula>$C$34&gt;$C$36</formula>
    </cfRule>
  </conditionalFormatting>
  <conditionalFormatting sqref="C35">
    <cfRule type="expression" dxfId="93" priority="7">
      <formula>$C$35&lt;0</formula>
    </cfRule>
  </conditionalFormatting>
  <conditionalFormatting sqref="C60">
    <cfRule type="cellIs" dxfId="92" priority="17" stopIfTrue="1" operator="greaterThan">
      <formula>$C$62*0.1</formula>
    </cfRule>
  </conditionalFormatting>
  <conditionalFormatting sqref="C72">
    <cfRule type="cellIs" dxfId="91" priority="14" stopIfTrue="1" operator="greaterThan">
      <formula>$C$74*0.1</formula>
    </cfRule>
  </conditionalFormatting>
  <conditionalFormatting sqref="C74">
    <cfRule type="expression" dxfId="90" priority="4">
      <formula>$C$74&gt;$C$76</formula>
    </cfRule>
  </conditionalFormatting>
  <conditionalFormatting sqref="C75">
    <cfRule type="expression" dxfId="89" priority="3">
      <formula>$C$75&lt;0</formula>
    </cfRule>
  </conditionalFormatting>
  <conditionalFormatting sqref="D20">
    <cfRule type="cellIs" dxfId="88" priority="24" stopIfTrue="1" operator="greaterThan">
      <formula>$D$22*0.1</formula>
    </cfRule>
  </conditionalFormatting>
  <conditionalFormatting sqref="D32">
    <cfRule type="cellIs" dxfId="87" priority="21" stopIfTrue="1" operator="greaterThan">
      <formula>$D$34*0.1</formula>
    </cfRule>
  </conditionalFormatting>
  <conditionalFormatting sqref="D34">
    <cfRule type="expression" dxfId="86" priority="6">
      <formula>$D$34&gt;$D$36</formula>
    </cfRule>
  </conditionalFormatting>
  <conditionalFormatting sqref="D35">
    <cfRule type="expression" dxfId="85" priority="5">
      <formula>$D$35&lt;0</formula>
    </cfRule>
  </conditionalFormatting>
  <conditionalFormatting sqref="D60">
    <cfRule type="cellIs" dxfId="84" priority="18" stopIfTrue="1" operator="greaterThan">
      <formula>$D$62*0.1</formula>
    </cfRule>
  </conditionalFormatting>
  <conditionalFormatting sqref="D72">
    <cfRule type="cellIs" dxfId="83" priority="15" stopIfTrue="1" operator="greaterThan">
      <formula>$D$74*0.1</formula>
    </cfRule>
  </conditionalFormatting>
  <conditionalFormatting sqref="D74">
    <cfRule type="expression" dxfId="82" priority="2">
      <formula>$D$74&gt;$D$76</formula>
    </cfRule>
  </conditionalFormatting>
  <conditionalFormatting sqref="D75">
    <cfRule type="expression" dxfId="81" priority="1">
      <formula>$D$75&lt;0</formula>
    </cfRule>
  </conditionalFormatting>
  <conditionalFormatting sqref="E20">
    <cfRule type="cellIs" dxfId="80" priority="44" stopIfTrue="1" operator="greaterThan">
      <formula>$E$22*0.1+$E$41</formula>
    </cfRule>
  </conditionalFormatting>
  <conditionalFormatting sqref="E32">
    <cfRule type="cellIs" dxfId="79" priority="22" stopIfTrue="1" operator="greaterThan">
      <formula>$E$34*0.1</formula>
    </cfRule>
  </conditionalFormatting>
  <conditionalFormatting sqref="E37">
    <cfRule type="cellIs" dxfId="78" priority="19" stopIfTrue="1" operator="greaterThan">
      <formula>$E$34/0.95-$E$34</formula>
    </cfRule>
  </conditionalFormatting>
  <conditionalFormatting sqref="E60">
    <cfRule type="cellIs" dxfId="77" priority="45" stopIfTrue="1" operator="greaterThan">
      <formula>$E$62*0.1+$E$81</formula>
    </cfRule>
  </conditionalFormatting>
  <conditionalFormatting sqref="E72">
    <cfRule type="cellIs" dxfId="76" priority="16" stopIfTrue="1" operator="greaterThan">
      <formula>$E$74*0.1</formula>
    </cfRule>
  </conditionalFormatting>
  <conditionalFormatting sqref="E77">
    <cfRule type="cellIs" dxfId="75" priority="13" stopIfTrue="1" operator="greaterThan">
      <formula>$E$74/0.95-$E$74</formula>
    </cfRule>
  </conditionalFormatting>
  <conditionalFormatting sqref="J37">
    <cfRule type="containsText" dxfId="74" priority="10" operator="containsText" text="Yes">
      <formula>NOT(ISERROR(SEARCH("Yes",J37)))</formula>
    </cfRule>
  </conditionalFormatting>
  <conditionalFormatting sqref="J77">
    <cfRule type="containsText" dxfId="73" priority="9" operator="containsText" text="Yes">
      <formula>NOT(ISERROR(SEARCH("Yes",J77)))</formula>
    </cfRule>
  </conditionalFormatting>
  <pageMargins left="0.9" right="0.9" top="0.96" bottom="0.5" header="0.41" footer="0.3"/>
  <pageSetup scale="54"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F0"/>
    <pageSetUpPr fitToPage="1"/>
  </sheetPr>
  <dimension ref="B1:K102"/>
  <sheetViews>
    <sheetView zoomScaleNormal="100" workbookViewId="0">
      <selection activeCell="C73" sqref="C73:E73"/>
    </sheetView>
  </sheetViews>
  <sheetFormatPr defaultRowHeight="15.75" x14ac:dyDescent="0.25"/>
  <cols>
    <col min="1" max="1" width="2.3984375" style="4" customWidth="1"/>
    <col min="2" max="2" width="31" style="4" customWidth="1"/>
    <col min="3" max="4" width="15.69921875" style="4" customWidth="1"/>
    <col min="5" max="5" width="13.69921875" style="4" customWidth="1"/>
    <col min="6" max="6" width="7.3984375" style="4" customWidth="1"/>
    <col min="7" max="7" width="10.09765625" style="4" customWidth="1"/>
    <col min="8" max="8" width="8.796875" style="4"/>
    <col min="9" max="9" width="4.8984375" style="4" customWidth="1"/>
    <col min="10" max="10" width="9.8984375" style="4" customWidth="1"/>
    <col min="11" max="16384" width="8.796875" style="4"/>
  </cols>
  <sheetData>
    <row r="1" spans="2:11" x14ac:dyDescent="0.25">
      <c r="B1" s="2">
        <f>inputPrYr!D3</f>
        <v>0</v>
      </c>
      <c r="C1" s="3"/>
      <c r="D1" s="3"/>
      <c r="E1" s="612">
        <f>inputPrYr!D6</f>
        <v>2025</v>
      </c>
    </row>
    <row r="2" spans="2:11" x14ac:dyDescent="0.25">
      <c r="B2" s="5"/>
      <c r="C2" s="3"/>
      <c r="D2" s="39"/>
      <c r="E2" s="56"/>
    </row>
    <row r="3" spans="2:11" x14ac:dyDescent="0.25">
      <c r="B3" s="313" t="s">
        <v>313</v>
      </c>
      <c r="C3" s="43"/>
      <c r="D3" s="43"/>
      <c r="E3" s="43"/>
    </row>
    <row r="4" spans="2:11" x14ac:dyDescent="0.25">
      <c r="B4" s="9" t="s">
        <v>314</v>
      </c>
      <c r="C4" s="259" t="s">
        <v>315</v>
      </c>
      <c r="D4" s="262" t="s">
        <v>262</v>
      </c>
      <c r="E4" s="10" t="s">
        <v>316</v>
      </c>
    </row>
    <row r="5" spans="2:11" x14ac:dyDescent="0.25">
      <c r="B5" s="266">
        <f>inputPrYr!B23</f>
        <v>0</v>
      </c>
      <c r="C5" s="260" t="str">
        <f>General!C5</f>
        <v>Actual for 2023</v>
      </c>
      <c r="D5" s="260" t="str">
        <f>General!D5</f>
        <v>Estimate for 2024</v>
      </c>
      <c r="E5" s="12" t="str">
        <f>General!E5</f>
        <v>Year for 2025</v>
      </c>
    </row>
    <row r="6" spans="2:11" x14ac:dyDescent="0.25">
      <c r="B6" s="13" t="s">
        <v>317</v>
      </c>
      <c r="C6" s="15"/>
      <c r="D6" s="261">
        <f>C35</f>
        <v>0</v>
      </c>
      <c r="E6" s="18">
        <f>D35</f>
        <v>0</v>
      </c>
    </row>
    <row r="7" spans="2:11" x14ac:dyDescent="0.25">
      <c r="B7" s="13" t="s">
        <v>318</v>
      </c>
      <c r="C7" s="261"/>
      <c r="D7" s="261"/>
      <c r="E7" s="19"/>
    </row>
    <row r="8" spans="2:11" x14ac:dyDescent="0.25">
      <c r="B8" s="13" t="s">
        <v>93</v>
      </c>
      <c r="C8" s="15"/>
      <c r="D8" s="261">
        <f>IF(inputPrYr!H16&gt;0,inputPrYr!G23,inputPrYr!E23)</f>
        <v>0</v>
      </c>
      <c r="E8" s="19" t="s">
        <v>165</v>
      </c>
    </row>
    <row r="9" spans="2:11" x14ac:dyDescent="0.25">
      <c r="B9" s="13" t="s">
        <v>319</v>
      </c>
      <c r="C9" s="15"/>
      <c r="D9" s="15"/>
      <c r="E9" s="20"/>
    </row>
    <row r="10" spans="2:11" x14ac:dyDescent="0.25">
      <c r="B10" s="13" t="s">
        <v>320</v>
      </c>
      <c r="C10" s="15"/>
      <c r="D10" s="15"/>
      <c r="E10" s="18">
        <f>Mvalloc!D17</f>
        <v>0</v>
      </c>
    </row>
    <row r="11" spans="2:11" x14ac:dyDescent="0.25">
      <c r="B11" s="13" t="s">
        <v>321</v>
      </c>
      <c r="C11" s="15"/>
      <c r="D11" s="15"/>
      <c r="E11" s="18">
        <f>Mvalloc!E17</f>
        <v>0</v>
      </c>
    </row>
    <row r="12" spans="2:11" x14ac:dyDescent="0.25">
      <c r="B12" s="13" t="s">
        <v>361</v>
      </c>
      <c r="C12" s="15"/>
      <c r="D12" s="15"/>
      <c r="E12" s="18">
        <f>Mvalloc!F17</f>
        <v>0</v>
      </c>
      <c r="G12" s="711" t="str">
        <f>CONCATENATE("Desired Carryover Into ",E1+1,"")</f>
        <v>Desired Carryover Into 2026</v>
      </c>
      <c r="H12" s="712"/>
      <c r="I12" s="712"/>
      <c r="J12" s="713"/>
    </row>
    <row r="13" spans="2:11" x14ac:dyDescent="0.25">
      <c r="B13" s="497" t="s">
        <v>323</v>
      </c>
      <c r="C13" s="15"/>
      <c r="D13" s="15"/>
      <c r="E13" s="18">
        <f>Mvalloc!G17</f>
        <v>0</v>
      </c>
      <c r="G13" s="369"/>
      <c r="H13" s="336"/>
      <c r="I13" s="370"/>
      <c r="J13" s="371"/>
    </row>
    <row r="14" spans="2:11" x14ac:dyDescent="0.25">
      <c r="B14" s="497" t="s">
        <v>324</v>
      </c>
      <c r="C14" s="15"/>
      <c r="D14" s="15"/>
      <c r="E14" s="18">
        <f>Mvalloc!H17</f>
        <v>0</v>
      </c>
      <c r="G14" s="372" t="s">
        <v>334</v>
      </c>
      <c r="H14" s="370"/>
      <c r="I14" s="370"/>
      <c r="J14" s="373">
        <v>0</v>
      </c>
    </row>
    <row r="15" spans="2:11" x14ac:dyDescent="0.25">
      <c r="B15" s="23"/>
      <c r="C15" s="15"/>
      <c r="D15" s="15"/>
      <c r="E15" s="20"/>
      <c r="G15" s="369" t="s">
        <v>336</v>
      </c>
      <c r="H15" s="336"/>
      <c r="I15" s="336"/>
      <c r="J15" s="374" t="str">
        <f>IF(J14=0,"",ROUND((J14+E41-G27)/inputOth!E7*1000,3)-G32)</f>
        <v/>
      </c>
      <c r="K15" s="338"/>
    </row>
    <row r="16" spans="2:11" x14ac:dyDescent="0.25">
      <c r="B16" s="23"/>
      <c r="C16" s="15"/>
      <c r="D16" s="15"/>
      <c r="E16" s="20"/>
      <c r="G16" s="375" t="str">
        <f>CONCATENATE("",E1," Tot Exp/Non-Appr Must Be:")</f>
        <v>2025 Tot Exp/Non-Appr Must Be:</v>
      </c>
      <c r="H16" s="376"/>
      <c r="I16" s="377"/>
      <c r="J16" s="378">
        <f>IF(J14&gt;0,IF(E38&lt;E23,IF(J14=G27,E38,((J14-G27)*(1-D40))+E23),E38+(J14-G27)),0)</f>
        <v>0</v>
      </c>
      <c r="K16" s="338"/>
    </row>
    <row r="17" spans="2:11" x14ac:dyDescent="0.25">
      <c r="B17" s="24"/>
      <c r="C17" s="15"/>
      <c r="D17" s="15"/>
      <c r="E17" s="20"/>
      <c r="G17" s="379" t="s">
        <v>339</v>
      </c>
      <c r="H17" s="380"/>
      <c r="I17" s="380"/>
      <c r="J17" s="381">
        <f>IF(J14&gt;0,J16-E38,0)</f>
        <v>0</v>
      </c>
      <c r="K17" s="338"/>
    </row>
    <row r="18" spans="2:11" x14ac:dyDescent="0.25">
      <c r="B18" s="24" t="s">
        <v>326</v>
      </c>
      <c r="C18" s="15"/>
      <c r="D18" s="15"/>
      <c r="E18" s="20"/>
      <c r="G18" s="338"/>
      <c r="H18" s="338"/>
      <c r="I18" s="338"/>
      <c r="J18" s="338"/>
      <c r="K18" s="338"/>
    </row>
    <row r="19" spans="2:11" x14ac:dyDescent="0.25">
      <c r="B19" s="21" t="s">
        <v>170</v>
      </c>
      <c r="C19" s="15"/>
      <c r="D19" s="15"/>
      <c r="E19" s="18">
        <f>'NR Rebate'!E12*-1</f>
        <v>0</v>
      </c>
      <c r="G19" s="711" t="str">
        <f>CONCATENATE("Projected Carryover Into ",E1+1,"")</f>
        <v>Projected Carryover Into 2026</v>
      </c>
      <c r="H19" s="716"/>
      <c r="I19" s="716"/>
      <c r="J19" s="715"/>
      <c r="K19" s="338"/>
    </row>
    <row r="20" spans="2:11" x14ac:dyDescent="0.25">
      <c r="B20" s="25" t="s">
        <v>327</v>
      </c>
      <c r="C20" s="15"/>
      <c r="D20" s="15"/>
      <c r="E20" s="20"/>
      <c r="G20" s="369"/>
      <c r="H20" s="370"/>
      <c r="I20" s="370"/>
      <c r="J20" s="383"/>
      <c r="K20" s="338"/>
    </row>
    <row r="21" spans="2:11" x14ac:dyDescent="0.25">
      <c r="B21" s="25" t="s">
        <v>328</v>
      </c>
      <c r="C21" s="258" t="str">
        <f>IF(C22*0.1&lt;C20,"Exceed 10% Rule","")</f>
        <v/>
      </c>
      <c r="D21" s="258" t="str">
        <f>IF(D22*0.1&lt;D20,"Exceed 10% Rule","")</f>
        <v/>
      </c>
      <c r="E21" s="30" t="str">
        <f>IF(E22*0.1+E41&lt;E20,"Exceed 10% Rule","")</f>
        <v/>
      </c>
      <c r="G21" s="386">
        <f>D35</f>
        <v>0</v>
      </c>
      <c r="H21" s="387" t="str">
        <f>CONCATENATE("",E1-1," Ending Cash Balance (est.)")</f>
        <v>2024 Ending Cash Balance (est.)</v>
      </c>
      <c r="I21" s="388"/>
      <c r="J21" s="383"/>
      <c r="K21" s="338"/>
    </row>
    <row r="22" spans="2:11" x14ac:dyDescent="0.25">
      <c r="B22" s="606" t="s">
        <v>329</v>
      </c>
      <c r="C22" s="32">
        <f>SUM(C8:C20)</f>
        <v>0</v>
      </c>
      <c r="D22" s="32">
        <f>SUM(D8:D20)</f>
        <v>0</v>
      </c>
      <c r="E22" s="32">
        <f>SUM(E8:E20)</f>
        <v>0</v>
      </c>
      <c r="G22" s="386">
        <f>E22</f>
        <v>0</v>
      </c>
      <c r="H22" s="370" t="str">
        <f>CONCATENATE("",E1," Non-AV Receipts (est.)")</f>
        <v>2025 Non-AV Receipts (est.)</v>
      </c>
      <c r="I22" s="370"/>
      <c r="J22" s="383"/>
      <c r="K22" s="338"/>
    </row>
    <row r="23" spans="2:11" x14ac:dyDescent="0.2">
      <c r="B23" s="28" t="s">
        <v>330</v>
      </c>
      <c r="C23" s="32">
        <f>C22+C6</f>
        <v>0</v>
      </c>
      <c r="D23" s="32">
        <f>D22+D6</f>
        <v>0</v>
      </c>
      <c r="E23" s="32">
        <f>E22+E6</f>
        <v>0</v>
      </c>
      <c r="G23" s="393">
        <f>IF(E40&gt;0,E39,E41)</f>
        <v>0</v>
      </c>
      <c r="H23" s="370" t="str">
        <f>CONCATENATE("",E1," Ad Valorem Tax (est.)")</f>
        <v>2025 Ad Valorem Tax (est.)</v>
      </c>
      <c r="I23" s="370"/>
      <c r="J23" s="383"/>
      <c r="K23" s="630" t="str">
        <f>IF(G23=E41,"","Note: Does not include Delinquent Taxes")</f>
        <v/>
      </c>
    </row>
    <row r="24" spans="2:11" x14ac:dyDescent="0.25">
      <c r="B24" s="13" t="s">
        <v>331</v>
      </c>
      <c r="C24" s="261"/>
      <c r="D24" s="261"/>
      <c r="E24" s="18"/>
      <c r="G24" s="386">
        <f>SUM(G21:G23)</f>
        <v>0</v>
      </c>
      <c r="H24" s="370" t="str">
        <f>CONCATENATE("Total ",E1," Resources Available")</f>
        <v>Total 2025 Resources Available</v>
      </c>
      <c r="I24" s="388"/>
      <c r="J24" s="383"/>
      <c r="K24" s="338"/>
    </row>
    <row r="25" spans="2:11" x14ac:dyDescent="0.25">
      <c r="B25" s="24"/>
      <c r="C25" s="15"/>
      <c r="D25" s="15"/>
      <c r="E25" s="20"/>
      <c r="G25" s="395"/>
      <c r="H25" s="370"/>
      <c r="I25" s="370"/>
      <c r="J25" s="383"/>
      <c r="K25" s="338"/>
    </row>
    <row r="26" spans="2:11" x14ac:dyDescent="0.25">
      <c r="B26" s="24"/>
      <c r="C26" s="15"/>
      <c r="D26" s="15"/>
      <c r="E26" s="20"/>
      <c r="G26" s="393">
        <f>C34*0.05+C34</f>
        <v>0</v>
      </c>
      <c r="H26" s="370" t="str">
        <f>CONCATENATE("Less ",E1-2," Expenditures + 5%")</f>
        <v>Less 2023 Expenditures + 5%</v>
      </c>
      <c r="I26" s="370"/>
      <c r="J26" s="383"/>
    </row>
    <row r="27" spans="2:11" x14ac:dyDescent="0.25">
      <c r="B27" s="24"/>
      <c r="C27" s="15"/>
      <c r="D27" s="15"/>
      <c r="E27" s="20"/>
      <c r="G27" s="399">
        <f>G24-G26</f>
        <v>0</v>
      </c>
      <c r="H27" s="400" t="str">
        <f>CONCATENATE("Projected ",E1+1," carryover (est.)")</f>
        <v>Projected 2026 carryover (est.)</v>
      </c>
      <c r="I27" s="401"/>
      <c r="J27" s="402"/>
      <c r="K27" s="338"/>
    </row>
    <row r="28" spans="2:11" x14ac:dyDescent="0.25">
      <c r="B28" s="24"/>
      <c r="C28" s="15"/>
      <c r="D28" s="15"/>
      <c r="E28" s="20"/>
      <c r="G28" s="338"/>
      <c r="H28" s="338"/>
      <c r="I28" s="338"/>
      <c r="J28" s="338"/>
      <c r="K28" s="338"/>
    </row>
    <row r="29" spans="2:11" x14ac:dyDescent="0.25">
      <c r="B29" s="24"/>
      <c r="C29" s="15"/>
      <c r="D29" s="15"/>
      <c r="E29" s="20"/>
      <c r="G29" s="697" t="s">
        <v>346</v>
      </c>
      <c r="H29" s="698"/>
      <c r="I29" s="698"/>
      <c r="J29" s="699"/>
      <c r="K29" s="338"/>
    </row>
    <row r="30" spans="2:11" x14ac:dyDescent="0.25">
      <c r="B30" s="24"/>
      <c r="C30" s="15"/>
      <c r="D30" s="15"/>
      <c r="E30" s="20"/>
      <c r="G30" s="700"/>
      <c r="H30" s="701"/>
      <c r="I30" s="701"/>
      <c r="J30" s="702"/>
      <c r="K30" s="338"/>
    </row>
    <row r="31" spans="2:11" x14ac:dyDescent="0.25">
      <c r="B31" s="501" t="str">
        <f>CONCATENATE("Cash Reserve (",E1," column)")</f>
        <v>Cash Reserve (2025 column)</v>
      </c>
      <c r="C31" s="15"/>
      <c r="D31" s="15"/>
      <c r="E31" s="20"/>
      <c r="G31" s="554" t="str">
        <f>'Budget Hearing Notice'!I24</f>
        <v xml:space="preserve"> </v>
      </c>
      <c r="H31" s="555" t="str">
        <f>CONCATENATE("",E1," Estimated Fund Mill Rate")</f>
        <v>2025 Estimated Fund Mill Rate</v>
      </c>
      <c r="I31" s="556"/>
      <c r="J31" s="557"/>
      <c r="K31" s="338"/>
    </row>
    <row r="32" spans="2:11" x14ac:dyDescent="0.25">
      <c r="B32" s="21" t="s">
        <v>327</v>
      </c>
      <c r="C32" s="15"/>
      <c r="D32" s="15"/>
      <c r="E32" s="20"/>
      <c r="G32" s="558" t="str">
        <f>'Budget Hearing Notice'!F24</f>
        <v xml:space="preserve">  </v>
      </c>
      <c r="H32" s="555" t="str">
        <f>CONCATENATE("",E1-1," Fund Mill Rate")</f>
        <v>2024 Fund Mill Rate</v>
      </c>
      <c r="I32" s="556"/>
      <c r="J32" s="557"/>
      <c r="K32" s="338"/>
    </row>
    <row r="33" spans="2:11" x14ac:dyDescent="0.25">
      <c r="B33" s="21" t="s">
        <v>347</v>
      </c>
      <c r="C33" s="258" t="str">
        <f>IF(C34*0.1&lt;C32,"Exceed 10% Rule","")</f>
        <v/>
      </c>
      <c r="D33" s="258" t="str">
        <f>IF(D34*0.1&lt;D32,"Exceed 10% Rule","")</f>
        <v/>
      </c>
      <c r="E33" s="30" t="str">
        <f>IF(E34*0.1&lt;E32,"Exceed 10% Rule","")</f>
        <v/>
      </c>
      <c r="G33" s="559">
        <f>inputOth!D15</f>
        <v>0</v>
      </c>
      <c r="H33" s="560" t="s">
        <v>350</v>
      </c>
      <c r="I33" s="556"/>
      <c r="J33" s="557"/>
      <c r="K33" s="338"/>
    </row>
    <row r="34" spans="2:11" x14ac:dyDescent="0.25">
      <c r="B34" s="28" t="s">
        <v>348</v>
      </c>
      <c r="C34" s="32">
        <f>SUM(C25:C32)</f>
        <v>0</v>
      </c>
      <c r="D34" s="32">
        <f>SUM(D25:D32)</f>
        <v>0</v>
      </c>
      <c r="E34" s="32">
        <f>SUM(E25:E32)</f>
        <v>0</v>
      </c>
      <c r="G34" s="554">
        <f>'Budget Hearing Notice'!I32</f>
        <v>0</v>
      </c>
      <c r="H34" s="555" t="str">
        <f>CONCATENATE(E1," Estimated Total Mill Rate")</f>
        <v>2025 Estimated Total Mill Rate</v>
      </c>
      <c r="I34" s="556"/>
      <c r="J34" s="557"/>
      <c r="K34" s="338"/>
    </row>
    <row r="35" spans="2:11" x14ac:dyDescent="0.25">
      <c r="B35" s="13" t="s">
        <v>349</v>
      </c>
      <c r="C35" s="18">
        <f>C23-C34</f>
        <v>0</v>
      </c>
      <c r="D35" s="18">
        <f>D23-D34</f>
        <v>0</v>
      </c>
      <c r="E35" s="19" t="s">
        <v>165</v>
      </c>
      <c r="G35" s="561">
        <f>'Budget Hearing Notice'!F32</f>
        <v>0</v>
      </c>
      <c r="H35" s="555" t="str">
        <f>CONCATENATE(E1-1," Total Mill Rate")</f>
        <v>2024 Total Mill Rate</v>
      </c>
      <c r="I35" s="556"/>
      <c r="J35" s="557"/>
      <c r="K35" s="338"/>
    </row>
    <row r="36" spans="2:11" x14ac:dyDescent="0.25">
      <c r="B36" s="203" t="str">
        <f>CONCATENATE("",E1-2,"/",E1-1,"/",E1," Budget Authority Amount:")</f>
        <v>2023/2024/2025 Budget Authority Amount:</v>
      </c>
      <c r="C36" s="41">
        <f>inputOth!B55</f>
        <v>0</v>
      </c>
      <c r="D36" s="41">
        <f>inputPrYr!D23</f>
        <v>0</v>
      </c>
      <c r="E36" s="18">
        <f>E34</f>
        <v>0</v>
      </c>
      <c r="F36" s="33"/>
      <c r="G36" s="562"/>
      <c r="H36" s="488"/>
      <c r="I36" s="488"/>
      <c r="J36" s="563"/>
      <c r="K36" s="338"/>
    </row>
    <row r="37" spans="2:11" x14ac:dyDescent="0.25">
      <c r="B37" s="612"/>
      <c r="C37" s="690" t="s">
        <v>351</v>
      </c>
      <c r="D37" s="691"/>
      <c r="E37" s="20"/>
      <c r="F37" s="272" t="str">
        <f>IF(E34/0.95-E34&lt;E37,"Exceeds 5%","")</f>
        <v/>
      </c>
      <c r="G37" s="703" t="s">
        <v>355</v>
      </c>
      <c r="H37" s="704"/>
      <c r="I37" s="704"/>
      <c r="J37" s="707" t="str">
        <f>IF(G34&gt;G33, "Yes", "No")</f>
        <v>No</v>
      </c>
      <c r="K37" s="338"/>
    </row>
    <row r="38" spans="2:11" x14ac:dyDescent="0.25">
      <c r="B38" s="624" t="str">
        <f>CONCATENATE(C99,"     ",D99)</f>
        <v xml:space="preserve">     </v>
      </c>
      <c r="C38" s="692" t="s">
        <v>352</v>
      </c>
      <c r="D38" s="693"/>
      <c r="E38" s="18">
        <f>E34+E37</f>
        <v>0</v>
      </c>
      <c r="G38" s="705"/>
      <c r="H38" s="706"/>
      <c r="I38" s="706"/>
      <c r="J38" s="708"/>
      <c r="K38" s="338"/>
    </row>
    <row r="39" spans="2:11" x14ac:dyDescent="0.25">
      <c r="B39" s="624" t="str">
        <f>CONCATENATE(C100,"     ",D100)</f>
        <v xml:space="preserve">     </v>
      </c>
      <c r="C39" s="34"/>
      <c r="D39" s="35" t="s">
        <v>353</v>
      </c>
      <c r="E39" s="18">
        <f>IF(E38-E23&gt;0,E38-E23,0)</f>
        <v>0</v>
      </c>
      <c r="G39" s="686" t="str">
        <f>IF(J37="Yes", "Follow procedure prescribed by KSA 79-2988 to exceed the Revenue Neutral Rate.", " ")</f>
        <v xml:space="preserve"> </v>
      </c>
      <c r="H39" s="686"/>
      <c r="I39" s="686"/>
      <c r="J39" s="686"/>
    </row>
    <row r="40" spans="2:11" x14ac:dyDescent="0.25">
      <c r="B40" s="35"/>
      <c r="C40" s="604" t="s">
        <v>354</v>
      </c>
      <c r="D40" s="425">
        <f>inputOth!$E$43</f>
        <v>0</v>
      </c>
      <c r="E40" s="18">
        <f>ROUND(IF(D40&gt;0,(E39*D40),0),0)</f>
        <v>0</v>
      </c>
      <c r="G40" s="687"/>
      <c r="H40" s="687"/>
      <c r="I40" s="687"/>
      <c r="J40" s="687"/>
    </row>
    <row r="41" spans="2:11" x14ac:dyDescent="0.25">
      <c r="B41" s="3"/>
      <c r="C41" s="688" t="str">
        <f>CONCATENATE("Amount of  ",$E$1-1," Ad Valorem Tax")</f>
        <v>Amount of  2024 Ad Valorem Tax</v>
      </c>
      <c r="D41" s="689"/>
      <c r="E41" s="18">
        <f>E39+E40</f>
        <v>0</v>
      </c>
      <c r="G41" s="687"/>
      <c r="H41" s="687"/>
      <c r="I41" s="687"/>
      <c r="J41" s="687"/>
    </row>
    <row r="42" spans="2:11" x14ac:dyDescent="0.25">
      <c r="B42" s="3"/>
      <c r="C42" s="603"/>
      <c r="D42" s="3"/>
      <c r="E42" s="3"/>
      <c r="K42" s="338"/>
    </row>
    <row r="43" spans="2:11" x14ac:dyDescent="0.25">
      <c r="B43" s="3"/>
      <c r="C43" s="603"/>
      <c r="D43" s="3"/>
      <c r="E43" s="3"/>
      <c r="K43" s="338"/>
    </row>
    <row r="44" spans="2:11" x14ac:dyDescent="0.25">
      <c r="B44" s="9" t="s">
        <v>314</v>
      </c>
      <c r="C44" s="43"/>
      <c r="D44" s="43"/>
      <c r="E44" s="43"/>
      <c r="K44" s="338"/>
    </row>
    <row r="45" spans="2:11" x14ac:dyDescent="0.25">
      <c r="B45" s="3"/>
      <c r="C45" s="259" t="s">
        <v>315</v>
      </c>
      <c r="D45" s="262" t="s">
        <v>262</v>
      </c>
      <c r="E45" s="10" t="s">
        <v>316</v>
      </c>
      <c r="G45" s="338"/>
      <c r="H45" s="338"/>
      <c r="I45" s="338"/>
      <c r="J45" s="338"/>
      <c r="K45" s="338"/>
    </row>
    <row r="46" spans="2:11" x14ac:dyDescent="0.25">
      <c r="B46" s="271">
        <f>inputPrYr!B24</f>
        <v>0</v>
      </c>
      <c r="C46" s="260" t="str">
        <f>C5</f>
        <v>Actual for 2023</v>
      </c>
      <c r="D46" s="260" t="str">
        <f>D5</f>
        <v>Estimate for 2024</v>
      </c>
      <c r="E46" s="12" t="str">
        <f>E5</f>
        <v>Year for 2025</v>
      </c>
      <c r="G46" s="338"/>
      <c r="H46" s="338"/>
      <c r="I46" s="338"/>
      <c r="J46" s="338"/>
      <c r="K46" s="338"/>
    </row>
    <row r="47" spans="2:11" x14ac:dyDescent="0.25">
      <c r="B47" s="13" t="s">
        <v>317</v>
      </c>
      <c r="C47" s="15"/>
      <c r="D47" s="261">
        <f>C76</f>
        <v>0</v>
      </c>
      <c r="E47" s="18">
        <f>D76</f>
        <v>0</v>
      </c>
      <c r="G47" s="338"/>
      <c r="H47" s="338"/>
      <c r="I47" s="338"/>
      <c r="J47" s="338"/>
      <c r="K47" s="338"/>
    </row>
    <row r="48" spans="2:11" x14ac:dyDescent="0.25">
      <c r="B48" s="13" t="s">
        <v>318</v>
      </c>
      <c r="C48" s="261"/>
      <c r="D48" s="261"/>
      <c r="E48" s="19"/>
      <c r="G48" s="338"/>
      <c r="H48" s="338"/>
      <c r="I48" s="338"/>
      <c r="J48" s="338"/>
      <c r="K48" s="338"/>
    </row>
    <row r="49" spans="2:11" x14ac:dyDescent="0.25">
      <c r="B49" s="13" t="s">
        <v>93</v>
      </c>
      <c r="C49" s="15"/>
      <c r="D49" s="261">
        <f>IF(inputPrYr!H16&gt;0,inputPrYr!G24,inputPrYr!E24)</f>
        <v>0</v>
      </c>
      <c r="E49" s="19" t="s">
        <v>165</v>
      </c>
      <c r="G49" s="338"/>
      <c r="H49" s="338"/>
      <c r="I49" s="338"/>
      <c r="J49" s="338"/>
      <c r="K49" s="338"/>
    </row>
    <row r="50" spans="2:11" x14ac:dyDescent="0.25">
      <c r="B50" s="13" t="s">
        <v>319</v>
      </c>
      <c r="C50" s="15"/>
      <c r="D50" s="15"/>
      <c r="E50" s="20"/>
      <c r="G50" s="338"/>
      <c r="H50" s="338"/>
      <c r="I50" s="338"/>
      <c r="J50" s="338"/>
      <c r="K50" s="338"/>
    </row>
    <row r="51" spans="2:11" x14ac:dyDescent="0.25">
      <c r="B51" s="13" t="s">
        <v>320</v>
      </c>
      <c r="C51" s="15"/>
      <c r="D51" s="15"/>
      <c r="E51" s="18">
        <f>Mvalloc!D18</f>
        <v>0</v>
      </c>
      <c r="G51" s="338"/>
      <c r="H51" s="338"/>
      <c r="I51" s="338"/>
      <c r="J51" s="338"/>
      <c r="K51" s="338"/>
    </row>
    <row r="52" spans="2:11" x14ac:dyDescent="0.25">
      <c r="B52" s="13" t="s">
        <v>321</v>
      </c>
      <c r="C52" s="15"/>
      <c r="D52" s="15"/>
      <c r="E52" s="18">
        <f>Mvalloc!E18</f>
        <v>0</v>
      </c>
      <c r="G52" s="338"/>
      <c r="H52" s="338"/>
      <c r="I52" s="338"/>
      <c r="J52" s="338"/>
      <c r="K52" s="338"/>
    </row>
    <row r="53" spans="2:11" x14ac:dyDescent="0.25">
      <c r="B53" s="13" t="s">
        <v>361</v>
      </c>
      <c r="C53" s="15"/>
      <c r="D53" s="15"/>
      <c r="E53" s="18">
        <f>Mvalloc!F18</f>
        <v>0</v>
      </c>
      <c r="G53" s="338"/>
      <c r="H53" s="338"/>
      <c r="I53" s="338"/>
      <c r="J53" s="338"/>
      <c r="K53" s="338"/>
    </row>
    <row r="54" spans="2:11" x14ac:dyDescent="0.25">
      <c r="B54" s="497" t="s">
        <v>323</v>
      </c>
      <c r="C54" s="15"/>
      <c r="D54" s="15"/>
      <c r="E54" s="18">
        <f>Mvalloc!G18</f>
        <v>0</v>
      </c>
      <c r="G54" s="338"/>
      <c r="H54" s="338"/>
      <c r="I54" s="338"/>
      <c r="J54" s="338"/>
      <c r="K54" s="338"/>
    </row>
    <row r="55" spans="2:11" x14ac:dyDescent="0.25">
      <c r="B55" s="497" t="s">
        <v>324</v>
      </c>
      <c r="C55" s="15"/>
      <c r="D55" s="15"/>
      <c r="E55" s="18">
        <f>Mvalloc!H18</f>
        <v>0</v>
      </c>
      <c r="G55" s="338"/>
      <c r="H55" s="338"/>
      <c r="I55" s="338"/>
      <c r="J55" s="338"/>
      <c r="K55" s="338"/>
    </row>
    <row r="56" spans="2:11" x14ac:dyDescent="0.25">
      <c r="B56" s="24"/>
      <c r="C56" s="15"/>
      <c r="D56" s="15"/>
      <c r="E56" s="20"/>
      <c r="G56" s="711" t="str">
        <f>CONCATENATE("Desired Carryover Into ",E1+1,"")</f>
        <v>Desired Carryover Into 2026</v>
      </c>
      <c r="H56" s="712"/>
      <c r="I56" s="712"/>
      <c r="J56" s="713"/>
      <c r="K56" s="338"/>
    </row>
    <row r="57" spans="2:11" x14ac:dyDescent="0.25">
      <c r="B57" s="24"/>
      <c r="C57" s="15"/>
      <c r="D57" s="15"/>
      <c r="E57" s="20"/>
      <c r="G57" s="369"/>
      <c r="H57" s="336"/>
      <c r="I57" s="370"/>
      <c r="J57" s="371"/>
      <c r="K57" s="338"/>
    </row>
    <row r="58" spans="2:11" x14ac:dyDescent="0.25">
      <c r="B58" s="24"/>
      <c r="C58" s="15"/>
      <c r="D58" s="15"/>
      <c r="E58" s="20"/>
      <c r="G58" s="372" t="s">
        <v>334</v>
      </c>
      <c r="H58" s="370"/>
      <c r="I58" s="370"/>
      <c r="J58" s="373">
        <v>0</v>
      </c>
      <c r="K58" s="338"/>
    </row>
    <row r="59" spans="2:11" x14ac:dyDescent="0.25">
      <c r="B59" s="24" t="s">
        <v>326</v>
      </c>
      <c r="C59" s="15"/>
      <c r="D59" s="15"/>
      <c r="E59" s="20"/>
      <c r="G59" s="369" t="s">
        <v>336</v>
      </c>
      <c r="H59" s="336"/>
      <c r="I59" s="336"/>
      <c r="J59" s="374" t="str">
        <f>IF(J58=0,"",ROUND((J58+E82-G71)/inputOth!E7*1000,3)-G76)</f>
        <v/>
      </c>
      <c r="K59" s="338"/>
    </row>
    <row r="60" spans="2:11" x14ac:dyDescent="0.25">
      <c r="B60" s="21" t="s">
        <v>170</v>
      </c>
      <c r="C60" s="15"/>
      <c r="D60" s="15"/>
      <c r="E60" s="18">
        <f>'NR Rebate'!E13*-1</f>
        <v>0</v>
      </c>
      <c r="G60" s="375" t="str">
        <f>CONCATENATE("",E1," Tot Exp/Non-Appr Must Be:")</f>
        <v>2025 Tot Exp/Non-Appr Must Be:</v>
      </c>
      <c r="H60" s="376"/>
      <c r="I60" s="377"/>
      <c r="J60" s="378">
        <f>IF(J58&gt;0,IF(E79&lt;E64,IF(J58=G71,E79,((J58-G71)*(1-D81))+E64),E79+(J58-G71)),0)</f>
        <v>0</v>
      </c>
      <c r="K60" s="338"/>
    </row>
    <row r="61" spans="2:11" x14ac:dyDescent="0.25">
      <c r="B61" s="25" t="s">
        <v>327</v>
      </c>
      <c r="C61" s="15"/>
      <c r="D61" s="15"/>
      <c r="E61" s="20"/>
      <c r="G61" s="379" t="s">
        <v>339</v>
      </c>
      <c r="H61" s="380"/>
      <c r="I61" s="380"/>
      <c r="J61" s="381">
        <f>IF(J58&gt;0,J60-E79,0)</f>
        <v>0</v>
      </c>
      <c r="K61" s="338"/>
    </row>
    <row r="62" spans="2:11" x14ac:dyDescent="0.25">
      <c r="B62" s="25" t="s">
        <v>328</v>
      </c>
      <c r="C62" s="258" t="str">
        <f>IF(C63*0.1&lt;C61,"Exceed 10% Rule","")</f>
        <v/>
      </c>
      <c r="D62" s="258" t="str">
        <f>IF(D63*0.1&lt;D61,"Exceed 10% Rule","")</f>
        <v/>
      </c>
      <c r="E62" s="30" t="str">
        <f>IF(E63*0.1+E82&lt;E61,"Exceed 10% Rule","")</f>
        <v/>
      </c>
      <c r="G62" s="338"/>
      <c r="H62" s="338"/>
      <c r="I62" s="338"/>
      <c r="J62" s="338"/>
      <c r="K62" s="338"/>
    </row>
    <row r="63" spans="2:11" x14ac:dyDescent="0.25">
      <c r="B63" s="606" t="s">
        <v>329</v>
      </c>
      <c r="C63" s="32">
        <f>SUM(C49:C61)</f>
        <v>0</v>
      </c>
      <c r="D63" s="32">
        <f>SUM(D49:D61)</f>
        <v>0</v>
      </c>
      <c r="E63" s="32">
        <f>SUM(E49:E61)</f>
        <v>0</v>
      </c>
      <c r="G63" s="711" t="str">
        <f>CONCATENATE("Projected Carryover Into ",E1+1,"")</f>
        <v>Projected Carryover Into 2026</v>
      </c>
      <c r="H63" s="714"/>
      <c r="I63" s="714"/>
      <c r="J63" s="715"/>
      <c r="K63" s="338"/>
    </row>
    <row r="64" spans="2:11" x14ac:dyDescent="0.25">
      <c r="B64" s="28" t="s">
        <v>330</v>
      </c>
      <c r="C64" s="32">
        <f>C63+C47</f>
        <v>0</v>
      </c>
      <c r="D64" s="32">
        <f>D63+D47</f>
        <v>0</v>
      </c>
      <c r="E64" s="32">
        <f>E63+E47</f>
        <v>0</v>
      </c>
      <c r="G64" s="408"/>
      <c r="H64" s="336"/>
      <c r="I64" s="336"/>
      <c r="J64" s="409"/>
      <c r="K64" s="338"/>
    </row>
    <row r="65" spans="2:11" x14ac:dyDescent="0.25">
      <c r="B65" s="13" t="s">
        <v>331</v>
      </c>
      <c r="C65" s="261"/>
      <c r="D65" s="261"/>
      <c r="E65" s="18"/>
      <c r="G65" s="386">
        <f>D76</f>
        <v>0</v>
      </c>
      <c r="H65" s="387" t="str">
        <f>CONCATENATE("",E1-1," Ending Cash Balance (est.)")</f>
        <v>2024 Ending Cash Balance (est.)</v>
      </c>
      <c r="I65" s="388"/>
      <c r="J65" s="409"/>
      <c r="K65" s="338"/>
    </row>
    <row r="66" spans="2:11" x14ac:dyDescent="0.25">
      <c r="B66" s="24"/>
      <c r="C66" s="15"/>
      <c r="D66" s="15"/>
      <c r="E66" s="20"/>
      <c r="G66" s="386">
        <f>E63</f>
        <v>0</v>
      </c>
      <c r="H66" s="370" t="str">
        <f>CONCATENATE("",E1," Non-AV Receipts (est.)")</f>
        <v>2025 Non-AV Receipts (est.)</v>
      </c>
      <c r="I66" s="370"/>
      <c r="J66" s="505"/>
      <c r="K66" s="504"/>
    </row>
    <row r="67" spans="2:11" x14ac:dyDescent="0.25">
      <c r="B67" s="24"/>
      <c r="C67" s="15"/>
      <c r="D67" s="15"/>
      <c r="E67" s="20"/>
      <c r="G67" s="393">
        <f>IF(E81&gt;0,E80,E82)</f>
        <v>0</v>
      </c>
      <c r="H67" s="370" t="str">
        <f>CONCATENATE("",E1," Ad Valorem Tax (est.)")</f>
        <v>2025 Ad Valorem Tax (est.)</v>
      </c>
      <c r="I67" s="370"/>
      <c r="J67" s="505"/>
      <c r="K67" s="625" t="str">
        <f>IF(G67=E82,"","Note: Does not include Delinquent Taxes")</f>
        <v/>
      </c>
    </row>
    <row r="68" spans="2:11" x14ac:dyDescent="0.25">
      <c r="B68" s="24"/>
      <c r="C68" s="15"/>
      <c r="D68" s="15"/>
      <c r="E68" s="20"/>
      <c r="G68" s="411">
        <f>SUM(G65:G67)</f>
        <v>0</v>
      </c>
      <c r="H68" s="370" t="str">
        <f>CONCATENATE("Total ",E1," Resources Available")</f>
        <v>Total 2025 Resources Available</v>
      </c>
      <c r="I68" s="412"/>
      <c r="J68" s="409"/>
      <c r="K68" s="338"/>
    </row>
    <row r="69" spans="2:11" x14ac:dyDescent="0.25">
      <c r="B69" s="24"/>
      <c r="C69" s="15"/>
      <c r="D69" s="15"/>
      <c r="E69" s="20"/>
      <c r="G69" s="413"/>
      <c r="H69" s="414"/>
      <c r="I69" s="336"/>
      <c r="J69" s="409"/>
      <c r="K69" s="338"/>
    </row>
    <row r="70" spans="2:11" x14ac:dyDescent="0.25">
      <c r="B70" s="24"/>
      <c r="C70" s="15"/>
      <c r="D70" s="15"/>
      <c r="E70" s="20"/>
      <c r="G70" s="393">
        <f>ROUND(C75*0.05+C75,0)</f>
        <v>0</v>
      </c>
      <c r="H70" s="370" t="str">
        <f>CONCATENATE("Less ",E1-2," Expenditures + 5%")</f>
        <v>Less 2023 Expenditures + 5%</v>
      </c>
      <c r="I70" s="412"/>
      <c r="J70" s="409"/>
      <c r="K70" s="338"/>
    </row>
    <row r="71" spans="2:11" x14ac:dyDescent="0.25">
      <c r="B71" s="24"/>
      <c r="C71" s="15"/>
      <c r="D71" s="15"/>
      <c r="E71" s="20"/>
      <c r="G71" s="399">
        <f>G68-G70</f>
        <v>0</v>
      </c>
      <c r="H71" s="400" t="str">
        <f>CONCATENATE("Projected ",E1+1," carryover (est.)")</f>
        <v>Projected 2026 carryover (est.)</v>
      </c>
      <c r="I71" s="415"/>
      <c r="J71" s="416"/>
      <c r="K71" s="338"/>
    </row>
    <row r="72" spans="2:11" x14ac:dyDescent="0.25">
      <c r="B72" s="21" t="str">
        <f>CONCATENATE("Cash Reserve (",E1," column)")</f>
        <v>Cash Reserve (2025 column)</v>
      </c>
      <c r="C72" s="15"/>
      <c r="D72" s="15"/>
      <c r="E72" s="20"/>
      <c r="G72" s="338"/>
      <c r="H72" s="338"/>
      <c r="I72" s="338"/>
      <c r="J72" s="338"/>
      <c r="K72" s="338"/>
    </row>
    <row r="73" spans="2:11" ht="15.75" customHeight="1" x14ac:dyDescent="0.25">
      <c r="B73" s="21" t="s">
        <v>327</v>
      </c>
      <c r="C73" s="15"/>
      <c r="D73" s="15"/>
      <c r="E73" s="20"/>
      <c r="G73" s="697" t="s">
        <v>346</v>
      </c>
      <c r="H73" s="698"/>
      <c r="I73" s="698"/>
      <c r="J73" s="699"/>
      <c r="K73" s="338"/>
    </row>
    <row r="74" spans="2:11" x14ac:dyDescent="0.25">
      <c r="B74" s="21" t="s">
        <v>347</v>
      </c>
      <c r="C74" s="258" t="str">
        <f>IF(C75*0.1&lt;C73,"Exceed 10% Rule","")</f>
        <v/>
      </c>
      <c r="D74" s="258" t="str">
        <f>IF(D75*0.1&lt;D73,"Exceed 10% Rule","")</f>
        <v/>
      </c>
      <c r="E74" s="30" t="str">
        <f>IF(E75*0.1&lt;E73,"Exceed 10% Rule","")</f>
        <v/>
      </c>
      <c r="G74" s="700"/>
      <c r="H74" s="701"/>
      <c r="I74" s="701"/>
      <c r="J74" s="702"/>
      <c r="K74" s="338"/>
    </row>
    <row r="75" spans="2:11" x14ac:dyDescent="0.25">
      <c r="B75" s="28" t="s">
        <v>348</v>
      </c>
      <c r="C75" s="32">
        <f>SUM(C66:C73)</f>
        <v>0</v>
      </c>
      <c r="D75" s="32">
        <f>SUM(D66:D73)</f>
        <v>0</v>
      </c>
      <c r="E75" s="32">
        <f>SUM(E66:E73)</f>
        <v>0</v>
      </c>
      <c r="G75" s="554" t="str">
        <f>'Budget Hearing Notice'!I25</f>
        <v xml:space="preserve"> </v>
      </c>
      <c r="H75" s="555" t="str">
        <f>CONCATENATE("",E1," Estimated Fund Mill Rate")</f>
        <v>2025 Estimated Fund Mill Rate</v>
      </c>
      <c r="I75" s="556"/>
      <c r="J75" s="557"/>
      <c r="K75" s="338"/>
    </row>
    <row r="76" spans="2:11" x14ac:dyDescent="0.25">
      <c r="B76" s="13" t="s">
        <v>349</v>
      </c>
      <c r="C76" s="18">
        <f>C64-C75</f>
        <v>0</v>
      </c>
      <c r="D76" s="18">
        <f>D64-D75</f>
        <v>0</v>
      </c>
      <c r="E76" s="19" t="s">
        <v>165</v>
      </c>
      <c r="G76" s="558" t="str">
        <f>'Budget Hearing Notice'!F25</f>
        <v xml:space="preserve">  </v>
      </c>
      <c r="H76" s="555" t="str">
        <f>CONCATENATE("",E1-1," Fund Mill Rate")</f>
        <v>2024 Fund Mill Rate</v>
      </c>
      <c r="I76" s="556"/>
      <c r="J76" s="557"/>
      <c r="K76" s="338"/>
    </row>
    <row r="77" spans="2:11" x14ac:dyDescent="0.25">
      <c r="B77" s="203" t="str">
        <f>CONCATENATE("",E1-2,"/",E1-1,"/",E1," Budget Authority Amount:")</f>
        <v>2023/2024/2025 Budget Authority Amount:</v>
      </c>
      <c r="C77" s="41">
        <f>inputOth!B56</f>
        <v>0</v>
      </c>
      <c r="D77" s="41">
        <f>inputPrYr!D24</f>
        <v>0</v>
      </c>
      <c r="E77" s="18">
        <f>E75</f>
        <v>0</v>
      </c>
      <c r="F77" s="33"/>
      <c r="G77" s="559">
        <f>'Budget Hearing Notice'!I33</f>
        <v>0</v>
      </c>
      <c r="H77" s="560" t="s">
        <v>350</v>
      </c>
      <c r="I77" s="556"/>
      <c r="J77" s="557"/>
      <c r="K77" s="338"/>
    </row>
    <row r="78" spans="2:11" x14ac:dyDescent="0.25">
      <c r="B78" s="612"/>
      <c r="C78" s="690" t="s">
        <v>351</v>
      </c>
      <c r="D78" s="691"/>
      <c r="E78" s="22"/>
      <c r="F78" s="272" t="str">
        <f>IF(E75/0.95-E75&lt;E78,"Exceeds 5%","")</f>
        <v/>
      </c>
      <c r="G78" s="554">
        <f>'Budget Hearing Notice'!I32</f>
        <v>0</v>
      </c>
      <c r="H78" s="555" t="str">
        <f>CONCATENATE(E1," Estimated Total Mill Rate")</f>
        <v>2025 Estimated Total Mill Rate</v>
      </c>
      <c r="I78" s="556"/>
      <c r="J78" s="557"/>
      <c r="K78" s="338"/>
    </row>
    <row r="79" spans="2:11" x14ac:dyDescent="0.25">
      <c r="B79" s="624" t="str">
        <f>CONCATENATE(C101,"     ",D101)</f>
        <v xml:space="preserve">     </v>
      </c>
      <c r="C79" s="692" t="s">
        <v>352</v>
      </c>
      <c r="D79" s="693"/>
      <c r="E79" s="18">
        <f>E75+E78</f>
        <v>0</v>
      </c>
      <c r="G79" s="561">
        <f>'Budget Hearing Notice'!F32</f>
        <v>0</v>
      </c>
      <c r="H79" s="555" t="str">
        <f>CONCATENATE(E1-1," Total Mill Rate")</f>
        <v>2024 Total Mill Rate</v>
      </c>
      <c r="I79" s="556"/>
      <c r="J79" s="557"/>
    </row>
    <row r="80" spans="2:11" x14ac:dyDescent="0.25">
      <c r="B80" s="624" t="str">
        <f>CONCATENATE(C102,"     ",D102)</f>
        <v xml:space="preserve">     </v>
      </c>
      <c r="C80" s="34"/>
      <c r="D80" s="35" t="s">
        <v>353</v>
      </c>
      <c r="E80" s="18">
        <f>IF(E79-E64&gt;0,E79-E64,0)</f>
        <v>0</v>
      </c>
      <c r="G80" s="562"/>
      <c r="H80" s="488"/>
      <c r="I80" s="488"/>
      <c r="J80" s="563"/>
    </row>
    <row r="81" spans="2:10" ht="15.75" customHeight="1" x14ac:dyDescent="0.25">
      <c r="B81" s="35"/>
      <c r="C81" s="604" t="s">
        <v>354</v>
      </c>
      <c r="D81" s="425">
        <f>inputOth!$E$43</f>
        <v>0</v>
      </c>
      <c r="E81" s="18">
        <f>ROUND(IF(D81&gt;0,(E80*D81),0),0)</f>
        <v>0</v>
      </c>
      <c r="G81" s="703" t="s">
        <v>355</v>
      </c>
      <c r="H81" s="704"/>
      <c r="I81" s="704"/>
      <c r="J81" s="707" t="str">
        <f>IF(G78&gt;G77, "Yes", "No")</f>
        <v>No</v>
      </c>
    </row>
    <row r="82" spans="2:10" ht="15.75" customHeight="1" x14ac:dyDescent="0.25">
      <c r="B82" s="3"/>
      <c r="C82" s="688" t="str">
        <f>CONCATENATE("Amount of  ",$E$1-1," Ad Valorem Tax")</f>
        <v>Amount of  2024 Ad Valorem Tax</v>
      </c>
      <c r="D82" s="689"/>
      <c r="E82" s="18">
        <f>E80+E81</f>
        <v>0</v>
      </c>
      <c r="G82" s="705"/>
      <c r="H82" s="706"/>
      <c r="I82" s="706"/>
      <c r="J82" s="708"/>
    </row>
    <row r="83" spans="2:10" x14ac:dyDescent="0.25">
      <c r="B83" s="3"/>
      <c r="C83" s="603"/>
      <c r="D83" s="603"/>
      <c r="E83" s="603"/>
      <c r="G83" s="686" t="str">
        <f>IF(J81="Yes", "Follow procedure prescribed by KSA 79-2988 to exceed the Revenue Neutral Rate.", " ")</f>
        <v xml:space="preserve"> </v>
      </c>
      <c r="H83" s="686"/>
      <c r="I83" s="686"/>
      <c r="J83" s="686"/>
    </row>
    <row r="84" spans="2:10" x14ac:dyDescent="0.25">
      <c r="B84" s="196" t="s">
        <v>181</v>
      </c>
      <c r="C84" s="522"/>
      <c r="D84" s="184"/>
      <c r="E84" s="186"/>
      <c r="G84" s="687"/>
      <c r="H84" s="687"/>
      <c r="I84" s="687"/>
      <c r="J84" s="687"/>
    </row>
    <row r="85" spans="2:10" x14ac:dyDescent="0.25">
      <c r="B85" s="523"/>
      <c r="C85" s="521"/>
      <c r="D85" s="3"/>
      <c r="E85" s="187"/>
      <c r="G85" s="687"/>
      <c r="H85" s="687"/>
      <c r="I85" s="687"/>
      <c r="J85" s="687"/>
    </row>
    <row r="86" spans="2:10" x14ac:dyDescent="0.25">
      <c r="B86" s="524"/>
      <c r="C86" s="525"/>
      <c r="D86" s="7"/>
      <c r="E86" s="189"/>
      <c r="G86" s="526"/>
      <c r="H86" s="526"/>
      <c r="I86" s="526"/>
      <c r="J86" s="527"/>
    </row>
    <row r="87" spans="2:10" x14ac:dyDescent="0.25">
      <c r="B87" s="3"/>
      <c r="C87" s="603"/>
      <c r="D87" s="603"/>
      <c r="E87" s="603"/>
      <c r="G87" s="526"/>
      <c r="H87" s="526"/>
      <c r="I87" s="526"/>
      <c r="J87" s="527"/>
    </row>
    <row r="88" spans="2:10" x14ac:dyDescent="0.25">
      <c r="B88" s="35" t="s">
        <v>356</v>
      </c>
      <c r="C88" s="483"/>
      <c r="D88" s="3"/>
      <c r="E88" s="3"/>
    </row>
    <row r="89" spans="2:10" x14ac:dyDescent="0.25">
      <c r="B89" s="55"/>
    </row>
    <row r="99" spans="3:4" hidden="1" x14ac:dyDescent="0.25">
      <c r="C99" s="4" t="str">
        <f>IF(C34&gt;C36,"See Tab A","")</f>
        <v/>
      </c>
      <c r="D99" s="4" t="str">
        <f>IF(D34&gt;D36,"See Tab C","")</f>
        <v/>
      </c>
    </row>
    <row r="100" spans="3:4" hidden="1" x14ac:dyDescent="0.25">
      <c r="C100" s="4" t="str">
        <f>IF(C35&lt;0,"See Tab B","")</f>
        <v/>
      </c>
      <c r="D100" s="4" t="str">
        <f>IF(D35&lt;0,"See Tab D","")</f>
        <v/>
      </c>
    </row>
    <row r="101" spans="3:4" hidden="1" x14ac:dyDescent="0.25">
      <c r="C101" s="4" t="str">
        <f>IF(C75&gt;C77,"See Tab A","")</f>
        <v/>
      </c>
      <c r="D101" s="4" t="str">
        <f>IF(D75&gt;D77,"See Tab C","")</f>
        <v/>
      </c>
    </row>
    <row r="102" spans="3:4" hidden="1" x14ac:dyDescent="0.25">
      <c r="C102" s="4" t="str">
        <f>IF(C76&lt;0,"See Tab B","")</f>
        <v/>
      </c>
      <c r="D102" s="4" t="str">
        <f>IF(D76&lt;0,"See Tab D","")</f>
        <v/>
      </c>
    </row>
  </sheetData>
  <sheetProtection sheet="1"/>
  <mergeCells count="18">
    <mergeCell ref="G81:I82"/>
    <mergeCell ref="J81:J82"/>
    <mergeCell ref="G83:J85"/>
    <mergeCell ref="C82:D82"/>
    <mergeCell ref="C41:D41"/>
    <mergeCell ref="C37:D37"/>
    <mergeCell ref="C38:D38"/>
    <mergeCell ref="C78:D78"/>
    <mergeCell ref="C79:D79"/>
    <mergeCell ref="G73:J74"/>
    <mergeCell ref="G12:J12"/>
    <mergeCell ref="G19:J19"/>
    <mergeCell ref="G56:J56"/>
    <mergeCell ref="G63:J63"/>
    <mergeCell ref="G29:J30"/>
    <mergeCell ref="G37:I38"/>
    <mergeCell ref="J37:J38"/>
    <mergeCell ref="G39:J41"/>
  </mergeCells>
  <phoneticPr fontId="0" type="noConversion"/>
  <conditionalFormatting sqref="C20">
    <cfRule type="cellIs" dxfId="72" priority="24" stopIfTrue="1" operator="greaterThan">
      <formula>$C$22*0.1</formula>
    </cfRule>
  </conditionalFormatting>
  <conditionalFormatting sqref="C32">
    <cfRule type="cellIs" dxfId="71" priority="21" stopIfTrue="1" operator="greaterThan">
      <formula>$C$34*0.1</formula>
    </cfRule>
  </conditionalFormatting>
  <conditionalFormatting sqref="C34">
    <cfRule type="expression" dxfId="70" priority="8">
      <formula>$C$34&gt;$C$36</formula>
    </cfRule>
  </conditionalFormatting>
  <conditionalFormatting sqref="C35">
    <cfRule type="expression" dxfId="69" priority="7">
      <formula>$C$35&lt;0</formula>
    </cfRule>
  </conditionalFormatting>
  <conditionalFormatting sqref="C61">
    <cfRule type="cellIs" dxfId="68" priority="18" stopIfTrue="1" operator="greaterThan">
      <formula>$C$63*0.1</formula>
    </cfRule>
  </conditionalFormatting>
  <conditionalFormatting sqref="C73">
    <cfRule type="cellIs" dxfId="67" priority="15" stopIfTrue="1" operator="greaterThan">
      <formula>$C$75*0.1</formula>
    </cfRule>
  </conditionalFormatting>
  <conditionalFormatting sqref="C75">
    <cfRule type="expression" dxfId="66" priority="4">
      <formula>$C$75&gt;$C$77</formula>
    </cfRule>
  </conditionalFormatting>
  <conditionalFormatting sqref="C76">
    <cfRule type="expression" dxfId="65" priority="3">
      <formula>$C$76&lt;0</formula>
    </cfRule>
  </conditionalFormatting>
  <conditionalFormatting sqref="D20">
    <cfRule type="cellIs" dxfId="64" priority="25" stopIfTrue="1" operator="greaterThan">
      <formula>$D$22*0.1</formula>
    </cfRule>
  </conditionalFormatting>
  <conditionalFormatting sqref="D32">
    <cfRule type="cellIs" dxfId="63" priority="22" stopIfTrue="1" operator="greaterThan">
      <formula>$D$34*0.1</formula>
    </cfRule>
  </conditionalFormatting>
  <conditionalFormatting sqref="D34">
    <cfRule type="expression" dxfId="62" priority="6">
      <formula>$D$34&gt;$D$36</formula>
    </cfRule>
  </conditionalFormatting>
  <conditionalFormatting sqref="D35">
    <cfRule type="expression" dxfId="61" priority="5">
      <formula>$D$35&lt;0</formula>
    </cfRule>
  </conditionalFormatting>
  <conditionalFormatting sqref="D61">
    <cfRule type="cellIs" dxfId="60" priority="19" stopIfTrue="1" operator="greaterThan">
      <formula>$D$63*0.1</formula>
    </cfRule>
  </conditionalFormatting>
  <conditionalFormatting sqref="D73">
    <cfRule type="cellIs" dxfId="59" priority="16" stopIfTrue="1" operator="greaterThan">
      <formula>$D$75*0.1</formula>
    </cfRule>
  </conditionalFormatting>
  <conditionalFormatting sqref="D75">
    <cfRule type="expression" dxfId="58" priority="2">
      <formula>$D$75&gt;$D$77</formula>
    </cfRule>
  </conditionalFormatting>
  <conditionalFormatting sqref="D76">
    <cfRule type="expression" dxfId="57" priority="1">
      <formula>$D$76&lt;0</formula>
    </cfRule>
  </conditionalFormatting>
  <conditionalFormatting sqref="E20">
    <cfRule type="cellIs" dxfId="56" priority="46" stopIfTrue="1" operator="greaterThan">
      <formula>$E$22*0.1+$E$41</formula>
    </cfRule>
  </conditionalFormatting>
  <conditionalFormatting sqref="E32">
    <cfRule type="cellIs" dxfId="55" priority="23" stopIfTrue="1" operator="greaterThan">
      <formula>$E$34*0.1</formula>
    </cfRule>
  </conditionalFormatting>
  <conditionalFormatting sqref="E37">
    <cfRule type="cellIs" dxfId="54" priority="20" stopIfTrue="1" operator="greaterThan">
      <formula>$E$34/0.95-$E$34</formula>
    </cfRule>
  </conditionalFormatting>
  <conditionalFormatting sqref="E61">
    <cfRule type="cellIs" dxfId="53" priority="47" stopIfTrue="1" operator="greaterThan">
      <formula>$E$63*0.1+$E$82</formula>
    </cfRule>
  </conditionalFormatting>
  <conditionalFormatting sqref="E73">
    <cfRule type="cellIs" dxfId="52" priority="17" stopIfTrue="1" operator="greaterThan">
      <formula>$E$75*0.1</formula>
    </cfRule>
  </conditionalFormatting>
  <conditionalFormatting sqref="E78">
    <cfRule type="cellIs" dxfId="51" priority="11" stopIfTrue="1" operator="greaterThan">
      <formula>$E$75/0.95-$E$75</formula>
    </cfRule>
  </conditionalFormatting>
  <conditionalFormatting sqref="J37">
    <cfRule type="containsText" dxfId="50" priority="10" operator="containsText" text="Yes">
      <formula>NOT(ISERROR(SEARCH("Yes",J37)))</formula>
    </cfRule>
  </conditionalFormatting>
  <conditionalFormatting sqref="J81">
    <cfRule type="containsText" dxfId="49" priority="9" operator="containsText" text="Yes">
      <formula>NOT(ISERROR(SEARCH("Yes",J81)))</formula>
    </cfRule>
  </conditionalFormatting>
  <pageMargins left="0.9" right="0.9" top="0.96" bottom="0.5" header="0.41" footer="0.3"/>
  <pageSetup scale="53"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F0"/>
    <pageSetUpPr fitToPage="1"/>
  </sheetPr>
  <dimension ref="B1:K102"/>
  <sheetViews>
    <sheetView zoomScaleNormal="100" workbookViewId="0">
      <selection activeCell="C73" sqref="C73:E73"/>
    </sheetView>
  </sheetViews>
  <sheetFormatPr defaultRowHeight="15.75" x14ac:dyDescent="0.25"/>
  <cols>
    <col min="1" max="1" width="2.3984375" style="4" customWidth="1"/>
    <col min="2" max="2" width="31" style="4" customWidth="1"/>
    <col min="3" max="4" width="15.69921875" style="4" customWidth="1"/>
    <col min="5" max="5" width="13.69921875" style="4" customWidth="1"/>
    <col min="6" max="6" width="7.3984375" style="4" customWidth="1"/>
    <col min="7" max="7" width="10.09765625" style="4" customWidth="1"/>
    <col min="8" max="8" width="8.796875" style="4"/>
    <col min="9" max="9" width="4.8984375" style="4" customWidth="1"/>
    <col min="10" max="10" width="9.8984375" style="4" customWidth="1"/>
    <col min="11" max="16384" width="8.796875" style="4"/>
  </cols>
  <sheetData>
    <row r="1" spans="2:11" x14ac:dyDescent="0.25">
      <c r="B1" s="2">
        <f>inputPrYr!D3</f>
        <v>0</v>
      </c>
      <c r="C1" s="3"/>
      <c r="D1" s="3"/>
      <c r="E1" s="612">
        <f>inputPrYr!D6</f>
        <v>2025</v>
      </c>
    </row>
    <row r="2" spans="2:11" x14ac:dyDescent="0.25">
      <c r="B2" s="5"/>
      <c r="C2" s="3"/>
      <c r="D2" s="39"/>
      <c r="E2" s="40"/>
    </row>
    <row r="3" spans="2:11" x14ac:dyDescent="0.25">
      <c r="B3" s="313" t="s">
        <v>313</v>
      </c>
      <c r="C3" s="43"/>
      <c r="D3" s="43"/>
      <c r="E3" s="43"/>
    </row>
    <row r="4" spans="2:11" x14ac:dyDescent="0.25">
      <c r="B4" s="9" t="s">
        <v>314</v>
      </c>
      <c r="C4" s="259" t="s">
        <v>315</v>
      </c>
      <c r="D4" s="262" t="s">
        <v>262</v>
      </c>
      <c r="E4" s="10" t="s">
        <v>316</v>
      </c>
    </row>
    <row r="5" spans="2:11" x14ac:dyDescent="0.25">
      <c r="B5" s="266">
        <f>inputPrYr!B25</f>
        <v>0</v>
      </c>
      <c r="C5" s="260" t="str">
        <f>General!C5</f>
        <v>Actual for 2023</v>
      </c>
      <c r="D5" s="260" t="str">
        <f>General!D5</f>
        <v>Estimate for 2024</v>
      </c>
      <c r="E5" s="12" t="str">
        <f>General!E5</f>
        <v>Year for 2025</v>
      </c>
    </row>
    <row r="6" spans="2:11" x14ac:dyDescent="0.25">
      <c r="B6" s="13" t="s">
        <v>317</v>
      </c>
      <c r="C6" s="15"/>
      <c r="D6" s="261">
        <f>C35</f>
        <v>0</v>
      </c>
      <c r="E6" s="18">
        <f>D35</f>
        <v>0</v>
      </c>
    </row>
    <row r="7" spans="2:11" x14ac:dyDescent="0.25">
      <c r="B7" s="13" t="s">
        <v>318</v>
      </c>
      <c r="C7" s="261"/>
      <c r="D7" s="261"/>
      <c r="E7" s="19"/>
    </row>
    <row r="8" spans="2:11" x14ac:dyDescent="0.25">
      <c r="B8" s="13" t="s">
        <v>93</v>
      </c>
      <c r="C8" s="15"/>
      <c r="D8" s="261">
        <f>IF(inputPrYr!H16&gt;0,inputPrYr!G25,inputPrYr!E25)</f>
        <v>0</v>
      </c>
      <c r="E8" s="19" t="s">
        <v>165</v>
      </c>
    </row>
    <row r="9" spans="2:11" x14ac:dyDescent="0.25">
      <c r="B9" s="13" t="s">
        <v>319</v>
      </c>
      <c r="C9" s="15"/>
      <c r="D9" s="15"/>
      <c r="E9" s="20"/>
    </row>
    <row r="10" spans="2:11" x14ac:dyDescent="0.25">
      <c r="B10" s="13" t="s">
        <v>320</v>
      </c>
      <c r="C10" s="15"/>
      <c r="D10" s="15"/>
      <c r="E10" s="18">
        <f>Mvalloc!D19</f>
        <v>0</v>
      </c>
    </row>
    <row r="11" spans="2:11" x14ac:dyDescent="0.25">
      <c r="B11" s="13" t="s">
        <v>321</v>
      </c>
      <c r="C11" s="15"/>
      <c r="D11" s="15"/>
      <c r="E11" s="18">
        <f>Mvalloc!E19</f>
        <v>0</v>
      </c>
    </row>
    <row r="12" spans="2:11" x14ac:dyDescent="0.25">
      <c r="B12" s="13" t="s">
        <v>361</v>
      </c>
      <c r="C12" s="15"/>
      <c r="D12" s="15"/>
      <c r="E12" s="18">
        <f>Mvalloc!F19</f>
        <v>0</v>
      </c>
      <c r="G12" s="711" t="str">
        <f>CONCATENATE("Desired Carryover Into ",E1+1,"")</f>
        <v>Desired Carryover Into 2026</v>
      </c>
      <c r="H12" s="712"/>
      <c r="I12" s="712"/>
      <c r="J12" s="713"/>
      <c r="K12" s="338"/>
    </row>
    <row r="13" spans="2:11" x14ac:dyDescent="0.25">
      <c r="B13" s="497" t="s">
        <v>323</v>
      </c>
      <c r="C13" s="15"/>
      <c r="D13" s="15"/>
      <c r="E13" s="18">
        <f>Mvalloc!G19</f>
        <v>0</v>
      </c>
      <c r="G13" s="369"/>
      <c r="H13" s="336"/>
      <c r="I13" s="370"/>
      <c r="J13" s="371"/>
      <c r="K13" s="338"/>
    </row>
    <row r="14" spans="2:11" x14ac:dyDescent="0.25">
      <c r="B14" s="497" t="s">
        <v>324</v>
      </c>
      <c r="C14" s="15"/>
      <c r="D14" s="15"/>
      <c r="E14" s="18">
        <f>Mvalloc!H19</f>
        <v>0</v>
      </c>
      <c r="G14" s="372" t="s">
        <v>334</v>
      </c>
      <c r="H14" s="370"/>
      <c r="I14" s="370"/>
      <c r="J14" s="373">
        <v>0</v>
      </c>
      <c r="K14" s="338"/>
    </row>
    <row r="15" spans="2:11" x14ac:dyDescent="0.25">
      <c r="B15" s="24"/>
      <c r="C15" s="15"/>
      <c r="D15" s="15"/>
      <c r="E15" s="20"/>
      <c r="G15" s="369" t="s">
        <v>336</v>
      </c>
      <c r="H15" s="336"/>
      <c r="I15" s="336"/>
      <c r="J15" s="374" t="str">
        <f>IF(J14=0,"",ROUND((J14+E41-G27)/inputOth!E7*1000,3)-G32)</f>
        <v/>
      </c>
      <c r="K15" s="338"/>
    </row>
    <row r="16" spans="2:11" x14ac:dyDescent="0.25">
      <c r="B16" s="24"/>
      <c r="C16" s="15"/>
      <c r="D16" s="15"/>
      <c r="E16" s="20"/>
      <c r="G16" s="375" t="str">
        <f>CONCATENATE("",E1," Tot Exp/Non-Appr Must Be:")</f>
        <v>2025 Tot Exp/Non-Appr Must Be:</v>
      </c>
      <c r="H16" s="376"/>
      <c r="I16" s="377"/>
      <c r="J16" s="378">
        <f>IF(J14&gt;0,IF(E38&lt;E23,IF(J14=G27,E38,((J14-G27)*(1-D40))+E23),E38+(J14-G27)),0)</f>
        <v>0</v>
      </c>
      <c r="K16" s="338"/>
    </row>
    <row r="17" spans="2:11" x14ac:dyDescent="0.25">
      <c r="B17" s="24"/>
      <c r="C17" s="15"/>
      <c r="D17" s="15"/>
      <c r="E17" s="20"/>
      <c r="G17" s="379" t="s">
        <v>339</v>
      </c>
      <c r="H17" s="380"/>
      <c r="I17" s="380"/>
      <c r="J17" s="381">
        <f>IF(J14&gt;0,J16-E38,0)</f>
        <v>0</v>
      </c>
      <c r="K17" s="338"/>
    </row>
    <row r="18" spans="2:11" x14ac:dyDescent="0.25">
      <c r="B18" s="24" t="s">
        <v>326</v>
      </c>
      <c r="C18" s="15"/>
      <c r="D18" s="15"/>
      <c r="E18" s="20"/>
      <c r="G18" s="338"/>
      <c r="H18" s="338"/>
      <c r="I18" s="338"/>
      <c r="J18" s="338"/>
      <c r="K18" s="338"/>
    </row>
    <row r="19" spans="2:11" x14ac:dyDescent="0.25">
      <c r="B19" s="21" t="s">
        <v>170</v>
      </c>
      <c r="C19" s="15"/>
      <c r="D19" s="15"/>
      <c r="E19" s="18">
        <f>'NR Rebate'!E14*-1</f>
        <v>0</v>
      </c>
      <c r="G19" s="711" t="str">
        <f>CONCATENATE("Projected Carryover Into ",E1+1,"")</f>
        <v>Projected Carryover Into 2026</v>
      </c>
      <c r="H19" s="716"/>
      <c r="I19" s="716"/>
      <c r="J19" s="715"/>
      <c r="K19" s="338"/>
    </row>
    <row r="20" spans="2:11" x14ac:dyDescent="0.25">
      <c r="B20" s="25" t="s">
        <v>327</v>
      </c>
      <c r="C20" s="15"/>
      <c r="D20" s="15"/>
      <c r="E20" s="20"/>
      <c r="G20" s="369"/>
      <c r="H20" s="370"/>
      <c r="I20" s="370"/>
      <c r="J20" s="383"/>
      <c r="K20" s="338"/>
    </row>
    <row r="21" spans="2:11" x14ac:dyDescent="0.25">
      <c r="B21" s="25" t="s">
        <v>328</v>
      </c>
      <c r="C21" s="258" t="str">
        <f>IF(C22*0.1&lt;C20,"Exceed 10% Rule","")</f>
        <v/>
      </c>
      <c r="D21" s="258" t="str">
        <f>IF(D22*0.1&lt;D20,"Exceed 10% Rule","")</f>
        <v/>
      </c>
      <c r="E21" s="30" t="str">
        <f>IF(E22*0.1+E41&lt;E20,"Exceed 10% Rule","")</f>
        <v/>
      </c>
      <c r="G21" s="386">
        <f>D35</f>
        <v>0</v>
      </c>
      <c r="H21" s="387" t="str">
        <f>CONCATENATE("",E1-1," Ending Cash Balance (est.)")</f>
        <v>2024 Ending Cash Balance (est.)</v>
      </c>
      <c r="I21" s="388"/>
      <c r="J21" s="383"/>
      <c r="K21" s="338"/>
    </row>
    <row r="22" spans="2:11" x14ac:dyDescent="0.25">
      <c r="B22" s="606" t="s">
        <v>329</v>
      </c>
      <c r="C22" s="32">
        <f>SUM(C8:C20)</f>
        <v>0</v>
      </c>
      <c r="D22" s="32">
        <f>SUM(D8:D20)</f>
        <v>0</v>
      </c>
      <c r="E22" s="32">
        <f>SUM(E8:E20)</f>
        <v>0</v>
      </c>
      <c r="G22" s="386">
        <f>E22</f>
        <v>0</v>
      </c>
      <c r="H22" s="370" t="str">
        <f>CONCATENATE("",E1," Non-AV Receipts (est.)")</f>
        <v>2025 Non-AV Receipts (est.)</v>
      </c>
      <c r="I22" s="370"/>
      <c r="J22" s="339"/>
      <c r="K22" s="504"/>
    </row>
    <row r="23" spans="2:11" x14ac:dyDescent="0.2">
      <c r="B23" s="28" t="s">
        <v>330</v>
      </c>
      <c r="C23" s="32">
        <f>C22+C6</f>
        <v>0</v>
      </c>
      <c r="D23" s="32">
        <f>D22+D6</f>
        <v>0</v>
      </c>
      <c r="E23" s="32">
        <f>E22+E6</f>
        <v>0</v>
      </c>
      <c r="G23" s="393">
        <f>IF(E40&gt;0,E39,E41)</f>
        <v>0</v>
      </c>
      <c r="H23" s="370" t="str">
        <f>CONCATENATE("",E1," Ad Valorem Tax (est.)")</f>
        <v>2025 Ad Valorem Tax (est.)</v>
      </c>
      <c r="I23" s="370"/>
      <c r="J23" s="339"/>
      <c r="K23" s="625" t="str">
        <f>IF(G23=E41,"","Note: Does not include Delinquent Taxes")</f>
        <v/>
      </c>
    </row>
    <row r="24" spans="2:11" x14ac:dyDescent="0.25">
      <c r="B24" s="13" t="s">
        <v>331</v>
      </c>
      <c r="C24" s="261"/>
      <c r="D24" s="261"/>
      <c r="E24" s="18"/>
      <c r="G24" s="386">
        <f>SUM(G21:G23)</f>
        <v>0</v>
      </c>
      <c r="H24" s="370" t="str">
        <f>CONCATENATE("Total ",E1," Resources Available")</f>
        <v>Total 2025 Resources Available</v>
      </c>
      <c r="I24" s="388"/>
      <c r="J24" s="383"/>
      <c r="K24" s="338"/>
    </row>
    <row r="25" spans="2:11" x14ac:dyDescent="0.25">
      <c r="B25" s="24"/>
      <c r="C25" s="15"/>
      <c r="D25" s="15"/>
      <c r="E25" s="20"/>
      <c r="G25" s="395"/>
      <c r="H25" s="370"/>
      <c r="I25" s="370"/>
      <c r="J25" s="383"/>
      <c r="K25" s="338"/>
    </row>
    <row r="26" spans="2:11" x14ac:dyDescent="0.25">
      <c r="B26" s="24"/>
      <c r="C26" s="15"/>
      <c r="D26" s="15"/>
      <c r="E26" s="20"/>
      <c r="G26" s="393">
        <f>ROUND(C34*0.05+C34,)</f>
        <v>0</v>
      </c>
      <c r="H26" s="370" t="str">
        <f>CONCATENATE("Less ",E1-2," Expenditures + 5%")</f>
        <v>Less 2023 Expenditures + 5%</v>
      </c>
      <c r="I26" s="370"/>
      <c r="J26" s="383"/>
      <c r="K26" s="338"/>
    </row>
    <row r="27" spans="2:11" x14ac:dyDescent="0.25">
      <c r="B27" s="24"/>
      <c r="C27" s="15"/>
      <c r="D27" s="15"/>
      <c r="E27" s="20"/>
      <c r="G27" s="399">
        <f>G24-G26</f>
        <v>0</v>
      </c>
      <c r="H27" s="400" t="str">
        <f>CONCATENATE("Projected ",E1+1," carryover (est.)")</f>
        <v>Projected 2026 carryover (est.)</v>
      </c>
      <c r="I27" s="401"/>
      <c r="J27" s="402"/>
      <c r="K27" s="338"/>
    </row>
    <row r="28" spans="2:11" x14ac:dyDescent="0.25">
      <c r="B28" s="15"/>
      <c r="C28" s="15"/>
      <c r="D28" s="15"/>
      <c r="E28" s="20"/>
      <c r="G28" s="338"/>
      <c r="H28" s="338"/>
      <c r="I28" s="338"/>
      <c r="J28" s="338"/>
      <c r="K28" s="338"/>
    </row>
    <row r="29" spans="2:11" x14ac:dyDescent="0.25">
      <c r="B29" s="15"/>
      <c r="C29" s="15"/>
      <c r="D29" s="15"/>
      <c r="E29" s="20"/>
      <c r="G29" s="697" t="s">
        <v>346</v>
      </c>
      <c r="H29" s="698"/>
      <c r="I29" s="698"/>
      <c r="J29" s="699"/>
      <c r="K29" s="338"/>
    </row>
    <row r="30" spans="2:11" x14ac:dyDescent="0.25">
      <c r="B30" s="24"/>
      <c r="C30" s="15"/>
      <c r="D30" s="15"/>
      <c r="E30" s="20"/>
      <c r="G30" s="700"/>
      <c r="H30" s="701"/>
      <c r="I30" s="701"/>
      <c r="J30" s="702"/>
      <c r="K30" s="338"/>
    </row>
    <row r="31" spans="2:11" x14ac:dyDescent="0.25">
      <c r="B31" s="21" t="str">
        <f>CONCATENATE("Cash Reserve (",E1," column)")</f>
        <v>Cash Reserve (2025 column)</v>
      </c>
      <c r="C31" s="15"/>
      <c r="D31" s="15"/>
      <c r="E31" s="20"/>
      <c r="G31" s="554" t="str">
        <f>'Budget Hearing Notice'!I26</f>
        <v xml:space="preserve"> </v>
      </c>
      <c r="H31" s="555" t="str">
        <f>CONCATENATE("",E1," Estimated Fund Mill Rate")</f>
        <v>2025 Estimated Fund Mill Rate</v>
      </c>
      <c r="I31" s="556"/>
      <c r="J31" s="557"/>
      <c r="K31" s="338"/>
    </row>
    <row r="32" spans="2:11" x14ac:dyDescent="0.25">
      <c r="B32" s="21" t="s">
        <v>327</v>
      </c>
      <c r="C32" s="15"/>
      <c r="D32" s="15"/>
      <c r="E32" s="20"/>
      <c r="G32" s="558" t="str">
        <f>'Budget Hearing Notice'!F26</f>
        <v xml:space="preserve">  </v>
      </c>
      <c r="H32" s="555" t="str">
        <f>CONCATENATE("",E1-1," Fund Mill Rate")</f>
        <v>2024 Fund Mill Rate</v>
      </c>
      <c r="I32" s="556"/>
      <c r="J32" s="557"/>
      <c r="K32" s="338"/>
    </row>
    <row r="33" spans="2:11" x14ac:dyDescent="0.25">
      <c r="B33" s="21" t="s">
        <v>347</v>
      </c>
      <c r="C33" s="258" t="str">
        <f>IF(C34*0.1&lt;C32,"Exceed 10% Rule","")</f>
        <v/>
      </c>
      <c r="D33" s="258" t="str">
        <f>IF(D34*0.1&lt;D32,"Exceed 10% Rule","")</f>
        <v/>
      </c>
      <c r="E33" s="30" t="str">
        <f>IF(E34*0.1&lt;E32,"Exceed 10% Rule","")</f>
        <v/>
      </c>
      <c r="G33" s="559">
        <f>'Budget Hearing Notice'!I33</f>
        <v>0</v>
      </c>
      <c r="H33" s="560" t="s">
        <v>350</v>
      </c>
      <c r="I33" s="556"/>
      <c r="J33" s="557"/>
      <c r="K33" s="338"/>
    </row>
    <row r="34" spans="2:11" x14ac:dyDescent="0.25">
      <c r="B34" s="28" t="s">
        <v>348</v>
      </c>
      <c r="C34" s="32">
        <f>SUM(C25:C32)</f>
        <v>0</v>
      </c>
      <c r="D34" s="32">
        <f>SUM(D25:D32)</f>
        <v>0</v>
      </c>
      <c r="E34" s="32">
        <f>SUM(E25:E32)</f>
        <v>0</v>
      </c>
      <c r="G34" s="554">
        <f>'Budget Hearing Notice'!I32</f>
        <v>0</v>
      </c>
      <c r="H34" s="555" t="str">
        <f>CONCATENATE(E1," Estimated Total Mill Rate")</f>
        <v>2025 Estimated Total Mill Rate</v>
      </c>
      <c r="I34" s="556"/>
      <c r="J34" s="557"/>
      <c r="K34" s="338"/>
    </row>
    <row r="35" spans="2:11" x14ac:dyDescent="0.25">
      <c r="B35" s="13" t="s">
        <v>349</v>
      </c>
      <c r="C35" s="18">
        <f>C23-C34</f>
        <v>0</v>
      </c>
      <c r="D35" s="18">
        <f>D23-D34</f>
        <v>0</v>
      </c>
      <c r="E35" s="19" t="s">
        <v>165</v>
      </c>
      <c r="G35" s="561">
        <f>'Budget Hearing Notice'!F32</f>
        <v>0</v>
      </c>
      <c r="H35" s="555" t="str">
        <f>CONCATENATE(E1-1," Total Mill Rate")</f>
        <v>2024 Total Mill Rate</v>
      </c>
      <c r="I35" s="556"/>
      <c r="J35" s="557"/>
      <c r="K35" s="338"/>
    </row>
    <row r="36" spans="2:11" x14ac:dyDescent="0.25">
      <c r="B36" s="203" t="str">
        <f>CONCATENATE("",E1-2,"/",E1-1,"/",E1," Budget Authority Amount:")</f>
        <v>2023/2024/2025 Budget Authority Amount:</v>
      </c>
      <c r="C36" s="41">
        <f>inputOth!B57</f>
        <v>0</v>
      </c>
      <c r="D36" s="41">
        <f>inputPrYr!D25</f>
        <v>0</v>
      </c>
      <c r="E36" s="18">
        <f>E34</f>
        <v>0</v>
      </c>
      <c r="F36" s="33"/>
      <c r="G36" s="562"/>
      <c r="H36" s="488"/>
      <c r="I36" s="488"/>
      <c r="J36" s="563"/>
    </row>
    <row r="37" spans="2:11" x14ac:dyDescent="0.25">
      <c r="B37" s="612"/>
      <c r="C37" s="690" t="s">
        <v>351</v>
      </c>
      <c r="D37" s="691"/>
      <c r="E37" s="20"/>
      <c r="F37" s="272" t="str">
        <f>IF(E34/0.95-E34&lt;E37,"Exceeds 5%","")</f>
        <v/>
      </c>
      <c r="G37" s="703" t="s">
        <v>355</v>
      </c>
      <c r="H37" s="704"/>
      <c r="I37" s="704"/>
      <c r="J37" s="707" t="str">
        <f>IF(G34&gt;G33, "Yes", "No")</f>
        <v>No</v>
      </c>
    </row>
    <row r="38" spans="2:11" x14ac:dyDescent="0.25">
      <c r="B38" s="624" t="str">
        <f>CONCATENATE(C99,"     ",D99)</f>
        <v xml:space="preserve">     </v>
      </c>
      <c r="C38" s="692" t="s">
        <v>352</v>
      </c>
      <c r="D38" s="693"/>
      <c r="E38" s="18">
        <f>E34+E37</f>
        <v>0</v>
      </c>
      <c r="G38" s="705"/>
      <c r="H38" s="706"/>
      <c r="I38" s="706"/>
      <c r="J38" s="708"/>
    </row>
    <row r="39" spans="2:11" x14ac:dyDescent="0.25">
      <c r="B39" s="624" t="str">
        <f>CONCATENATE(C100,"     ",D100)</f>
        <v xml:space="preserve">     </v>
      </c>
      <c r="C39" s="34"/>
      <c r="D39" s="35" t="s">
        <v>353</v>
      </c>
      <c r="E39" s="18">
        <f>IF(E38-E23&gt;0,E38-E23,0)</f>
        <v>0</v>
      </c>
      <c r="G39" s="686" t="str">
        <f>IF(J37="Yes", "Follow procedure prescribed by KSA 79-2988 to exceed the Revenue Neutral Rate.", " ")</f>
        <v xml:space="preserve"> </v>
      </c>
      <c r="H39" s="686"/>
      <c r="I39" s="686"/>
      <c r="J39" s="686"/>
      <c r="K39" s="338"/>
    </row>
    <row r="40" spans="2:11" x14ac:dyDescent="0.25">
      <c r="B40" s="35"/>
      <c r="C40" s="604" t="s">
        <v>354</v>
      </c>
      <c r="D40" s="425">
        <f>inputOth!$E$43</f>
        <v>0</v>
      </c>
      <c r="E40" s="18">
        <f>ROUND(IF(D40&gt;0,(E39*D40),0),0)</f>
        <v>0</v>
      </c>
      <c r="G40" s="687"/>
      <c r="H40" s="687"/>
      <c r="I40" s="687"/>
      <c r="J40" s="687"/>
      <c r="K40" s="338"/>
    </row>
    <row r="41" spans="2:11" x14ac:dyDescent="0.25">
      <c r="B41" s="3"/>
      <c r="C41" s="688" t="str">
        <f>CONCATENATE("Amount of  ",$E$1-1," Ad Valorem Tax")</f>
        <v>Amount of  2024 Ad Valorem Tax</v>
      </c>
      <c r="D41" s="689"/>
      <c r="E41" s="18">
        <f>E39+E40</f>
        <v>0</v>
      </c>
      <c r="G41" s="687"/>
      <c r="H41" s="687"/>
      <c r="I41" s="687"/>
      <c r="J41" s="687"/>
      <c r="K41" s="338"/>
    </row>
    <row r="42" spans="2:11" x14ac:dyDescent="0.25">
      <c r="B42" s="3"/>
      <c r="C42" s="603"/>
      <c r="D42" s="3"/>
      <c r="E42" s="3"/>
    </row>
    <row r="43" spans="2:11" x14ac:dyDescent="0.25">
      <c r="B43" s="3"/>
      <c r="C43" s="603"/>
      <c r="D43" s="3"/>
      <c r="E43" s="3"/>
    </row>
    <row r="44" spans="2:11" x14ac:dyDescent="0.25">
      <c r="B44" s="9" t="s">
        <v>314</v>
      </c>
      <c r="C44" s="43"/>
      <c r="D44" s="43"/>
      <c r="E44" s="43"/>
    </row>
    <row r="45" spans="2:11" x14ac:dyDescent="0.25">
      <c r="B45" s="3"/>
      <c r="C45" s="259" t="s">
        <v>315</v>
      </c>
      <c r="D45" s="262" t="s">
        <v>262</v>
      </c>
      <c r="E45" s="10" t="s">
        <v>316</v>
      </c>
      <c r="G45" s="338"/>
      <c r="H45" s="338"/>
      <c r="I45" s="338"/>
      <c r="J45" s="338"/>
      <c r="K45" s="338"/>
    </row>
    <row r="46" spans="2:11" x14ac:dyDescent="0.25">
      <c r="B46" s="271">
        <f>inputPrYr!B26</f>
        <v>0</v>
      </c>
      <c r="C46" s="260" t="str">
        <f>C5</f>
        <v>Actual for 2023</v>
      </c>
      <c r="D46" s="260" t="str">
        <f>D5</f>
        <v>Estimate for 2024</v>
      </c>
      <c r="E46" s="12" t="str">
        <f>E5</f>
        <v>Year for 2025</v>
      </c>
      <c r="G46" s="338"/>
      <c r="H46" s="338"/>
      <c r="I46" s="338"/>
      <c r="J46" s="338"/>
      <c r="K46" s="338"/>
    </row>
    <row r="47" spans="2:11" x14ac:dyDescent="0.25">
      <c r="B47" s="13" t="s">
        <v>317</v>
      </c>
      <c r="C47" s="15"/>
      <c r="D47" s="261">
        <f>C76</f>
        <v>0</v>
      </c>
      <c r="E47" s="18">
        <f>D76</f>
        <v>0</v>
      </c>
      <c r="G47" s="338"/>
      <c r="H47" s="338"/>
      <c r="I47" s="338"/>
      <c r="J47" s="338"/>
      <c r="K47" s="338"/>
    </row>
    <row r="48" spans="2:11" x14ac:dyDescent="0.25">
      <c r="B48" s="13" t="s">
        <v>318</v>
      </c>
      <c r="C48" s="261"/>
      <c r="D48" s="261"/>
      <c r="E48" s="19"/>
      <c r="G48" s="338"/>
      <c r="H48" s="338"/>
      <c r="I48" s="338"/>
      <c r="J48" s="338"/>
      <c r="K48" s="338"/>
    </row>
    <row r="49" spans="2:11" x14ac:dyDescent="0.25">
      <c r="B49" s="13" t="s">
        <v>93</v>
      </c>
      <c r="C49" s="15"/>
      <c r="D49" s="261">
        <f>IF(inputPrYr!H16&gt;0,inputPrYr!G26,inputPrYr!E26)</f>
        <v>0</v>
      </c>
      <c r="E49" s="19" t="s">
        <v>165</v>
      </c>
      <c r="G49" s="338"/>
      <c r="H49" s="338"/>
      <c r="I49" s="338"/>
      <c r="J49" s="338"/>
      <c r="K49" s="338"/>
    </row>
    <row r="50" spans="2:11" x14ac:dyDescent="0.25">
      <c r="B50" s="13" t="s">
        <v>319</v>
      </c>
      <c r="C50" s="15"/>
      <c r="D50" s="15"/>
      <c r="E50" s="20"/>
      <c r="G50" s="338"/>
      <c r="H50" s="338"/>
      <c r="I50" s="338"/>
      <c r="J50" s="338"/>
      <c r="K50" s="338"/>
    </row>
    <row r="51" spans="2:11" x14ac:dyDescent="0.25">
      <c r="B51" s="13" t="s">
        <v>320</v>
      </c>
      <c r="C51" s="15"/>
      <c r="D51" s="15"/>
      <c r="E51" s="18">
        <f>Mvalloc!D20</f>
        <v>0</v>
      </c>
      <c r="G51" s="338"/>
      <c r="H51" s="338"/>
      <c r="I51" s="338"/>
      <c r="J51" s="338"/>
      <c r="K51" s="338"/>
    </row>
    <row r="52" spans="2:11" x14ac:dyDescent="0.25">
      <c r="B52" s="13" t="s">
        <v>321</v>
      </c>
      <c r="C52" s="15"/>
      <c r="D52" s="15"/>
      <c r="E52" s="18">
        <f>Mvalloc!E20</f>
        <v>0</v>
      </c>
      <c r="G52" s="338"/>
      <c r="H52" s="338"/>
      <c r="I52" s="338"/>
      <c r="J52" s="338"/>
      <c r="K52" s="338"/>
    </row>
    <row r="53" spans="2:11" x14ac:dyDescent="0.25">
      <c r="B53" s="13" t="s">
        <v>361</v>
      </c>
      <c r="C53" s="15"/>
      <c r="D53" s="15"/>
      <c r="E53" s="18">
        <f>Mvalloc!F20</f>
        <v>0</v>
      </c>
      <c r="G53" s="338"/>
      <c r="H53" s="338"/>
      <c r="I53" s="338"/>
      <c r="J53" s="338"/>
      <c r="K53" s="338"/>
    </row>
    <row r="54" spans="2:11" x14ac:dyDescent="0.25">
      <c r="B54" s="497" t="s">
        <v>323</v>
      </c>
      <c r="C54" s="15"/>
      <c r="D54" s="15"/>
      <c r="E54" s="18">
        <f>Mvalloc!G20</f>
        <v>0</v>
      </c>
      <c r="G54" s="338"/>
      <c r="H54" s="338"/>
      <c r="I54" s="338"/>
      <c r="J54" s="338"/>
      <c r="K54" s="338"/>
    </row>
    <row r="55" spans="2:11" x14ac:dyDescent="0.25">
      <c r="B55" s="497" t="s">
        <v>324</v>
      </c>
      <c r="C55" s="15"/>
      <c r="D55" s="15"/>
      <c r="E55" s="18">
        <f>Mvalloc!H20</f>
        <v>0</v>
      </c>
      <c r="G55" s="338"/>
      <c r="H55" s="338"/>
      <c r="I55" s="338"/>
      <c r="J55" s="338"/>
      <c r="K55" s="338"/>
    </row>
    <row r="56" spans="2:11" x14ac:dyDescent="0.25">
      <c r="B56" s="23"/>
      <c r="C56" s="15"/>
      <c r="D56" s="15"/>
      <c r="E56" s="20"/>
      <c r="G56" s="711" t="str">
        <f>CONCATENATE("Desired Carryover Into ",E1+1,"")</f>
        <v>Desired Carryover Into 2026</v>
      </c>
      <c r="H56" s="712"/>
      <c r="I56" s="712"/>
      <c r="J56" s="713"/>
      <c r="K56" s="338"/>
    </row>
    <row r="57" spans="2:11" x14ac:dyDescent="0.25">
      <c r="B57" s="23"/>
      <c r="C57" s="15"/>
      <c r="D57" s="15"/>
      <c r="E57" s="20"/>
      <c r="G57" s="369"/>
      <c r="H57" s="336"/>
      <c r="I57" s="370"/>
      <c r="J57" s="371"/>
      <c r="K57" s="338"/>
    </row>
    <row r="58" spans="2:11" x14ac:dyDescent="0.25">
      <c r="B58" s="24"/>
      <c r="C58" s="15"/>
      <c r="D58" s="15"/>
      <c r="E58" s="20"/>
      <c r="G58" s="372" t="s">
        <v>334</v>
      </c>
      <c r="H58" s="370"/>
      <c r="I58" s="370"/>
      <c r="J58" s="373">
        <v>0</v>
      </c>
      <c r="K58" s="338"/>
    </row>
    <row r="59" spans="2:11" x14ac:dyDescent="0.25">
      <c r="B59" s="24" t="s">
        <v>326</v>
      </c>
      <c r="C59" s="15"/>
      <c r="D59" s="15"/>
      <c r="E59" s="20"/>
      <c r="G59" s="369" t="s">
        <v>336</v>
      </c>
      <c r="H59" s="336"/>
      <c r="I59" s="336"/>
      <c r="J59" s="374" t="str">
        <f>IF(J58=0,"",ROUND((J58+E82-G71)/inputOth!E7*1000,3)-G76)</f>
        <v/>
      </c>
      <c r="K59" s="338"/>
    </row>
    <row r="60" spans="2:11" x14ac:dyDescent="0.25">
      <c r="B60" s="21" t="s">
        <v>170</v>
      </c>
      <c r="C60" s="15"/>
      <c r="D60" s="15"/>
      <c r="E60" s="18">
        <f>'NR Rebate'!E15*-1</f>
        <v>0</v>
      </c>
      <c r="G60" s="375" t="str">
        <f>CONCATENATE("",E1," Tot Exp/Non-Appr Must Be:")</f>
        <v>2025 Tot Exp/Non-Appr Must Be:</v>
      </c>
      <c r="H60" s="376"/>
      <c r="I60" s="377"/>
      <c r="J60" s="378">
        <f>IF(J58&gt;0,IF(E79&lt;E64,IF(J58=G71,E79,((J58-G71)*(1-D81))+E64),E79+(J58-G71)),0)</f>
        <v>0</v>
      </c>
      <c r="K60" s="338"/>
    </row>
    <row r="61" spans="2:11" x14ac:dyDescent="0.25">
      <c r="B61" s="25" t="s">
        <v>327</v>
      </c>
      <c r="C61" s="15"/>
      <c r="D61" s="15"/>
      <c r="E61" s="20"/>
      <c r="G61" s="379" t="s">
        <v>339</v>
      </c>
      <c r="H61" s="380"/>
      <c r="I61" s="380"/>
      <c r="J61" s="381">
        <f>IF(J58&gt;0,J60-E79,0)</f>
        <v>0</v>
      </c>
      <c r="K61" s="338"/>
    </row>
    <row r="62" spans="2:11" x14ac:dyDescent="0.25">
      <c r="B62" s="25" t="s">
        <v>328</v>
      </c>
      <c r="C62" s="258" t="str">
        <f>IF(C63*0.1&lt;C61,"Exceed 10% Rule","")</f>
        <v/>
      </c>
      <c r="D62" s="258" t="str">
        <f>IF(D63*0.1&lt;D61,"Exceed 10% Rule","")</f>
        <v/>
      </c>
      <c r="E62" s="30" t="str">
        <f>IF(E63*0.1+E82&lt;E61,"Exceed 10% Rule","")</f>
        <v/>
      </c>
      <c r="G62" s="338"/>
      <c r="H62" s="338"/>
      <c r="I62" s="338"/>
      <c r="J62" s="338"/>
      <c r="K62" s="338"/>
    </row>
    <row r="63" spans="2:11" x14ac:dyDescent="0.25">
      <c r="B63" s="606" t="s">
        <v>329</v>
      </c>
      <c r="C63" s="32">
        <f>SUM(C49:C61)</f>
        <v>0</v>
      </c>
      <c r="D63" s="32">
        <f>SUM(D49:D61)</f>
        <v>0</v>
      </c>
      <c r="E63" s="32">
        <f>SUM(E49:E61)</f>
        <v>0</v>
      </c>
      <c r="G63" s="711" t="str">
        <f>CONCATENATE("Projected Carryover Into ",E1+1,"")</f>
        <v>Projected Carryover Into 2026</v>
      </c>
      <c r="H63" s="714"/>
      <c r="I63" s="714"/>
      <c r="J63" s="715"/>
      <c r="K63" s="338"/>
    </row>
    <row r="64" spans="2:11" x14ac:dyDescent="0.25">
      <c r="B64" s="28" t="s">
        <v>330</v>
      </c>
      <c r="C64" s="32">
        <f>C63+C47</f>
        <v>0</v>
      </c>
      <c r="D64" s="32">
        <f>D63+D47</f>
        <v>0</v>
      </c>
      <c r="E64" s="32">
        <f>E63+E47</f>
        <v>0</v>
      </c>
      <c r="G64" s="408"/>
      <c r="H64" s="336"/>
      <c r="I64" s="336"/>
      <c r="J64" s="409"/>
      <c r="K64" s="338"/>
    </row>
    <row r="65" spans="2:11" x14ac:dyDescent="0.25">
      <c r="B65" s="13" t="s">
        <v>331</v>
      </c>
      <c r="C65" s="261"/>
      <c r="D65" s="261"/>
      <c r="E65" s="18"/>
      <c r="G65" s="386">
        <f>D76</f>
        <v>0</v>
      </c>
      <c r="H65" s="387" t="str">
        <f>CONCATENATE("",E1-1," Ending Cash Balance (est.)")</f>
        <v>2024 Ending Cash Balance (est.)</v>
      </c>
      <c r="I65" s="388"/>
      <c r="J65" s="409"/>
      <c r="K65" s="338"/>
    </row>
    <row r="66" spans="2:11" x14ac:dyDescent="0.25">
      <c r="B66" s="24"/>
      <c r="C66" s="15"/>
      <c r="D66" s="15"/>
      <c r="E66" s="20"/>
      <c r="G66" s="386">
        <f>E63</f>
        <v>0</v>
      </c>
      <c r="H66" s="370" t="str">
        <f>CONCATENATE("",E1," Non-AV Receipts (est.)")</f>
        <v>2025 Non-AV Receipts (est.)</v>
      </c>
      <c r="I66" s="388"/>
      <c r="J66" s="409"/>
      <c r="K66" s="338"/>
    </row>
    <row r="67" spans="2:11" x14ac:dyDescent="0.25">
      <c r="B67" s="24"/>
      <c r="C67" s="15"/>
      <c r="D67" s="15"/>
      <c r="E67" s="20"/>
      <c r="G67" s="393">
        <f>IF(E81&gt;0,E80,E82)</f>
        <v>0</v>
      </c>
      <c r="H67" s="370" t="str">
        <f>CONCATENATE("",E1," Ad Valorem Tax (est.)")</f>
        <v>2025 Ad Valorem Tax (est.)</v>
      </c>
      <c r="I67" s="388"/>
      <c r="J67" s="409"/>
      <c r="K67" s="630" t="str">
        <f>IF(G67=E82,"","Note: Does not include Delinquent Taxes")</f>
        <v/>
      </c>
    </row>
    <row r="68" spans="2:11" x14ac:dyDescent="0.25">
      <c r="B68" s="24"/>
      <c r="C68" s="15"/>
      <c r="D68" s="15"/>
      <c r="E68" s="20"/>
      <c r="G68" s="411">
        <f>SUM(G65:G67)</f>
        <v>0</v>
      </c>
      <c r="H68" s="370" t="str">
        <f>CONCATENATE("Total ",E1," Resources Available")</f>
        <v>Total 2025 Resources Available</v>
      </c>
      <c r="I68" s="412"/>
      <c r="J68" s="409"/>
      <c r="K68" s="338"/>
    </row>
    <row r="69" spans="2:11" x14ac:dyDescent="0.25">
      <c r="B69" s="24"/>
      <c r="C69" s="15"/>
      <c r="D69" s="15"/>
      <c r="E69" s="20"/>
      <c r="G69" s="413"/>
      <c r="H69" s="414"/>
      <c r="I69" s="336"/>
      <c r="J69" s="409"/>
      <c r="K69" s="338"/>
    </row>
    <row r="70" spans="2:11" x14ac:dyDescent="0.25">
      <c r="B70" s="24"/>
      <c r="C70" s="15"/>
      <c r="D70" s="15"/>
      <c r="E70" s="20"/>
      <c r="G70" s="393">
        <f>ROUND(C75*0.05+C75,0)</f>
        <v>0</v>
      </c>
      <c r="H70" s="370" t="str">
        <f>CONCATENATE("Less ",E1-2," Expenditures + 5%")</f>
        <v>Less 2023 Expenditures + 5%</v>
      </c>
      <c r="I70" s="412"/>
      <c r="J70" s="409"/>
      <c r="K70" s="338"/>
    </row>
    <row r="71" spans="2:11" x14ac:dyDescent="0.25">
      <c r="B71" s="24"/>
      <c r="C71" s="15"/>
      <c r="D71" s="15"/>
      <c r="E71" s="20"/>
      <c r="G71" s="399">
        <f>G68-G70</f>
        <v>0</v>
      </c>
      <c r="H71" s="400" t="str">
        <f>CONCATENATE("Projected ",E1+1," carryover (est.)")</f>
        <v>Projected 2026 carryover (est.)</v>
      </c>
      <c r="I71" s="415"/>
      <c r="J71" s="416"/>
      <c r="K71" s="338"/>
    </row>
    <row r="72" spans="2:11" x14ac:dyDescent="0.25">
      <c r="B72" s="21" t="str">
        <f>CONCATENATE("Cash Reserve (",E1," column)")</f>
        <v>Cash Reserve (2025 column)</v>
      </c>
      <c r="C72" s="15"/>
      <c r="D72" s="15"/>
      <c r="E72" s="20"/>
      <c r="G72" s="338"/>
      <c r="H72" s="338"/>
      <c r="I72" s="338"/>
      <c r="J72" s="338"/>
      <c r="K72" s="338"/>
    </row>
    <row r="73" spans="2:11" x14ac:dyDescent="0.25">
      <c r="B73" s="21" t="s">
        <v>327</v>
      </c>
      <c r="C73" s="15"/>
      <c r="D73" s="15"/>
      <c r="E73" s="20"/>
      <c r="G73" s="697" t="s">
        <v>346</v>
      </c>
      <c r="H73" s="698"/>
      <c r="I73" s="698"/>
      <c r="J73" s="699"/>
      <c r="K73" s="338"/>
    </row>
    <row r="74" spans="2:11" x14ac:dyDescent="0.25">
      <c r="B74" s="21" t="s">
        <v>347</v>
      </c>
      <c r="C74" s="258" t="str">
        <f>IF(C75*0.1&lt;C73,"Exceed 10% Rule","")</f>
        <v/>
      </c>
      <c r="D74" s="258" t="str">
        <f>IF(D75*0.1&lt;D73,"Exceed 10% Rule","")</f>
        <v/>
      </c>
      <c r="E74" s="30" t="str">
        <f>IF(E75*0.1&lt;E73,"Exceed 10% Rule","")</f>
        <v/>
      </c>
      <c r="G74" s="700"/>
      <c r="H74" s="701"/>
      <c r="I74" s="701"/>
      <c r="J74" s="702"/>
      <c r="K74" s="338"/>
    </row>
    <row r="75" spans="2:11" x14ac:dyDescent="0.25">
      <c r="B75" s="28" t="s">
        <v>348</v>
      </c>
      <c r="C75" s="32">
        <f>SUM(C66:C73)</f>
        <v>0</v>
      </c>
      <c r="D75" s="32">
        <f>SUM(D66:D73)</f>
        <v>0</v>
      </c>
      <c r="E75" s="32">
        <f>SUM(E66:E73)</f>
        <v>0</v>
      </c>
      <c r="G75" s="554" t="str">
        <f>'Budget Hearing Notice'!I27</f>
        <v xml:space="preserve"> </v>
      </c>
      <c r="H75" s="555" t="str">
        <f>CONCATENATE("",E1," Estimated Fund Mill Rate")</f>
        <v>2025 Estimated Fund Mill Rate</v>
      </c>
      <c r="I75" s="556"/>
      <c r="J75" s="557"/>
      <c r="K75" s="338"/>
    </row>
    <row r="76" spans="2:11" x14ac:dyDescent="0.25">
      <c r="B76" s="13" t="s">
        <v>349</v>
      </c>
      <c r="C76" s="18">
        <f>C64-C75</f>
        <v>0</v>
      </c>
      <c r="D76" s="18">
        <f>D64-D75</f>
        <v>0</v>
      </c>
      <c r="E76" s="19" t="s">
        <v>165</v>
      </c>
      <c r="G76" s="558" t="str">
        <f>'Budget Hearing Notice'!F27</f>
        <v xml:space="preserve">  </v>
      </c>
      <c r="H76" s="555" t="str">
        <f>CONCATENATE("",E1-1," Fund Mill Rate")</f>
        <v>2024 Fund Mill Rate</v>
      </c>
      <c r="I76" s="556"/>
      <c r="J76" s="557"/>
      <c r="K76" s="338"/>
    </row>
    <row r="77" spans="2:11" x14ac:dyDescent="0.25">
      <c r="B77" s="203" t="str">
        <f>CONCATENATE("",E1-2,"/",E1-1,"/",E1," Budget Authority Amount:")</f>
        <v>2023/2024/2025 Budget Authority Amount:</v>
      </c>
      <c r="C77" s="41">
        <f>inputOth!B58</f>
        <v>0</v>
      </c>
      <c r="D77" s="41">
        <f>inputPrYr!D26</f>
        <v>0</v>
      </c>
      <c r="E77" s="18">
        <f>E75</f>
        <v>0</v>
      </c>
      <c r="F77" s="33"/>
      <c r="G77" s="559">
        <f>'Budget Hearing Notice'!I33</f>
        <v>0</v>
      </c>
      <c r="H77" s="560" t="s">
        <v>350</v>
      </c>
      <c r="I77" s="556"/>
      <c r="J77" s="557"/>
      <c r="K77" s="338"/>
    </row>
    <row r="78" spans="2:11" x14ac:dyDescent="0.25">
      <c r="B78" s="612"/>
      <c r="C78" s="690" t="s">
        <v>351</v>
      </c>
      <c r="D78" s="691"/>
      <c r="E78" s="20"/>
      <c r="F78" s="272" t="str">
        <f>IF(E75/0.95-E75&lt;E78,"Exceeds 5%","")</f>
        <v/>
      </c>
      <c r="G78" s="554">
        <f>'Budget Hearing Notice'!I32</f>
        <v>0</v>
      </c>
      <c r="H78" s="555" t="str">
        <f>CONCATENATE(E1," Estimated Total Mill Rate")</f>
        <v>2025 Estimated Total Mill Rate</v>
      </c>
      <c r="I78" s="556"/>
      <c r="J78" s="557"/>
      <c r="K78" s="338"/>
    </row>
    <row r="79" spans="2:11" x14ac:dyDescent="0.25">
      <c r="B79" s="612"/>
      <c r="C79" s="692" t="s">
        <v>352</v>
      </c>
      <c r="D79" s="693"/>
      <c r="E79" s="18">
        <f>E75+E78</f>
        <v>0</v>
      </c>
      <c r="G79" s="561">
        <f>'Budget Hearing Notice'!F32</f>
        <v>0</v>
      </c>
      <c r="H79" s="555" t="str">
        <f>CONCATENATE(E1-1," Total Mill Rate")</f>
        <v>2024 Total Mill Rate</v>
      </c>
      <c r="I79" s="556"/>
      <c r="J79" s="557"/>
    </row>
    <row r="80" spans="2:11" x14ac:dyDescent="0.25">
      <c r="B80" s="612"/>
      <c r="C80" s="34"/>
      <c r="D80" s="35" t="s">
        <v>353</v>
      </c>
      <c r="E80" s="18">
        <f>IF(E79-E64&gt;0,E79-E64,0)</f>
        <v>0</v>
      </c>
      <c r="G80" s="562"/>
      <c r="H80" s="488"/>
      <c r="I80" s="488"/>
      <c r="J80" s="563"/>
    </row>
    <row r="81" spans="2:10" x14ac:dyDescent="0.25">
      <c r="B81" s="35"/>
      <c r="C81" s="604" t="s">
        <v>354</v>
      </c>
      <c r="D81" s="425">
        <f>inputOth!$E$43</f>
        <v>0</v>
      </c>
      <c r="E81" s="18">
        <f>ROUND(IF(D81&gt;0,(E80*D81),0),0)</f>
        <v>0</v>
      </c>
      <c r="G81" s="703" t="s">
        <v>355</v>
      </c>
      <c r="H81" s="704"/>
      <c r="I81" s="704"/>
      <c r="J81" s="707" t="str">
        <f>IF(G78&gt;G77, "Yes", "No")</f>
        <v>No</v>
      </c>
    </row>
    <row r="82" spans="2:10" x14ac:dyDescent="0.25">
      <c r="B82" s="3"/>
      <c r="C82" s="688" t="str">
        <f>CONCATENATE("Amount of  ",$E$1-1," Ad Valorem Tax")</f>
        <v>Amount of  2024 Ad Valorem Tax</v>
      </c>
      <c r="D82" s="689"/>
      <c r="E82" s="18">
        <f>E80+E81</f>
        <v>0</v>
      </c>
      <c r="G82" s="705"/>
      <c r="H82" s="706"/>
      <c r="I82" s="706"/>
      <c r="J82" s="708"/>
    </row>
    <row r="83" spans="2:10" x14ac:dyDescent="0.25">
      <c r="B83" s="3"/>
      <c r="C83" s="603"/>
      <c r="D83" s="603"/>
      <c r="E83" s="603"/>
      <c r="G83" s="686" t="str">
        <f>IF(J81="Yes", "Follow procedure prescribed by KSA 79-2988 to exceed the Revenue Neutral Rate.", " ")</f>
        <v xml:space="preserve"> </v>
      </c>
      <c r="H83" s="686"/>
      <c r="I83" s="686"/>
      <c r="J83" s="686"/>
    </row>
    <row r="84" spans="2:10" x14ac:dyDescent="0.25">
      <c r="B84" s="196" t="s">
        <v>181</v>
      </c>
      <c r="C84" s="522"/>
      <c r="D84" s="184"/>
      <c r="E84" s="186"/>
      <c r="G84" s="687"/>
      <c r="H84" s="687"/>
      <c r="I84" s="687"/>
      <c r="J84" s="687"/>
    </row>
    <row r="85" spans="2:10" x14ac:dyDescent="0.25">
      <c r="B85" s="523"/>
      <c r="C85" s="521"/>
      <c r="D85" s="3"/>
      <c r="E85" s="187"/>
      <c r="G85" s="687"/>
      <c r="H85" s="687"/>
      <c r="I85" s="687"/>
      <c r="J85" s="687"/>
    </row>
    <row r="86" spans="2:10" x14ac:dyDescent="0.25">
      <c r="B86" s="524"/>
      <c r="C86" s="525"/>
      <c r="D86" s="7"/>
      <c r="E86" s="189"/>
      <c r="G86" s="528"/>
      <c r="H86" s="526"/>
      <c r="I86" s="526"/>
      <c r="J86" s="527"/>
    </row>
    <row r="87" spans="2:10" x14ac:dyDescent="0.25">
      <c r="B87" s="3"/>
      <c r="C87" s="603"/>
      <c r="D87" s="603"/>
      <c r="E87" s="603"/>
      <c r="G87" s="528"/>
      <c r="H87" s="526"/>
      <c r="I87" s="526"/>
      <c r="J87" s="527"/>
    </row>
    <row r="88" spans="2:10" x14ac:dyDescent="0.25">
      <c r="B88" s="35" t="s">
        <v>356</v>
      </c>
      <c r="C88" s="483"/>
      <c r="D88" s="3"/>
      <c r="E88" s="3"/>
    </row>
    <row r="89" spans="2:10" x14ac:dyDescent="0.25">
      <c r="B89" s="55"/>
    </row>
    <row r="99" spans="3:4" hidden="1" x14ac:dyDescent="0.25">
      <c r="C99" s="4" t="str">
        <f>IF(C34&gt;C36,"See Tab A","")</f>
        <v/>
      </c>
      <c r="D99" s="4" t="str">
        <f>IF(D34&gt;D36,"See Tab C","")</f>
        <v/>
      </c>
    </row>
    <row r="100" spans="3:4" hidden="1" x14ac:dyDescent="0.25">
      <c r="C100" s="4" t="str">
        <f>IF(C35&lt;0,"See Tab B","")</f>
        <v/>
      </c>
      <c r="D100" s="4" t="str">
        <f>IF(D35&lt;0,"See Tab D","")</f>
        <v/>
      </c>
    </row>
    <row r="101" spans="3:4" hidden="1" x14ac:dyDescent="0.25">
      <c r="C101" s="4" t="str">
        <f>IF(C75&gt;C77,"See Tab A","")</f>
        <v/>
      </c>
      <c r="D101" s="4" t="str">
        <f>IF(D75&gt;D77,"See Tab C","")</f>
        <v/>
      </c>
    </row>
    <row r="102" spans="3:4" hidden="1" x14ac:dyDescent="0.25">
      <c r="C102" s="4" t="str">
        <f>IF(C76&lt;0,"See Tab B","")</f>
        <v/>
      </c>
      <c r="D102" s="4" t="str">
        <f>IF(D76&lt;0,"See Tab D","")</f>
        <v/>
      </c>
    </row>
  </sheetData>
  <sheetProtection sheet="1"/>
  <mergeCells count="18">
    <mergeCell ref="G73:J74"/>
    <mergeCell ref="G81:I82"/>
    <mergeCell ref="J81:J82"/>
    <mergeCell ref="G83:J85"/>
    <mergeCell ref="C82:D82"/>
    <mergeCell ref="C41:D41"/>
    <mergeCell ref="C78:D78"/>
    <mergeCell ref="C79:D79"/>
    <mergeCell ref="C37:D37"/>
    <mergeCell ref="C38:D38"/>
    <mergeCell ref="G12:J12"/>
    <mergeCell ref="G19:J19"/>
    <mergeCell ref="G56:J56"/>
    <mergeCell ref="G63:J63"/>
    <mergeCell ref="G29:J30"/>
    <mergeCell ref="G37:I38"/>
    <mergeCell ref="J37:J38"/>
    <mergeCell ref="G39:J41"/>
  </mergeCells>
  <phoneticPr fontId="0" type="noConversion"/>
  <conditionalFormatting sqref="C20">
    <cfRule type="cellIs" dxfId="48" priority="23" stopIfTrue="1" operator="greaterThan">
      <formula>$C$22*0.1</formula>
    </cfRule>
  </conditionalFormatting>
  <conditionalFormatting sqref="C32">
    <cfRule type="cellIs" dxfId="47" priority="20" stopIfTrue="1" operator="greaterThan">
      <formula>$C$34*0.1</formula>
    </cfRule>
  </conditionalFormatting>
  <conditionalFormatting sqref="C34">
    <cfRule type="expression" dxfId="46" priority="8">
      <formula>$C$34&gt;$C$36</formula>
    </cfRule>
  </conditionalFormatting>
  <conditionalFormatting sqref="C35">
    <cfRule type="expression" dxfId="45" priority="7">
      <formula>$C$35&lt;0</formula>
    </cfRule>
  </conditionalFormatting>
  <conditionalFormatting sqref="C61">
    <cfRule type="cellIs" dxfId="44" priority="17" stopIfTrue="1" operator="greaterThan">
      <formula>$C$63*0.1</formula>
    </cfRule>
  </conditionalFormatting>
  <conditionalFormatting sqref="C73">
    <cfRule type="cellIs" dxfId="43" priority="14" stopIfTrue="1" operator="greaterThan">
      <formula>$C$75*0.1</formula>
    </cfRule>
  </conditionalFormatting>
  <conditionalFormatting sqref="C75">
    <cfRule type="expression" dxfId="42" priority="4">
      <formula>$C$75&gt;$C$77</formula>
    </cfRule>
  </conditionalFormatting>
  <conditionalFormatting sqref="C76">
    <cfRule type="expression" dxfId="41" priority="3">
      <formula>$C$76&lt;0</formula>
    </cfRule>
  </conditionalFormatting>
  <conditionalFormatting sqref="D20">
    <cfRule type="cellIs" dxfId="40" priority="24" stopIfTrue="1" operator="greaterThan">
      <formula>$D$22*0.1</formula>
    </cfRule>
  </conditionalFormatting>
  <conditionalFormatting sqref="D32">
    <cfRule type="cellIs" dxfId="39" priority="21" stopIfTrue="1" operator="greaterThan">
      <formula>$D$34*0.1</formula>
    </cfRule>
  </conditionalFormatting>
  <conditionalFormatting sqref="D34">
    <cfRule type="expression" dxfId="38" priority="6">
      <formula>$D$34&gt;$D$36</formula>
    </cfRule>
  </conditionalFormatting>
  <conditionalFormatting sqref="D35">
    <cfRule type="expression" dxfId="37" priority="5">
      <formula>$D$35&lt;0</formula>
    </cfRule>
  </conditionalFormatting>
  <conditionalFormatting sqref="D61">
    <cfRule type="cellIs" dxfId="36" priority="18" stopIfTrue="1" operator="greaterThan">
      <formula>$D$63*0.1</formula>
    </cfRule>
  </conditionalFormatting>
  <conditionalFormatting sqref="D73">
    <cfRule type="cellIs" dxfId="35" priority="15" stopIfTrue="1" operator="greaterThan">
      <formula>$D$75*0.1</formula>
    </cfRule>
  </conditionalFormatting>
  <conditionalFormatting sqref="D75">
    <cfRule type="expression" dxfId="34" priority="2">
      <formula>$D$75&gt;$D$77</formula>
    </cfRule>
  </conditionalFormatting>
  <conditionalFormatting sqref="D76">
    <cfRule type="expression" dxfId="33" priority="1">
      <formula>$D$76&lt;0</formula>
    </cfRule>
  </conditionalFormatting>
  <conditionalFormatting sqref="E20">
    <cfRule type="cellIs" dxfId="32" priority="48" stopIfTrue="1" operator="greaterThan">
      <formula>$E$22*0.1+$E$41</formula>
    </cfRule>
  </conditionalFormatting>
  <conditionalFormatting sqref="E32">
    <cfRule type="cellIs" dxfId="31" priority="22" stopIfTrue="1" operator="greaterThan">
      <formula>$E$34*0.1</formula>
    </cfRule>
  </conditionalFormatting>
  <conditionalFormatting sqref="E37">
    <cfRule type="cellIs" dxfId="30" priority="19" stopIfTrue="1" operator="greaterThan">
      <formula>$E$34/0.95-$E$34</formula>
    </cfRule>
  </conditionalFormatting>
  <conditionalFormatting sqref="E61">
    <cfRule type="cellIs" dxfId="29" priority="49" stopIfTrue="1" operator="greaterThan">
      <formula>$E$63*0.1+$E$82</formula>
    </cfRule>
  </conditionalFormatting>
  <conditionalFormatting sqref="E73">
    <cfRule type="cellIs" dxfId="28" priority="16" stopIfTrue="1" operator="greaterThan">
      <formula>$E$75*0.1</formula>
    </cfRule>
  </conditionalFormatting>
  <conditionalFormatting sqref="E78">
    <cfRule type="cellIs" dxfId="27" priority="13" stopIfTrue="1" operator="greaterThan">
      <formula>$E$75/0.95-$E$75</formula>
    </cfRule>
  </conditionalFormatting>
  <conditionalFormatting sqref="J37">
    <cfRule type="containsText" dxfId="26" priority="10" operator="containsText" text="Yes">
      <formula>NOT(ISERROR(SEARCH("Yes",J37)))</formula>
    </cfRule>
  </conditionalFormatting>
  <conditionalFormatting sqref="J81">
    <cfRule type="containsText" dxfId="25" priority="9" operator="containsText" text="Yes">
      <formula>NOT(ISERROR(SEARCH("Yes",J81)))</formula>
    </cfRule>
  </conditionalFormatting>
  <pageMargins left="0.9" right="0.9" top="0.96" bottom="0.5" header="0.41" footer="0.3"/>
  <pageSetup scale="53"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F0"/>
    <pageSetUpPr fitToPage="1"/>
  </sheetPr>
  <dimension ref="B1:E65"/>
  <sheetViews>
    <sheetView workbookViewId="0">
      <selection activeCell="H14" sqref="H14"/>
    </sheetView>
  </sheetViews>
  <sheetFormatPr defaultRowHeight="15.75" x14ac:dyDescent="0.25"/>
  <cols>
    <col min="1" max="1" width="2.3984375" style="55" customWidth="1"/>
    <col min="2" max="2" width="31" style="55" customWidth="1"/>
    <col min="3" max="5" width="14.19921875" style="55" customWidth="1"/>
    <col min="6" max="16384" width="8.796875" style="55"/>
  </cols>
  <sheetData>
    <row r="1" spans="2:5" x14ac:dyDescent="0.25">
      <c r="B1" s="2">
        <f>inputPrYr!D3</f>
        <v>0</v>
      </c>
      <c r="C1" s="3"/>
      <c r="D1" s="3"/>
      <c r="E1" s="612">
        <f>inputPrYr!D6</f>
        <v>2025</v>
      </c>
    </row>
    <row r="2" spans="2:5" x14ac:dyDescent="0.25">
      <c r="B2" s="3"/>
      <c r="C2" s="3"/>
      <c r="D2" s="3"/>
      <c r="E2" s="35"/>
    </row>
    <row r="3" spans="2:5" x14ac:dyDescent="0.25">
      <c r="B3" s="5" t="s">
        <v>377</v>
      </c>
      <c r="C3" s="43"/>
      <c r="D3" s="43"/>
      <c r="E3" s="43"/>
    </row>
    <row r="4" spans="2:5" x14ac:dyDescent="0.25">
      <c r="B4" s="9" t="s">
        <v>314</v>
      </c>
      <c r="C4" s="46" t="s">
        <v>315</v>
      </c>
      <c r="D4" s="10" t="s">
        <v>262</v>
      </c>
      <c r="E4" s="10" t="s">
        <v>316</v>
      </c>
    </row>
    <row r="5" spans="2:5" x14ac:dyDescent="0.25">
      <c r="B5" s="266">
        <f>inputPrYr!B30</f>
        <v>0</v>
      </c>
      <c r="C5" s="12" t="str">
        <f>General!C5</f>
        <v>Actual for 2023</v>
      </c>
      <c r="D5" s="12" t="str">
        <f>General!D5</f>
        <v>Estimate for 2024</v>
      </c>
      <c r="E5" s="12" t="str">
        <f>General!E5</f>
        <v>Year for 2025</v>
      </c>
    </row>
    <row r="6" spans="2:5" x14ac:dyDescent="0.25">
      <c r="B6" s="57" t="s">
        <v>360</v>
      </c>
      <c r="C6" s="20"/>
      <c r="D6" s="18">
        <f>C28</f>
        <v>0</v>
      </c>
      <c r="E6" s="18">
        <f>D28</f>
        <v>0</v>
      </c>
    </row>
    <row r="7" spans="2:5" s="4" customFormat="1" x14ac:dyDescent="0.25">
      <c r="B7" s="58" t="s">
        <v>318</v>
      </c>
      <c r="C7" s="59"/>
      <c r="D7" s="59"/>
      <c r="E7" s="59"/>
    </row>
    <row r="8" spans="2:5" x14ac:dyDescent="0.25">
      <c r="B8" s="23"/>
      <c r="C8" s="20"/>
      <c r="D8" s="20"/>
      <c r="E8" s="20"/>
    </row>
    <row r="9" spans="2:5" x14ac:dyDescent="0.25">
      <c r="B9" s="23"/>
      <c r="C9" s="20"/>
      <c r="D9" s="20"/>
      <c r="E9" s="20"/>
    </row>
    <row r="10" spans="2:5" x14ac:dyDescent="0.25">
      <c r="B10" s="23"/>
      <c r="C10" s="20"/>
      <c r="D10" s="20"/>
      <c r="E10" s="20"/>
    </row>
    <row r="11" spans="2:5" x14ac:dyDescent="0.25">
      <c r="B11" s="23"/>
      <c r="C11" s="20"/>
      <c r="D11" s="20"/>
      <c r="E11" s="20"/>
    </row>
    <row r="12" spans="2:5" x14ac:dyDescent="0.25">
      <c r="B12" s="60" t="s">
        <v>326</v>
      </c>
      <c r="C12" s="20"/>
      <c r="D12" s="20"/>
      <c r="E12" s="20"/>
    </row>
    <row r="13" spans="2:5" x14ac:dyDescent="0.25">
      <c r="B13" s="25" t="s">
        <v>327</v>
      </c>
      <c r="C13" s="20"/>
      <c r="D13" s="16"/>
      <c r="E13" s="16"/>
    </row>
    <row r="14" spans="2:5" x14ac:dyDescent="0.25">
      <c r="B14" s="25" t="s">
        <v>328</v>
      </c>
      <c r="C14" s="30" t="str">
        <f>IF(C15*0.1&lt;C13,"Exceed 10% Rule","")</f>
        <v/>
      </c>
      <c r="D14" s="26" t="str">
        <f>IF(D15*0.1&lt;D13,"Exceed 10% Rule","")</f>
        <v/>
      </c>
      <c r="E14" s="26" t="str">
        <f>IF(E15*0.1&lt;E13,"Exceed 10% Rule","")</f>
        <v/>
      </c>
    </row>
    <row r="15" spans="2:5" x14ac:dyDescent="0.25">
      <c r="B15" s="28" t="s">
        <v>329</v>
      </c>
      <c r="C15" s="32">
        <f>SUM(C8:C13)</f>
        <v>0</v>
      </c>
      <c r="D15" s="32">
        <f>SUM(D8:D13)</f>
        <v>0</v>
      </c>
      <c r="E15" s="32">
        <f>SUM(E8:E13)</f>
        <v>0</v>
      </c>
    </row>
    <row r="16" spans="2:5" x14ac:dyDescent="0.25">
      <c r="B16" s="28" t="s">
        <v>330</v>
      </c>
      <c r="C16" s="32">
        <f>C6+C15</f>
        <v>0</v>
      </c>
      <c r="D16" s="32">
        <f>D6+D15</f>
        <v>0</v>
      </c>
      <c r="E16" s="32">
        <f>E6+E15</f>
        <v>0</v>
      </c>
    </row>
    <row r="17" spans="2:5" x14ac:dyDescent="0.25">
      <c r="B17" s="13" t="s">
        <v>331</v>
      </c>
      <c r="C17" s="18"/>
      <c r="D17" s="18"/>
      <c r="E17" s="18"/>
    </row>
    <row r="18" spans="2:5" x14ac:dyDescent="0.25">
      <c r="B18" s="23"/>
      <c r="C18" s="20"/>
      <c r="D18" s="20"/>
      <c r="E18" s="20"/>
    </row>
    <row r="19" spans="2:5" x14ac:dyDescent="0.25">
      <c r="B19" s="23"/>
      <c r="C19" s="20"/>
      <c r="D19" s="20"/>
      <c r="E19" s="20"/>
    </row>
    <row r="20" spans="2:5" x14ac:dyDescent="0.25">
      <c r="B20" s="23"/>
      <c r="C20" s="20"/>
      <c r="D20" s="20"/>
      <c r="E20" s="20"/>
    </row>
    <row r="21" spans="2:5" x14ac:dyDescent="0.25">
      <c r="B21" s="23"/>
      <c r="C21" s="20"/>
      <c r="D21" s="20"/>
      <c r="E21" s="20"/>
    </row>
    <row r="22" spans="2:5" x14ac:dyDescent="0.25">
      <c r="B22" s="23"/>
      <c r="C22" s="20"/>
      <c r="D22" s="20"/>
      <c r="E22" s="20"/>
    </row>
    <row r="23" spans="2:5" x14ac:dyDescent="0.25">
      <c r="B23" s="23"/>
      <c r="C23" s="20"/>
      <c r="D23" s="20"/>
      <c r="E23" s="20"/>
    </row>
    <row r="24" spans="2:5" x14ac:dyDescent="0.25">
      <c r="B24" s="21" t="str">
        <f>CONCATENATE("Cash Reserve (",E1," column)")</f>
        <v>Cash Reserve (2025 column)</v>
      </c>
      <c r="C24" s="20"/>
      <c r="D24" s="20"/>
      <c r="E24" s="20"/>
    </row>
    <row r="25" spans="2:5" x14ac:dyDescent="0.25">
      <c r="B25" s="21" t="s">
        <v>327</v>
      </c>
      <c r="C25" s="20"/>
      <c r="D25" s="16"/>
      <c r="E25" s="16"/>
    </row>
    <row r="26" spans="2:5" x14ac:dyDescent="0.25">
      <c r="B26" s="21" t="s">
        <v>347</v>
      </c>
      <c r="C26" s="30" t="str">
        <f>IF(C27*0.1&lt;C25,"Exceed 10% Rule","")</f>
        <v/>
      </c>
      <c r="D26" s="26" t="str">
        <f>IF(D27*0.1&lt;D25,"Exceed 10% Rule","")</f>
        <v/>
      </c>
      <c r="E26" s="26" t="str">
        <f>IF(E27*0.1&lt;E25,"Exceed 10% Rule","")</f>
        <v/>
      </c>
    </row>
    <row r="27" spans="2:5" x14ac:dyDescent="0.25">
      <c r="B27" s="28" t="s">
        <v>348</v>
      </c>
      <c r="C27" s="32">
        <f>SUM(C18:C25)</f>
        <v>0</v>
      </c>
      <c r="D27" s="32">
        <f>SUM(D18:D25)</f>
        <v>0</v>
      </c>
      <c r="E27" s="32">
        <f>SUM(E18:E25)</f>
        <v>0</v>
      </c>
    </row>
    <row r="28" spans="2:5" x14ac:dyDescent="0.25">
      <c r="B28" s="13" t="s">
        <v>349</v>
      </c>
      <c r="C28" s="18">
        <f>C16-C27</f>
        <v>0</v>
      </c>
      <c r="D28" s="18">
        <f>D16-D27</f>
        <v>0</v>
      </c>
      <c r="E28" s="18">
        <f>E16-E27</f>
        <v>0</v>
      </c>
    </row>
    <row r="29" spans="2:5" x14ac:dyDescent="0.25">
      <c r="B29" s="203" t="str">
        <f>CONCATENATE("",E1-2,"/",E1-1,"/",E1," Budget Authority Amount:")</f>
        <v>2023/2024/2025 Budget Authority Amount:</v>
      </c>
      <c r="C29" s="41">
        <f>inputOth!B59</f>
        <v>0</v>
      </c>
      <c r="D29" s="41">
        <f>inputPrYr!D30</f>
        <v>0</v>
      </c>
      <c r="E29" s="453">
        <f>E27</f>
        <v>0</v>
      </c>
    </row>
    <row r="30" spans="2:5" x14ac:dyDescent="0.25">
      <c r="B30" s="612"/>
      <c r="C30" s="34" t="str">
        <f>IF(C27&gt;C29,"See Tab A","")</f>
        <v/>
      </c>
      <c r="D30" s="34" t="str">
        <f>IF(D27&gt;D29,"See Tab C","")</f>
        <v/>
      </c>
      <c r="E30" s="454" t="str">
        <f>IF(E28&lt;0,"See Tab E","")</f>
        <v/>
      </c>
    </row>
    <row r="31" spans="2:5" x14ac:dyDescent="0.25">
      <c r="B31" s="612"/>
      <c r="C31" s="34" t="str">
        <f>IF(C28&lt;0,"See Tab B","")</f>
        <v/>
      </c>
      <c r="D31" s="631" t="str">
        <f>IF(D28&lt;0,"See Tab D","")</f>
        <v/>
      </c>
      <c r="E31" s="36"/>
    </row>
    <row r="32" spans="2:5" x14ac:dyDescent="0.25">
      <c r="B32" s="3"/>
      <c r="C32" s="36"/>
      <c r="D32" s="36"/>
      <c r="E32" s="36"/>
    </row>
    <row r="33" spans="2:5" x14ac:dyDescent="0.25">
      <c r="B33" s="9" t="s">
        <v>314</v>
      </c>
      <c r="C33" s="43"/>
      <c r="D33" s="43"/>
      <c r="E33" s="43"/>
    </row>
    <row r="34" spans="2:5" x14ac:dyDescent="0.25">
      <c r="B34" s="3"/>
      <c r="C34" s="46" t="s">
        <v>315</v>
      </c>
      <c r="D34" s="10" t="s">
        <v>262</v>
      </c>
      <c r="E34" s="10" t="s">
        <v>316</v>
      </c>
    </row>
    <row r="35" spans="2:5" x14ac:dyDescent="0.25">
      <c r="B35" s="271">
        <f>inputPrYr!B31</f>
        <v>0</v>
      </c>
      <c r="C35" s="12" t="str">
        <f>C5</f>
        <v>Actual for 2023</v>
      </c>
      <c r="D35" s="12" t="str">
        <f>D5</f>
        <v>Estimate for 2024</v>
      </c>
      <c r="E35" s="12" t="str">
        <f>E5</f>
        <v>Year for 2025</v>
      </c>
    </row>
    <row r="36" spans="2:5" x14ac:dyDescent="0.25">
      <c r="B36" s="57" t="s">
        <v>360</v>
      </c>
      <c r="C36" s="20"/>
      <c r="D36" s="18">
        <f>C58</f>
        <v>0</v>
      </c>
      <c r="E36" s="18">
        <f>D58</f>
        <v>0</v>
      </c>
    </row>
    <row r="37" spans="2:5" s="4" customFormat="1" x14ac:dyDescent="0.25">
      <c r="B37" s="57" t="s">
        <v>318</v>
      </c>
      <c r="C37" s="59"/>
      <c r="D37" s="59"/>
      <c r="E37" s="59"/>
    </row>
    <row r="38" spans="2:5" x14ac:dyDescent="0.25">
      <c r="B38" s="23"/>
      <c r="C38" s="20"/>
      <c r="D38" s="20"/>
      <c r="E38" s="20"/>
    </row>
    <row r="39" spans="2:5" x14ac:dyDescent="0.25">
      <c r="B39" s="23"/>
      <c r="C39" s="20"/>
      <c r="D39" s="20"/>
      <c r="E39" s="20"/>
    </row>
    <row r="40" spans="2:5" x14ac:dyDescent="0.25">
      <c r="B40" s="23"/>
      <c r="C40" s="20"/>
      <c r="D40" s="20"/>
      <c r="E40" s="20"/>
    </row>
    <row r="41" spans="2:5" x14ac:dyDescent="0.25">
      <c r="B41" s="23"/>
      <c r="C41" s="20"/>
      <c r="D41" s="20"/>
      <c r="E41" s="20"/>
    </row>
    <row r="42" spans="2:5" x14ac:dyDescent="0.25">
      <c r="B42" s="60" t="s">
        <v>326</v>
      </c>
      <c r="C42" s="20"/>
      <c r="D42" s="20"/>
      <c r="E42" s="20"/>
    </row>
    <row r="43" spans="2:5" x14ac:dyDescent="0.25">
      <c r="B43" s="25" t="s">
        <v>327</v>
      </c>
      <c r="C43" s="20"/>
      <c r="D43" s="16"/>
      <c r="E43" s="16"/>
    </row>
    <row r="44" spans="2:5" x14ac:dyDescent="0.25">
      <c r="B44" s="25" t="s">
        <v>328</v>
      </c>
      <c r="C44" s="30" t="str">
        <f>IF(C45*0.1&lt;C43,"Exceed 10% Rule","")</f>
        <v/>
      </c>
      <c r="D44" s="26" t="str">
        <f>IF(D45*0.1&lt;D43,"Exceed 10% Rule","")</f>
        <v/>
      </c>
      <c r="E44" s="26" t="str">
        <f>IF(E45*0.1&lt;E43,"Exceed 10% Rule","")</f>
        <v/>
      </c>
    </row>
    <row r="45" spans="2:5" x14ac:dyDescent="0.25">
      <c r="B45" s="28" t="s">
        <v>329</v>
      </c>
      <c r="C45" s="32">
        <f>SUM(C38:C43)</f>
        <v>0</v>
      </c>
      <c r="D45" s="32">
        <f>SUM(D38:D43)</f>
        <v>0</v>
      </c>
      <c r="E45" s="32">
        <f>SUM(E38:E43)</f>
        <v>0</v>
      </c>
    </row>
    <row r="46" spans="2:5" x14ac:dyDescent="0.25">
      <c r="B46" s="28" t="s">
        <v>330</v>
      </c>
      <c r="C46" s="32">
        <f>C36+C45</f>
        <v>0</v>
      </c>
      <c r="D46" s="32">
        <f>D36+D45</f>
        <v>0</v>
      </c>
      <c r="E46" s="32">
        <f>E36+E45</f>
        <v>0</v>
      </c>
    </row>
    <row r="47" spans="2:5" x14ac:dyDescent="0.25">
      <c r="B47" s="13" t="s">
        <v>331</v>
      </c>
      <c r="C47" s="18"/>
      <c r="D47" s="18"/>
      <c r="E47" s="18"/>
    </row>
    <row r="48" spans="2:5" x14ac:dyDescent="0.25">
      <c r="B48" s="23"/>
      <c r="C48" s="20"/>
      <c r="D48" s="20"/>
      <c r="E48" s="20"/>
    </row>
    <row r="49" spans="2:5" x14ac:dyDescent="0.25">
      <c r="B49" s="23"/>
      <c r="C49" s="20"/>
      <c r="D49" s="20"/>
      <c r="E49" s="20"/>
    </row>
    <row r="50" spans="2:5" x14ac:dyDescent="0.25">
      <c r="B50" s="23"/>
      <c r="C50" s="20"/>
      <c r="D50" s="20"/>
      <c r="E50" s="20"/>
    </row>
    <row r="51" spans="2:5" x14ac:dyDescent="0.25">
      <c r="B51" s="23"/>
      <c r="C51" s="20"/>
      <c r="D51" s="20"/>
      <c r="E51" s="20"/>
    </row>
    <row r="52" spans="2:5" x14ac:dyDescent="0.25">
      <c r="B52" s="23"/>
      <c r="C52" s="20"/>
      <c r="D52" s="20"/>
      <c r="E52" s="20"/>
    </row>
    <row r="53" spans="2:5" x14ac:dyDescent="0.25">
      <c r="B53" s="23"/>
      <c r="C53" s="20"/>
      <c r="D53" s="20"/>
      <c r="E53" s="20"/>
    </row>
    <row r="54" spans="2:5" x14ac:dyDescent="0.25">
      <c r="B54" s="21" t="str">
        <f>CONCATENATE("Cash Reserve (",E1," column)")</f>
        <v>Cash Reserve (2025 column)</v>
      </c>
      <c r="C54" s="20"/>
      <c r="D54" s="20"/>
      <c r="E54" s="20"/>
    </row>
    <row r="55" spans="2:5" x14ac:dyDescent="0.25">
      <c r="B55" s="21" t="s">
        <v>327</v>
      </c>
      <c r="C55" s="20"/>
      <c r="D55" s="16"/>
      <c r="E55" s="16"/>
    </row>
    <row r="56" spans="2:5" x14ac:dyDescent="0.25">
      <c r="B56" s="21" t="s">
        <v>347</v>
      </c>
      <c r="C56" s="30" t="str">
        <f>IF(C57*0.1&lt;C55,"Exceed 10% Rule","")</f>
        <v/>
      </c>
      <c r="D56" s="26" t="str">
        <f>IF(D57*0.1&lt;D55,"Exceed 10% Rule","")</f>
        <v/>
      </c>
      <c r="E56" s="26" t="str">
        <f>IF(E57*0.1&lt;E55,"Exceed 10% Rule","")</f>
        <v/>
      </c>
    </row>
    <row r="57" spans="2:5" x14ac:dyDescent="0.25">
      <c r="B57" s="28" t="s">
        <v>348</v>
      </c>
      <c r="C57" s="32">
        <f>SUM(C48:C55)</f>
        <v>0</v>
      </c>
      <c r="D57" s="32">
        <f>SUM(D48:D55)</f>
        <v>0</v>
      </c>
      <c r="E57" s="32">
        <f>SUM(E48:E55)</f>
        <v>0</v>
      </c>
    </row>
    <row r="58" spans="2:5" x14ac:dyDescent="0.25">
      <c r="B58" s="13" t="s">
        <v>349</v>
      </c>
      <c r="C58" s="18">
        <f>C46-C57</f>
        <v>0</v>
      </c>
      <c r="D58" s="18">
        <f>D46-D57</f>
        <v>0</v>
      </c>
      <c r="E58" s="18">
        <f>E46-E57</f>
        <v>0</v>
      </c>
    </row>
    <row r="59" spans="2:5" x14ac:dyDescent="0.25">
      <c r="B59" s="203" t="str">
        <f>CONCATENATE("",E1-2,"/",E1-1,"/",E1," Budget Authority Amount:")</f>
        <v>2023/2024/2025 Budget Authority Amount:</v>
      </c>
      <c r="C59" s="41">
        <f>inputOth!B60</f>
        <v>0</v>
      </c>
      <c r="D59" s="41">
        <f>inputPrYr!D31</f>
        <v>0</v>
      </c>
      <c r="E59" s="453">
        <f>E57</f>
        <v>0</v>
      </c>
    </row>
    <row r="60" spans="2:5" x14ac:dyDescent="0.25">
      <c r="B60" s="612"/>
      <c r="C60" s="34" t="str">
        <f>IF(C57&gt;C59,"See Tab A","")</f>
        <v/>
      </c>
      <c r="D60" s="34" t="str">
        <f>IF(D57&gt;D59,"See Tab C","")</f>
        <v/>
      </c>
      <c r="E60" s="455" t="str">
        <f>IF(E58&lt;0,"See Tab E","")</f>
        <v/>
      </c>
    </row>
    <row r="61" spans="2:5" x14ac:dyDescent="0.25">
      <c r="B61" s="196" t="s">
        <v>181</v>
      </c>
      <c r="C61" s="522"/>
      <c r="D61" s="184"/>
      <c r="E61" s="186"/>
    </row>
    <row r="62" spans="2:5" x14ac:dyDescent="0.25">
      <c r="B62" s="523"/>
      <c r="C62" s="521"/>
      <c r="D62" s="3"/>
      <c r="E62" s="187"/>
    </row>
    <row r="63" spans="2:5" x14ac:dyDescent="0.25">
      <c r="B63" s="524"/>
      <c r="C63" s="525"/>
      <c r="D63" s="7"/>
      <c r="E63" s="189"/>
    </row>
    <row r="64" spans="2:5" x14ac:dyDescent="0.25">
      <c r="B64" s="3"/>
      <c r="C64" s="3"/>
      <c r="D64" s="3"/>
      <c r="E64" s="3"/>
    </row>
    <row r="65" spans="2:5" x14ac:dyDescent="0.25">
      <c r="B65" s="35" t="s">
        <v>356</v>
      </c>
      <c r="C65" s="483"/>
      <c r="D65" s="3"/>
      <c r="E65" s="3"/>
    </row>
  </sheetData>
  <sheetProtection sheet="1"/>
  <phoneticPr fontId="9" type="noConversion"/>
  <conditionalFormatting sqref="C13">
    <cfRule type="cellIs" dxfId="24" priority="22" stopIfTrue="1" operator="greaterThan">
      <formula>$C$15*0.1</formula>
    </cfRule>
  </conditionalFormatting>
  <conditionalFormatting sqref="C25">
    <cfRule type="cellIs" dxfId="23" priority="19" stopIfTrue="1" operator="greaterThan">
      <formula>$C$27*0.1</formula>
    </cfRule>
  </conditionalFormatting>
  <conditionalFormatting sqref="C27">
    <cfRule type="expression" dxfId="22" priority="10">
      <formula>$C$27&gt;$C$29</formula>
    </cfRule>
  </conditionalFormatting>
  <conditionalFormatting sqref="C28">
    <cfRule type="expression" dxfId="21" priority="9">
      <formula>$C$28&lt;0</formula>
    </cfRule>
  </conditionalFormatting>
  <conditionalFormatting sqref="C43">
    <cfRule type="cellIs" dxfId="20" priority="16" stopIfTrue="1" operator="greaterThan">
      <formula>$C$45*0.1</formula>
    </cfRule>
  </conditionalFormatting>
  <conditionalFormatting sqref="C55">
    <cfRule type="cellIs" dxfId="19" priority="13" stopIfTrue="1" operator="greaterThan">
      <formula>$C$57*0.1</formula>
    </cfRule>
  </conditionalFormatting>
  <conditionalFormatting sqref="C57">
    <cfRule type="expression" dxfId="18" priority="5">
      <formula>$C$57&gt;$C$59</formula>
    </cfRule>
  </conditionalFormatting>
  <conditionalFormatting sqref="C58">
    <cfRule type="expression" dxfId="17" priority="4">
      <formula>$C$58&lt;0</formula>
    </cfRule>
  </conditionalFormatting>
  <conditionalFormatting sqref="D13">
    <cfRule type="cellIs" dxfId="16" priority="23" stopIfTrue="1" operator="greaterThan">
      <formula>$D$15*0.1</formula>
    </cfRule>
  </conditionalFormatting>
  <conditionalFormatting sqref="D25">
    <cfRule type="cellIs" dxfId="15" priority="20" stopIfTrue="1" operator="greaterThan">
      <formula>$D$27*0.1</formula>
    </cfRule>
  </conditionalFormatting>
  <conditionalFormatting sqref="D27">
    <cfRule type="expression" dxfId="14" priority="8">
      <formula>$D$27&gt;$D$29</formula>
    </cfRule>
  </conditionalFormatting>
  <conditionalFormatting sqref="D28">
    <cfRule type="expression" dxfId="13" priority="7">
      <formula>$D$28&lt;0</formula>
    </cfRule>
  </conditionalFormatting>
  <conditionalFormatting sqref="D43">
    <cfRule type="cellIs" dxfId="12" priority="17" stopIfTrue="1" operator="greaterThan">
      <formula>$D$45*0.1</formula>
    </cfRule>
  </conditionalFormatting>
  <conditionalFormatting sqref="D55">
    <cfRule type="cellIs" dxfId="11" priority="14" stopIfTrue="1" operator="greaterThan">
      <formula>$D$57*0.1</formula>
    </cfRule>
  </conditionalFormatting>
  <conditionalFormatting sqref="D57">
    <cfRule type="expression" dxfId="10" priority="3">
      <formula>$D$57&gt;$D$59</formula>
    </cfRule>
  </conditionalFormatting>
  <conditionalFormatting sqref="D58">
    <cfRule type="expression" dxfId="9" priority="2">
      <formula>$D$58&lt;0</formula>
    </cfRule>
  </conditionalFormatting>
  <conditionalFormatting sqref="E13">
    <cfRule type="cellIs" dxfId="8" priority="24" stopIfTrue="1" operator="greaterThan">
      <formula>$E$15*0.1</formula>
    </cfRule>
  </conditionalFormatting>
  <conditionalFormatting sqref="E25">
    <cfRule type="cellIs" dxfId="7" priority="21" stopIfTrue="1" operator="greaterThan">
      <formula>$E$27*0.1</formula>
    </cfRule>
  </conditionalFormatting>
  <conditionalFormatting sqref="E28">
    <cfRule type="expression" dxfId="6" priority="6">
      <formula>$E$28&lt;0</formula>
    </cfRule>
  </conditionalFormatting>
  <conditionalFormatting sqref="E43">
    <cfRule type="cellIs" dxfId="5" priority="18" stopIfTrue="1" operator="greaterThan">
      <formula>$E$45*0.1</formula>
    </cfRule>
  </conditionalFormatting>
  <conditionalFormatting sqref="E55">
    <cfRule type="cellIs" dxfId="4" priority="15" stopIfTrue="1" operator="greaterThan">
      <formula>$E$57*0.1</formula>
    </cfRule>
  </conditionalFormatting>
  <conditionalFormatting sqref="E58">
    <cfRule type="expression" dxfId="3" priority="1">
      <formula>$E$58&lt;0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F0"/>
    <pageSetUpPr fitToPage="1"/>
  </sheetPr>
  <dimension ref="A1:L44"/>
  <sheetViews>
    <sheetView workbookViewId="0">
      <selection activeCell="E21" sqref="E21"/>
    </sheetView>
  </sheetViews>
  <sheetFormatPr defaultRowHeight="15.75" x14ac:dyDescent="0.25"/>
  <cols>
    <col min="1" max="1" width="10.3984375" style="55" customWidth="1"/>
    <col min="2" max="2" width="6.69921875" style="55" customWidth="1"/>
    <col min="3" max="3" width="10.3984375" style="55" customWidth="1"/>
    <col min="4" max="4" width="6.69921875" style="55" customWidth="1"/>
    <col min="5" max="5" width="10.3984375" style="55" customWidth="1"/>
    <col min="6" max="6" width="6.69921875" style="55" customWidth="1"/>
    <col min="7" max="7" width="10.3984375" style="55" customWidth="1"/>
    <col min="8" max="8" width="6.69921875" style="55" customWidth="1"/>
    <col min="9" max="9" width="10.3984375" style="55" customWidth="1"/>
    <col min="10" max="16384" width="8.796875" style="55"/>
  </cols>
  <sheetData>
    <row r="1" spans="1:11" x14ac:dyDescent="0.25">
      <c r="A1" s="2">
        <f>inputPrYr!$D$3</f>
        <v>0</v>
      </c>
      <c r="B1" s="601"/>
      <c r="C1" s="3"/>
      <c r="D1" s="3"/>
      <c r="E1" s="3"/>
      <c r="F1" s="600" t="s">
        <v>378</v>
      </c>
      <c r="G1" s="3"/>
      <c r="H1" s="3"/>
      <c r="I1" s="3"/>
      <c r="J1" s="3"/>
      <c r="K1" s="3">
        <f>inputPrYr!$D$6</f>
        <v>2025</v>
      </c>
    </row>
    <row r="2" spans="1:11" x14ac:dyDescent="0.25">
      <c r="A2" s="3"/>
      <c r="B2" s="3"/>
      <c r="C2" s="3"/>
      <c r="D2" s="3"/>
      <c r="E2" s="3"/>
      <c r="F2" s="61" t="str">
        <f>CONCATENATE("(Only the actual budget year for ",K1-2," is to be reported)")</f>
        <v>(Only the actual budget year for 2023 is to be reported)</v>
      </c>
      <c r="G2" s="3"/>
      <c r="H2" s="3"/>
      <c r="I2" s="3"/>
      <c r="J2" s="3"/>
      <c r="K2" s="3"/>
    </row>
    <row r="3" spans="1:11" x14ac:dyDescent="0.25">
      <c r="A3" s="3" t="s">
        <v>379</v>
      </c>
      <c r="B3" s="3"/>
      <c r="C3" s="3"/>
      <c r="D3" s="3"/>
      <c r="E3" s="3"/>
      <c r="F3" s="601"/>
      <c r="G3" s="3"/>
      <c r="H3" s="3"/>
      <c r="I3" s="3"/>
      <c r="J3" s="3"/>
      <c r="K3" s="3"/>
    </row>
    <row r="4" spans="1:11" x14ac:dyDescent="0.25">
      <c r="A4" s="3" t="s">
        <v>380</v>
      </c>
      <c r="B4" s="3"/>
      <c r="C4" s="3" t="s">
        <v>381</v>
      </c>
      <c r="D4" s="3"/>
      <c r="E4" s="3" t="s">
        <v>382</v>
      </c>
      <c r="F4" s="601"/>
      <c r="G4" s="3" t="s">
        <v>383</v>
      </c>
      <c r="H4" s="3"/>
      <c r="I4" s="3" t="s">
        <v>384</v>
      </c>
      <c r="J4" s="3"/>
      <c r="K4" s="3"/>
    </row>
    <row r="5" spans="1:11" x14ac:dyDescent="0.25">
      <c r="A5" s="723">
        <f>inputPrYr!B35</f>
        <v>0</v>
      </c>
      <c r="B5" s="724"/>
      <c r="C5" s="723">
        <f>inputPrYr!B36</f>
        <v>0</v>
      </c>
      <c r="D5" s="724"/>
      <c r="E5" s="723">
        <f>inputPrYr!B37</f>
        <v>0</v>
      </c>
      <c r="F5" s="724"/>
      <c r="G5" s="725">
        <f>inputPrYr!B38</f>
        <v>0</v>
      </c>
      <c r="H5" s="724"/>
      <c r="I5" s="725">
        <f>inputPrYr!B39</f>
        <v>0</v>
      </c>
      <c r="J5" s="724"/>
      <c r="K5" s="7"/>
    </row>
    <row r="6" spans="1:11" x14ac:dyDescent="0.25">
      <c r="A6" s="62" t="s">
        <v>385</v>
      </c>
      <c r="B6" s="63"/>
      <c r="C6" s="64" t="s">
        <v>385</v>
      </c>
      <c r="D6" s="65"/>
      <c r="E6" s="64" t="s">
        <v>385</v>
      </c>
      <c r="F6" s="66"/>
      <c r="G6" s="64" t="s">
        <v>385</v>
      </c>
      <c r="H6" s="14"/>
      <c r="I6" s="64" t="s">
        <v>385</v>
      </c>
      <c r="J6" s="3"/>
      <c r="K6" s="611" t="s">
        <v>111</v>
      </c>
    </row>
    <row r="7" spans="1:11" x14ac:dyDescent="0.25">
      <c r="A7" s="67" t="s">
        <v>386</v>
      </c>
      <c r="B7" s="68"/>
      <c r="C7" s="69" t="s">
        <v>386</v>
      </c>
      <c r="D7" s="68"/>
      <c r="E7" s="69" t="s">
        <v>386</v>
      </c>
      <c r="F7" s="68"/>
      <c r="G7" s="69" t="s">
        <v>386</v>
      </c>
      <c r="H7" s="68"/>
      <c r="I7" s="69" t="s">
        <v>386</v>
      </c>
      <c r="J7" s="68"/>
      <c r="K7" s="70">
        <f>SUM(B7+D7+F7+H7+J7)</f>
        <v>0</v>
      </c>
    </row>
    <row r="8" spans="1:11" x14ac:dyDescent="0.25">
      <c r="A8" s="71" t="s">
        <v>318</v>
      </c>
      <c r="B8" s="72"/>
      <c r="C8" s="71" t="s">
        <v>318</v>
      </c>
      <c r="D8" s="73"/>
      <c r="E8" s="71" t="s">
        <v>318</v>
      </c>
      <c r="F8" s="601"/>
      <c r="G8" s="71" t="s">
        <v>318</v>
      </c>
      <c r="H8" s="3"/>
      <c r="I8" s="71" t="s">
        <v>318</v>
      </c>
      <c r="J8" s="3"/>
      <c r="K8" s="601"/>
    </row>
    <row r="9" spans="1:11" x14ac:dyDescent="0.25">
      <c r="A9" s="74"/>
      <c r="B9" s="68"/>
      <c r="C9" s="74"/>
      <c r="D9" s="68"/>
      <c r="E9" s="74"/>
      <c r="F9" s="68"/>
      <c r="G9" s="74"/>
      <c r="H9" s="68"/>
      <c r="I9" s="74"/>
      <c r="J9" s="68"/>
      <c r="K9" s="601"/>
    </row>
    <row r="10" spans="1:11" x14ac:dyDescent="0.25">
      <c r="A10" s="74"/>
      <c r="B10" s="68"/>
      <c r="C10" s="74"/>
      <c r="D10" s="68"/>
      <c r="E10" s="74"/>
      <c r="F10" s="68"/>
      <c r="G10" s="74"/>
      <c r="H10" s="68"/>
      <c r="I10" s="74"/>
      <c r="J10" s="68"/>
      <c r="K10" s="601"/>
    </row>
    <row r="11" spans="1:11" x14ac:dyDescent="0.25">
      <c r="A11" s="74"/>
      <c r="B11" s="68"/>
      <c r="C11" s="75"/>
      <c r="D11" s="76"/>
      <c r="E11" s="75"/>
      <c r="F11" s="68"/>
      <c r="G11" s="75"/>
      <c r="H11" s="68"/>
      <c r="I11" s="77"/>
      <c r="J11" s="68"/>
      <c r="K11" s="601"/>
    </row>
    <row r="12" spans="1:11" x14ac:dyDescent="0.25">
      <c r="A12" s="74"/>
      <c r="B12" s="78"/>
      <c r="C12" s="74"/>
      <c r="D12" s="79"/>
      <c r="E12" s="80"/>
      <c r="F12" s="68"/>
      <c r="G12" s="80"/>
      <c r="H12" s="68"/>
      <c r="I12" s="80"/>
      <c r="J12" s="68"/>
      <c r="K12" s="601"/>
    </row>
    <row r="13" spans="1:11" x14ac:dyDescent="0.25">
      <c r="A13" s="81"/>
      <c r="B13" s="82"/>
      <c r="C13" s="83"/>
      <c r="D13" s="79"/>
      <c r="E13" s="83"/>
      <c r="F13" s="68"/>
      <c r="G13" s="83"/>
      <c r="H13" s="68"/>
      <c r="I13" s="77"/>
      <c r="J13" s="68"/>
      <c r="K13" s="601"/>
    </row>
    <row r="14" spans="1:11" x14ac:dyDescent="0.25">
      <c r="A14" s="74"/>
      <c r="B14" s="68"/>
      <c r="C14" s="80"/>
      <c r="D14" s="79"/>
      <c r="E14" s="80"/>
      <c r="F14" s="68"/>
      <c r="G14" s="80"/>
      <c r="H14" s="68"/>
      <c r="I14" s="80"/>
      <c r="J14" s="68"/>
      <c r="K14" s="601"/>
    </row>
    <row r="15" spans="1:11" x14ac:dyDescent="0.25">
      <c r="A15" s="74"/>
      <c r="B15" s="68"/>
      <c r="C15" s="80"/>
      <c r="D15" s="79"/>
      <c r="E15" s="80"/>
      <c r="F15" s="68"/>
      <c r="G15" s="80"/>
      <c r="H15" s="68"/>
      <c r="I15" s="80"/>
      <c r="J15" s="68"/>
      <c r="K15" s="601"/>
    </row>
    <row r="16" spans="1:11" x14ac:dyDescent="0.25">
      <c r="A16" s="74"/>
      <c r="B16" s="82"/>
      <c r="C16" s="74"/>
      <c r="D16" s="79"/>
      <c r="E16" s="74"/>
      <c r="F16" s="68"/>
      <c r="G16" s="80"/>
      <c r="H16" s="68"/>
      <c r="I16" s="74"/>
      <c r="J16" s="68"/>
      <c r="K16" s="601"/>
    </row>
    <row r="17" spans="1:12" x14ac:dyDescent="0.25">
      <c r="A17" s="71" t="s">
        <v>329</v>
      </c>
      <c r="B17" s="70">
        <f>SUM(B9:B16)</f>
        <v>0</v>
      </c>
      <c r="C17" s="71" t="s">
        <v>329</v>
      </c>
      <c r="D17" s="70">
        <f>SUM(D9:D16)</f>
        <v>0</v>
      </c>
      <c r="E17" s="71" t="s">
        <v>329</v>
      </c>
      <c r="F17" s="84">
        <f>SUM(F9:F16)</f>
        <v>0</v>
      </c>
      <c r="G17" s="71" t="s">
        <v>329</v>
      </c>
      <c r="H17" s="70">
        <f>SUM(H9:H16)</f>
        <v>0</v>
      </c>
      <c r="I17" s="71" t="s">
        <v>329</v>
      </c>
      <c r="J17" s="70">
        <f>SUM(J9:J16)</f>
        <v>0</v>
      </c>
      <c r="K17" s="70">
        <f>SUM(B17+D17+F17+H17+J17)</f>
        <v>0</v>
      </c>
    </row>
    <row r="18" spans="1:12" x14ac:dyDescent="0.25">
      <c r="A18" s="71" t="s">
        <v>330</v>
      </c>
      <c r="B18" s="70">
        <f>SUM(B7+B17)</f>
        <v>0</v>
      </c>
      <c r="C18" s="71" t="s">
        <v>330</v>
      </c>
      <c r="D18" s="70">
        <f>SUM(D7+D17)</f>
        <v>0</v>
      </c>
      <c r="E18" s="71" t="s">
        <v>330</v>
      </c>
      <c r="F18" s="70">
        <f>SUM(F7+F17)</f>
        <v>0</v>
      </c>
      <c r="G18" s="71" t="s">
        <v>330</v>
      </c>
      <c r="H18" s="70">
        <f>SUM(H7+H17)</f>
        <v>0</v>
      </c>
      <c r="I18" s="71" t="s">
        <v>330</v>
      </c>
      <c r="J18" s="70">
        <f>SUM(J7+J17)</f>
        <v>0</v>
      </c>
      <c r="K18" s="70">
        <f>SUM(B18+D18+F18+H18+J18)</f>
        <v>0</v>
      </c>
    </row>
    <row r="19" spans="1:12" x14ac:dyDescent="0.25">
      <c r="A19" s="71" t="s">
        <v>331</v>
      </c>
      <c r="B19" s="72"/>
      <c r="C19" s="71" t="s">
        <v>331</v>
      </c>
      <c r="D19" s="73"/>
      <c r="E19" s="71" t="s">
        <v>331</v>
      </c>
      <c r="F19" s="601"/>
      <c r="G19" s="71" t="s">
        <v>331</v>
      </c>
      <c r="H19" s="3"/>
      <c r="I19" s="71" t="s">
        <v>331</v>
      </c>
      <c r="J19" s="3"/>
      <c r="K19" s="601"/>
    </row>
    <row r="20" spans="1:12" x14ac:dyDescent="0.25">
      <c r="A20" s="74"/>
      <c r="B20" s="68"/>
      <c r="C20" s="80"/>
      <c r="D20" s="68"/>
      <c r="E20" s="80"/>
      <c r="F20" s="68"/>
      <c r="G20" s="80"/>
      <c r="H20" s="68"/>
      <c r="I20" s="80"/>
      <c r="J20" s="68"/>
      <c r="K20" s="601"/>
    </row>
    <row r="21" spans="1:12" x14ac:dyDescent="0.25">
      <c r="A21" s="74"/>
      <c r="B21" s="68"/>
      <c r="C21" s="80"/>
      <c r="D21" s="68"/>
      <c r="E21" s="80"/>
      <c r="F21" s="68"/>
      <c r="G21" s="80"/>
      <c r="H21" s="68"/>
      <c r="I21" s="80"/>
      <c r="J21" s="68"/>
      <c r="K21" s="601"/>
    </row>
    <row r="22" spans="1:12" x14ac:dyDescent="0.25">
      <c r="A22" s="74"/>
      <c r="B22" s="68"/>
      <c r="C22" s="83"/>
      <c r="D22" s="68"/>
      <c r="E22" s="83"/>
      <c r="F22" s="68"/>
      <c r="G22" s="83"/>
      <c r="H22" s="68"/>
      <c r="I22" s="77"/>
      <c r="J22" s="68"/>
      <c r="K22" s="601"/>
    </row>
    <row r="23" spans="1:12" x14ac:dyDescent="0.25">
      <c r="A23" s="74"/>
      <c r="B23" s="68"/>
      <c r="C23" s="80"/>
      <c r="D23" s="68"/>
      <c r="E23" s="80"/>
      <c r="F23" s="68"/>
      <c r="G23" s="80"/>
      <c r="H23" s="68"/>
      <c r="I23" s="80"/>
      <c r="J23" s="68"/>
      <c r="K23" s="601"/>
    </row>
    <row r="24" spans="1:12" x14ac:dyDescent="0.25">
      <c r="A24" s="74"/>
      <c r="B24" s="68"/>
      <c r="C24" s="83"/>
      <c r="D24" s="68"/>
      <c r="E24" s="83"/>
      <c r="F24" s="68"/>
      <c r="G24" s="83"/>
      <c r="H24" s="68"/>
      <c r="I24" s="77"/>
      <c r="J24" s="68"/>
      <c r="K24" s="601"/>
    </row>
    <row r="25" spans="1:12" x14ac:dyDescent="0.25">
      <c r="A25" s="74"/>
      <c r="B25" s="68"/>
      <c r="C25" s="80"/>
      <c r="D25" s="68"/>
      <c r="E25" s="80"/>
      <c r="F25" s="68"/>
      <c r="G25" s="80"/>
      <c r="H25" s="68"/>
      <c r="I25" s="80"/>
      <c r="J25" s="68"/>
      <c r="K25" s="601"/>
    </row>
    <row r="26" spans="1:12" x14ac:dyDescent="0.25">
      <c r="A26" s="74"/>
      <c r="B26" s="68"/>
      <c r="C26" s="80"/>
      <c r="D26" s="68"/>
      <c r="E26" s="80"/>
      <c r="F26" s="68"/>
      <c r="G26" s="80"/>
      <c r="H26" s="68"/>
      <c r="I26" s="80"/>
      <c r="J26" s="68"/>
      <c r="K26" s="601"/>
    </row>
    <row r="27" spans="1:12" x14ac:dyDescent="0.25">
      <c r="A27" s="74"/>
      <c r="B27" s="68"/>
      <c r="C27" s="74"/>
      <c r="D27" s="68"/>
      <c r="E27" s="74"/>
      <c r="F27" s="68"/>
      <c r="G27" s="80"/>
      <c r="H27" s="68"/>
      <c r="I27" s="80"/>
      <c r="J27" s="68"/>
      <c r="K27" s="601"/>
    </row>
    <row r="28" spans="1:12" x14ac:dyDescent="0.25">
      <c r="A28" s="71" t="s">
        <v>348</v>
      </c>
      <c r="B28" s="70">
        <f>SUM(B20:B27)</f>
        <v>0</v>
      </c>
      <c r="C28" s="71" t="s">
        <v>348</v>
      </c>
      <c r="D28" s="70">
        <f>SUM(D20:D27)</f>
        <v>0</v>
      </c>
      <c r="E28" s="71" t="s">
        <v>348</v>
      </c>
      <c r="F28" s="84">
        <f>SUM(F20:F27)</f>
        <v>0</v>
      </c>
      <c r="G28" s="71" t="s">
        <v>348</v>
      </c>
      <c r="H28" s="84">
        <f>SUM(H20:H27)</f>
        <v>0</v>
      </c>
      <c r="I28" s="71" t="s">
        <v>348</v>
      </c>
      <c r="J28" s="70">
        <f>SUM(J20:J27)</f>
        <v>0</v>
      </c>
      <c r="K28" s="70">
        <f>SUM(B28+D28+F28+H28+J28)</f>
        <v>0</v>
      </c>
    </row>
    <row r="29" spans="1:12" x14ac:dyDescent="0.25">
      <c r="A29" s="71" t="s">
        <v>387</v>
      </c>
      <c r="B29" s="70">
        <f>SUM(B18-B28)</f>
        <v>0</v>
      </c>
      <c r="C29" s="71" t="s">
        <v>387</v>
      </c>
      <c r="D29" s="70">
        <f>SUM(D18-D28)</f>
        <v>0</v>
      </c>
      <c r="E29" s="71" t="s">
        <v>387</v>
      </c>
      <c r="F29" s="70">
        <f>SUM(F18-F28)</f>
        <v>0</v>
      </c>
      <c r="G29" s="71" t="s">
        <v>387</v>
      </c>
      <c r="H29" s="70">
        <f>SUM(H18-H28)</f>
        <v>0</v>
      </c>
      <c r="I29" s="71" t="s">
        <v>387</v>
      </c>
      <c r="J29" s="70">
        <f>SUM(J18-J28)</f>
        <v>0</v>
      </c>
      <c r="K29" s="85">
        <f>SUM(B29+D29+F29+H29+J29)</f>
        <v>0</v>
      </c>
      <c r="L29" s="55" t="s">
        <v>388</v>
      </c>
    </row>
    <row r="30" spans="1:12" x14ac:dyDescent="0.25">
      <c r="A30" s="71"/>
      <c r="B30" s="86" t="str">
        <f>IF(B29&lt;0,"See Tab B","")</f>
        <v/>
      </c>
      <c r="C30" s="71"/>
      <c r="D30" s="86" t="str">
        <f>IF(D29&lt;0,"See Tab B","")</f>
        <v/>
      </c>
      <c r="E30" s="71"/>
      <c r="F30" s="86" t="str">
        <f>IF(F29&lt;0,"See Tab B","")</f>
        <v/>
      </c>
      <c r="G30" s="3"/>
      <c r="H30" s="86" t="str">
        <f>IF(H29&lt;0,"See Tab B","")</f>
        <v/>
      </c>
      <c r="I30" s="3"/>
      <c r="J30" s="86" t="str">
        <f>IF(J29&lt;0,"See Tab B","")</f>
        <v/>
      </c>
      <c r="K30" s="85">
        <f>SUM(K7+K17-K28)</f>
        <v>0</v>
      </c>
      <c r="L30" s="55" t="s">
        <v>388</v>
      </c>
    </row>
    <row r="31" spans="1:12" x14ac:dyDescent="0.25">
      <c r="A31" s="3"/>
      <c r="B31" s="36"/>
      <c r="C31" s="3"/>
      <c r="D31" s="601"/>
      <c r="E31" s="3"/>
      <c r="F31" s="3"/>
      <c r="G31" s="722" t="s">
        <v>389</v>
      </c>
      <c r="H31" s="722"/>
      <c r="I31" s="722"/>
      <c r="J31" s="722"/>
      <c r="K31" s="3"/>
    </row>
    <row r="32" spans="1:12" x14ac:dyDescent="0.25">
      <c r="A32" s="196" t="s">
        <v>181</v>
      </c>
      <c r="B32" s="522"/>
      <c r="C32" s="184"/>
      <c r="D32" s="184"/>
      <c r="E32" s="184"/>
      <c r="F32" s="184"/>
      <c r="G32" s="184"/>
      <c r="H32" s="184"/>
      <c r="I32" s="184"/>
      <c r="J32" s="186"/>
      <c r="K32" s="3"/>
    </row>
    <row r="33" spans="1:11" x14ac:dyDescent="0.25">
      <c r="A33" s="523"/>
      <c r="B33" s="521"/>
      <c r="C33" s="3"/>
      <c r="D33" s="3"/>
      <c r="E33" s="3"/>
      <c r="F33" s="3"/>
      <c r="G33" s="3"/>
      <c r="H33" s="3"/>
      <c r="I33" s="3"/>
      <c r="J33" s="187"/>
      <c r="K33" s="3"/>
    </row>
    <row r="34" spans="1:11" x14ac:dyDescent="0.25">
      <c r="A34" s="524"/>
      <c r="B34" s="525"/>
      <c r="C34" s="7"/>
      <c r="D34" s="7"/>
      <c r="E34" s="7"/>
      <c r="F34" s="7"/>
      <c r="G34" s="7"/>
      <c r="H34" s="7"/>
      <c r="I34" s="7"/>
      <c r="J34" s="189"/>
      <c r="K34" s="3"/>
    </row>
    <row r="35" spans="1:11" x14ac:dyDescent="0.25">
      <c r="A35" s="3"/>
      <c r="B35" s="36"/>
      <c r="C35" s="3"/>
      <c r="D35" s="3"/>
      <c r="E35" s="3"/>
      <c r="F35" s="3"/>
      <c r="G35" s="3"/>
      <c r="H35" s="3"/>
      <c r="I35" s="3"/>
      <c r="J35" s="3"/>
      <c r="K35" s="3"/>
    </row>
    <row r="36" spans="1:11" x14ac:dyDescent="0.25">
      <c r="A36" s="3"/>
      <c r="B36" s="36"/>
      <c r="C36" s="3"/>
      <c r="D36" s="3"/>
      <c r="E36" s="612" t="s">
        <v>356</v>
      </c>
      <c r="F36" s="483"/>
      <c r="G36" s="3"/>
      <c r="H36" s="3"/>
      <c r="I36" s="3"/>
      <c r="J36" s="3"/>
      <c r="K36" s="3"/>
    </row>
    <row r="37" spans="1:11" x14ac:dyDescent="0.25">
      <c r="B37" s="38"/>
    </row>
    <row r="38" spans="1:11" x14ac:dyDescent="0.25">
      <c r="B38" s="38"/>
    </row>
    <row r="39" spans="1:11" x14ac:dyDescent="0.25">
      <c r="B39" s="38"/>
    </row>
    <row r="40" spans="1:11" x14ac:dyDescent="0.25">
      <c r="B40" s="38"/>
    </row>
    <row r="41" spans="1:11" x14ac:dyDescent="0.25">
      <c r="B41" s="38"/>
    </row>
    <row r="42" spans="1:11" x14ac:dyDescent="0.25">
      <c r="B42" s="38"/>
    </row>
    <row r="43" spans="1:11" x14ac:dyDescent="0.25">
      <c r="B43" s="38"/>
    </row>
    <row r="44" spans="1:11" x14ac:dyDescent="0.25">
      <c r="B44" s="38"/>
    </row>
  </sheetData>
  <sheetProtection sheet="1" objects="1" scenarios="1"/>
  <mergeCells count="6">
    <mergeCell ref="G31:J31"/>
    <mergeCell ref="A5:B5"/>
    <mergeCell ref="C5:D5"/>
    <mergeCell ref="E5:F5"/>
    <mergeCell ref="G5:H5"/>
    <mergeCell ref="I5:J5"/>
  </mergeCells>
  <pageMargins left="0.7" right="0.7" top="0.75" bottom="0.75" header="0.3" footer="0.3"/>
  <pageSetup scale="6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86"/>
  <sheetViews>
    <sheetView topLeftCell="A13" workbookViewId="0">
      <selection activeCell="D6" sqref="D6"/>
    </sheetView>
  </sheetViews>
  <sheetFormatPr defaultRowHeight="15.75" x14ac:dyDescent="0.25"/>
  <cols>
    <col min="1" max="1" width="10.69921875" style="4" customWidth="1"/>
    <col min="2" max="2" width="21" style="4" customWidth="1"/>
    <col min="3" max="3" width="11.69921875" style="4" customWidth="1"/>
    <col min="4" max="4" width="15" style="4" customWidth="1"/>
    <col min="5" max="5" width="14.09765625" style="4" customWidth="1"/>
    <col min="6" max="6" width="1.69921875" style="4" customWidth="1"/>
    <col min="7" max="7" width="18.59765625" style="4" customWidth="1"/>
    <col min="8" max="16384" width="8.796875" style="4"/>
  </cols>
  <sheetData>
    <row r="1" spans="1:8" x14ac:dyDescent="0.25">
      <c r="A1" s="636" t="s">
        <v>79</v>
      </c>
      <c r="B1" s="637"/>
      <c r="C1" s="637"/>
      <c r="D1" s="637"/>
      <c r="E1" s="637"/>
    </row>
    <row r="2" spans="1:8" x14ac:dyDescent="0.25">
      <c r="A2" s="216"/>
      <c r="B2" s="3"/>
      <c r="C2" s="3"/>
      <c r="D2" s="3"/>
      <c r="E2" s="3"/>
    </row>
    <row r="3" spans="1:8" x14ac:dyDescent="0.25">
      <c r="A3" s="45" t="s">
        <v>80</v>
      </c>
      <c r="B3" s="3"/>
      <c r="C3" s="3"/>
      <c r="D3" s="446"/>
      <c r="E3" s="3"/>
    </row>
    <row r="4" spans="1:8" x14ac:dyDescent="0.25">
      <c r="A4" s="45" t="s">
        <v>81</v>
      </c>
      <c r="B4" s="3"/>
      <c r="C4" s="3"/>
      <c r="D4" s="446"/>
      <c r="E4" s="3"/>
    </row>
    <row r="5" spans="1:8" x14ac:dyDescent="0.25">
      <c r="A5" s="3"/>
      <c r="B5" s="3"/>
      <c r="C5" s="3"/>
      <c r="D5" s="3"/>
      <c r="E5" s="3"/>
    </row>
    <row r="6" spans="1:8" x14ac:dyDescent="0.25">
      <c r="A6" s="5" t="s">
        <v>82</v>
      </c>
      <c r="B6" s="3"/>
      <c r="C6" s="3"/>
      <c r="D6" s="217">
        <v>2025</v>
      </c>
      <c r="E6" s="3"/>
    </row>
    <row r="7" spans="1:8" x14ac:dyDescent="0.25">
      <c r="A7" s="5"/>
      <c r="B7" s="3"/>
      <c r="C7" s="3"/>
      <c r="D7" s="3"/>
      <c r="E7" s="3"/>
    </row>
    <row r="8" spans="1:8" ht="15.75" customHeight="1" x14ac:dyDescent="0.25">
      <c r="A8" s="638" t="s">
        <v>83</v>
      </c>
      <c r="B8" s="638"/>
      <c r="C8" s="638"/>
      <c r="D8" s="638"/>
      <c r="E8" s="638"/>
      <c r="F8" s="3"/>
      <c r="G8" s="639" t="s">
        <v>84</v>
      </c>
      <c r="H8" s="640"/>
    </row>
    <row r="9" spans="1:8" x14ac:dyDescent="0.25">
      <c r="A9" s="638"/>
      <c r="B9" s="638"/>
      <c r="C9" s="638"/>
      <c r="D9" s="638"/>
      <c r="E9" s="638"/>
      <c r="F9" s="3"/>
      <c r="G9" s="641"/>
      <c r="H9" s="642"/>
    </row>
    <row r="10" spans="1:8" x14ac:dyDescent="0.25">
      <c r="A10" s="638"/>
      <c r="B10" s="638"/>
      <c r="C10" s="638"/>
      <c r="D10" s="638"/>
      <c r="E10" s="638"/>
      <c r="F10" s="3"/>
      <c r="G10" s="641"/>
      <c r="H10" s="642"/>
    </row>
    <row r="11" spans="1:8" x14ac:dyDescent="0.25">
      <c r="A11" s="634" t="s">
        <v>85</v>
      </c>
      <c r="B11" s="635"/>
      <c r="C11" s="635"/>
      <c r="D11" s="635"/>
      <c r="E11" s="635"/>
      <c r="F11" s="3"/>
      <c r="G11" s="641"/>
      <c r="H11" s="642"/>
    </row>
    <row r="12" spans="1:8" x14ac:dyDescent="0.25">
      <c r="A12" s="45"/>
      <c r="B12" s="3"/>
      <c r="C12" s="3"/>
      <c r="D12" s="3"/>
      <c r="E12" s="3"/>
      <c r="F12" s="3"/>
      <c r="G12" s="641"/>
      <c r="H12" s="642"/>
    </row>
    <row r="13" spans="1:8" x14ac:dyDescent="0.25">
      <c r="A13" s="478" t="s">
        <v>86</v>
      </c>
      <c r="B13" s="477"/>
      <c r="C13" s="3"/>
      <c r="D13" s="602"/>
      <c r="E13" s="601"/>
      <c r="F13" s="3"/>
      <c r="G13" s="641"/>
      <c r="H13" s="642"/>
    </row>
    <row r="14" spans="1:8" x14ac:dyDescent="0.25">
      <c r="A14" s="476" t="str">
        <f>CONCATENATE("the ",D6-1," Budget, Certificate Page:")</f>
        <v>the 2024 Budget, Certificate Page:</v>
      </c>
      <c r="B14" s="475"/>
      <c r="C14" s="602"/>
      <c r="D14" s="3"/>
      <c r="E14" s="3"/>
      <c r="F14" s="3"/>
      <c r="G14" s="643"/>
      <c r="H14" s="644"/>
    </row>
    <row r="15" spans="1:8" x14ac:dyDescent="0.25">
      <c r="A15" s="474" t="s">
        <v>87</v>
      </c>
      <c r="B15" s="473"/>
      <c r="C15" s="602"/>
      <c r="D15" s="218">
        <f>$D$6-1</f>
        <v>2024</v>
      </c>
      <c r="E15" s="219">
        <f>$D$6-2</f>
        <v>2023</v>
      </c>
      <c r="F15" s="336"/>
      <c r="G15" s="128" t="s">
        <v>88</v>
      </c>
      <c r="H15" s="611" t="s">
        <v>89</v>
      </c>
    </row>
    <row r="16" spans="1:8" x14ac:dyDescent="0.25">
      <c r="A16" s="9" t="s">
        <v>90</v>
      </c>
      <c r="B16" s="3"/>
      <c r="C16" s="220" t="s">
        <v>91</v>
      </c>
      <c r="D16" s="221" t="s">
        <v>92</v>
      </c>
      <c r="E16" s="222" t="s">
        <v>93</v>
      </c>
      <c r="F16" s="336"/>
      <c r="G16" s="134" t="str">
        <f>CONCATENATE("",E15," Ad Valorem Tax")</f>
        <v>2023 Ad Valorem Tax</v>
      </c>
      <c r="H16" s="441">
        <v>0</v>
      </c>
    </row>
    <row r="17" spans="1:7" x14ac:dyDescent="0.25">
      <c r="A17" s="3"/>
      <c r="B17" s="49" t="s">
        <v>94</v>
      </c>
      <c r="C17" s="119" t="s">
        <v>95</v>
      </c>
      <c r="D17" s="143"/>
      <c r="E17" s="143"/>
      <c r="F17" s="336"/>
      <c r="G17" s="18">
        <f>IF(H16&gt;0,ROUND(E17-(E17*H16),0),0)</f>
        <v>0</v>
      </c>
    </row>
    <row r="18" spans="1:7" x14ac:dyDescent="0.25">
      <c r="A18" s="3"/>
      <c r="B18" s="49" t="s">
        <v>96</v>
      </c>
      <c r="C18" s="119" t="s">
        <v>97</v>
      </c>
      <c r="D18" s="143"/>
      <c r="E18" s="143"/>
      <c r="F18" s="336"/>
      <c r="G18" s="18">
        <f>IF(H16&gt;0,ROUND(E18-(E18*H16),0),0)</f>
        <v>0</v>
      </c>
    </row>
    <row r="19" spans="1:7" x14ac:dyDescent="0.25">
      <c r="A19" s="3"/>
      <c r="B19" s="49" t="s">
        <v>98</v>
      </c>
      <c r="C19" s="418" t="s">
        <v>99</v>
      </c>
      <c r="D19" s="143"/>
      <c r="E19" s="143"/>
      <c r="F19" s="336"/>
      <c r="G19" s="18">
        <f>IF(H16&gt;0,ROUND(E19-(E19*H16),0),0)</f>
        <v>0</v>
      </c>
    </row>
    <row r="20" spans="1:7" x14ac:dyDescent="0.25">
      <c r="A20" s="3"/>
      <c r="B20" s="49" t="s">
        <v>100</v>
      </c>
      <c r="C20" s="611" t="s">
        <v>101</v>
      </c>
      <c r="D20" s="143"/>
      <c r="E20" s="143"/>
      <c r="F20" s="336"/>
      <c r="G20" s="18">
        <f>IF(H16&gt;0,ROUND(E20-(E20*H16),0),0)</f>
        <v>0</v>
      </c>
    </row>
    <row r="21" spans="1:7" x14ac:dyDescent="0.25">
      <c r="A21" s="3"/>
      <c r="B21" s="254"/>
      <c r="C21" s="255"/>
      <c r="D21" s="143"/>
      <c r="E21" s="143"/>
      <c r="F21" s="336"/>
      <c r="G21" s="18">
        <f>IF(H16&gt;0,ROUND(E21-(E21*H16),0),0)</f>
        <v>0</v>
      </c>
    </row>
    <row r="22" spans="1:7" x14ac:dyDescent="0.25">
      <c r="A22" s="3"/>
      <c r="B22" s="143"/>
      <c r="C22" s="264"/>
      <c r="D22" s="143"/>
      <c r="E22" s="143"/>
      <c r="F22" s="336"/>
      <c r="G22" s="18">
        <f>IF(H16&gt;0,ROUND(E22-(E22*H16),0),0)</f>
        <v>0</v>
      </c>
    </row>
    <row r="23" spans="1:7" x14ac:dyDescent="0.25">
      <c r="A23" s="3"/>
      <c r="B23" s="52"/>
      <c r="C23" s="264"/>
      <c r="D23" s="143"/>
      <c r="E23" s="143"/>
      <c r="F23" s="336"/>
      <c r="G23" s="18">
        <f>IF(H16&gt;0,ROUND(E23-(E23*H16),0),0)</f>
        <v>0</v>
      </c>
    </row>
    <row r="24" spans="1:7" x14ac:dyDescent="0.25">
      <c r="A24" s="3"/>
      <c r="B24" s="52"/>
      <c r="C24" s="264"/>
      <c r="D24" s="143"/>
      <c r="E24" s="143"/>
      <c r="F24" s="336"/>
      <c r="G24" s="18">
        <f>IF(H16&gt;0,ROUND(E24-(E24*H16),0),0)</f>
        <v>0</v>
      </c>
    </row>
    <row r="25" spans="1:7" x14ac:dyDescent="0.25">
      <c r="A25" s="3"/>
      <c r="B25" s="52"/>
      <c r="C25" s="264"/>
      <c r="D25" s="143"/>
      <c r="E25" s="143"/>
      <c r="F25" s="336"/>
      <c r="G25" s="18">
        <f>IF(H16&gt;0,ROUND(E25-(E25*H16),0),0)</f>
        <v>0</v>
      </c>
    </row>
    <row r="26" spans="1:7" x14ac:dyDescent="0.25">
      <c r="A26" s="3"/>
      <c r="B26" s="52"/>
      <c r="C26" s="264"/>
      <c r="D26" s="143"/>
      <c r="E26" s="143"/>
      <c r="F26" s="336"/>
      <c r="G26" s="18">
        <f>IF(H16&gt;0,ROUND(E26-(E26*H16),0),0)</f>
        <v>0</v>
      </c>
    </row>
    <row r="27" spans="1:7" x14ac:dyDescent="0.25">
      <c r="A27" s="223" t="str">
        <f>CONCATENATE("Total Ad Valorem Tax for ",D6-1," Budgeted Year")</f>
        <v>Total Ad Valorem Tax for 2024 Budgeted Year</v>
      </c>
      <c r="B27" s="7"/>
      <c r="C27" s="197"/>
      <c r="D27" s="224"/>
      <c r="E27" s="116">
        <f>SUM(E17:E26)</f>
        <v>0</v>
      </c>
      <c r="F27" s="479"/>
    </row>
    <row r="28" spans="1:7" x14ac:dyDescent="0.25">
      <c r="A28" s="3"/>
      <c r="B28" s="3"/>
      <c r="C28" s="3"/>
      <c r="D28" s="2"/>
      <c r="E28" s="100"/>
    </row>
    <row r="29" spans="1:7" x14ac:dyDescent="0.25">
      <c r="A29" s="3" t="s">
        <v>102</v>
      </c>
      <c r="B29" s="3"/>
      <c r="C29" s="3"/>
      <c r="D29" s="3"/>
      <c r="E29" s="3"/>
    </row>
    <row r="30" spans="1:7" x14ac:dyDescent="0.25">
      <c r="A30" s="3"/>
      <c r="B30" s="174"/>
      <c r="C30" s="3"/>
      <c r="D30" s="22"/>
      <c r="E30" s="3"/>
    </row>
    <row r="31" spans="1:7" x14ac:dyDescent="0.25">
      <c r="A31" s="3"/>
      <c r="B31" s="174"/>
      <c r="C31" s="3"/>
      <c r="D31" s="22"/>
      <c r="E31" s="3"/>
    </row>
    <row r="32" spans="1:7" x14ac:dyDescent="0.25">
      <c r="A32" s="223" t="str">
        <f>CONCATENATE("Total Expenditures for ",D6-1,"")</f>
        <v>Total Expenditures for 2024</v>
      </c>
      <c r="B32" s="225"/>
      <c r="C32" s="189"/>
      <c r="D32" s="116">
        <f>SUM(D17:D26,D30:D31)</f>
        <v>0</v>
      </c>
      <c r="E32" s="3"/>
    </row>
    <row r="33" spans="1:5" x14ac:dyDescent="0.25">
      <c r="A33" s="3"/>
      <c r="B33" s="3"/>
      <c r="C33" s="3"/>
      <c r="D33" s="3"/>
      <c r="E33" s="3"/>
    </row>
    <row r="34" spans="1:5" x14ac:dyDescent="0.25">
      <c r="A34" s="9" t="s">
        <v>103</v>
      </c>
      <c r="B34" s="3"/>
      <c r="C34" s="3"/>
      <c r="D34" s="3"/>
      <c r="E34" s="3"/>
    </row>
    <row r="35" spans="1:5" x14ac:dyDescent="0.25">
      <c r="A35" s="35">
        <v>1</v>
      </c>
      <c r="B35" s="174"/>
      <c r="C35" s="3"/>
      <c r="D35" s="3"/>
      <c r="E35" s="3"/>
    </row>
    <row r="36" spans="1:5" x14ac:dyDescent="0.25">
      <c r="A36" s="35">
        <v>2</v>
      </c>
      <c r="B36" s="174"/>
      <c r="C36" s="3"/>
      <c r="D36" s="3"/>
      <c r="E36" s="3"/>
    </row>
    <row r="37" spans="1:5" x14ac:dyDescent="0.25">
      <c r="A37" s="35">
        <v>3</v>
      </c>
      <c r="B37" s="174"/>
      <c r="C37" s="3"/>
      <c r="D37" s="3"/>
      <c r="E37" s="3"/>
    </row>
    <row r="38" spans="1:5" x14ac:dyDescent="0.25">
      <c r="A38" s="35">
        <v>4</v>
      </c>
      <c r="B38" s="174"/>
      <c r="C38" s="3"/>
      <c r="D38" s="3"/>
      <c r="E38" s="3"/>
    </row>
    <row r="39" spans="1:5" x14ac:dyDescent="0.25">
      <c r="A39" s="35">
        <v>5</v>
      </c>
      <c r="B39" s="174"/>
      <c r="C39" s="3"/>
      <c r="D39" s="3"/>
      <c r="E39" s="3"/>
    </row>
    <row r="40" spans="1:5" x14ac:dyDescent="0.25">
      <c r="A40" s="3"/>
      <c r="B40" s="3"/>
      <c r="C40" s="3"/>
      <c r="D40" s="3"/>
      <c r="E40" s="3"/>
    </row>
    <row r="41" spans="1:5" ht="15.75" customHeight="1" x14ac:dyDescent="0.25">
      <c r="A41" s="478" t="s">
        <v>86</v>
      </c>
      <c r="B41" s="477"/>
      <c r="C41" s="3"/>
      <c r="D41" s="632" t="str">
        <f>CONCATENATE("",D6-3," Tax Rate                    (",D6-2," Column)")</f>
        <v>2022 Tax Rate                    (2023 Column)</v>
      </c>
      <c r="E41" s="3"/>
    </row>
    <row r="42" spans="1:5" x14ac:dyDescent="0.25">
      <c r="A42" s="474" t="str">
        <f>CONCATENATE("the ",D6-1," Budget, Budget Summary Page:")</f>
        <v>the 2024 Budget, Budget Summary Page:</v>
      </c>
      <c r="B42" s="471"/>
      <c r="C42" s="3"/>
      <c r="D42" s="633"/>
      <c r="E42" s="3"/>
    </row>
    <row r="43" spans="1:5" x14ac:dyDescent="0.25">
      <c r="A43" s="3"/>
      <c r="B43" s="472" t="str">
        <f>B17</f>
        <v>General</v>
      </c>
      <c r="C43" s="3"/>
      <c r="D43" s="226"/>
      <c r="E43" s="3"/>
    </row>
    <row r="44" spans="1:5" x14ac:dyDescent="0.25">
      <c r="A44" s="3"/>
      <c r="B44" s="59" t="str">
        <f>B18</f>
        <v>Debt Service</v>
      </c>
      <c r="C44" s="3"/>
      <c r="D44" s="227"/>
      <c r="E44" s="3"/>
    </row>
    <row r="45" spans="1:5" x14ac:dyDescent="0.25">
      <c r="A45" s="3"/>
      <c r="B45" s="59" t="str">
        <f>B19</f>
        <v>Library</v>
      </c>
      <c r="C45" s="3"/>
      <c r="D45" s="227"/>
      <c r="E45" s="3"/>
    </row>
    <row r="46" spans="1:5" x14ac:dyDescent="0.25">
      <c r="A46" s="3"/>
      <c r="B46" s="59" t="str">
        <f t="shared" ref="B46:B52" si="0">B20</f>
        <v>Road</v>
      </c>
      <c r="C46" s="3"/>
      <c r="D46" s="227"/>
      <c r="E46" s="3"/>
    </row>
    <row r="47" spans="1:5" x14ac:dyDescent="0.25">
      <c r="A47" s="3"/>
      <c r="B47" s="49">
        <f t="shared" si="0"/>
        <v>0</v>
      </c>
      <c r="C47" s="3"/>
      <c r="D47" s="227"/>
      <c r="E47" s="3"/>
    </row>
    <row r="48" spans="1:5" x14ac:dyDescent="0.25">
      <c r="A48" s="3"/>
      <c r="B48" s="49">
        <f t="shared" si="0"/>
        <v>0</v>
      </c>
      <c r="C48" s="3"/>
      <c r="D48" s="227"/>
      <c r="E48" s="3"/>
    </row>
    <row r="49" spans="1:5" x14ac:dyDescent="0.25">
      <c r="A49" s="3"/>
      <c r="B49" s="49">
        <f t="shared" si="0"/>
        <v>0</v>
      </c>
      <c r="C49" s="3"/>
      <c r="D49" s="227"/>
      <c r="E49" s="3"/>
    </row>
    <row r="50" spans="1:5" x14ac:dyDescent="0.25">
      <c r="A50" s="3"/>
      <c r="B50" s="49">
        <f t="shared" si="0"/>
        <v>0</v>
      </c>
      <c r="C50" s="3"/>
      <c r="D50" s="227"/>
      <c r="E50" s="3"/>
    </row>
    <row r="51" spans="1:5" x14ac:dyDescent="0.25">
      <c r="A51" s="3"/>
      <c r="B51" s="49">
        <f t="shared" si="0"/>
        <v>0</v>
      </c>
      <c r="C51" s="3"/>
      <c r="D51" s="227"/>
      <c r="E51" s="3"/>
    </row>
    <row r="52" spans="1:5" x14ac:dyDescent="0.25">
      <c r="A52" s="3"/>
      <c r="B52" s="49">
        <f t="shared" si="0"/>
        <v>0</v>
      </c>
      <c r="C52" s="3"/>
      <c r="D52" s="227"/>
      <c r="E52" s="3"/>
    </row>
    <row r="53" spans="1:5" ht="16.5" thickBot="1" x14ac:dyDescent="0.3">
      <c r="A53" s="48" t="str">
        <f>CONCATENATE("Total ",D6-3," Tax Levy Rate")</f>
        <v>Total 2022 Tax Levy Rate</v>
      </c>
      <c r="B53" s="228"/>
      <c r="C53" s="189"/>
      <c r="D53" s="229">
        <f>SUM(D43:D52)</f>
        <v>0</v>
      </c>
      <c r="E53" s="3"/>
    </row>
    <row r="54" spans="1:5" ht="16.5" thickTop="1" x14ac:dyDescent="0.25">
      <c r="A54" s="3"/>
      <c r="B54" s="3"/>
      <c r="C54" s="3"/>
      <c r="D54" s="3"/>
      <c r="E54" s="3"/>
    </row>
    <row r="55" spans="1:5" x14ac:dyDescent="0.25">
      <c r="A55" s="470" t="str">
        <f>CONCATENATE("Total Tax Levied (",D6-2," budget column)")</f>
        <v>Total Tax Levied (2023 budget column)</v>
      </c>
      <c r="B55" s="469"/>
      <c r="C55" s="7"/>
      <c r="D55" s="189"/>
      <c r="E55" s="143"/>
    </row>
    <row r="56" spans="1:5" x14ac:dyDescent="0.25">
      <c r="A56" s="470" t="str">
        <f>CONCATENATE("Assessed Valuation (",D6-2," budget column)")</f>
        <v>Assessed Valuation (2023 budget column)</v>
      </c>
      <c r="B56" s="469"/>
      <c r="C56" s="197"/>
      <c r="D56" s="14"/>
      <c r="E56" s="143"/>
    </row>
    <row r="57" spans="1:5" x14ac:dyDescent="0.25">
      <c r="A57" s="9"/>
      <c r="B57" s="3"/>
      <c r="C57" s="3"/>
      <c r="D57" s="3"/>
      <c r="E57" s="204"/>
    </row>
    <row r="58" spans="1:5" x14ac:dyDescent="0.25">
      <c r="A58" s="3"/>
      <c r="B58" s="3"/>
      <c r="C58" s="3"/>
      <c r="D58" s="3"/>
      <c r="E58" s="36"/>
    </row>
    <row r="59" spans="1:5" x14ac:dyDescent="0.25">
      <c r="A59" s="468" t="s">
        <v>104</v>
      </c>
      <c r="B59" s="477"/>
      <c r="C59" s="90"/>
      <c r="D59" s="231">
        <f>D6-3</f>
        <v>2022</v>
      </c>
      <c r="E59" s="231">
        <f>D6-2</f>
        <v>2023</v>
      </c>
    </row>
    <row r="60" spans="1:5" x14ac:dyDescent="0.25">
      <c r="A60" s="467" t="s">
        <v>105</v>
      </c>
      <c r="B60" s="466"/>
      <c r="C60" s="232"/>
      <c r="D60" s="22"/>
      <c r="E60" s="22"/>
    </row>
    <row r="61" spans="1:5" x14ac:dyDescent="0.25">
      <c r="A61" s="465" t="s">
        <v>106</v>
      </c>
      <c r="B61" s="469"/>
      <c r="C61" s="233"/>
      <c r="D61" s="22"/>
      <c r="E61" s="22"/>
    </row>
    <row r="62" spans="1:5" x14ac:dyDescent="0.25">
      <c r="A62" s="465" t="s">
        <v>107</v>
      </c>
      <c r="B62" s="469"/>
      <c r="C62" s="233"/>
      <c r="D62" s="22"/>
      <c r="E62" s="22"/>
    </row>
    <row r="63" spans="1:5" x14ac:dyDescent="0.25">
      <c r="A63" s="465"/>
      <c r="B63" s="469"/>
      <c r="C63" s="234"/>
      <c r="D63" s="22"/>
      <c r="E63" s="22"/>
    </row>
    <row r="64" spans="1:5" x14ac:dyDescent="0.25">
      <c r="A64" s="1"/>
      <c r="B64" s="1"/>
      <c r="C64" s="1"/>
      <c r="D64" s="1"/>
      <c r="E64" s="1"/>
    </row>
    <row r="65" spans="1:5" x14ac:dyDescent="0.25">
      <c r="A65" s="1"/>
      <c r="B65" s="1"/>
      <c r="C65" s="1"/>
      <c r="D65" s="1"/>
      <c r="E65" s="1"/>
    </row>
    <row r="66" spans="1:5" x14ac:dyDescent="0.25">
      <c r="A66" s="1"/>
      <c r="B66" s="1"/>
      <c r="C66" s="1"/>
      <c r="D66" s="1"/>
      <c r="E66" s="1"/>
    </row>
    <row r="67" spans="1:5" x14ac:dyDescent="0.25">
      <c r="A67" s="1"/>
      <c r="B67" s="1"/>
      <c r="C67" s="1"/>
      <c r="D67" s="1"/>
      <c r="E67" s="1"/>
    </row>
    <row r="68" spans="1:5" x14ac:dyDescent="0.25">
      <c r="A68" s="1"/>
      <c r="B68" s="1"/>
      <c r="C68" s="1"/>
      <c r="D68" s="1"/>
      <c r="E68" s="1"/>
    </row>
    <row r="69" spans="1:5" x14ac:dyDescent="0.25">
      <c r="A69" s="1"/>
      <c r="B69" s="1"/>
      <c r="C69" s="1"/>
      <c r="D69" s="1"/>
      <c r="E69" s="1"/>
    </row>
    <row r="70" spans="1:5" x14ac:dyDescent="0.25">
      <c r="A70" s="1"/>
      <c r="B70" s="1"/>
      <c r="C70" s="1"/>
      <c r="D70" s="1"/>
      <c r="E70" s="1"/>
    </row>
    <row r="71" spans="1:5" x14ac:dyDescent="0.25">
      <c r="A71" s="1"/>
      <c r="B71" s="1"/>
      <c r="C71" s="1"/>
      <c r="D71" s="1"/>
      <c r="E71" s="1"/>
    </row>
    <row r="72" spans="1:5" x14ac:dyDescent="0.25">
      <c r="A72" s="1"/>
      <c r="B72" s="1"/>
      <c r="C72" s="1"/>
      <c r="D72" s="1"/>
      <c r="E72" s="1"/>
    </row>
    <row r="73" spans="1:5" x14ac:dyDescent="0.25">
      <c r="A73" s="1"/>
      <c r="B73" s="1"/>
      <c r="C73" s="1"/>
      <c r="D73" s="1"/>
      <c r="E73" s="1"/>
    </row>
    <row r="74" spans="1:5" s="235" customFormat="1" x14ac:dyDescent="0.25">
      <c r="A74" s="1"/>
      <c r="B74" s="1"/>
      <c r="C74" s="1"/>
      <c r="D74" s="1"/>
      <c r="E74" s="1"/>
    </row>
    <row r="75" spans="1:5" x14ac:dyDescent="0.25">
      <c r="A75" s="1"/>
      <c r="B75" s="1"/>
      <c r="C75" s="1"/>
      <c r="D75" s="1"/>
      <c r="E75" s="1"/>
    </row>
    <row r="76" spans="1:5" x14ac:dyDescent="0.25">
      <c r="A76" s="1"/>
      <c r="B76" s="1"/>
      <c r="C76" s="1"/>
      <c r="D76" s="1"/>
      <c r="E76" s="1"/>
    </row>
    <row r="77" spans="1:5" x14ac:dyDescent="0.25">
      <c r="A77" s="1"/>
      <c r="B77" s="1"/>
      <c r="C77" s="1"/>
      <c r="D77" s="1"/>
      <c r="E77" s="1"/>
    </row>
    <row r="78" spans="1:5" x14ac:dyDescent="0.25">
      <c r="A78" s="1"/>
      <c r="B78" s="1"/>
      <c r="C78" s="1"/>
      <c r="D78" s="1"/>
      <c r="E78" s="1"/>
    </row>
    <row r="79" spans="1:5" x14ac:dyDescent="0.25">
      <c r="A79" s="1"/>
      <c r="B79" s="1"/>
      <c r="C79" s="1"/>
      <c r="D79" s="1"/>
      <c r="E79" s="1"/>
    </row>
    <row r="80" spans="1:5" x14ac:dyDescent="0.25">
      <c r="A80" s="1"/>
      <c r="B80" s="1"/>
      <c r="C80" s="1"/>
      <c r="D80" s="1"/>
      <c r="E80" s="1"/>
    </row>
    <row r="81" spans="1:7" x14ac:dyDescent="0.25">
      <c r="A81" s="1"/>
      <c r="B81" s="1"/>
      <c r="C81" s="1"/>
      <c r="D81" s="1"/>
      <c r="E81" s="1"/>
    </row>
    <row r="82" spans="1:7" x14ac:dyDescent="0.25">
      <c r="A82" s="1"/>
      <c r="B82" s="1"/>
      <c r="C82" s="1"/>
      <c r="D82" s="1"/>
      <c r="E82" s="1"/>
    </row>
    <row r="83" spans="1:7" x14ac:dyDescent="0.25">
      <c r="A83" s="1"/>
      <c r="B83" s="1"/>
      <c r="C83" s="1"/>
      <c r="D83" s="1"/>
      <c r="E83" s="1"/>
    </row>
    <row r="84" spans="1:7" s="55" customFormat="1" x14ac:dyDescent="0.25">
      <c r="A84" s="1"/>
      <c r="B84" s="1"/>
      <c r="C84" s="1"/>
      <c r="D84" s="1"/>
      <c r="E84" s="1"/>
      <c r="G84" s="4"/>
    </row>
    <row r="85" spans="1:7" s="55" customFormat="1" x14ac:dyDescent="0.25">
      <c r="A85" s="1"/>
      <c r="B85" s="1"/>
      <c r="C85" s="1"/>
      <c r="D85" s="1"/>
      <c r="E85" s="1"/>
      <c r="G85" s="4"/>
    </row>
    <row r="86" spans="1:7" x14ac:dyDescent="0.25">
      <c r="A86" s="1"/>
      <c r="B86" s="1"/>
      <c r="C86" s="1"/>
      <c r="D86" s="1"/>
      <c r="E86" s="1"/>
    </row>
  </sheetData>
  <sheetProtection sheet="1"/>
  <mergeCells count="5">
    <mergeCell ref="D41:D42"/>
    <mergeCell ref="A11:E11"/>
    <mergeCell ref="A1:E1"/>
    <mergeCell ref="A8:E10"/>
    <mergeCell ref="G8:H14"/>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A25"/>
  <sheetViews>
    <sheetView workbookViewId="0">
      <selection activeCell="M66" sqref="M66"/>
    </sheetView>
  </sheetViews>
  <sheetFormatPr defaultRowHeight="15.75" x14ac:dyDescent="0.25"/>
  <cols>
    <col min="1" max="1" width="62.3984375" style="1" customWidth="1"/>
    <col min="2" max="16384" width="8.796875" style="1"/>
  </cols>
  <sheetData>
    <row r="1" spans="1:1" ht="20.25" x14ac:dyDescent="0.25">
      <c r="A1" s="121" t="s">
        <v>390</v>
      </c>
    </row>
    <row r="2" spans="1:1" ht="54.75" customHeight="1" x14ac:dyDescent="0.25">
      <c r="A2" s="122" t="s">
        <v>391</v>
      </c>
    </row>
    <row r="3" spans="1:1" x14ac:dyDescent="0.25">
      <c r="A3" s="615"/>
    </row>
    <row r="4" spans="1:1" ht="56.25" customHeight="1" x14ac:dyDescent="0.25">
      <c r="A4" s="122" t="s">
        <v>392</v>
      </c>
    </row>
    <row r="5" spans="1:1" x14ac:dyDescent="0.25">
      <c r="A5" s="55"/>
    </row>
    <row r="6" spans="1:1" ht="50.25" customHeight="1" x14ac:dyDescent="0.25">
      <c r="A6" s="122" t="s">
        <v>393</v>
      </c>
    </row>
    <row r="7" spans="1:1" ht="16.5" customHeight="1" x14ac:dyDescent="0.25">
      <c r="A7" s="122"/>
    </row>
    <row r="8" spans="1:1" ht="50.25" customHeight="1" x14ac:dyDescent="0.25">
      <c r="A8" s="616" t="s">
        <v>394</v>
      </c>
    </row>
    <row r="9" spans="1:1" x14ac:dyDescent="0.25">
      <c r="A9" s="615"/>
    </row>
    <row r="10" spans="1:1" ht="40.5" customHeight="1" x14ac:dyDescent="0.25">
      <c r="A10" s="122" t="s">
        <v>395</v>
      </c>
    </row>
    <row r="11" spans="1:1" x14ac:dyDescent="0.25">
      <c r="A11" s="55"/>
    </row>
    <row r="12" spans="1:1" ht="40.5" customHeight="1" x14ac:dyDescent="0.25">
      <c r="A12" s="122" t="s">
        <v>396</v>
      </c>
    </row>
    <row r="13" spans="1:1" x14ac:dyDescent="0.25">
      <c r="A13" s="615"/>
    </row>
    <row r="14" spans="1:1" ht="71.25" customHeight="1" x14ac:dyDescent="0.25">
      <c r="A14" s="122" t="s">
        <v>397</v>
      </c>
    </row>
    <row r="15" spans="1:1" x14ac:dyDescent="0.25">
      <c r="A15" s="615"/>
    </row>
    <row r="16" spans="1:1" ht="40.5" customHeight="1" x14ac:dyDescent="0.25">
      <c r="A16" s="122" t="s">
        <v>398</v>
      </c>
    </row>
    <row r="17" spans="1:1" x14ac:dyDescent="0.25">
      <c r="A17" s="55"/>
    </row>
    <row r="18" spans="1:1" ht="49.5" customHeight="1" x14ac:dyDescent="0.25">
      <c r="A18" s="122" t="s">
        <v>399</v>
      </c>
    </row>
    <row r="19" spans="1:1" x14ac:dyDescent="0.25">
      <c r="A19" s="615"/>
    </row>
    <row r="20" spans="1:1" ht="52.5" customHeight="1" x14ac:dyDescent="0.25">
      <c r="A20" s="122" t="s">
        <v>400</v>
      </c>
    </row>
    <row r="21" spans="1:1" x14ac:dyDescent="0.25">
      <c r="A21" s="615"/>
    </row>
    <row r="22" spans="1:1" ht="48.75" customHeight="1" x14ac:dyDescent="0.25">
      <c r="A22" s="122" t="s">
        <v>401</v>
      </c>
    </row>
    <row r="23" spans="1:1" x14ac:dyDescent="0.25">
      <c r="A23" s="615"/>
    </row>
    <row r="24" spans="1:1" x14ac:dyDescent="0.25">
      <c r="A24" s="55"/>
    </row>
    <row r="25" spans="1:1" ht="51.75" customHeight="1" x14ac:dyDescent="0.25">
      <c r="A25" s="122" t="s">
        <v>402</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F0"/>
    <pageSetUpPr fitToPage="1"/>
  </sheetPr>
  <dimension ref="B1:N110"/>
  <sheetViews>
    <sheetView zoomScaleNormal="100" workbookViewId="0">
      <selection activeCell="G38" sqref="G38"/>
    </sheetView>
  </sheetViews>
  <sheetFormatPr defaultRowHeight="15.75" x14ac:dyDescent="0.25"/>
  <cols>
    <col min="1" max="1" width="1.69921875" style="4" customWidth="1"/>
    <col min="2" max="2" width="20.69921875" style="4" customWidth="1"/>
    <col min="3" max="3" width="12.69921875" style="4" customWidth="1"/>
    <col min="4" max="4" width="9.69921875" style="4" customWidth="1"/>
    <col min="5" max="5" width="12.69921875" style="4" customWidth="1"/>
    <col min="6" max="6" width="9.69921875" style="4" customWidth="1"/>
    <col min="7" max="7" width="13.3984375" style="4" customWidth="1"/>
    <col min="8" max="8" width="10.69921875" style="4" customWidth="1"/>
    <col min="9" max="9" width="9.69921875" style="4" customWidth="1"/>
    <col min="10" max="10" width="5.09765625" style="4" customWidth="1"/>
    <col min="11" max="11" width="12.3984375" style="4" customWidth="1"/>
    <col min="12" max="12" width="12.296875" style="4" customWidth="1"/>
    <col min="13" max="13" width="10.5" style="4" customWidth="1"/>
    <col min="14" max="14" width="12" style="4" customWidth="1"/>
    <col min="15" max="16384" width="8.796875" style="4"/>
  </cols>
  <sheetData>
    <row r="1" spans="2:9" x14ac:dyDescent="0.25">
      <c r="B1" s="3"/>
      <c r="C1" s="3"/>
      <c r="D1" s="3"/>
      <c r="E1" s="3"/>
      <c r="F1" s="3"/>
      <c r="G1" s="3"/>
      <c r="H1" s="3"/>
      <c r="I1" s="104">
        <f>inputPrYr!D6</f>
        <v>2025</v>
      </c>
    </row>
    <row r="2" spans="2:9" x14ac:dyDescent="0.25">
      <c r="B2" s="726" t="s">
        <v>403</v>
      </c>
      <c r="C2" s="675"/>
      <c r="D2" s="675"/>
      <c r="E2" s="675"/>
      <c r="F2" s="675"/>
      <c r="G2" s="675"/>
      <c r="H2" s="675"/>
      <c r="I2" s="675"/>
    </row>
    <row r="3" spans="2:9" x14ac:dyDescent="0.25">
      <c r="B3" s="3"/>
      <c r="C3" s="3"/>
      <c r="D3" s="3"/>
      <c r="E3" s="3"/>
      <c r="F3" s="3"/>
      <c r="G3" s="9" t="s">
        <v>404</v>
      </c>
      <c r="H3" s="9" t="s">
        <v>405</v>
      </c>
      <c r="I3" s="3"/>
    </row>
    <row r="4" spans="2:9" x14ac:dyDescent="0.25">
      <c r="B4" s="662" t="s">
        <v>406</v>
      </c>
      <c r="C4" s="662"/>
      <c r="D4" s="662"/>
      <c r="E4" s="662"/>
      <c r="F4" s="662"/>
      <c r="G4" s="662"/>
      <c r="H4" s="662"/>
      <c r="I4" s="662"/>
    </row>
    <row r="5" spans="2:9" x14ac:dyDescent="0.25">
      <c r="B5" s="636">
        <f>inputPrYr!D3</f>
        <v>0</v>
      </c>
      <c r="C5" s="636"/>
      <c r="D5" s="636"/>
      <c r="E5" s="636"/>
      <c r="F5" s="636"/>
      <c r="G5" s="636"/>
      <c r="H5" s="636"/>
      <c r="I5" s="636"/>
    </row>
    <row r="6" spans="2:9" x14ac:dyDescent="0.25">
      <c r="B6" s="636">
        <f>inputPrYr!D4</f>
        <v>0</v>
      </c>
      <c r="C6" s="636"/>
      <c r="D6" s="636"/>
      <c r="E6" s="636"/>
      <c r="F6" s="636"/>
      <c r="G6" s="636"/>
      <c r="H6" s="636"/>
      <c r="I6" s="636"/>
    </row>
    <row r="7" spans="2:9" x14ac:dyDescent="0.25">
      <c r="B7" s="662" t="str">
        <f>CONCATENATE("will meet on ",inputHearing!B18," at ",inputHearing!B20," at ",inputHearing!B22," for the purpose of hearing and")</f>
        <v>will meet on  at  at  for the purpose of hearing and</v>
      </c>
      <c r="C7" s="662"/>
      <c r="D7" s="662"/>
      <c r="E7" s="662"/>
      <c r="F7" s="662"/>
      <c r="G7" s="662"/>
      <c r="H7" s="662"/>
      <c r="I7" s="662"/>
    </row>
    <row r="8" spans="2:9" x14ac:dyDescent="0.25">
      <c r="B8" s="106" t="s">
        <v>407</v>
      </c>
      <c r="C8" s="104"/>
      <c r="D8" s="104"/>
      <c r="E8" s="104"/>
      <c r="F8" s="104"/>
      <c r="G8" s="104"/>
      <c r="H8" s="104"/>
      <c r="I8" s="104"/>
    </row>
    <row r="9" spans="2:9" x14ac:dyDescent="0.25">
      <c r="B9" s="662" t="str">
        <f>CONCATENATE("Detailed budget information is available at ",inputHearing!B24," and will be available at this hearing.")</f>
        <v>Detailed budget information is available at  and will be available at this hearing.</v>
      </c>
      <c r="C9" s="662"/>
      <c r="D9" s="662"/>
      <c r="E9" s="662"/>
      <c r="F9" s="662"/>
      <c r="G9" s="662"/>
      <c r="H9" s="662"/>
      <c r="I9" s="662"/>
    </row>
    <row r="10" spans="2:9" x14ac:dyDescent="0.25">
      <c r="B10" s="103" t="s">
        <v>408</v>
      </c>
      <c r="C10" s="107"/>
      <c r="D10" s="107"/>
      <c r="E10" s="107"/>
      <c r="F10" s="107"/>
      <c r="G10" s="107"/>
      <c r="H10" s="107"/>
      <c r="I10" s="107"/>
    </row>
    <row r="11" spans="2:9" x14ac:dyDescent="0.25">
      <c r="B11" s="106" t="str">
        <f>CONCATENATE("Proposed Budget ",I1," Expenditures and Amount of ",I1-1," Ad Valorem Tax establish the maximum limits")</f>
        <v>Proposed Budget 2025 Expenditures and Amount of 2024 Ad Valorem Tax establish the maximum limits</v>
      </c>
      <c r="C11" s="104"/>
      <c r="D11" s="104"/>
      <c r="E11" s="104"/>
      <c r="F11" s="104"/>
      <c r="G11" s="104"/>
      <c r="H11" s="104"/>
      <c r="I11" s="104"/>
    </row>
    <row r="12" spans="2:9" x14ac:dyDescent="0.25">
      <c r="B12" s="106" t="str">
        <f>CONCATENATE("of the ",I1," budget.  Estimated Tax Rate is subject to change depending on the final assessed valuation.")</f>
        <v>of the 2025 budget.  Estimated Tax Rate is subject to change depending on the final assessed valuation.</v>
      </c>
      <c r="C12" s="104"/>
      <c r="D12" s="104"/>
      <c r="E12" s="104"/>
      <c r="F12" s="104"/>
      <c r="G12" s="104"/>
      <c r="H12" s="104"/>
      <c r="I12" s="104"/>
    </row>
    <row r="13" spans="2:9" x14ac:dyDescent="0.25">
      <c r="B13" s="9"/>
      <c r="C13" s="3"/>
      <c r="D13" s="3"/>
      <c r="E13" s="3"/>
      <c r="F13" s="3"/>
      <c r="G13" s="3"/>
      <c r="H13" s="3"/>
      <c r="I13" s="3"/>
    </row>
    <row r="14" spans="2:9" x14ac:dyDescent="0.25">
      <c r="B14" s="3"/>
      <c r="C14" s="108" t="str">
        <f>CONCATENATE("Prior Year Actual ",I1-2,"")</f>
        <v>Prior Year Actual 2023</v>
      </c>
      <c r="D14" s="109"/>
      <c r="E14" s="108" t="str">
        <f>CONCATENATE("Current Year Estimate ",I1-1,"")</f>
        <v>Current Year Estimate 2024</v>
      </c>
      <c r="F14" s="110"/>
      <c r="G14" s="111" t="str">
        <f>CONCATENATE("Proposed Budget ",I1,"")</f>
        <v>Proposed Budget 2025</v>
      </c>
      <c r="H14" s="112"/>
      <c r="I14" s="110"/>
    </row>
    <row r="15" spans="2:9" ht="22.5" customHeight="1" x14ac:dyDescent="0.25">
      <c r="B15" s="3"/>
      <c r="C15" s="46"/>
      <c r="D15" s="10" t="s">
        <v>201</v>
      </c>
      <c r="E15" s="10"/>
      <c r="F15" s="10" t="s">
        <v>201</v>
      </c>
      <c r="G15" s="113"/>
      <c r="H15" s="663" t="str">
        <f>CONCATENATE("Amount of ",I1-1," Ad Valorem Tax")</f>
        <v>Amount of 2024 Ad Valorem Tax</v>
      </c>
      <c r="I15" s="663" t="s">
        <v>409</v>
      </c>
    </row>
    <row r="16" spans="2:9" x14ac:dyDescent="0.25">
      <c r="B16" s="3"/>
      <c r="C16" s="114"/>
      <c r="D16" s="114" t="s">
        <v>410</v>
      </c>
      <c r="E16" s="114"/>
      <c r="F16" s="114" t="s">
        <v>410</v>
      </c>
      <c r="G16" s="114" t="s">
        <v>124</v>
      </c>
      <c r="H16" s="727"/>
      <c r="I16" s="664"/>
    </row>
    <row r="17" spans="2:14" x14ac:dyDescent="0.25">
      <c r="B17" s="11" t="s">
        <v>109</v>
      </c>
      <c r="C17" s="12" t="s">
        <v>411</v>
      </c>
      <c r="D17" s="12" t="s">
        <v>412</v>
      </c>
      <c r="E17" s="12" t="s">
        <v>411</v>
      </c>
      <c r="F17" s="12" t="s">
        <v>412</v>
      </c>
      <c r="G17" s="12" t="s">
        <v>158</v>
      </c>
      <c r="H17" s="728"/>
      <c r="I17" s="665"/>
    </row>
    <row r="18" spans="2:14" x14ac:dyDescent="0.25">
      <c r="B18" s="59" t="str">
        <f>inputPrYr!B17</f>
        <v>General</v>
      </c>
      <c r="C18" s="41" t="str">
        <f>IF(General!$C$49&lt;&gt;0,General!$C$49,"  ")</f>
        <v xml:space="preserve">  </v>
      </c>
      <c r="D18" s="309" t="str">
        <f>IF(inputPrYr!D43&gt;0,inputPrYr!D43,"  ")</f>
        <v xml:space="preserve">  </v>
      </c>
      <c r="E18" s="18" t="str">
        <f>IF(General!$D$49&lt;&gt;0,General!$D$49,"  ")</f>
        <v xml:space="preserve">  </v>
      </c>
      <c r="F18" s="180" t="str">
        <f>IF(inputOth!D19&gt;0,inputOth!D19,"  ")</f>
        <v xml:space="preserve">  </v>
      </c>
      <c r="G18" s="18" t="str">
        <f>IF(General!$E$49&lt;&gt;0,General!$E$49,"  ")</f>
        <v xml:space="preserve">  </v>
      </c>
      <c r="H18" s="18" t="str">
        <f>IF(General!$E$56&lt;&gt;0,General!$E$56," ")</f>
        <v xml:space="preserve"> </v>
      </c>
      <c r="I18" s="180" t="str">
        <f>IF(General!E56&gt;0,ROUND(H18/$G$38*1000,3)," ")</f>
        <v xml:space="preserve"> </v>
      </c>
    </row>
    <row r="19" spans="2:14" x14ac:dyDescent="0.25">
      <c r="B19" s="59" t="s">
        <v>96</v>
      </c>
      <c r="C19" s="18" t="str">
        <f>IF('DebtSvs-Library'!C34&lt;&gt;0,'DebtSvs-Library'!C34,"  ")</f>
        <v xml:space="preserve">  </v>
      </c>
      <c r="D19" s="309" t="str">
        <f>IF(inputPrYr!D44&gt;0,inputPrYr!D44,"  ")</f>
        <v xml:space="preserve">  </v>
      </c>
      <c r="E19" s="18" t="str">
        <f>IF('DebtSvs-Library'!D34&lt;&gt;0,'DebtSvs-Library'!D34,"  ")</f>
        <v xml:space="preserve">  </v>
      </c>
      <c r="F19" s="180" t="str">
        <f>IF(inputOth!D20&gt;0,inputOth!D20,"  ")</f>
        <v xml:space="preserve">  </v>
      </c>
      <c r="G19" s="18" t="str">
        <f>IF('DebtSvs-Library'!E34&lt;&gt;0,'DebtSvs-Library'!E34,"  ")</f>
        <v xml:space="preserve">  </v>
      </c>
      <c r="H19" s="18" t="str">
        <f>IF('DebtSvs-Library'!E41&lt;&gt;0,'DebtSvs-Library'!E41," ")</f>
        <v xml:space="preserve"> </v>
      </c>
      <c r="I19" s="180" t="str">
        <f>IF('DebtSvs-Library'!E41&gt;0,ROUND(H19/$G$38*1000,3)," ")</f>
        <v xml:space="preserve"> </v>
      </c>
    </row>
    <row r="20" spans="2:14" x14ac:dyDescent="0.25">
      <c r="B20" s="59" t="str">
        <f>IF(inputPrYr!$B19&gt;"  ",inputPrYr!$B19,"  ")</f>
        <v>Library</v>
      </c>
      <c r="C20" s="18" t="str">
        <f>IF('DebtSvs-Library'!C73&lt;&gt;0,'DebtSvs-Library'!C73,"  ")</f>
        <v xml:space="preserve">  </v>
      </c>
      <c r="D20" s="309" t="str">
        <f>IF(inputPrYr!D45&gt;0,inputPrYr!D45,"  ")</f>
        <v xml:space="preserve">  </v>
      </c>
      <c r="E20" s="18" t="str">
        <f>IF('DebtSvs-Library'!D73&lt;&gt;0,'DebtSvs-Library'!D73,"  ")</f>
        <v xml:space="preserve">  </v>
      </c>
      <c r="F20" s="180" t="str">
        <f>IF(inputOth!D21&gt;0,inputOth!D21,"  ")</f>
        <v xml:space="preserve">  </v>
      </c>
      <c r="G20" s="18" t="str">
        <f>IF('DebtSvs-Library'!E73&lt;&gt;0,'DebtSvs-Library'!E73,"  ")</f>
        <v xml:space="preserve">  </v>
      </c>
      <c r="H20" s="18" t="str">
        <f>IF('DebtSvs-Library'!E80&lt;&gt;0,'DebtSvs-Library'!E80," ")</f>
        <v xml:space="preserve"> </v>
      </c>
      <c r="I20" s="180" t="str">
        <f>IF('DebtSvs-Library'!E80&gt;0,ROUND(H20/$G$38*1000,3)," ")</f>
        <v xml:space="preserve"> </v>
      </c>
    </row>
    <row r="21" spans="2:14" x14ac:dyDescent="0.25">
      <c r="B21" s="59" t="str">
        <f>IF(inputPrYr!$B20&gt;"  ",inputPrYr!$B20,"  ")</f>
        <v>Road</v>
      </c>
      <c r="C21" s="18" t="str">
        <f>IF(Road!$C$43&lt;&gt;0,Road!$C$43,"  ")</f>
        <v xml:space="preserve">  </v>
      </c>
      <c r="D21" s="309" t="str">
        <f>IF(inputPrYr!D46&gt;0,inputPrYr!D46,"  ")</f>
        <v xml:space="preserve">  </v>
      </c>
      <c r="E21" s="18" t="str">
        <f>IF(Road!$D$43&lt;&gt;0,Road!$D$43,"  ")</f>
        <v xml:space="preserve">  </v>
      </c>
      <c r="F21" s="180" t="str">
        <f>IF(inputOth!D22&gt;0,inputOth!D22,"  ")</f>
        <v xml:space="preserve">  </v>
      </c>
      <c r="G21" s="18" t="str">
        <f>IF(Road!$E$43&lt;&gt;0,Road!$E$43,"  ")</f>
        <v xml:space="preserve">  </v>
      </c>
      <c r="H21" s="18" t="str">
        <f>IF(Road!$E$50&lt;&gt;0,Road!$E$50,"  ")</f>
        <v xml:space="preserve">  </v>
      </c>
      <c r="I21" s="180" t="str">
        <f>IF(Road!E50&gt;0,ROUND(H21/$G$38*1000,3)," ")</f>
        <v xml:space="preserve"> </v>
      </c>
      <c r="K21" s="732" t="str">
        <f>CONCATENATE("Estimated Value Of One Mill For ",I1,"")</f>
        <v>Estimated Value Of One Mill For 2025</v>
      </c>
      <c r="L21" s="735"/>
      <c r="M21" s="735"/>
      <c r="N21" s="736"/>
    </row>
    <row r="22" spans="2:14" x14ac:dyDescent="0.25">
      <c r="B22" s="59" t="str">
        <f>IF(inputPrYr!$B21&gt;"  ",inputPrYr!$B21,"  ")</f>
        <v xml:space="preserve">  </v>
      </c>
      <c r="C22" s="18" t="str">
        <f>IF('Levy Page 9'!$C$34&lt;&gt;0,'Levy Page 9'!$C$34,"  ")</f>
        <v xml:space="preserve">  </v>
      </c>
      <c r="D22" s="309" t="str">
        <f>IF(inputPrYr!D47&gt;0,inputPrYr!D47,"  ")</f>
        <v xml:space="preserve">  </v>
      </c>
      <c r="E22" s="18" t="str">
        <f>IF('Levy Page 9'!$D$34&lt;&gt;0,'Levy Page 9'!$D$34,"  ")</f>
        <v xml:space="preserve">  </v>
      </c>
      <c r="F22" s="180" t="str">
        <f>IF(inputOth!D23&gt;0,inputOth!D23,"  ")</f>
        <v xml:space="preserve">  </v>
      </c>
      <c r="G22" s="18" t="str">
        <f>IF('Levy Page 9'!$E$34&lt;&gt;0,'Levy Page 9'!$E$34,"  ")</f>
        <v xml:space="preserve">  </v>
      </c>
      <c r="H22" s="18" t="str">
        <f>IF('Levy Page 9'!$E$41&lt;&gt;0,'Levy Page 9'!$E$41,"  ")</f>
        <v xml:space="preserve">  </v>
      </c>
      <c r="I22" s="180" t="str">
        <f>IF('Levy Page 9'!E41&gt;0,ROUND(H22/$G$38*1000,3)," ")</f>
        <v xml:space="preserve"> </v>
      </c>
      <c r="K22" s="289"/>
      <c r="L22" s="249"/>
      <c r="M22" s="249"/>
      <c r="N22" s="290"/>
    </row>
    <row r="23" spans="2:14" x14ac:dyDescent="0.25">
      <c r="B23" s="59" t="str">
        <f>IF(inputPrYr!$B22&gt;"  ",inputPrYr!$B22,"  ")</f>
        <v xml:space="preserve">  </v>
      </c>
      <c r="C23" s="18" t="str">
        <f>IF('Levy Page 9'!$C$74&lt;&gt;0,'Levy Page 9'!$C$74,"  ")</f>
        <v xml:space="preserve">  </v>
      </c>
      <c r="D23" s="309" t="str">
        <f>IF(inputPrYr!D48&gt;0,inputPrYr!D48,"  ")</f>
        <v xml:space="preserve">  </v>
      </c>
      <c r="E23" s="18" t="str">
        <f>IF('Levy Page 9'!$D$74&lt;&gt;0,'Levy Page 9'!$D$74,"  ")</f>
        <v xml:space="preserve">  </v>
      </c>
      <c r="F23" s="180" t="str">
        <f>IF(inputOth!D24&gt;0,inputOth!D24,"  ")</f>
        <v xml:space="preserve">  </v>
      </c>
      <c r="G23" s="18" t="str">
        <f>IF('Levy Page 9'!$E$74&lt;&gt;0,'Levy Page 9'!$E$74,"  ")</f>
        <v xml:space="preserve">  </v>
      </c>
      <c r="H23" s="18" t="str">
        <f>IF('Levy Page 9'!$E$81&lt;&gt;0,'Levy Page 9'!$E$81,"  ")</f>
        <v xml:space="preserve">  </v>
      </c>
      <c r="I23" s="180" t="str">
        <f>IF('Levy Page 9'!E81&gt;0,ROUND(H23/$G$38*1000,3)," ")</f>
        <v xml:space="preserve"> </v>
      </c>
      <c r="K23" s="291" t="s">
        <v>413</v>
      </c>
      <c r="L23" s="292"/>
      <c r="M23" s="292"/>
      <c r="N23" s="484">
        <f>ROUND(G38/1000,0)</f>
        <v>0</v>
      </c>
    </row>
    <row r="24" spans="2:14" x14ac:dyDescent="0.25">
      <c r="B24" s="59" t="str">
        <f>IF(inputPrYr!$B23&gt;"  ",inputPrYr!$B23,"  ")</f>
        <v xml:space="preserve">  </v>
      </c>
      <c r="C24" s="18" t="str">
        <f>IF('Levy Page 10'!$C$34&lt;&gt;0,'Levy Page 10'!$C$34,"  ")</f>
        <v xml:space="preserve">  </v>
      </c>
      <c r="D24" s="309" t="str">
        <f>IF(inputPrYr!D49&gt;0,inputPrYr!D49,"  ")</f>
        <v xml:space="preserve">  </v>
      </c>
      <c r="E24" s="18" t="str">
        <f>IF('Levy Page 10'!$D$34&lt;&gt;0,'Levy Page 10'!$D$34,"  ")</f>
        <v xml:space="preserve">  </v>
      </c>
      <c r="F24" s="180" t="str">
        <f>IF(inputOth!D25&gt;0,inputOth!D25,"  ")</f>
        <v xml:space="preserve">  </v>
      </c>
      <c r="G24" s="18" t="str">
        <f>IF('Levy Page 10'!$E$34&lt;&gt;0,'Levy Page 10'!$E$34,"  ")</f>
        <v xml:space="preserve">  </v>
      </c>
      <c r="H24" s="18" t="str">
        <f>IF('Levy Page 10'!$E$41&lt;&gt;0,'Levy Page 10'!$E$41,"  ")</f>
        <v xml:space="preserve">  </v>
      </c>
      <c r="I24" s="180" t="str">
        <f>IF('Levy Page 10'!E41&gt;0,ROUND(H24/$G$38*1000,3)," ")</f>
        <v xml:space="preserve"> </v>
      </c>
    </row>
    <row r="25" spans="2:14" x14ac:dyDescent="0.25">
      <c r="B25" s="59" t="str">
        <f>IF(inputPrYr!$B24&gt;"  ",inputPrYr!$B24,"  ")</f>
        <v xml:space="preserve">  </v>
      </c>
      <c r="C25" s="18" t="str">
        <f>IF('Levy Page 10'!$C$75&lt;&gt;0,'Levy Page 10'!$C$75,"  ")</f>
        <v xml:space="preserve">  </v>
      </c>
      <c r="D25" s="309" t="str">
        <f>IF(inputPrYr!D50&gt;0,inputPrYr!D50,"  ")</f>
        <v xml:space="preserve">  </v>
      </c>
      <c r="E25" s="18" t="str">
        <f>IF('Levy Page 10'!$D$75&lt;&gt;0,'Levy Page 10'!$D$75,"  ")</f>
        <v xml:space="preserve">  </v>
      </c>
      <c r="F25" s="180" t="str">
        <f>IF(inputOth!D26&gt;0,inputOth!D26,"  ")</f>
        <v xml:space="preserve">  </v>
      </c>
      <c r="G25" s="18" t="str">
        <f>IF('Levy Page 10'!$E$75&lt;&gt;0,'Levy Page 10'!$E$75,"  ")</f>
        <v xml:space="preserve">  </v>
      </c>
      <c r="H25" s="18" t="str">
        <f>IF('Levy Page 10'!$E$82&lt;&gt;0,'Levy Page 10'!$E$82,"  ")</f>
        <v xml:space="preserve">  </v>
      </c>
      <c r="I25" s="180" t="str">
        <f>IF('Levy Page 10'!E82&gt;0,ROUND(H25/$G$38*1000,3)," ")</f>
        <v xml:space="preserve"> </v>
      </c>
      <c r="K25" s="732" t="str">
        <f>CONCATENATE("Want The Mill Rate The Same As For ",I1-1,"?")</f>
        <v>Want The Mill Rate The Same As For 2024?</v>
      </c>
      <c r="L25" s="735"/>
      <c r="M25" s="735"/>
      <c r="N25" s="736"/>
    </row>
    <row r="26" spans="2:14" x14ac:dyDescent="0.25">
      <c r="B26" s="59" t="str">
        <f>IF(inputPrYr!$B25&gt;"  ",inputPrYr!$B25,"  ")</f>
        <v xml:space="preserve">  </v>
      </c>
      <c r="C26" s="18" t="str">
        <f>IF('Levy Page 11'!$C$34&lt;&gt;0,'Levy Page 11'!$C$34,"  ")</f>
        <v xml:space="preserve">  </v>
      </c>
      <c r="D26" s="309" t="str">
        <f>IF(inputPrYr!D51&gt;0,inputPrYr!D51,"  ")</f>
        <v xml:space="preserve">  </v>
      </c>
      <c r="E26" s="18" t="str">
        <f>IF('Levy Page 11'!$D$34&lt;&gt;0,'Levy Page 11'!$D$34,"  ")</f>
        <v xml:space="preserve">  </v>
      </c>
      <c r="F26" s="180" t="str">
        <f>IF(inputOth!D27&gt;0,inputOth!D27,"  ")</f>
        <v xml:space="preserve">  </v>
      </c>
      <c r="G26" s="18" t="str">
        <f>IF('Levy Page 11'!$E$34&lt;&gt;0,'Levy Page 11'!$E$34,"  ")</f>
        <v xml:space="preserve">  </v>
      </c>
      <c r="H26" s="18" t="str">
        <f>IF('Levy Page 11'!$E$41&lt;&gt;0,'Levy Page 11'!$E$41,"  ")</f>
        <v xml:space="preserve">  </v>
      </c>
      <c r="I26" s="180" t="str">
        <f>IF('Levy Page 11'!E41&gt;0,ROUND(H26/$G$38*1000,3)," ")</f>
        <v xml:space="preserve"> </v>
      </c>
      <c r="K26" s="294"/>
      <c r="L26" s="249"/>
      <c r="M26" s="249"/>
      <c r="N26" s="295"/>
    </row>
    <row r="27" spans="2:14" x14ac:dyDescent="0.25">
      <c r="B27" s="59" t="str">
        <f>IF(inputPrYr!$B26&gt;"  ",inputPrYr!$B26,"  ")</f>
        <v xml:space="preserve">  </v>
      </c>
      <c r="C27" s="18" t="str">
        <f>IF('Levy Page 11'!$C$75&lt;&gt;0,'Levy Page 11'!$C$75,"  ")</f>
        <v xml:space="preserve">  </v>
      </c>
      <c r="D27" s="309" t="str">
        <f>IF(inputPrYr!D52&gt;0,inputPrYr!D52,"  ")</f>
        <v xml:space="preserve">  </v>
      </c>
      <c r="E27" s="18" t="str">
        <f>IF('Levy Page 11'!$D$75&lt;&gt;0,'Levy Page 11'!$D$75,"  ")</f>
        <v xml:space="preserve">  </v>
      </c>
      <c r="F27" s="180" t="str">
        <f>IF(inputOth!D28&gt;0,inputOth!D28,"  ")</f>
        <v xml:space="preserve">  </v>
      </c>
      <c r="G27" s="18" t="str">
        <f>IF('Levy Page 11'!$E$75&lt;&gt;0,'Levy Page 11'!$E$75,"  ")</f>
        <v xml:space="preserve">  </v>
      </c>
      <c r="H27" s="18" t="str">
        <f>IF('Levy Page 11'!$E$82&lt;&gt;0,'Levy Page 11'!$E$82,"  ")</f>
        <v xml:space="preserve">  </v>
      </c>
      <c r="I27" s="180" t="str">
        <f>IF('Levy Page 11'!E82&gt;0,ROUND(H27/$G$38*1000,3)," ")</f>
        <v xml:space="preserve"> </v>
      </c>
      <c r="K27" s="294" t="str">
        <f>CONCATENATE("",I1-1," Mill Rate Was:")</f>
        <v>2024 Mill Rate Was:</v>
      </c>
      <c r="L27" s="249"/>
      <c r="M27" s="249"/>
      <c r="N27" s="296">
        <f>F32</f>
        <v>0</v>
      </c>
    </row>
    <row r="28" spans="2:14" x14ac:dyDescent="0.25">
      <c r="B28" s="59" t="str">
        <f>IF(inputPrYr!$B30&gt;"  ",inputPrYr!$B30,"  ")</f>
        <v xml:space="preserve">  </v>
      </c>
      <c r="C28" s="18" t="str">
        <f>IF('No Levy Page 12'!$C$27&lt;&gt;0,'No Levy Page 12'!$C$27,"  ")</f>
        <v xml:space="preserve">  </v>
      </c>
      <c r="D28" s="115"/>
      <c r="E28" s="18" t="str">
        <f>IF('No Levy Page 12'!$D$27&lt;&gt;0,'No Levy Page 12'!$D$27,"  ")</f>
        <v xml:space="preserve">  </v>
      </c>
      <c r="F28" s="180"/>
      <c r="G28" s="18" t="str">
        <f>IF('No Levy Page 12'!$E$27&lt;&gt;0,'No Levy Page 12'!$E$27,"  ")</f>
        <v xml:space="preserve">  </v>
      </c>
      <c r="H28" s="18"/>
      <c r="I28" s="180"/>
      <c r="K28" s="297" t="str">
        <f>CONCATENATE("",I1," Tax Levy Fund Expenditures Must Be")</f>
        <v>2025 Tax Levy Fund Expenditures Must Be</v>
      </c>
      <c r="L28" s="298"/>
      <c r="M28" s="298"/>
      <c r="N28" s="295"/>
    </row>
    <row r="29" spans="2:14" x14ac:dyDescent="0.25">
      <c r="B29" s="59" t="str">
        <f>IF(inputPrYr!$B31&gt;"  ",inputPrYr!$B31,"  ")</f>
        <v xml:space="preserve">  </v>
      </c>
      <c r="C29" s="18" t="str">
        <f>IF('No Levy Page 12'!$C$57&lt;&gt;0,'No Levy Page 12'!$C$57,"  ")</f>
        <v xml:space="preserve">  </v>
      </c>
      <c r="D29" s="115"/>
      <c r="E29" s="18" t="str">
        <f>IF('No Levy Page 12'!$D$57&lt;&gt;0,'No Levy Page 12'!$D$57,"  ")</f>
        <v xml:space="preserve">  </v>
      </c>
      <c r="F29" s="180"/>
      <c r="G29" s="18" t="str">
        <f>IF('No Levy Page 12'!$E$57&lt;&gt;0,'No Levy Page 12'!$E$57,"  ")</f>
        <v xml:space="preserve">  </v>
      </c>
      <c r="H29" s="18"/>
      <c r="I29" s="180"/>
      <c r="K29" s="297" t="str">
        <f>IF(N29&gt;0,"Increased By:","")</f>
        <v/>
      </c>
      <c r="L29" s="298"/>
      <c r="M29" s="578"/>
      <c r="N29" s="303">
        <f>IF(N36&lt;0,N36*-1,0)</f>
        <v>0</v>
      </c>
    </row>
    <row r="30" spans="2:14" x14ac:dyDescent="0.25">
      <c r="B30" s="59" t="str">
        <f>IF((inputPrYr!$B35&gt;"  "),('Non-Budgeted Funds'!$A3),"  ")</f>
        <v xml:space="preserve">  </v>
      </c>
      <c r="C30" s="41" t="str">
        <f>IF(('Non-Budgeted Funds'!$K$28)&lt;&gt;0,('Non-Budgeted Funds'!$K$28),"  ")</f>
        <v xml:space="preserve">  </v>
      </c>
      <c r="D30" s="115"/>
      <c r="E30" s="18"/>
      <c r="F30" s="115"/>
      <c r="G30" s="18"/>
      <c r="H30" s="18"/>
      <c r="I30" s="115"/>
      <c r="K30" s="304" t="str">
        <f>IF($N$30&lt;0,"Reduced By:","")</f>
        <v/>
      </c>
      <c r="L30" s="288"/>
      <c r="M30" s="288"/>
      <c r="N30" s="305">
        <f>IF(N36&gt;0,N36*-1,0)</f>
        <v>0</v>
      </c>
    </row>
    <row r="31" spans="2:14" x14ac:dyDescent="0.25">
      <c r="B31" s="49" t="s">
        <v>163</v>
      </c>
      <c r="C31" s="59" t="str">
        <f>IF(Road!C63&lt;&gt;0,Road!C63,"  ")</f>
        <v xml:space="preserve">  </v>
      </c>
      <c r="D31" s="50"/>
      <c r="E31" s="18"/>
      <c r="F31" s="50"/>
      <c r="G31" s="18"/>
      <c r="H31" s="18"/>
      <c r="I31" s="50"/>
      <c r="K31" s="269"/>
      <c r="L31" s="269"/>
      <c r="M31" s="269"/>
      <c r="N31" s="269"/>
    </row>
    <row r="32" spans="2:14" ht="16.5" thickBot="1" x14ac:dyDescent="0.3">
      <c r="B32" s="565" t="s">
        <v>164</v>
      </c>
      <c r="C32" s="310">
        <f t="shared" ref="C32:I32" si="0">SUM(C18:C31)</f>
        <v>0</v>
      </c>
      <c r="D32" s="229">
        <f t="shared" si="0"/>
        <v>0</v>
      </c>
      <c r="E32" s="310">
        <f t="shared" si="0"/>
        <v>0</v>
      </c>
      <c r="F32" s="229">
        <f t="shared" si="0"/>
        <v>0</v>
      </c>
      <c r="G32" s="310">
        <f t="shared" si="0"/>
        <v>0</v>
      </c>
      <c r="H32" s="310">
        <f t="shared" si="0"/>
        <v>0</v>
      </c>
      <c r="I32" s="566">
        <f t="shared" si="0"/>
        <v>0</v>
      </c>
      <c r="K32" s="732" t="str">
        <f>CONCATENATE("Impact On Keeping The Same Mill Rate As For ",I1-1,"")</f>
        <v>Impact On Keeping The Same Mill Rate As For 2024</v>
      </c>
      <c r="L32" s="733"/>
      <c r="M32" s="733"/>
      <c r="N32" s="734"/>
    </row>
    <row r="33" spans="2:14" ht="16.5" thickTop="1" x14ac:dyDescent="0.25">
      <c r="B33" s="737" t="s">
        <v>414</v>
      </c>
      <c r="C33" s="738"/>
      <c r="D33" s="738"/>
      <c r="E33" s="738"/>
      <c r="F33" s="738"/>
      <c r="G33" s="738"/>
      <c r="H33" s="739"/>
      <c r="I33" s="564">
        <f>inputOth!D15</f>
        <v>0</v>
      </c>
      <c r="K33" s="294"/>
      <c r="L33" s="249"/>
      <c r="M33" s="249"/>
      <c r="N33" s="295"/>
    </row>
    <row r="34" spans="2:14" x14ac:dyDescent="0.25">
      <c r="B34" s="9" t="s">
        <v>415</v>
      </c>
      <c r="C34" s="18">
        <f>Transfer!C26</f>
        <v>0</v>
      </c>
      <c r="D34" s="3"/>
      <c r="E34" s="18">
        <f>Transfer!D26</f>
        <v>0</v>
      </c>
      <c r="F34" s="39"/>
      <c r="G34" s="18">
        <f>Transfer!E26</f>
        <v>0</v>
      </c>
      <c r="H34" s="3"/>
      <c r="I34" s="3"/>
      <c r="K34" s="294" t="str">
        <f>CONCATENATE("",I1," Ad Valorem Tax Revenue:")</f>
        <v>2025 Ad Valorem Tax Revenue:</v>
      </c>
      <c r="L34" s="249"/>
      <c r="M34" s="249"/>
      <c r="N34" s="290">
        <f>H32</f>
        <v>0</v>
      </c>
    </row>
    <row r="35" spans="2:14" ht="16.5" thickBot="1" x14ac:dyDescent="0.3">
      <c r="B35" s="9" t="s">
        <v>416</v>
      </c>
      <c r="C35" s="310">
        <f>C32-C34</f>
        <v>0</v>
      </c>
      <c r="D35" s="3"/>
      <c r="E35" s="310">
        <f>E32-E34</f>
        <v>0</v>
      </c>
      <c r="F35" s="3"/>
      <c r="G35" s="310">
        <f>G32-G34</f>
        <v>0</v>
      </c>
      <c r="H35" s="3"/>
      <c r="I35" s="3"/>
      <c r="K35" s="294" t="str">
        <f>CONCATENATE("",I1-1," Ad Valorem Tax Revenue:")</f>
        <v>2024 Ad Valorem Tax Revenue:</v>
      </c>
      <c r="L35" s="249"/>
      <c r="M35" s="249"/>
      <c r="N35" s="301">
        <f>ROUND(G38*N27/1000,0)</f>
        <v>0</v>
      </c>
    </row>
    <row r="36" spans="2:14" ht="16.5" thickTop="1" x14ac:dyDescent="0.25">
      <c r="B36" s="9" t="s">
        <v>417</v>
      </c>
      <c r="C36" s="311">
        <f>inputPrYr!E55</f>
        <v>0</v>
      </c>
      <c r="D36" s="39"/>
      <c r="E36" s="311">
        <f>inputPrYr!E27</f>
        <v>0</v>
      </c>
      <c r="F36" s="3"/>
      <c r="G36" s="306" t="s">
        <v>165</v>
      </c>
      <c r="H36" s="3"/>
      <c r="I36" s="3"/>
      <c r="K36" s="299" t="s">
        <v>418</v>
      </c>
      <c r="L36" s="300"/>
      <c r="M36" s="300"/>
      <c r="N36" s="293">
        <f>N34-N35</f>
        <v>0</v>
      </c>
    </row>
    <row r="37" spans="2:14" x14ac:dyDescent="0.25">
      <c r="B37" s="9" t="s">
        <v>419</v>
      </c>
      <c r="C37" s="36"/>
      <c r="D37" s="39"/>
      <c r="E37" s="36"/>
      <c r="F37" s="39"/>
      <c r="G37" s="3"/>
      <c r="H37" s="3"/>
      <c r="I37" s="3"/>
      <c r="K37" s="269"/>
      <c r="L37" s="269"/>
      <c r="M37" s="269"/>
      <c r="N37" s="269"/>
    </row>
    <row r="38" spans="2:14" x14ac:dyDescent="0.25">
      <c r="B38" s="9" t="s">
        <v>420</v>
      </c>
      <c r="C38" s="18">
        <f>inputPrYr!E56</f>
        <v>0</v>
      </c>
      <c r="D38" s="3"/>
      <c r="E38" s="18">
        <f>inputOth!E31</f>
        <v>0</v>
      </c>
      <c r="F38" s="3"/>
      <c r="G38" s="18">
        <f>inputOth!E7</f>
        <v>0</v>
      </c>
      <c r="H38" s="3"/>
      <c r="I38" s="3"/>
      <c r="K38" s="732" t="s">
        <v>421</v>
      </c>
      <c r="L38" s="735"/>
      <c r="M38" s="735"/>
      <c r="N38" s="736"/>
    </row>
    <row r="39" spans="2:14" x14ac:dyDescent="0.25">
      <c r="B39" s="9" t="s">
        <v>422</v>
      </c>
      <c r="C39" s="3"/>
      <c r="D39" s="3"/>
      <c r="E39" s="3"/>
      <c r="F39" s="3"/>
      <c r="G39" s="3"/>
      <c r="H39" s="3"/>
      <c r="I39" s="3"/>
      <c r="K39" s="294"/>
      <c r="L39" s="249"/>
      <c r="M39" s="249"/>
      <c r="N39" s="295"/>
    </row>
    <row r="40" spans="2:14" x14ac:dyDescent="0.25">
      <c r="B40" s="9" t="s">
        <v>423</v>
      </c>
      <c r="C40" s="118">
        <f>I1-3</f>
        <v>2022</v>
      </c>
      <c r="D40" s="3"/>
      <c r="E40" s="118">
        <f>I1-2</f>
        <v>2023</v>
      </c>
      <c r="F40" s="3"/>
      <c r="G40" s="118">
        <f>I1-1</f>
        <v>2024</v>
      </c>
      <c r="H40" s="3"/>
      <c r="I40" s="3"/>
      <c r="K40" s="567" t="s">
        <v>108</v>
      </c>
      <c r="L40" s="249"/>
      <c r="M40" s="249"/>
      <c r="N40" s="568">
        <f>I33</f>
        <v>0</v>
      </c>
    </row>
    <row r="41" spans="2:14" x14ac:dyDescent="0.25">
      <c r="B41" s="9" t="s">
        <v>240</v>
      </c>
      <c r="C41" s="119">
        <f>inputPrYr!D60</f>
        <v>0</v>
      </c>
      <c r="D41" s="601"/>
      <c r="E41" s="119">
        <f>inputPrYr!E60</f>
        <v>0</v>
      </c>
      <c r="F41" s="601"/>
      <c r="G41" s="119">
        <f>'Debt - LP Form'!F11</f>
        <v>0</v>
      </c>
      <c r="H41" s="3"/>
      <c r="I41" s="3"/>
      <c r="K41" s="294" t="str">
        <f>CONCATENATE("Current ",I1," Estimated Mill Rate:")</f>
        <v>Current 2025 Estimated Mill Rate:</v>
      </c>
      <c r="L41" s="249"/>
      <c r="M41" s="249"/>
      <c r="N41" s="296">
        <f>I32</f>
        <v>0</v>
      </c>
    </row>
    <row r="42" spans="2:14" x14ac:dyDescent="0.25">
      <c r="B42" s="9" t="s">
        <v>242</v>
      </c>
      <c r="C42" s="119">
        <f>inputPrYr!D61</f>
        <v>0</v>
      </c>
      <c r="D42" s="601"/>
      <c r="E42" s="119">
        <f>inputPrYr!E61</f>
        <v>0</v>
      </c>
      <c r="F42" s="601"/>
      <c r="G42" s="119">
        <f>'Debt - LP Form'!F15</f>
        <v>0</v>
      </c>
      <c r="H42" s="3"/>
      <c r="I42" s="3"/>
      <c r="K42" s="294" t="str">
        <f>CONCATENATE("Desired ",I1," Mill Rate:")</f>
        <v>Desired 2025 Mill Rate:</v>
      </c>
      <c r="L42" s="249"/>
      <c r="M42" s="249"/>
      <c r="N42" s="302">
        <v>0</v>
      </c>
    </row>
    <row r="43" spans="2:14" x14ac:dyDescent="0.25">
      <c r="B43" s="9" t="s">
        <v>424</v>
      </c>
      <c r="C43" s="119">
        <f>inputPrYr!D62</f>
        <v>0</v>
      </c>
      <c r="D43" s="601"/>
      <c r="E43" s="119">
        <f>inputPrYr!E62</f>
        <v>0</v>
      </c>
      <c r="F43" s="601"/>
      <c r="G43" s="119">
        <f>'Debt - LP Form'!G36</f>
        <v>0</v>
      </c>
      <c r="H43" s="3"/>
      <c r="I43" s="3"/>
      <c r="K43" s="294" t="str">
        <f>CONCATENATE("",I1," Ad Valorem Tax:")</f>
        <v>2025 Ad Valorem Tax:</v>
      </c>
      <c r="L43" s="249"/>
      <c r="M43" s="249"/>
      <c r="N43" s="301">
        <f>ROUND(G38*N42/1000,0)</f>
        <v>0</v>
      </c>
    </row>
    <row r="44" spans="2:14" ht="16.5" thickBot="1" x14ac:dyDescent="0.3">
      <c r="B44" s="9" t="s">
        <v>425</v>
      </c>
      <c r="C44" s="120">
        <f>SUM(C41:C43)</f>
        <v>0</v>
      </c>
      <c r="D44" s="601"/>
      <c r="E44" s="120">
        <f>SUM(E41:E43)</f>
        <v>0</v>
      </c>
      <c r="F44" s="601"/>
      <c r="G44" s="120">
        <f>SUM(G41:G43)</f>
        <v>0</v>
      </c>
      <c r="H44" s="3"/>
      <c r="I44" s="3"/>
      <c r="K44" s="299" t="str">
        <f>CONCATENATE("",I1," Tax Levy Fund Exp. Changed By:")</f>
        <v>2025 Tax Levy Fund Exp. Changed By:</v>
      </c>
      <c r="L44" s="300"/>
      <c r="M44" s="300"/>
      <c r="N44" s="293">
        <f>IF(N42=0,0,(N43-H32))</f>
        <v>0</v>
      </c>
    </row>
    <row r="45" spans="2:14" ht="16.5" thickTop="1" x14ac:dyDescent="0.25">
      <c r="B45" s="9" t="s">
        <v>426</v>
      </c>
      <c r="C45" s="3"/>
      <c r="D45" s="3"/>
      <c r="E45" s="3"/>
      <c r="F45" s="3"/>
      <c r="G45" s="3"/>
      <c r="H45" s="3"/>
      <c r="I45" s="3"/>
    </row>
    <row r="46" spans="2:14" x14ac:dyDescent="0.25">
      <c r="B46" s="536" t="s">
        <v>427</v>
      </c>
      <c r="C46" s="3"/>
      <c r="D46" s="3"/>
      <c r="E46" s="3"/>
      <c r="F46" s="3"/>
      <c r="G46" s="3"/>
      <c r="H46" s="3"/>
      <c r="I46" s="3"/>
      <c r="K46" s="740" t="s">
        <v>428</v>
      </c>
      <c r="L46" s="741"/>
      <c r="M46" s="741"/>
      <c r="N46" s="744" t="str">
        <f>IF(I32&gt;I33, "Yes", "No")</f>
        <v>No</v>
      </c>
    </row>
    <row r="47" spans="2:14" x14ac:dyDescent="0.25">
      <c r="B47" s="536"/>
      <c r="C47" s="3"/>
      <c r="D47" s="3"/>
      <c r="E47" s="3"/>
      <c r="F47" s="3"/>
      <c r="G47" s="3"/>
      <c r="H47" s="3"/>
      <c r="I47" s="3"/>
      <c r="K47" s="742"/>
      <c r="L47" s="743"/>
      <c r="M47" s="743"/>
      <c r="N47" s="745"/>
    </row>
    <row r="48" spans="2:14" x14ac:dyDescent="0.25">
      <c r="B48" s="731">
        <f>inputHearing!B14</f>
        <v>0</v>
      </c>
      <c r="C48" s="731"/>
      <c r="D48" s="3"/>
      <c r="E48" s="3"/>
      <c r="F48" s="3"/>
      <c r="G48" s="3"/>
      <c r="H48" s="3"/>
      <c r="I48" s="3"/>
      <c r="K48" s="686" t="str">
        <f>IF(N46="Yes", "Follow procedure prescirbed by KSA 79-2988 to exceed the Revenue Neutral Rate.", " ")</f>
        <v xml:space="preserve"> </v>
      </c>
      <c r="L48" s="686"/>
      <c r="M48" s="686"/>
      <c r="N48" s="686"/>
    </row>
    <row r="49" spans="2:14" x14ac:dyDescent="0.25">
      <c r="B49" s="729">
        <f>inputHearing!B16</f>
        <v>0</v>
      </c>
      <c r="C49" s="730"/>
      <c r="D49" s="3"/>
      <c r="E49" s="3"/>
      <c r="F49" s="3"/>
      <c r="G49" s="3"/>
      <c r="H49" s="3"/>
      <c r="I49" s="3"/>
      <c r="K49" s="687"/>
      <c r="L49" s="687"/>
      <c r="M49" s="687"/>
      <c r="N49" s="687"/>
    </row>
    <row r="50" spans="2:14" x14ac:dyDescent="0.25">
      <c r="B50" s="3"/>
      <c r="C50" s="3"/>
      <c r="D50" s="3"/>
      <c r="E50" s="3"/>
      <c r="F50" s="3"/>
      <c r="G50" s="3"/>
      <c r="H50" s="3"/>
      <c r="I50" s="3"/>
      <c r="K50" s="687"/>
      <c r="L50" s="687"/>
      <c r="M50" s="687"/>
      <c r="N50" s="687"/>
    </row>
    <row r="51" spans="2:14" x14ac:dyDescent="0.25">
      <c r="B51" s="3"/>
      <c r="C51" s="35" t="s">
        <v>356</v>
      </c>
      <c r="D51" s="485"/>
      <c r="E51" s="3"/>
      <c r="F51" s="3"/>
      <c r="G51" s="3"/>
      <c r="H51" s="3"/>
      <c r="I51" s="3"/>
    </row>
    <row r="52" spans="2:14" x14ac:dyDescent="0.25">
      <c r="B52" s="55"/>
      <c r="C52" s="55"/>
      <c r="D52" s="55"/>
    </row>
    <row r="54" spans="2:14" x14ac:dyDescent="0.25">
      <c r="B54" s="55"/>
      <c r="C54" s="55"/>
      <c r="D54" s="55"/>
      <c r="E54" s="55"/>
      <c r="F54" s="55"/>
      <c r="G54" s="55"/>
      <c r="H54" s="55"/>
    </row>
    <row r="55" spans="2:14" x14ac:dyDescent="0.25">
      <c r="I55" s="55"/>
    </row>
    <row r="76" spans="2:7" x14ac:dyDescent="0.25">
      <c r="B76" s="55"/>
      <c r="C76" s="55"/>
      <c r="D76" s="55"/>
      <c r="E76" s="55"/>
      <c r="F76" s="55"/>
      <c r="G76" s="55"/>
    </row>
    <row r="83" spans="2:9" x14ac:dyDescent="0.25">
      <c r="B83" s="55"/>
      <c r="C83" s="55"/>
      <c r="D83" s="55"/>
      <c r="E83" s="55"/>
      <c r="F83" s="55"/>
      <c r="G83" s="55"/>
      <c r="H83" s="55"/>
    </row>
    <row r="84" spans="2:9" x14ac:dyDescent="0.25">
      <c r="I84" s="55"/>
    </row>
    <row r="89" spans="2:9" x14ac:dyDescent="0.25">
      <c r="B89" s="55"/>
      <c r="C89" s="55"/>
      <c r="D89" s="55"/>
      <c r="E89" s="55"/>
      <c r="F89" s="55"/>
      <c r="G89" s="55"/>
      <c r="H89" s="55"/>
    </row>
    <row r="90" spans="2:9" x14ac:dyDescent="0.25">
      <c r="I90" s="55"/>
    </row>
    <row r="110" spans="2:8" x14ac:dyDescent="0.25">
      <c r="B110" s="55"/>
      <c r="C110" s="55"/>
      <c r="D110" s="55"/>
      <c r="E110" s="55"/>
      <c r="F110" s="55"/>
      <c r="G110" s="55"/>
      <c r="H110" s="55"/>
    </row>
  </sheetData>
  <sheetProtection sheet="1"/>
  <mergeCells count="18">
    <mergeCell ref="B49:C49"/>
    <mergeCell ref="B48:C48"/>
    <mergeCell ref="K32:N32"/>
    <mergeCell ref="K38:N38"/>
    <mergeCell ref="K21:N21"/>
    <mergeCell ref="K25:N25"/>
    <mergeCell ref="B33:H33"/>
    <mergeCell ref="K46:M47"/>
    <mergeCell ref="N46:N47"/>
    <mergeCell ref="K48:N50"/>
    <mergeCell ref="B2:I2"/>
    <mergeCell ref="B9:I9"/>
    <mergeCell ref="I15:I17"/>
    <mergeCell ref="B4:I4"/>
    <mergeCell ref="H15:H17"/>
    <mergeCell ref="B7:I7"/>
    <mergeCell ref="B6:I6"/>
    <mergeCell ref="B5:I5"/>
  </mergeCells>
  <phoneticPr fontId="0" type="noConversion"/>
  <conditionalFormatting sqref="N46:N47">
    <cfRule type="containsText" dxfId="2" priority="1" operator="containsText" text="Yes">
      <formula>NOT(ISERROR(SEARCH("Yes",N46)))</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B0F0"/>
    <pageSetUpPr fitToPage="1"/>
  </sheetPr>
  <dimension ref="B1:N110"/>
  <sheetViews>
    <sheetView zoomScaleNormal="100" workbookViewId="0">
      <selection activeCell="M54" sqref="M54"/>
    </sheetView>
  </sheetViews>
  <sheetFormatPr defaultRowHeight="15.75" x14ac:dyDescent="0.25"/>
  <cols>
    <col min="1" max="1" width="1.69921875" style="4" customWidth="1"/>
    <col min="2" max="2" width="20.69921875" style="4" customWidth="1"/>
    <col min="3" max="3" width="12.69921875" style="4" customWidth="1"/>
    <col min="4" max="4" width="9.69921875" style="4" customWidth="1"/>
    <col min="5" max="5" width="12.69921875" style="4" customWidth="1"/>
    <col min="6" max="6" width="9.69921875" style="4" customWidth="1"/>
    <col min="7" max="7" width="13.3984375" style="4" customWidth="1"/>
    <col min="8" max="8" width="10.69921875" style="4" customWidth="1"/>
    <col min="9" max="9" width="9.69921875" style="4" customWidth="1"/>
    <col min="10" max="10" width="5.09765625" style="4" customWidth="1"/>
    <col min="11" max="11" width="12.3984375" style="4" customWidth="1"/>
    <col min="12" max="12" width="12.296875" style="4" customWidth="1"/>
    <col min="13" max="13" width="10.5" style="4" customWidth="1"/>
    <col min="14" max="14" width="12" style="4" customWidth="1"/>
    <col min="15" max="16384" width="8.796875" style="4"/>
  </cols>
  <sheetData>
    <row r="1" spans="2:9" x14ac:dyDescent="0.25">
      <c r="B1" s="3"/>
      <c r="C1" s="3"/>
      <c r="D1" s="3"/>
      <c r="E1" s="3"/>
      <c r="F1" s="3"/>
      <c r="G1" s="3"/>
      <c r="H1" s="3"/>
      <c r="I1" s="104">
        <f>inputPrYr!D6</f>
        <v>2025</v>
      </c>
    </row>
    <row r="2" spans="2:9" x14ac:dyDescent="0.25">
      <c r="B2" s="726" t="s">
        <v>429</v>
      </c>
      <c r="C2" s="675"/>
      <c r="D2" s="675"/>
      <c r="E2" s="675"/>
      <c r="F2" s="675"/>
      <c r="G2" s="675"/>
      <c r="H2" s="675"/>
      <c r="I2" s="675"/>
    </row>
    <row r="3" spans="2:9" x14ac:dyDescent="0.25">
      <c r="B3" s="3"/>
      <c r="C3" s="3"/>
      <c r="D3" s="3"/>
      <c r="E3" s="3"/>
      <c r="F3" s="3"/>
      <c r="G3" s="9" t="s">
        <v>404</v>
      </c>
      <c r="H3" s="9" t="s">
        <v>405</v>
      </c>
      <c r="I3" s="3"/>
    </row>
    <row r="4" spans="2:9" x14ac:dyDescent="0.25">
      <c r="B4" s="662" t="s">
        <v>406</v>
      </c>
      <c r="C4" s="662"/>
      <c r="D4" s="662"/>
      <c r="E4" s="662"/>
      <c r="F4" s="662"/>
      <c r="G4" s="662"/>
      <c r="H4" s="662"/>
      <c r="I4" s="662"/>
    </row>
    <row r="5" spans="2:9" x14ac:dyDescent="0.25">
      <c r="B5" s="636">
        <f>inputPrYr!D3</f>
        <v>0</v>
      </c>
      <c r="C5" s="636"/>
      <c r="D5" s="636"/>
      <c r="E5" s="636"/>
      <c r="F5" s="636"/>
      <c r="G5" s="636"/>
      <c r="H5" s="636"/>
      <c r="I5" s="636"/>
    </row>
    <row r="6" spans="2:9" x14ac:dyDescent="0.25">
      <c r="B6" s="636">
        <f>inputPrYr!D4</f>
        <v>0</v>
      </c>
      <c r="C6" s="636"/>
      <c r="D6" s="636"/>
      <c r="E6" s="636"/>
      <c r="F6" s="636"/>
      <c r="G6" s="636"/>
      <c r="H6" s="636"/>
      <c r="I6" s="636"/>
    </row>
    <row r="7" spans="2:9" x14ac:dyDescent="0.25">
      <c r="B7" s="662" t="str">
        <f>CONCATENATE("will meet on ",inputHearing!B32," at ",inputHearing!B34," at ",inputHearing!B36," for the purpose of hearing and")</f>
        <v>will meet on  at  at  for the purpose of hearing and</v>
      </c>
      <c r="C7" s="662"/>
      <c r="D7" s="662"/>
      <c r="E7" s="662"/>
      <c r="F7" s="662"/>
      <c r="G7" s="662"/>
      <c r="H7" s="662"/>
      <c r="I7" s="662"/>
    </row>
    <row r="8" spans="2:9" x14ac:dyDescent="0.25">
      <c r="B8" s="662" t="s">
        <v>430</v>
      </c>
      <c r="C8" s="662"/>
      <c r="D8" s="662"/>
      <c r="E8" s="662"/>
      <c r="F8" s="662"/>
      <c r="G8" s="662"/>
      <c r="H8" s="662"/>
      <c r="I8" s="662"/>
    </row>
    <row r="9" spans="2:9" x14ac:dyDescent="0.25">
      <c r="B9" s="662" t="str">
        <f>CONCATENATE("Detailed budget information is available at ",inputHearing!B38," and will be available at this hearing.")</f>
        <v>Detailed budget information is available at  and will be available at this hearing.</v>
      </c>
      <c r="C9" s="662"/>
      <c r="D9" s="662"/>
      <c r="E9" s="662"/>
      <c r="F9" s="662"/>
      <c r="G9" s="662"/>
      <c r="H9" s="662"/>
      <c r="I9" s="662"/>
    </row>
    <row r="10" spans="2:9" x14ac:dyDescent="0.25">
      <c r="B10" s="103" t="s">
        <v>408</v>
      </c>
      <c r="C10" s="107"/>
      <c r="D10" s="107"/>
      <c r="E10" s="107"/>
      <c r="F10" s="107"/>
      <c r="G10" s="107"/>
      <c r="H10" s="107"/>
      <c r="I10" s="107"/>
    </row>
    <row r="11" spans="2:9" x14ac:dyDescent="0.25">
      <c r="B11" s="106" t="str">
        <f>CONCATENATE("Proposed Budget ",I1," Expenditures and Amount of ",I1-1," Ad Valorem Tax establish the maximum limits")</f>
        <v>Proposed Budget 2025 Expenditures and Amount of 2024 Ad Valorem Tax establish the maximum limits</v>
      </c>
      <c r="C11" s="104"/>
      <c r="D11" s="104"/>
      <c r="E11" s="104"/>
      <c r="F11" s="104"/>
      <c r="G11" s="104"/>
      <c r="H11" s="104"/>
      <c r="I11" s="104"/>
    </row>
    <row r="12" spans="2:9" x14ac:dyDescent="0.25">
      <c r="B12" s="106" t="str">
        <f>CONCATENATE("of the ",I1," budget.  Estimated Tax Rate is subject to change depending on the final assessed valuation.")</f>
        <v>of the 2025 budget.  Estimated Tax Rate is subject to change depending on the final assessed valuation.</v>
      </c>
      <c r="C12" s="104"/>
      <c r="D12" s="104"/>
      <c r="E12" s="104"/>
      <c r="F12" s="104"/>
      <c r="G12" s="104"/>
      <c r="H12" s="104"/>
      <c r="I12" s="104"/>
    </row>
    <row r="13" spans="2:9" x14ac:dyDescent="0.25">
      <c r="B13" s="9"/>
      <c r="C13" s="3"/>
      <c r="D13" s="3"/>
      <c r="E13" s="3"/>
      <c r="F13" s="3"/>
      <c r="G13" s="3"/>
      <c r="H13" s="3"/>
      <c r="I13" s="3"/>
    </row>
    <row r="14" spans="2:9" x14ac:dyDescent="0.25">
      <c r="B14" s="3"/>
      <c r="C14" s="108" t="str">
        <f>CONCATENATE("Prior Year Actual ",I1-2,"")</f>
        <v>Prior Year Actual 2023</v>
      </c>
      <c r="D14" s="109"/>
      <c r="E14" s="108" t="str">
        <f>CONCATENATE("Current Year Estimate ",I1-1,"")</f>
        <v>Current Year Estimate 2024</v>
      </c>
      <c r="F14" s="110"/>
      <c r="G14" s="111" t="str">
        <f>CONCATENATE("Proposed Budget ",I1,"")</f>
        <v>Proposed Budget 2025</v>
      </c>
      <c r="H14" s="112"/>
      <c r="I14" s="110"/>
    </row>
    <row r="15" spans="2:9" ht="22.5" customHeight="1" x14ac:dyDescent="0.25">
      <c r="B15" s="3"/>
      <c r="C15" s="46"/>
      <c r="D15" s="10" t="s">
        <v>201</v>
      </c>
      <c r="E15" s="10"/>
      <c r="F15" s="10" t="s">
        <v>201</v>
      </c>
      <c r="G15" s="113"/>
      <c r="H15" s="663" t="str">
        <f>CONCATENATE("Amount of ",I1-1," Ad Valorem Tax")</f>
        <v>Amount of 2024 Ad Valorem Tax</v>
      </c>
      <c r="I15" s="663" t="s">
        <v>409</v>
      </c>
    </row>
    <row r="16" spans="2:9" x14ac:dyDescent="0.25">
      <c r="B16" s="3"/>
      <c r="C16" s="114"/>
      <c r="D16" s="114" t="s">
        <v>410</v>
      </c>
      <c r="E16" s="114"/>
      <c r="F16" s="114" t="s">
        <v>410</v>
      </c>
      <c r="G16" s="114" t="s">
        <v>124</v>
      </c>
      <c r="H16" s="727"/>
      <c r="I16" s="664"/>
    </row>
    <row r="17" spans="2:14" x14ac:dyDescent="0.25">
      <c r="B17" s="11" t="s">
        <v>109</v>
      </c>
      <c r="C17" s="12" t="s">
        <v>411</v>
      </c>
      <c r="D17" s="12" t="s">
        <v>412</v>
      </c>
      <c r="E17" s="12" t="s">
        <v>411</v>
      </c>
      <c r="F17" s="12" t="s">
        <v>412</v>
      </c>
      <c r="G17" s="12" t="s">
        <v>158</v>
      </c>
      <c r="H17" s="728"/>
      <c r="I17" s="665"/>
    </row>
    <row r="18" spans="2:14" x14ac:dyDescent="0.25">
      <c r="B18" s="59" t="str">
        <f>inputPrYr!B17</f>
        <v>General</v>
      </c>
      <c r="C18" s="41" t="str">
        <f>IF(General!$C$49&lt;&gt;0,General!$C$49,"  ")</f>
        <v xml:space="preserve">  </v>
      </c>
      <c r="D18" s="309" t="str">
        <f>IF(inputPrYr!D43&gt;0,inputPrYr!D43,"  ")</f>
        <v xml:space="preserve">  </v>
      </c>
      <c r="E18" s="18" t="str">
        <f>IF(General!$D$49&lt;&gt;0,General!$D$49,"  ")</f>
        <v xml:space="preserve">  </v>
      </c>
      <c r="F18" s="180" t="str">
        <f>IF(inputOth!D19&gt;0,inputOth!D19,"  ")</f>
        <v xml:space="preserve">  </v>
      </c>
      <c r="G18" s="18" t="str">
        <f>IF(General!$E$49&lt;&gt;0,General!$E$49,"  ")</f>
        <v xml:space="preserve">  </v>
      </c>
      <c r="H18" s="18" t="str">
        <f>IF(General!$E$56&lt;&gt;0,General!$E$56," ")</f>
        <v xml:space="preserve"> </v>
      </c>
      <c r="I18" s="180" t="str">
        <f>IF(General!E56&gt;0,ROUND(H18/$G$38*1000,3)," ")</f>
        <v xml:space="preserve"> </v>
      </c>
    </row>
    <row r="19" spans="2:14" x14ac:dyDescent="0.25">
      <c r="B19" s="59" t="s">
        <v>96</v>
      </c>
      <c r="C19" s="18" t="str">
        <f>IF('DebtSvs-Library'!C34&lt;&gt;0,'DebtSvs-Library'!C34,"  ")</f>
        <v xml:space="preserve">  </v>
      </c>
      <c r="D19" s="309" t="str">
        <f>IF(inputPrYr!D44&gt;0,inputPrYr!D44,"  ")</f>
        <v xml:space="preserve">  </v>
      </c>
      <c r="E19" s="18" t="str">
        <f>IF('DebtSvs-Library'!D34&lt;&gt;0,'DebtSvs-Library'!D34,"  ")</f>
        <v xml:space="preserve">  </v>
      </c>
      <c r="F19" s="180" t="str">
        <f>IF(inputOth!D20&gt;0,inputOth!D20,"  ")</f>
        <v xml:space="preserve">  </v>
      </c>
      <c r="G19" s="18" t="str">
        <f>IF('DebtSvs-Library'!E34&lt;&gt;0,'DebtSvs-Library'!E34,"  ")</f>
        <v xml:space="preserve">  </v>
      </c>
      <c r="H19" s="18" t="str">
        <f>IF('DebtSvs-Library'!E41&lt;&gt;0,'DebtSvs-Library'!E41," ")</f>
        <v xml:space="preserve"> </v>
      </c>
      <c r="I19" s="180" t="str">
        <f>IF('DebtSvs-Library'!E41&gt;0,ROUND(H19/$G$38*1000,3)," ")</f>
        <v xml:space="preserve"> </v>
      </c>
    </row>
    <row r="20" spans="2:14" x14ac:dyDescent="0.25">
      <c r="B20" s="59" t="str">
        <f>IF(inputPrYr!$B19&gt;"  ",inputPrYr!$B19,"  ")</f>
        <v>Library</v>
      </c>
      <c r="C20" s="18" t="str">
        <f>IF('DebtSvs-Library'!C73&lt;&gt;0,'DebtSvs-Library'!C73,"  ")</f>
        <v xml:space="preserve">  </v>
      </c>
      <c r="D20" s="309" t="str">
        <f>IF(inputPrYr!D45&gt;0,inputPrYr!D45,"  ")</f>
        <v xml:space="preserve">  </v>
      </c>
      <c r="E20" s="18" t="str">
        <f>IF('DebtSvs-Library'!D73&lt;&gt;0,'DebtSvs-Library'!D73,"  ")</f>
        <v xml:space="preserve">  </v>
      </c>
      <c r="F20" s="180" t="str">
        <f>IF(inputOth!D21&gt;0,inputOth!D21,"  ")</f>
        <v xml:space="preserve">  </v>
      </c>
      <c r="G20" s="18" t="str">
        <f>IF('DebtSvs-Library'!E73&lt;&gt;0,'DebtSvs-Library'!E73,"  ")</f>
        <v xml:space="preserve">  </v>
      </c>
      <c r="H20" s="18" t="str">
        <f>IF('DebtSvs-Library'!E80&lt;&gt;0,'DebtSvs-Library'!E80," ")</f>
        <v xml:space="preserve"> </v>
      </c>
      <c r="I20" s="180" t="str">
        <f>IF('DebtSvs-Library'!E80&gt;0,ROUND(H20/$G$38*1000,3)," ")</f>
        <v xml:space="preserve"> </v>
      </c>
    </row>
    <row r="21" spans="2:14" x14ac:dyDescent="0.25">
      <c r="B21" s="59" t="str">
        <f>IF(inputPrYr!$B20&gt;"  ",inputPrYr!$B20,"  ")</f>
        <v>Road</v>
      </c>
      <c r="C21" s="18" t="str">
        <f>IF(Road!$C$43&lt;&gt;0,Road!$C$43,"  ")</f>
        <v xml:space="preserve">  </v>
      </c>
      <c r="D21" s="309" t="str">
        <f>IF(inputPrYr!D46&gt;0,inputPrYr!D46,"  ")</f>
        <v xml:space="preserve">  </v>
      </c>
      <c r="E21" s="18" t="str">
        <f>IF(Road!$D$43&lt;&gt;0,Road!$D$43,"  ")</f>
        <v xml:space="preserve">  </v>
      </c>
      <c r="F21" s="180" t="str">
        <f>IF(inputOth!D22&gt;0,inputOth!D22,"  ")</f>
        <v xml:space="preserve">  </v>
      </c>
      <c r="G21" s="18" t="str">
        <f>IF(Road!$E$43&lt;&gt;0,Road!$E$43,"  ")</f>
        <v xml:space="preserve">  </v>
      </c>
      <c r="H21" s="18" t="str">
        <f>IF(Road!$E$50&lt;&gt;0,Road!$E$50,"  ")</f>
        <v xml:space="preserve">  </v>
      </c>
      <c r="I21" s="180" t="str">
        <f>IF(Road!E50&gt;0,ROUND(H21/$G$38*1000,3)," ")</f>
        <v xml:space="preserve"> </v>
      </c>
      <c r="K21" s="732" t="str">
        <f>CONCATENATE("Estimated Value Of One Mill For ",I1,"")</f>
        <v>Estimated Value Of One Mill For 2025</v>
      </c>
      <c r="L21" s="735"/>
      <c r="M21" s="735"/>
      <c r="N21" s="736"/>
    </row>
    <row r="22" spans="2:14" x14ac:dyDescent="0.25">
      <c r="B22" s="59" t="str">
        <f>IF(inputPrYr!$B21&gt;"  ",inputPrYr!$B21,"  ")</f>
        <v xml:space="preserve">  </v>
      </c>
      <c r="C22" s="18" t="str">
        <f>IF('Levy Page 9'!$C$34&lt;&gt;0,'Levy Page 9'!$C$34,"  ")</f>
        <v xml:space="preserve">  </v>
      </c>
      <c r="D22" s="309" t="str">
        <f>IF(inputPrYr!D47&gt;0,inputPrYr!D47,"  ")</f>
        <v xml:space="preserve">  </v>
      </c>
      <c r="E22" s="18" t="str">
        <f>IF('Levy Page 9'!$D$34&lt;&gt;0,'Levy Page 9'!$D$34,"  ")</f>
        <v xml:space="preserve">  </v>
      </c>
      <c r="F22" s="180" t="str">
        <f>IF(inputOth!D23&gt;0,inputOth!D23,"  ")</f>
        <v xml:space="preserve">  </v>
      </c>
      <c r="G22" s="18" t="str">
        <f>IF('Levy Page 9'!$E$34&lt;&gt;0,'Levy Page 9'!$E$34,"  ")</f>
        <v xml:space="preserve">  </v>
      </c>
      <c r="H22" s="18" t="str">
        <f>IF('Levy Page 9'!$E$41&lt;&gt;0,'Levy Page 9'!$E$41,"  ")</f>
        <v xml:space="preserve">  </v>
      </c>
      <c r="I22" s="180" t="str">
        <f>IF('Levy Page 9'!E41&gt;0,ROUND(H22/$G$38*1000,3)," ")</f>
        <v xml:space="preserve"> </v>
      </c>
      <c r="K22" s="289"/>
      <c r="L22" s="249"/>
      <c r="M22" s="249"/>
      <c r="N22" s="290"/>
    </row>
    <row r="23" spans="2:14" x14ac:dyDescent="0.25">
      <c r="B23" s="59" t="str">
        <f>IF(inputPrYr!$B22&gt;"  ",inputPrYr!$B22,"  ")</f>
        <v xml:space="preserve">  </v>
      </c>
      <c r="C23" s="18" t="str">
        <f>IF('Levy Page 9'!$C$74&lt;&gt;0,'Levy Page 9'!$C$74,"  ")</f>
        <v xml:space="preserve">  </v>
      </c>
      <c r="D23" s="309" t="str">
        <f>IF(inputPrYr!D48&gt;0,inputPrYr!D48,"  ")</f>
        <v xml:space="preserve">  </v>
      </c>
      <c r="E23" s="18" t="str">
        <f>IF('Levy Page 9'!$D$74&lt;&gt;0,'Levy Page 9'!$D$74,"  ")</f>
        <v xml:space="preserve">  </v>
      </c>
      <c r="F23" s="180" t="str">
        <f>IF(inputOth!D24&gt;0,inputOth!D24,"  ")</f>
        <v xml:space="preserve">  </v>
      </c>
      <c r="G23" s="18" t="str">
        <f>IF('Levy Page 9'!$E$74&lt;&gt;0,'Levy Page 9'!$E$74,"  ")</f>
        <v xml:space="preserve">  </v>
      </c>
      <c r="H23" s="18" t="str">
        <f>IF('Levy Page 9'!$E$81&lt;&gt;0,'Levy Page 9'!$E$81,"  ")</f>
        <v xml:space="preserve">  </v>
      </c>
      <c r="I23" s="180" t="str">
        <f>IF('Levy Page 9'!E81&gt;0,ROUND(H23/$G$38*1000,3)," ")</f>
        <v xml:space="preserve"> </v>
      </c>
      <c r="K23" s="291" t="s">
        <v>413</v>
      </c>
      <c r="L23" s="292"/>
      <c r="M23" s="292"/>
      <c r="N23" s="484">
        <f>ROUND(G38/1000,0)</f>
        <v>0</v>
      </c>
    </row>
    <row r="24" spans="2:14" x14ac:dyDescent="0.25">
      <c r="B24" s="59" t="str">
        <f>IF(inputPrYr!$B23&gt;"  ",inputPrYr!$B23,"  ")</f>
        <v xml:space="preserve">  </v>
      </c>
      <c r="C24" s="18" t="str">
        <f>IF('Levy Page 10'!$C$34&lt;&gt;0,'Levy Page 10'!$C$34,"  ")</f>
        <v xml:space="preserve">  </v>
      </c>
      <c r="D24" s="309" t="str">
        <f>IF(inputPrYr!D49&gt;0,inputPrYr!D49,"  ")</f>
        <v xml:space="preserve">  </v>
      </c>
      <c r="E24" s="18" t="str">
        <f>IF('Levy Page 10'!$D$34&lt;&gt;0,'Levy Page 10'!$D$34,"  ")</f>
        <v xml:space="preserve">  </v>
      </c>
      <c r="F24" s="180" t="str">
        <f>IF(inputOth!D25&gt;0,inputOth!D25,"  ")</f>
        <v xml:space="preserve">  </v>
      </c>
      <c r="G24" s="18" t="str">
        <f>IF('Levy Page 10'!$E$34&lt;&gt;0,'Levy Page 10'!$E$34,"  ")</f>
        <v xml:space="preserve">  </v>
      </c>
      <c r="H24" s="18" t="str">
        <f>IF('Levy Page 10'!$E$41&lt;&gt;0,'Levy Page 10'!$E$41,"  ")</f>
        <v xml:space="preserve">  </v>
      </c>
      <c r="I24" s="180" t="str">
        <f>IF('Levy Page 10'!E41&gt;0,ROUND(H24/$G$38*1000,3)," ")</f>
        <v xml:space="preserve"> </v>
      </c>
    </row>
    <row r="25" spans="2:14" x14ac:dyDescent="0.25">
      <c r="B25" s="59" t="str">
        <f>IF(inputPrYr!$B24&gt;"  ",inputPrYr!$B24,"  ")</f>
        <v xml:space="preserve">  </v>
      </c>
      <c r="C25" s="18" t="str">
        <f>IF('Levy Page 10'!$C$75&lt;&gt;0,'Levy Page 10'!$C$75,"  ")</f>
        <v xml:space="preserve">  </v>
      </c>
      <c r="D25" s="309" t="str">
        <f>IF(inputPrYr!D50&gt;0,inputPrYr!D50,"  ")</f>
        <v xml:space="preserve">  </v>
      </c>
      <c r="E25" s="18" t="str">
        <f>IF('Levy Page 10'!$D$75&lt;&gt;0,'Levy Page 10'!$D$75,"  ")</f>
        <v xml:space="preserve">  </v>
      </c>
      <c r="F25" s="180" t="str">
        <f>IF(inputOth!D26&gt;0,inputOth!D26,"  ")</f>
        <v xml:space="preserve">  </v>
      </c>
      <c r="G25" s="18" t="str">
        <f>IF('Levy Page 10'!$E$75&lt;&gt;0,'Levy Page 10'!$E$75,"  ")</f>
        <v xml:space="preserve">  </v>
      </c>
      <c r="H25" s="18" t="str">
        <f>IF('Levy Page 10'!$E$82&lt;&gt;0,'Levy Page 10'!$E$82,"  ")</f>
        <v xml:space="preserve">  </v>
      </c>
      <c r="I25" s="180" t="str">
        <f>IF('Levy Page 10'!E82&gt;0,ROUND(H25/$G$38*1000,3)," ")</f>
        <v xml:space="preserve"> </v>
      </c>
      <c r="K25" s="732" t="str">
        <f>CONCATENATE("Want The Mill Rate The Same As For ",I1-1,"?")</f>
        <v>Want The Mill Rate The Same As For 2024?</v>
      </c>
      <c r="L25" s="735"/>
      <c r="M25" s="735"/>
      <c r="N25" s="736"/>
    </row>
    <row r="26" spans="2:14" x14ac:dyDescent="0.25">
      <c r="B26" s="59" t="str">
        <f>IF(inputPrYr!$B25&gt;"  ",inputPrYr!$B25,"  ")</f>
        <v xml:space="preserve">  </v>
      </c>
      <c r="C26" s="18" t="str">
        <f>IF('Levy Page 11'!$C$34&lt;&gt;0,'Levy Page 11'!$C$34,"  ")</f>
        <v xml:space="preserve">  </v>
      </c>
      <c r="D26" s="309" t="str">
        <f>IF(inputPrYr!D51&gt;0,inputPrYr!D51,"  ")</f>
        <v xml:space="preserve">  </v>
      </c>
      <c r="E26" s="18" t="str">
        <f>IF('Levy Page 11'!$D$34&lt;&gt;0,'Levy Page 11'!$D$34,"  ")</f>
        <v xml:space="preserve">  </v>
      </c>
      <c r="F26" s="180" t="str">
        <f>IF(inputOth!D27&gt;0,inputOth!D27,"  ")</f>
        <v xml:space="preserve">  </v>
      </c>
      <c r="G26" s="18" t="str">
        <f>IF('Levy Page 11'!$E$34&lt;&gt;0,'Levy Page 11'!$E$34,"  ")</f>
        <v xml:space="preserve">  </v>
      </c>
      <c r="H26" s="18" t="str">
        <f>IF('Levy Page 11'!$E$41&lt;&gt;0,'Levy Page 11'!$E$41,"  ")</f>
        <v xml:space="preserve">  </v>
      </c>
      <c r="I26" s="180" t="str">
        <f>IF('Levy Page 11'!E41&gt;0,ROUND(H26/$G$38*1000,3)," ")</f>
        <v xml:space="preserve"> </v>
      </c>
      <c r="K26" s="294"/>
      <c r="L26" s="249"/>
      <c r="M26" s="249"/>
      <c r="N26" s="295"/>
    </row>
    <row r="27" spans="2:14" x14ac:dyDescent="0.25">
      <c r="B27" s="59" t="str">
        <f>IF(inputPrYr!$B26&gt;"  ",inputPrYr!$B26,"  ")</f>
        <v xml:space="preserve">  </v>
      </c>
      <c r="C27" s="18" t="str">
        <f>IF('Levy Page 11'!$C$75&lt;&gt;0,'Levy Page 11'!$C$75,"  ")</f>
        <v xml:space="preserve">  </v>
      </c>
      <c r="D27" s="309" t="str">
        <f>IF(inputPrYr!D52&gt;0,inputPrYr!D52,"  ")</f>
        <v xml:space="preserve">  </v>
      </c>
      <c r="E27" s="18" t="str">
        <f>IF('Levy Page 11'!$D$75&lt;&gt;0,'Levy Page 11'!$D$75,"  ")</f>
        <v xml:space="preserve">  </v>
      </c>
      <c r="F27" s="180" t="str">
        <f>IF(inputOth!D28&gt;0,inputOth!D28,"  ")</f>
        <v xml:space="preserve">  </v>
      </c>
      <c r="G27" s="18" t="str">
        <f>IF('Levy Page 11'!$E$75&lt;&gt;0,'Levy Page 11'!$E$75,"  ")</f>
        <v xml:space="preserve">  </v>
      </c>
      <c r="H27" s="18" t="str">
        <f>IF('Levy Page 11'!$E$82&lt;&gt;0,'Levy Page 11'!$E$82,"  ")</f>
        <v xml:space="preserve">  </v>
      </c>
      <c r="I27" s="180" t="str">
        <f>IF('Levy Page 11'!E82&gt;0,ROUND(H27/$G$38*1000,3)," ")</f>
        <v xml:space="preserve"> </v>
      </c>
      <c r="K27" s="294" t="str">
        <f>CONCATENATE("",I1-1," Mill Rate Was:")</f>
        <v>2024 Mill Rate Was:</v>
      </c>
      <c r="L27" s="249"/>
      <c r="M27" s="249"/>
      <c r="N27" s="296">
        <f>F32</f>
        <v>0</v>
      </c>
    </row>
    <row r="28" spans="2:14" x14ac:dyDescent="0.25">
      <c r="B28" s="59" t="str">
        <f>IF(inputPrYr!$B30&gt;"  ",inputPrYr!$B30,"  ")</f>
        <v xml:space="preserve">  </v>
      </c>
      <c r="C28" s="18" t="str">
        <f>IF('No Levy Page 12'!$C$27&lt;&gt;0,'No Levy Page 12'!$C$27,"  ")</f>
        <v xml:space="preserve">  </v>
      </c>
      <c r="D28" s="115"/>
      <c r="E28" s="18" t="str">
        <f>IF('No Levy Page 12'!$D$27&lt;&gt;0,'No Levy Page 12'!$D$27,"  ")</f>
        <v xml:space="preserve">  </v>
      </c>
      <c r="F28" s="180"/>
      <c r="G28" s="18" t="str">
        <f>IF('No Levy Page 12'!$E$27&lt;&gt;0,'No Levy Page 12'!$E$27,"  ")</f>
        <v xml:space="preserve">  </v>
      </c>
      <c r="H28" s="18"/>
      <c r="I28" s="180"/>
      <c r="K28" s="297" t="str">
        <f>CONCATENATE("",I1," Tax Levy Fund Expenditures Must Be")</f>
        <v>2025 Tax Levy Fund Expenditures Must Be</v>
      </c>
      <c r="L28" s="298"/>
      <c r="M28" s="298"/>
      <c r="N28" s="295"/>
    </row>
    <row r="29" spans="2:14" x14ac:dyDescent="0.25">
      <c r="B29" s="59" t="str">
        <f>IF(inputPrYr!$B31&gt;"  ",inputPrYr!$B31,"  ")</f>
        <v xml:space="preserve">  </v>
      </c>
      <c r="C29" s="18" t="str">
        <f>IF('No Levy Page 12'!$C$57&lt;&gt;0,'No Levy Page 12'!$C$57,"  ")</f>
        <v xml:space="preserve">  </v>
      </c>
      <c r="D29" s="115"/>
      <c r="E29" s="18" t="str">
        <f>IF('No Levy Page 12'!$D$57&lt;&gt;0,'No Levy Page 12'!$D$57,"  ")</f>
        <v xml:space="preserve">  </v>
      </c>
      <c r="F29" s="180"/>
      <c r="G29" s="18" t="str">
        <f>IF('No Levy Page 12'!$E$57&lt;&gt;0,'No Levy Page 12'!$E$57,"  ")</f>
        <v xml:space="preserve">  </v>
      </c>
      <c r="H29" s="18"/>
      <c r="I29" s="180"/>
      <c r="K29" s="297" t="str">
        <f>IF(N29&gt;0,"Increased By:","")</f>
        <v/>
      </c>
      <c r="L29" s="298"/>
      <c r="M29" s="298"/>
      <c r="N29" s="303">
        <f>IF(N36&lt;0,N36*-1,0)</f>
        <v>0</v>
      </c>
    </row>
    <row r="30" spans="2:14" x14ac:dyDescent="0.25">
      <c r="B30" s="59" t="str">
        <f>IF((inputPrYr!$B35&gt;"  "),('Non-Budgeted Funds'!$A3),"  ")</f>
        <v xml:space="preserve">  </v>
      </c>
      <c r="C30" s="41" t="str">
        <f>IF(('Non-Budgeted Funds'!$K$28)&lt;&gt;0,('Non-Budgeted Funds'!$K$28),"  ")</f>
        <v xml:space="preserve">  </v>
      </c>
      <c r="D30" s="115"/>
      <c r="E30" s="18"/>
      <c r="F30" s="115"/>
      <c r="G30" s="18"/>
      <c r="H30" s="18"/>
      <c r="I30" s="115"/>
      <c r="K30" s="304" t="str">
        <f>IF($N$30&lt;0,"Reduced By:","")</f>
        <v/>
      </c>
      <c r="L30" s="288"/>
      <c r="M30" s="288"/>
      <c r="N30" s="305">
        <f>IF(N36&gt;0,N36*-1,0)</f>
        <v>0</v>
      </c>
    </row>
    <row r="31" spans="2:14" x14ac:dyDescent="0.25">
      <c r="B31" s="49" t="s">
        <v>163</v>
      </c>
      <c r="C31" s="59" t="str">
        <f>IF(Road!C63&lt;&gt;0,Road!C63,"  ")</f>
        <v xml:space="preserve">  </v>
      </c>
      <c r="D31" s="50"/>
      <c r="E31" s="18"/>
      <c r="F31" s="50"/>
      <c r="G31" s="18"/>
      <c r="H31" s="18"/>
      <c r="I31" s="50"/>
      <c r="K31" s="269"/>
      <c r="L31" s="269"/>
      <c r="M31" s="269"/>
      <c r="N31" s="269"/>
    </row>
    <row r="32" spans="2:14" ht="16.5" thickBot="1" x14ac:dyDescent="0.3">
      <c r="B32" s="565" t="s">
        <v>164</v>
      </c>
      <c r="C32" s="310">
        <f t="shared" ref="C32:I32" si="0">SUM(C18:C31)</f>
        <v>0</v>
      </c>
      <c r="D32" s="229">
        <f t="shared" si="0"/>
        <v>0</v>
      </c>
      <c r="E32" s="310">
        <f t="shared" si="0"/>
        <v>0</v>
      </c>
      <c r="F32" s="229">
        <f t="shared" si="0"/>
        <v>0</v>
      </c>
      <c r="G32" s="310">
        <f t="shared" si="0"/>
        <v>0</v>
      </c>
      <c r="H32" s="310">
        <f t="shared" si="0"/>
        <v>0</v>
      </c>
      <c r="I32" s="566">
        <f t="shared" si="0"/>
        <v>0</v>
      </c>
      <c r="K32" s="732" t="str">
        <f>CONCATENATE("Impact On Keeping The Same Mill Rate As For ",I1-1,"")</f>
        <v>Impact On Keeping The Same Mill Rate As For 2024</v>
      </c>
      <c r="L32" s="733"/>
      <c r="M32" s="733"/>
      <c r="N32" s="734"/>
    </row>
    <row r="33" spans="2:14" ht="16.5" thickTop="1" x14ac:dyDescent="0.25">
      <c r="B33" s="737" t="s">
        <v>414</v>
      </c>
      <c r="C33" s="738"/>
      <c r="D33" s="738"/>
      <c r="E33" s="738"/>
      <c r="F33" s="738"/>
      <c r="G33" s="738"/>
      <c r="H33" s="739"/>
      <c r="I33" s="564">
        <f>inputOth!D15</f>
        <v>0</v>
      </c>
      <c r="K33" s="294"/>
      <c r="L33" s="249"/>
      <c r="M33" s="249"/>
      <c r="N33" s="295"/>
    </row>
    <row r="34" spans="2:14" x14ac:dyDescent="0.25">
      <c r="B34" s="9" t="s">
        <v>415</v>
      </c>
      <c r="C34" s="18">
        <f>Transfer!C26</f>
        <v>0</v>
      </c>
      <c r="D34" s="3"/>
      <c r="E34" s="18">
        <f>Transfer!D26</f>
        <v>0</v>
      </c>
      <c r="F34" s="39"/>
      <c r="G34" s="18">
        <f>Transfer!E26</f>
        <v>0</v>
      </c>
      <c r="H34" s="3"/>
      <c r="I34" s="3"/>
      <c r="K34" s="294" t="str">
        <f>CONCATENATE("",I1," Ad Valorem Tax Revenue:")</f>
        <v>2025 Ad Valorem Tax Revenue:</v>
      </c>
      <c r="L34" s="249"/>
      <c r="M34" s="249"/>
      <c r="N34" s="290">
        <f>H32</f>
        <v>0</v>
      </c>
    </row>
    <row r="35" spans="2:14" ht="16.5" thickBot="1" x14ac:dyDescent="0.3">
      <c r="B35" s="9" t="s">
        <v>416</v>
      </c>
      <c r="C35" s="310">
        <f>C32-C34</f>
        <v>0</v>
      </c>
      <c r="D35" s="3"/>
      <c r="E35" s="310">
        <f>E32-E34</f>
        <v>0</v>
      </c>
      <c r="F35" s="3"/>
      <c r="G35" s="310">
        <f>G32-G34</f>
        <v>0</v>
      </c>
      <c r="H35" s="3"/>
      <c r="I35" s="3"/>
      <c r="K35" s="294" t="str">
        <f>CONCATENATE("",I1-1," Ad Valorem Tax Revenue:")</f>
        <v>2024 Ad Valorem Tax Revenue:</v>
      </c>
      <c r="L35" s="249"/>
      <c r="M35" s="249"/>
      <c r="N35" s="301">
        <f>ROUND(G38*N27/1000,0)</f>
        <v>0</v>
      </c>
    </row>
    <row r="36" spans="2:14" ht="16.5" thickTop="1" x14ac:dyDescent="0.25">
      <c r="B36" s="9" t="s">
        <v>417</v>
      </c>
      <c r="C36" s="311">
        <f>inputPrYr!E55</f>
        <v>0</v>
      </c>
      <c r="D36" s="39"/>
      <c r="E36" s="311">
        <f>inputPrYr!E27</f>
        <v>0</v>
      </c>
      <c r="F36" s="3"/>
      <c r="G36" s="306" t="s">
        <v>165</v>
      </c>
      <c r="H36" s="3"/>
      <c r="I36" s="3"/>
      <c r="K36" s="299" t="s">
        <v>418</v>
      </c>
      <c r="L36" s="300"/>
      <c r="M36" s="300"/>
      <c r="N36" s="293">
        <f>N34-N35</f>
        <v>0</v>
      </c>
    </row>
    <row r="37" spans="2:14" x14ac:dyDescent="0.25">
      <c r="B37" s="9" t="s">
        <v>419</v>
      </c>
      <c r="C37" s="36"/>
      <c r="D37" s="39"/>
      <c r="E37" s="36"/>
      <c r="F37" s="39"/>
      <c r="G37" s="3"/>
      <c r="H37" s="3"/>
      <c r="I37" s="3"/>
      <c r="K37" s="269"/>
      <c r="L37" s="269"/>
      <c r="M37" s="269"/>
      <c r="N37" s="269"/>
    </row>
    <row r="38" spans="2:14" x14ac:dyDescent="0.25">
      <c r="B38" s="9" t="s">
        <v>420</v>
      </c>
      <c r="C38" s="18">
        <f>inputPrYr!E56</f>
        <v>0</v>
      </c>
      <c r="D38" s="3"/>
      <c r="E38" s="18">
        <f>inputOth!E31</f>
        <v>0</v>
      </c>
      <c r="F38" s="3"/>
      <c r="G38" s="18">
        <f>inputOth!E7</f>
        <v>0</v>
      </c>
      <c r="H38" s="3"/>
      <c r="I38" s="3"/>
      <c r="K38" s="732" t="s">
        <v>421</v>
      </c>
      <c r="L38" s="735"/>
      <c r="M38" s="735"/>
      <c r="N38" s="736"/>
    </row>
    <row r="39" spans="2:14" x14ac:dyDescent="0.25">
      <c r="B39" s="9" t="s">
        <v>422</v>
      </c>
      <c r="C39" s="3"/>
      <c r="D39" s="3"/>
      <c r="E39" s="3"/>
      <c r="F39" s="3"/>
      <c r="G39" s="3"/>
      <c r="H39" s="3"/>
      <c r="I39" s="3"/>
      <c r="K39" s="294"/>
      <c r="L39" s="249"/>
      <c r="M39" s="249"/>
      <c r="N39" s="295"/>
    </row>
    <row r="40" spans="2:14" x14ac:dyDescent="0.25">
      <c r="B40" s="9" t="s">
        <v>423</v>
      </c>
      <c r="C40" s="118">
        <f>I1-3</f>
        <v>2022</v>
      </c>
      <c r="D40" s="3"/>
      <c r="E40" s="118">
        <f>I1-2</f>
        <v>2023</v>
      </c>
      <c r="F40" s="3"/>
      <c r="G40" s="118">
        <f>I1-1</f>
        <v>2024</v>
      </c>
      <c r="H40" s="3"/>
      <c r="I40" s="3"/>
      <c r="K40" s="567" t="s">
        <v>108</v>
      </c>
      <c r="L40" s="249"/>
      <c r="M40" s="249"/>
      <c r="N40" s="568">
        <f>I33</f>
        <v>0</v>
      </c>
    </row>
    <row r="41" spans="2:14" x14ac:dyDescent="0.25">
      <c r="B41" s="9" t="s">
        <v>240</v>
      </c>
      <c r="C41" s="119">
        <f>inputPrYr!D60</f>
        <v>0</v>
      </c>
      <c r="D41" s="601"/>
      <c r="E41" s="119">
        <f>inputPrYr!E60</f>
        <v>0</v>
      </c>
      <c r="F41" s="601"/>
      <c r="G41" s="119">
        <f>'Debt - LP Form'!F11</f>
        <v>0</v>
      </c>
      <c r="H41" s="3"/>
      <c r="I41" s="3"/>
      <c r="K41" s="294" t="str">
        <f>CONCATENATE("Current ",I1," Estimated Mill Rate:")</f>
        <v>Current 2025 Estimated Mill Rate:</v>
      </c>
      <c r="L41" s="249"/>
      <c r="M41" s="249"/>
      <c r="N41" s="296">
        <f>I32</f>
        <v>0</v>
      </c>
    </row>
    <row r="42" spans="2:14" x14ac:dyDescent="0.25">
      <c r="B42" s="9" t="s">
        <v>242</v>
      </c>
      <c r="C42" s="119">
        <f>inputPrYr!D61</f>
        <v>0</v>
      </c>
      <c r="D42" s="601"/>
      <c r="E42" s="119">
        <f>inputPrYr!E61</f>
        <v>0</v>
      </c>
      <c r="F42" s="601"/>
      <c r="G42" s="119">
        <f>'Debt - LP Form'!F15</f>
        <v>0</v>
      </c>
      <c r="H42" s="3"/>
      <c r="I42" s="3"/>
      <c r="K42" s="294" t="str">
        <f>CONCATENATE("Desired ",I1," Mill Rate:")</f>
        <v>Desired 2025 Mill Rate:</v>
      </c>
      <c r="L42" s="249"/>
      <c r="M42" s="249"/>
      <c r="N42" s="302">
        <v>0</v>
      </c>
    </row>
    <row r="43" spans="2:14" x14ac:dyDescent="0.25">
      <c r="B43" s="9" t="s">
        <v>424</v>
      </c>
      <c r="C43" s="119">
        <f>inputPrYr!D62</f>
        <v>0</v>
      </c>
      <c r="D43" s="601"/>
      <c r="E43" s="119">
        <f>inputPrYr!E62</f>
        <v>0</v>
      </c>
      <c r="F43" s="601"/>
      <c r="G43" s="119">
        <f>'Debt - LP Form'!G36</f>
        <v>0</v>
      </c>
      <c r="H43" s="3"/>
      <c r="I43" s="3"/>
      <c r="K43" s="294" t="str">
        <f>CONCATENATE("",I1," Ad Valorem Tax:")</f>
        <v>2025 Ad Valorem Tax:</v>
      </c>
      <c r="L43" s="249"/>
      <c r="M43" s="249"/>
      <c r="N43" s="301">
        <f>ROUND(G38*N42/1000,0)</f>
        <v>0</v>
      </c>
    </row>
    <row r="44" spans="2:14" ht="16.5" thickBot="1" x14ac:dyDescent="0.3">
      <c r="B44" s="9" t="s">
        <v>425</v>
      </c>
      <c r="C44" s="120">
        <f>SUM(C41:C43)</f>
        <v>0</v>
      </c>
      <c r="D44" s="601"/>
      <c r="E44" s="120">
        <f>SUM(E41:E43)</f>
        <v>0</v>
      </c>
      <c r="F44" s="601"/>
      <c r="G44" s="120">
        <f>SUM(G41:G43)</f>
        <v>0</v>
      </c>
      <c r="H44" s="3"/>
      <c r="I44" s="3"/>
      <c r="K44" s="299" t="str">
        <f>CONCATENATE("",I1," Tax Levy Fund Exp. Changed By:")</f>
        <v>2025 Tax Levy Fund Exp. Changed By:</v>
      </c>
      <c r="L44" s="300"/>
      <c r="M44" s="300"/>
      <c r="N44" s="293">
        <f>IF(N42=0,0,(N43-H32))</f>
        <v>0</v>
      </c>
    </row>
    <row r="45" spans="2:14" ht="16.5" thickTop="1" x14ac:dyDescent="0.25">
      <c r="B45" s="9" t="s">
        <v>426</v>
      </c>
      <c r="C45" s="3"/>
      <c r="D45" s="3"/>
      <c r="E45" s="3"/>
      <c r="F45" s="3"/>
      <c r="G45" s="3"/>
      <c r="H45" s="3"/>
      <c r="I45" s="3"/>
    </row>
    <row r="46" spans="2:14" x14ac:dyDescent="0.25">
      <c r="B46" s="536" t="s">
        <v>427</v>
      </c>
      <c r="C46" s="3"/>
      <c r="D46" s="3"/>
      <c r="E46" s="3"/>
      <c r="F46" s="3"/>
      <c r="G46" s="3"/>
      <c r="H46" s="3"/>
      <c r="I46" s="3"/>
      <c r="K46" s="740" t="s">
        <v>428</v>
      </c>
      <c r="L46" s="741"/>
      <c r="M46" s="741"/>
      <c r="N46" s="744" t="str">
        <f>IF(I32&gt;I33, "Yes", "No")</f>
        <v>No</v>
      </c>
    </row>
    <row r="47" spans="2:14" x14ac:dyDescent="0.25">
      <c r="B47" s="536"/>
      <c r="C47" s="3"/>
      <c r="D47" s="3"/>
      <c r="E47" s="3"/>
      <c r="F47" s="3"/>
      <c r="G47" s="3"/>
      <c r="H47" s="3"/>
      <c r="I47" s="3"/>
      <c r="K47" s="742"/>
      <c r="L47" s="743"/>
      <c r="M47" s="743"/>
      <c r="N47" s="745"/>
    </row>
    <row r="48" spans="2:14" x14ac:dyDescent="0.25">
      <c r="B48" s="731">
        <f>inputHearing!B28</f>
        <v>0</v>
      </c>
      <c r="C48" s="731"/>
      <c r="D48" s="3"/>
      <c r="E48" s="3"/>
      <c r="F48" s="3"/>
      <c r="G48" s="3"/>
      <c r="H48" s="3"/>
      <c r="I48" s="3"/>
      <c r="K48" s="686" t="str">
        <f>IF(N46="Yes", "Follow procedure prescirbed by KSA 79-2988 to exceed the Revenue Neutral Rate.", " ")</f>
        <v xml:space="preserve"> </v>
      </c>
      <c r="L48" s="686"/>
      <c r="M48" s="686"/>
      <c r="N48" s="686"/>
    </row>
    <row r="49" spans="2:14" x14ac:dyDescent="0.25">
      <c r="B49" s="729">
        <f>inputHearing!B30</f>
        <v>0</v>
      </c>
      <c r="C49" s="730"/>
      <c r="D49" s="3"/>
      <c r="E49" s="3"/>
      <c r="F49" s="3"/>
      <c r="G49" s="3"/>
      <c r="H49" s="3"/>
      <c r="I49" s="3"/>
      <c r="K49" s="687"/>
      <c r="L49" s="687"/>
      <c r="M49" s="687"/>
      <c r="N49" s="687"/>
    </row>
    <row r="50" spans="2:14" x14ac:dyDescent="0.25">
      <c r="B50" s="3"/>
      <c r="C50" s="3"/>
      <c r="D50" s="3"/>
      <c r="E50" s="3"/>
      <c r="F50" s="3"/>
      <c r="G50" s="3"/>
      <c r="H50" s="3"/>
      <c r="I50" s="3"/>
      <c r="K50" s="687"/>
      <c r="L50" s="687"/>
      <c r="M50" s="687"/>
      <c r="N50" s="687"/>
    </row>
    <row r="51" spans="2:14" x14ac:dyDescent="0.25">
      <c r="B51" s="3"/>
      <c r="C51" s="35" t="s">
        <v>356</v>
      </c>
      <c r="D51" s="485"/>
      <c r="E51" s="3"/>
      <c r="F51" s="3"/>
      <c r="G51" s="3"/>
      <c r="H51" s="3"/>
      <c r="I51" s="3"/>
    </row>
    <row r="52" spans="2:14" x14ac:dyDescent="0.25">
      <c r="B52" s="55"/>
      <c r="C52" s="55"/>
      <c r="D52" s="55"/>
    </row>
    <row r="54" spans="2:14" x14ac:dyDescent="0.25">
      <c r="B54" s="55"/>
      <c r="C54" s="55"/>
      <c r="D54" s="55"/>
      <c r="E54" s="55"/>
      <c r="F54" s="55"/>
      <c r="G54" s="55"/>
      <c r="H54" s="55"/>
    </row>
    <row r="55" spans="2:14" x14ac:dyDescent="0.25">
      <c r="I55" s="55"/>
    </row>
    <row r="76" spans="2:7" x14ac:dyDescent="0.25">
      <c r="B76" s="55"/>
      <c r="C76" s="55"/>
      <c r="D76" s="55"/>
      <c r="E76" s="55"/>
      <c r="F76" s="55"/>
      <c r="G76" s="55"/>
    </row>
    <row r="83" spans="2:9" x14ac:dyDescent="0.25">
      <c r="B83" s="55"/>
      <c r="C83" s="55"/>
      <c r="D83" s="55"/>
      <c r="E83" s="55"/>
      <c r="F83" s="55"/>
      <c r="G83" s="55"/>
      <c r="H83" s="55"/>
    </row>
    <row r="84" spans="2:9" x14ac:dyDescent="0.25">
      <c r="I84" s="55"/>
    </row>
    <row r="89" spans="2:9" x14ac:dyDescent="0.25">
      <c r="B89" s="55"/>
      <c r="C89" s="55"/>
      <c r="D89" s="55"/>
      <c r="E89" s="55"/>
      <c r="F89" s="55"/>
      <c r="G89" s="55"/>
      <c r="H89" s="55"/>
    </row>
    <row r="90" spans="2:9" x14ac:dyDescent="0.25">
      <c r="I90" s="55"/>
    </row>
    <row r="110" spans="2:8" x14ac:dyDescent="0.25">
      <c r="B110" s="55"/>
      <c r="C110" s="55"/>
      <c r="D110" s="55"/>
      <c r="E110" s="55"/>
      <c r="F110" s="55"/>
      <c r="G110" s="55"/>
      <c r="H110" s="55"/>
    </row>
  </sheetData>
  <sheetProtection sheet="1"/>
  <mergeCells count="19">
    <mergeCell ref="B48:C48"/>
    <mergeCell ref="K48:N50"/>
    <mergeCell ref="B49:C49"/>
    <mergeCell ref="K21:N21"/>
    <mergeCell ref="K25:N25"/>
    <mergeCell ref="K32:N32"/>
    <mergeCell ref="K38:N38"/>
    <mergeCell ref="K46:M47"/>
    <mergeCell ref="N46:N47"/>
    <mergeCell ref="B33:H33"/>
    <mergeCell ref="B9:I9"/>
    <mergeCell ref="B8:I8"/>
    <mergeCell ref="H15:H17"/>
    <mergeCell ref="I15:I17"/>
    <mergeCell ref="B2:I2"/>
    <mergeCell ref="B4:I4"/>
    <mergeCell ref="B5:I5"/>
    <mergeCell ref="B6:I6"/>
    <mergeCell ref="B7:I7"/>
  </mergeCells>
  <conditionalFormatting sqref="N46:N47">
    <cfRule type="containsText" dxfId="1" priority="1" operator="containsText" text="Yes">
      <formula>NOT(ISERROR(SEARCH("Yes",N46)))</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B0F0"/>
    <pageSetUpPr fitToPage="1"/>
  </sheetPr>
  <dimension ref="A1:H29"/>
  <sheetViews>
    <sheetView workbookViewId="0">
      <selection activeCell="H1" sqref="H1"/>
    </sheetView>
  </sheetViews>
  <sheetFormatPr defaultColWidth="12.3984375" defaultRowHeight="15.75" x14ac:dyDescent="0.25"/>
  <cols>
    <col min="1" max="1" width="12.69921875" style="55" customWidth="1"/>
    <col min="2" max="2" width="11.5" style="55" customWidth="1"/>
    <col min="3" max="3" width="7.8984375" style="55" customWidth="1"/>
    <col min="4" max="4" width="6.59765625" style="55" customWidth="1"/>
    <col min="5" max="5" width="7.69921875" style="55" customWidth="1"/>
    <col min="6" max="6" width="11.5" style="55" customWidth="1"/>
    <col min="7" max="7" width="10.69921875" style="55" customWidth="1"/>
    <col min="8" max="8" width="12.69921875" style="55" customWidth="1"/>
    <col min="9" max="252" width="8.796875" style="55" customWidth="1"/>
    <col min="253" max="253" width="14.19921875" style="55" customWidth="1"/>
    <col min="254" max="254" width="11.5" style="55" customWidth="1"/>
    <col min="255" max="255" width="7.8984375" style="55" customWidth="1"/>
    <col min="256" max="16384" width="12.3984375" style="55"/>
  </cols>
  <sheetData>
    <row r="1" spans="1:8" x14ac:dyDescent="0.25">
      <c r="A1" s="3"/>
      <c r="B1" s="3"/>
      <c r="C1" s="3"/>
      <c r="D1" s="3"/>
      <c r="E1" s="3"/>
      <c r="F1" s="3"/>
      <c r="G1" s="3"/>
      <c r="H1" s="90">
        <f>inputPrYr!D6</f>
        <v>2025</v>
      </c>
    </row>
    <row r="2" spans="1:8" x14ac:dyDescent="0.25">
      <c r="A2" s="726" t="s">
        <v>431</v>
      </c>
      <c r="B2" s="675"/>
      <c r="C2" s="675"/>
      <c r="D2" s="675"/>
      <c r="E2" s="675"/>
      <c r="F2" s="675"/>
      <c r="G2" s="675"/>
      <c r="H2" s="675"/>
    </row>
    <row r="3" spans="1:8" x14ac:dyDescent="0.25">
      <c r="A3" s="3"/>
      <c r="B3" s="3"/>
      <c r="C3" s="3"/>
      <c r="D3" s="3"/>
      <c r="E3" s="3"/>
      <c r="F3" s="3"/>
      <c r="G3" s="3"/>
      <c r="H3" s="3"/>
    </row>
    <row r="4" spans="1:8" x14ac:dyDescent="0.25">
      <c r="A4" s="674" t="s">
        <v>432</v>
      </c>
      <c r="B4" s="674"/>
      <c r="C4" s="674"/>
      <c r="D4" s="674"/>
      <c r="E4" s="674"/>
      <c r="F4" s="674"/>
      <c r="G4" s="674"/>
      <c r="H4" s="674"/>
    </row>
    <row r="5" spans="1:8" x14ac:dyDescent="0.25">
      <c r="A5" s="636">
        <f>inputPrYr!D3</f>
        <v>0</v>
      </c>
      <c r="B5" s="747"/>
      <c r="C5" s="747"/>
      <c r="D5" s="747"/>
      <c r="E5" s="747"/>
      <c r="F5" s="747"/>
      <c r="G5" s="747"/>
      <c r="H5" s="747"/>
    </row>
    <row r="6" spans="1:8" x14ac:dyDescent="0.25">
      <c r="A6" s="674" t="str">
        <f>CONCATENATE("will meet on ",inputHearing!B42," at ",inputHearing!B44," at ",inputHearing!B46," for the purpose of hearing and")</f>
        <v>will meet on  at  at  for the purpose of hearing and</v>
      </c>
      <c r="B6" s="674"/>
      <c r="C6" s="674"/>
      <c r="D6" s="674"/>
      <c r="E6" s="674"/>
      <c r="F6" s="674"/>
      <c r="G6" s="674"/>
      <c r="H6" s="674"/>
    </row>
    <row r="7" spans="1:8" x14ac:dyDescent="0.25">
      <c r="A7" s="674" t="s">
        <v>433</v>
      </c>
      <c r="B7" s="674"/>
      <c r="C7" s="674"/>
      <c r="D7" s="674"/>
      <c r="E7" s="674"/>
      <c r="F7" s="674"/>
      <c r="G7" s="674"/>
      <c r="H7" s="674"/>
    </row>
    <row r="8" spans="1:8" x14ac:dyDescent="0.25">
      <c r="A8" s="3"/>
      <c r="B8" s="3"/>
      <c r="C8" s="3"/>
      <c r="D8" s="3"/>
      <c r="E8" s="3"/>
      <c r="F8" s="3"/>
      <c r="G8" s="3"/>
      <c r="H8" s="3"/>
    </row>
    <row r="9" spans="1:8" x14ac:dyDescent="0.25">
      <c r="A9" s="747" t="s">
        <v>434</v>
      </c>
      <c r="B9" s="747"/>
      <c r="C9" s="747"/>
      <c r="D9" s="747"/>
      <c r="E9" s="747"/>
      <c r="F9" s="747"/>
      <c r="G9" s="747"/>
      <c r="H9" s="747"/>
    </row>
    <row r="10" spans="1:8" x14ac:dyDescent="0.25">
      <c r="A10" s="662">
        <f>inputPrYr!D4</f>
        <v>0</v>
      </c>
      <c r="B10" s="674"/>
      <c r="C10" s="674"/>
      <c r="D10" s="674"/>
      <c r="E10" s="674"/>
      <c r="F10" s="674"/>
      <c r="G10" s="674"/>
      <c r="H10" s="674"/>
    </row>
    <row r="11" spans="1:8" x14ac:dyDescent="0.25">
      <c r="A11" s="106"/>
      <c r="B11" s="104"/>
      <c r="C11" s="104"/>
      <c r="D11" s="104"/>
      <c r="E11" s="104"/>
      <c r="F11" s="104"/>
      <c r="G11" s="104"/>
      <c r="H11" s="104"/>
    </row>
    <row r="12" spans="1:8" x14ac:dyDescent="0.25">
      <c r="A12" s="106"/>
      <c r="B12" s="748" t="s">
        <v>435</v>
      </c>
      <c r="C12" s="748"/>
      <c r="D12" s="569">
        <f>'Budget Hearing Notice'!I33</f>
        <v>0</v>
      </c>
      <c r="E12" s="748" t="s">
        <v>436</v>
      </c>
      <c r="F12" s="748"/>
      <c r="G12" s="570">
        <f>'Budget Hearing Notice'!I32</f>
        <v>0</v>
      </c>
      <c r="H12" s="104"/>
    </row>
    <row r="13" spans="1:8" x14ac:dyDescent="0.25">
      <c r="A13" s="3"/>
      <c r="B13" s="155"/>
      <c r="C13" s="155"/>
      <c r="D13" s="155"/>
      <c r="E13" s="155"/>
      <c r="F13" s="155"/>
      <c r="G13" s="155"/>
      <c r="H13" s="155"/>
    </row>
    <row r="14" spans="1:8" x14ac:dyDescent="0.25">
      <c r="A14" s="3"/>
      <c r="B14" s="746" t="s">
        <v>437</v>
      </c>
      <c r="C14" s="746"/>
      <c r="D14" s="746"/>
      <c r="E14" s="746"/>
      <c r="F14" s="746"/>
      <c r="G14" s="3"/>
      <c r="H14" s="90"/>
    </row>
    <row r="15" spans="1:8" x14ac:dyDescent="0.25">
      <c r="A15" s="3"/>
      <c r="B15" s="746" t="s">
        <v>438</v>
      </c>
      <c r="C15" s="746"/>
      <c r="D15" s="746"/>
      <c r="E15" s="746"/>
      <c r="F15" s="746"/>
      <c r="G15" s="3"/>
      <c r="H15" s="90"/>
    </row>
    <row r="16" spans="1:8" x14ac:dyDescent="0.25">
      <c r="A16" s="3"/>
      <c r="B16" s="610"/>
      <c r="C16" s="610"/>
      <c r="D16" s="610"/>
      <c r="E16" s="610"/>
      <c r="F16" s="610"/>
      <c r="G16" s="3"/>
      <c r="H16" s="90"/>
    </row>
    <row r="17" spans="1:8" x14ac:dyDescent="0.25">
      <c r="A17" s="3"/>
      <c r="B17" s="610"/>
      <c r="C17" s="610"/>
      <c r="D17" s="612" t="s">
        <v>274</v>
      </c>
      <c r="E17" s="483"/>
      <c r="F17" s="610"/>
      <c r="G17" s="3"/>
      <c r="H17" s="90"/>
    </row>
    <row r="19" spans="1:8" x14ac:dyDescent="0.25">
      <c r="A19" s="4"/>
      <c r="B19" s="4"/>
      <c r="C19" s="4"/>
      <c r="D19" s="4"/>
      <c r="E19" s="4"/>
      <c r="F19" s="4"/>
      <c r="G19" s="4"/>
      <c r="H19" s="4"/>
    </row>
    <row r="21" spans="1:8" x14ac:dyDescent="0.25">
      <c r="A21" s="4"/>
      <c r="B21" s="4"/>
      <c r="C21" s="4"/>
      <c r="D21" s="4"/>
      <c r="E21" s="4"/>
      <c r="F21" s="4"/>
      <c r="G21" s="4"/>
      <c r="H21" s="4"/>
    </row>
    <row r="22" spans="1:8" x14ac:dyDescent="0.25">
      <c r="A22" s="4"/>
      <c r="B22" s="4"/>
      <c r="C22" s="4"/>
      <c r="D22" s="4"/>
      <c r="E22" s="4"/>
      <c r="F22" s="4"/>
      <c r="G22" s="4"/>
      <c r="H22" s="4"/>
    </row>
    <row r="23" spans="1:8" x14ac:dyDescent="0.25">
      <c r="A23" s="4"/>
      <c r="B23" s="4"/>
      <c r="C23" s="4"/>
      <c r="D23" s="4"/>
      <c r="E23" s="4"/>
      <c r="F23" s="4"/>
      <c r="G23" s="4"/>
      <c r="H23" s="4"/>
    </row>
    <row r="24" spans="1:8" x14ac:dyDescent="0.25">
      <c r="A24" s="4"/>
      <c r="B24" s="4"/>
      <c r="C24" s="4"/>
      <c r="D24" s="4"/>
      <c r="E24" s="4"/>
      <c r="F24" s="4"/>
      <c r="G24" s="4"/>
      <c r="H24" s="4"/>
    </row>
    <row r="25" spans="1:8" x14ac:dyDescent="0.25">
      <c r="A25" s="4"/>
      <c r="B25" s="4"/>
      <c r="C25" s="4"/>
      <c r="D25" s="4"/>
      <c r="E25" s="4"/>
      <c r="F25" s="4"/>
      <c r="G25" s="4"/>
      <c r="H25" s="4"/>
    </row>
    <row r="26" spans="1:8" x14ac:dyDescent="0.25">
      <c r="A26" s="4"/>
      <c r="B26" s="4"/>
      <c r="C26" s="4"/>
      <c r="D26" s="4"/>
      <c r="E26" s="4"/>
      <c r="F26" s="4"/>
      <c r="G26" s="4"/>
      <c r="H26" s="4"/>
    </row>
    <row r="27" spans="1:8" x14ac:dyDescent="0.25">
      <c r="A27" s="4"/>
      <c r="B27" s="4"/>
      <c r="C27" s="4"/>
      <c r="D27" s="4"/>
      <c r="E27" s="4"/>
      <c r="F27" s="4"/>
      <c r="G27" s="4"/>
      <c r="H27" s="4"/>
    </row>
    <row r="28" spans="1:8" x14ac:dyDescent="0.25">
      <c r="A28" s="4"/>
      <c r="B28" s="4"/>
      <c r="C28" s="4"/>
      <c r="D28" s="4"/>
      <c r="E28" s="4"/>
      <c r="F28" s="4"/>
      <c r="G28" s="4"/>
      <c r="H28" s="4"/>
    </row>
    <row r="29" spans="1:8" x14ac:dyDescent="0.25">
      <c r="A29" s="4"/>
      <c r="B29" s="4"/>
      <c r="C29" s="4"/>
      <c r="D29" s="4"/>
      <c r="E29" s="4"/>
      <c r="F29" s="4"/>
      <c r="G29" s="4"/>
      <c r="H29" s="4"/>
    </row>
  </sheetData>
  <sheetProtection sheet="1" objects="1" scenarios="1"/>
  <mergeCells count="11">
    <mergeCell ref="A2:H2"/>
    <mergeCell ref="A4:H4"/>
    <mergeCell ref="A5:H5"/>
    <mergeCell ref="A6:H6"/>
    <mergeCell ref="A7:H7"/>
    <mergeCell ref="B15:F15"/>
    <mergeCell ref="A9:H9"/>
    <mergeCell ref="A10:H10"/>
    <mergeCell ref="B12:C12"/>
    <mergeCell ref="E12:F12"/>
    <mergeCell ref="B14:F14"/>
  </mergeCells>
  <pageMargins left="0.7" right="0.7" top="0.75" bottom="0.75" header="0.3" footer="0.3"/>
  <pageSetup scale="8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F39"/>
  <sheetViews>
    <sheetView workbookViewId="0">
      <selection activeCell="A29" sqref="A29"/>
    </sheetView>
  </sheetViews>
  <sheetFormatPr defaultRowHeight="15.75" x14ac:dyDescent="0.25"/>
  <cols>
    <col min="1" max="1" width="10.59765625" style="1" customWidth="1"/>
    <col min="2" max="2" width="13.69921875" style="1" customWidth="1"/>
    <col min="3" max="5" width="12.69921875" style="1" customWidth="1"/>
    <col min="6" max="16384" width="8.796875" style="1"/>
  </cols>
  <sheetData>
    <row r="1" spans="1:6" x14ac:dyDescent="0.25">
      <c r="A1" s="2">
        <f>inputPrYr!D3</f>
        <v>0</v>
      </c>
      <c r="B1" s="3"/>
      <c r="C1" s="3"/>
      <c r="D1" s="3"/>
      <c r="E1" s="3"/>
      <c r="F1" s="3">
        <f>inputPrYr!D6</f>
        <v>2025</v>
      </c>
    </row>
    <row r="2" spans="1:6" x14ac:dyDescent="0.25">
      <c r="A2" s="3"/>
      <c r="B2" s="3"/>
      <c r="C2" s="3"/>
      <c r="D2" s="3"/>
      <c r="E2" s="3"/>
      <c r="F2" s="3"/>
    </row>
    <row r="3" spans="1:6" x14ac:dyDescent="0.25">
      <c r="A3" s="3"/>
      <c r="B3" s="668" t="str">
        <f>CONCATENATE("",F1," Neighborhood Revitalization Rebate")</f>
        <v>2025 Neighborhood Revitalization Rebate</v>
      </c>
      <c r="C3" s="675"/>
      <c r="D3" s="675"/>
      <c r="E3" s="675"/>
      <c r="F3" s="3"/>
    </row>
    <row r="4" spans="1:6" x14ac:dyDescent="0.25">
      <c r="A4" s="3"/>
      <c r="B4" s="3"/>
      <c r="C4" s="3"/>
      <c r="D4" s="3"/>
      <c r="E4" s="3"/>
      <c r="F4" s="3"/>
    </row>
    <row r="5" spans="1:6" ht="51" customHeight="1" x14ac:dyDescent="0.25">
      <c r="A5" s="3"/>
      <c r="B5" s="87" t="str">
        <f>CONCATENATE("Budgeted Funds                            for ",F1,"")</f>
        <v>Budgeted Funds                            for 2025</v>
      </c>
      <c r="C5" s="87" t="str">
        <f>CONCATENATE("",F1-1," Ad Valorem before Rebate**")</f>
        <v>2024 Ad Valorem before Rebate**</v>
      </c>
      <c r="D5" s="88" t="str">
        <f>CONCATENATE("",F1-1," Mil Rate before Rebate")</f>
        <v>2024 Mil Rate before Rebate</v>
      </c>
      <c r="E5" s="89" t="str">
        <f>CONCATENATE("Estimate ",F1," NR Rebate")</f>
        <v>Estimate 2025 NR Rebate</v>
      </c>
      <c r="F5" s="90"/>
    </row>
    <row r="6" spans="1:6" x14ac:dyDescent="0.25">
      <c r="A6" s="3"/>
      <c r="B6" s="49" t="str">
        <f>inputPrYr!B17</f>
        <v>General</v>
      </c>
      <c r="C6" s="91"/>
      <c r="D6" s="92" t="str">
        <f t="shared" ref="D6:D15" si="0">IF(C6&gt;0,C6/$D$21,"")</f>
        <v/>
      </c>
      <c r="E6" s="93">
        <f>IF(C6&gt;0,ROUND(D6*$D$25,0),0)</f>
        <v>0</v>
      </c>
      <c r="F6" s="90"/>
    </row>
    <row r="7" spans="1:6" x14ac:dyDescent="0.25">
      <c r="A7" s="3"/>
      <c r="B7" s="49" t="str">
        <f>inputPrYr!B18</f>
        <v>Debt Service</v>
      </c>
      <c r="C7" s="91"/>
      <c r="D7" s="92" t="str">
        <f t="shared" si="0"/>
        <v/>
      </c>
      <c r="E7" s="93">
        <f t="shared" ref="E7:E15" si="1">IF(C7&gt;0,ROUND(D7*$D$25,0),0)</f>
        <v>0</v>
      </c>
      <c r="F7" s="90"/>
    </row>
    <row r="8" spans="1:6" x14ac:dyDescent="0.25">
      <c r="A8" s="3"/>
      <c r="B8" s="49" t="str">
        <f>inputPrYr!B19</f>
        <v>Library</v>
      </c>
      <c r="C8" s="91"/>
      <c r="D8" s="92" t="str">
        <f>IF(C8&gt;0,C8/$D$21,"")</f>
        <v/>
      </c>
      <c r="E8" s="93">
        <f t="shared" si="1"/>
        <v>0</v>
      </c>
      <c r="F8" s="90"/>
    </row>
    <row r="9" spans="1:6" x14ac:dyDescent="0.25">
      <c r="A9" s="3"/>
      <c r="B9" s="49" t="str">
        <f>inputPrYr!B20</f>
        <v>Road</v>
      </c>
      <c r="C9" s="91"/>
      <c r="D9" s="92" t="str">
        <f t="shared" si="0"/>
        <v/>
      </c>
      <c r="E9" s="93">
        <f t="shared" si="1"/>
        <v>0</v>
      </c>
      <c r="F9" s="90"/>
    </row>
    <row r="10" spans="1:6" x14ac:dyDescent="0.25">
      <c r="A10" s="3"/>
      <c r="B10" s="49">
        <f>inputPrYr!B21</f>
        <v>0</v>
      </c>
      <c r="C10" s="91"/>
      <c r="D10" s="92" t="str">
        <f t="shared" si="0"/>
        <v/>
      </c>
      <c r="E10" s="93">
        <f t="shared" si="1"/>
        <v>0</v>
      </c>
      <c r="F10" s="90"/>
    </row>
    <row r="11" spans="1:6" x14ac:dyDescent="0.25">
      <c r="A11" s="3"/>
      <c r="B11" s="49">
        <f>inputPrYr!B22</f>
        <v>0</v>
      </c>
      <c r="C11" s="91"/>
      <c r="D11" s="92" t="str">
        <f t="shared" si="0"/>
        <v/>
      </c>
      <c r="E11" s="93">
        <f t="shared" si="1"/>
        <v>0</v>
      </c>
      <c r="F11" s="90"/>
    </row>
    <row r="12" spans="1:6" x14ac:dyDescent="0.25">
      <c r="A12" s="3"/>
      <c r="B12" s="49">
        <f>inputPrYr!B23</f>
        <v>0</v>
      </c>
      <c r="C12" s="91"/>
      <c r="D12" s="92" t="str">
        <f t="shared" si="0"/>
        <v/>
      </c>
      <c r="E12" s="93">
        <f t="shared" si="1"/>
        <v>0</v>
      </c>
      <c r="F12" s="90"/>
    </row>
    <row r="13" spans="1:6" x14ac:dyDescent="0.25">
      <c r="A13" s="3"/>
      <c r="B13" s="49">
        <f>inputPrYr!B24</f>
        <v>0</v>
      </c>
      <c r="C13" s="94"/>
      <c r="D13" s="92" t="str">
        <f t="shared" si="0"/>
        <v/>
      </c>
      <c r="E13" s="93">
        <f t="shared" si="1"/>
        <v>0</v>
      </c>
      <c r="F13" s="90"/>
    </row>
    <row r="14" spans="1:6" x14ac:dyDescent="0.25">
      <c r="A14" s="3"/>
      <c r="B14" s="49">
        <f>inputPrYr!B25</f>
        <v>0</v>
      </c>
      <c r="C14" s="94"/>
      <c r="D14" s="92" t="str">
        <f t="shared" si="0"/>
        <v/>
      </c>
      <c r="E14" s="93">
        <f t="shared" si="1"/>
        <v>0</v>
      </c>
      <c r="F14" s="90"/>
    </row>
    <row r="15" spans="1:6" x14ac:dyDescent="0.25">
      <c r="A15" s="3"/>
      <c r="B15" s="49">
        <f>inputPrYr!B26</f>
        <v>0</v>
      </c>
      <c r="C15" s="94"/>
      <c r="D15" s="92" t="str">
        <f t="shared" si="0"/>
        <v/>
      </c>
      <c r="E15" s="93">
        <f t="shared" si="1"/>
        <v>0</v>
      </c>
      <c r="F15" s="90"/>
    </row>
    <row r="16" spans="1:6" ht="16.5" thickBot="1" x14ac:dyDescent="0.3">
      <c r="A16" s="3"/>
      <c r="B16" s="50" t="s">
        <v>439</v>
      </c>
      <c r="C16" s="95">
        <f>SUM(C6:C15)</f>
        <v>0</v>
      </c>
      <c r="D16" s="96">
        <f>SUM(D6:D15)</f>
        <v>0</v>
      </c>
      <c r="E16" s="95">
        <f>SUM(E6:E15)</f>
        <v>0</v>
      </c>
      <c r="F16" s="90"/>
    </row>
    <row r="17" spans="1:6" ht="16.5" thickTop="1" x14ac:dyDescent="0.25">
      <c r="A17" s="3"/>
      <c r="B17" s="3"/>
      <c r="C17" s="3"/>
      <c r="D17" s="3"/>
      <c r="E17" s="3"/>
      <c r="F17" s="90"/>
    </row>
    <row r="18" spans="1:6" x14ac:dyDescent="0.25">
      <c r="A18" s="3"/>
      <c r="B18" s="3"/>
      <c r="C18" s="3"/>
      <c r="D18" s="3"/>
      <c r="E18" s="3"/>
      <c r="F18" s="90"/>
    </row>
    <row r="19" spans="1:6" x14ac:dyDescent="0.25">
      <c r="A19" s="749" t="str">
        <f>CONCATENATE("",F1-1," July 1 Valuation:")</f>
        <v>2024 July 1 Valuation:</v>
      </c>
      <c r="B19" s="750"/>
      <c r="C19" s="749"/>
      <c r="D19" s="97">
        <f>inputOth!E7</f>
        <v>0</v>
      </c>
      <c r="E19" s="3"/>
      <c r="F19" s="90"/>
    </row>
    <row r="20" spans="1:6" x14ac:dyDescent="0.25">
      <c r="A20" s="3"/>
      <c r="B20" s="3"/>
      <c r="C20" s="3"/>
      <c r="D20" s="3"/>
      <c r="E20" s="3"/>
      <c r="F20" s="90"/>
    </row>
    <row r="21" spans="1:6" x14ac:dyDescent="0.25">
      <c r="A21" s="3"/>
      <c r="B21" s="749" t="s">
        <v>440</v>
      </c>
      <c r="C21" s="749"/>
      <c r="D21" s="98" t="str">
        <f>IF(D19&gt;0,(D19*0.001),"")</f>
        <v/>
      </c>
      <c r="E21" s="3"/>
      <c r="F21" s="90"/>
    </row>
    <row r="22" spans="1:6" x14ac:dyDescent="0.25">
      <c r="A22" s="3"/>
      <c r="B22" s="612"/>
      <c r="C22" s="612"/>
      <c r="D22" s="99"/>
      <c r="E22" s="3"/>
      <c r="F22" s="90"/>
    </row>
    <row r="23" spans="1:6" x14ac:dyDescent="0.25">
      <c r="A23" s="749" t="s">
        <v>441</v>
      </c>
      <c r="B23" s="675"/>
      <c r="C23" s="675"/>
      <c r="D23" s="97">
        <f>inputOth!E13</f>
        <v>0</v>
      </c>
      <c r="E23" s="100"/>
      <c r="F23" s="100"/>
    </row>
    <row r="24" spans="1:6" x14ac:dyDescent="0.25">
      <c r="A24" s="100"/>
      <c r="B24" s="100"/>
      <c r="C24" s="100"/>
      <c r="D24" s="101"/>
      <c r="E24" s="100"/>
      <c r="F24" s="100"/>
    </row>
    <row r="25" spans="1:6" x14ac:dyDescent="0.25">
      <c r="A25" s="100"/>
      <c r="B25" s="749" t="s">
        <v>442</v>
      </c>
      <c r="C25" s="750"/>
      <c r="D25" s="98" t="str">
        <f>IF(D23&gt;0,(D23*0.001),"")</f>
        <v/>
      </c>
      <c r="E25" s="100"/>
      <c r="F25" s="100"/>
    </row>
    <row r="26" spans="1:6" x14ac:dyDescent="0.25">
      <c r="A26" s="100"/>
      <c r="B26" s="100"/>
      <c r="C26" s="100"/>
      <c r="D26" s="100"/>
      <c r="E26" s="100"/>
      <c r="F26" s="100"/>
    </row>
    <row r="27" spans="1:6" x14ac:dyDescent="0.25">
      <c r="A27" s="100"/>
      <c r="B27" s="100"/>
      <c r="C27" s="100"/>
      <c r="D27" s="100"/>
      <c r="E27" s="100"/>
      <c r="F27" s="100"/>
    </row>
    <row r="28" spans="1:6" x14ac:dyDescent="0.25">
      <c r="A28" s="100"/>
      <c r="B28" s="100"/>
      <c r="C28" s="100"/>
      <c r="D28" s="100"/>
      <c r="E28" s="100"/>
      <c r="F28" s="100"/>
    </row>
    <row r="29" spans="1:6" x14ac:dyDescent="0.25">
      <c r="A29" s="249" t="str">
        <f>CONCATENATE("**This information comes from the ",F1," Budget Summary page.  See instructions tab #12 for completing")</f>
        <v>**This information comes from the 2025 Budget Summary page.  See instructions tab #12 for completing</v>
      </c>
      <c r="B29" s="100"/>
      <c r="C29" s="100"/>
      <c r="D29" s="100"/>
      <c r="E29" s="100"/>
      <c r="F29" s="100"/>
    </row>
    <row r="30" spans="1:6" x14ac:dyDescent="0.25">
      <c r="A30" s="249" t="s">
        <v>443</v>
      </c>
      <c r="B30" s="100"/>
      <c r="C30" s="100"/>
      <c r="D30" s="100"/>
      <c r="E30" s="100"/>
      <c r="F30" s="100"/>
    </row>
    <row r="31" spans="1:6" x14ac:dyDescent="0.25">
      <c r="A31" s="249"/>
      <c r="B31" s="100"/>
      <c r="C31" s="100"/>
      <c r="D31" s="100"/>
      <c r="E31" s="100"/>
      <c r="F31" s="100"/>
    </row>
    <row r="32" spans="1:6" x14ac:dyDescent="0.25">
      <c r="A32" s="249"/>
      <c r="B32" s="100"/>
      <c r="C32" s="100"/>
      <c r="D32" s="100"/>
      <c r="E32" s="100"/>
      <c r="F32" s="100"/>
    </row>
    <row r="33" spans="1:6" x14ac:dyDescent="0.25">
      <c r="A33" s="249"/>
      <c r="B33" s="100"/>
      <c r="C33" s="100"/>
      <c r="D33" s="100"/>
      <c r="E33" s="100"/>
      <c r="F33" s="100"/>
    </row>
    <row r="34" spans="1:6" x14ac:dyDescent="0.25">
      <c r="A34" s="249"/>
      <c r="B34" s="100"/>
      <c r="C34" s="100"/>
      <c r="D34" s="100"/>
      <c r="E34" s="100"/>
      <c r="F34" s="100"/>
    </row>
    <row r="35" spans="1:6" x14ac:dyDescent="0.25">
      <c r="A35" s="249"/>
      <c r="B35" s="100"/>
      <c r="C35" s="100"/>
      <c r="D35" s="100"/>
      <c r="E35" s="100"/>
      <c r="F35" s="100"/>
    </row>
    <row r="36" spans="1:6" x14ac:dyDescent="0.25">
      <c r="A36" s="249"/>
      <c r="B36" s="100"/>
      <c r="C36" s="100"/>
      <c r="D36" s="100"/>
      <c r="E36" s="100"/>
      <c r="F36" s="100"/>
    </row>
    <row r="37" spans="1:6" x14ac:dyDescent="0.25">
      <c r="A37" s="100"/>
      <c r="B37" s="100"/>
      <c r="C37" s="100"/>
      <c r="D37" s="100"/>
      <c r="E37" s="100"/>
      <c r="F37" s="100"/>
    </row>
    <row r="38" spans="1:6" x14ac:dyDescent="0.25">
      <c r="A38" s="100"/>
      <c r="B38" s="612" t="s">
        <v>356</v>
      </c>
      <c r="C38" s="483"/>
      <c r="D38" s="100"/>
      <c r="E38" s="100"/>
      <c r="F38" s="100"/>
    </row>
    <row r="39" spans="1:6" x14ac:dyDescent="0.25">
      <c r="A39" s="90"/>
      <c r="B39" s="3"/>
      <c r="C39" s="3"/>
      <c r="D39" s="102"/>
      <c r="E39" s="90"/>
      <c r="F39" s="90"/>
    </row>
  </sheetData>
  <sheetProtection sheet="1"/>
  <mergeCells count="5">
    <mergeCell ref="B25:C25"/>
    <mergeCell ref="B3:E3"/>
    <mergeCell ref="A19:C19"/>
    <mergeCell ref="B21:C21"/>
    <mergeCell ref="A23:C23"/>
  </mergeCells>
  <phoneticPr fontId="9" type="noConversion"/>
  <pageMargins left="0.75" right="0.75" top="1" bottom="1" header="0.5" footer="0.5"/>
  <pageSetup scale="98" orientation="portrait" blackAndWhite="1" r:id="rId1"/>
  <headerFooter alignWithMargins="0">
    <oddHeader>&amp;RState of Kansas
Township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C1559-1382-4DAA-B4C6-D67992A48370}">
  <dimension ref="A1:G18"/>
  <sheetViews>
    <sheetView topLeftCell="A5" workbookViewId="0">
      <selection activeCell="F15" sqref="F15"/>
    </sheetView>
  </sheetViews>
  <sheetFormatPr defaultRowHeight="15.75" x14ac:dyDescent="0.25"/>
  <cols>
    <col min="1" max="1" width="8.796875" style="502"/>
    <col min="2" max="3" width="8.796875" style="579"/>
    <col min="4" max="4" width="16.19921875" style="579" customWidth="1"/>
    <col min="5" max="6" width="8.796875" style="579"/>
    <col min="7" max="7" width="11.5" style="579" customWidth="1"/>
    <col min="8" max="16384" width="8.796875" style="579"/>
  </cols>
  <sheetData>
    <row r="1" spans="1:7" x14ac:dyDescent="0.25">
      <c r="A1" s="754" t="s">
        <v>444</v>
      </c>
      <c r="B1" s="754"/>
      <c r="C1" s="754"/>
      <c r="D1" s="754"/>
      <c r="E1" s="754"/>
      <c r="F1" s="754"/>
      <c r="G1" s="754"/>
    </row>
    <row r="3" spans="1:7" ht="55.5" customHeight="1" x14ac:dyDescent="0.25">
      <c r="A3" s="753" t="s">
        <v>445</v>
      </c>
      <c r="B3" s="753"/>
      <c r="C3" s="753"/>
      <c r="D3" s="753"/>
      <c r="E3" s="753"/>
      <c r="F3" s="753"/>
      <c r="G3" s="753"/>
    </row>
    <row r="4" spans="1:7" ht="55.5" customHeight="1" x14ac:dyDescent="0.25">
      <c r="A4" s="752" t="s">
        <v>446</v>
      </c>
      <c r="B4" s="752"/>
      <c r="C4" s="752"/>
      <c r="D4" s="752"/>
      <c r="E4" s="752"/>
      <c r="F4" s="752"/>
      <c r="G4" s="752"/>
    </row>
    <row r="5" spans="1:7" ht="55.5" customHeight="1" x14ac:dyDescent="0.25">
      <c r="A5" s="752" t="s">
        <v>447</v>
      </c>
      <c r="B5" s="752"/>
      <c r="C5" s="752"/>
      <c r="D5" s="752"/>
      <c r="E5" s="752"/>
      <c r="F5" s="752"/>
      <c r="G5" s="752"/>
    </row>
    <row r="6" spans="1:7" ht="55.5" customHeight="1" x14ac:dyDescent="0.25">
      <c r="A6" s="752" t="s">
        <v>448</v>
      </c>
      <c r="B6" s="752"/>
      <c r="C6" s="752"/>
      <c r="D6" s="752"/>
      <c r="E6" s="752"/>
      <c r="F6" s="752"/>
      <c r="G6" s="752"/>
    </row>
    <row r="7" spans="1:7" ht="55.5" customHeight="1" x14ac:dyDescent="0.25">
      <c r="A7" s="752" t="s">
        <v>449</v>
      </c>
      <c r="B7" s="752"/>
      <c r="C7" s="752"/>
      <c r="D7" s="752"/>
      <c r="E7" s="752"/>
      <c r="F7" s="752"/>
      <c r="G7" s="752"/>
    </row>
    <row r="8" spans="1:7" ht="55.5" customHeight="1" x14ac:dyDescent="0.25">
      <c r="A8" s="753" t="s">
        <v>450</v>
      </c>
      <c r="B8" s="753"/>
      <c r="C8" s="753"/>
      <c r="D8" s="753"/>
      <c r="E8" s="753"/>
      <c r="F8" s="753"/>
      <c r="G8" s="753"/>
    </row>
    <row r="9" spans="1:7" ht="55.5" customHeight="1" x14ac:dyDescent="0.25">
      <c r="A9" s="752" t="s">
        <v>451</v>
      </c>
      <c r="B9" s="752"/>
      <c r="C9" s="752"/>
      <c r="D9" s="752"/>
      <c r="E9" s="752"/>
      <c r="F9" s="752"/>
      <c r="G9" s="752"/>
    </row>
    <row r="10" spans="1:7" ht="55.5" customHeight="1" x14ac:dyDescent="0.25">
      <c r="A10" s="752" t="s">
        <v>452</v>
      </c>
      <c r="B10" s="752"/>
      <c r="C10" s="752"/>
      <c r="D10" s="752"/>
      <c r="E10" s="752"/>
      <c r="F10" s="752"/>
      <c r="G10" s="752"/>
    </row>
    <row r="11" spans="1:7" ht="55.5" customHeight="1" x14ac:dyDescent="0.25">
      <c r="A11" s="752" t="s">
        <v>453</v>
      </c>
      <c r="B11" s="752"/>
      <c r="C11" s="752"/>
      <c r="D11" s="752"/>
      <c r="E11" s="752"/>
      <c r="F11" s="752"/>
      <c r="G11" s="752"/>
    </row>
    <row r="12" spans="1:7" x14ac:dyDescent="0.25">
      <c r="A12" s="751" t="s">
        <v>454</v>
      </c>
      <c r="B12" s="751"/>
      <c r="C12" s="751"/>
      <c r="D12" s="751"/>
      <c r="E12" s="751"/>
      <c r="F12" s="751"/>
      <c r="G12" s="751"/>
    </row>
    <row r="13" spans="1:7" x14ac:dyDescent="0.25">
      <c r="A13" s="751" t="s">
        <v>454</v>
      </c>
      <c r="B13" s="751"/>
      <c r="C13" s="751"/>
      <c r="D13" s="751"/>
      <c r="E13" s="751"/>
      <c r="F13" s="751"/>
      <c r="G13" s="751"/>
    </row>
    <row r="14" spans="1:7" x14ac:dyDescent="0.25">
      <c r="A14" s="751" t="s">
        <v>454</v>
      </c>
      <c r="B14" s="751"/>
      <c r="C14" s="751"/>
      <c r="D14" s="751"/>
      <c r="E14" s="751"/>
      <c r="F14" s="751"/>
      <c r="G14" s="751"/>
    </row>
    <row r="15" spans="1:7" x14ac:dyDescent="0.25">
      <c r="A15" s="613"/>
      <c r="B15" s="613"/>
      <c r="C15" s="613"/>
      <c r="D15" s="613"/>
      <c r="E15" s="613"/>
      <c r="F15" s="613"/>
      <c r="G15" s="613"/>
    </row>
    <row r="16" spans="1:7" x14ac:dyDescent="0.25">
      <c r="A16" s="751" t="s">
        <v>455</v>
      </c>
      <c r="B16" s="751"/>
      <c r="C16" s="751"/>
      <c r="D16" s="751"/>
      <c r="E16" s="751"/>
      <c r="F16" s="751"/>
      <c r="G16" s="751"/>
    </row>
    <row r="17" spans="1:7" x14ac:dyDescent="0.25">
      <c r="A17" s="751" t="s">
        <v>456</v>
      </c>
      <c r="B17" s="751"/>
      <c r="C17" s="751"/>
      <c r="D17" s="751"/>
      <c r="E17" s="751"/>
      <c r="F17" s="751"/>
      <c r="G17" s="751"/>
    </row>
    <row r="18" spans="1:7" x14ac:dyDescent="0.25">
      <c r="A18" s="751"/>
      <c r="B18" s="751"/>
      <c r="C18" s="751"/>
      <c r="D18" s="751"/>
      <c r="E18" s="751"/>
      <c r="F18" s="751"/>
      <c r="G18" s="751"/>
    </row>
  </sheetData>
  <mergeCells count="16">
    <mergeCell ref="A16:G16"/>
    <mergeCell ref="A17:G17"/>
    <mergeCell ref="A18:G18"/>
    <mergeCell ref="A14:G14"/>
    <mergeCell ref="A13:G13"/>
    <mergeCell ref="A1:G1"/>
    <mergeCell ref="A3:G3"/>
    <mergeCell ref="A4:G4"/>
    <mergeCell ref="A5:G5"/>
    <mergeCell ref="A6:G6"/>
    <mergeCell ref="A12:G12"/>
    <mergeCell ref="A7:G7"/>
    <mergeCell ref="A8:G8"/>
    <mergeCell ref="A9:G9"/>
    <mergeCell ref="A10:G10"/>
    <mergeCell ref="A11:G1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312E8-C257-4D0B-824E-6DB86670E4D5}">
  <dimension ref="A1:H14"/>
  <sheetViews>
    <sheetView workbookViewId="0">
      <selection activeCell="B7" sqref="B7:H7"/>
    </sheetView>
  </sheetViews>
  <sheetFormatPr defaultRowHeight="15" x14ac:dyDescent="0.2"/>
  <cols>
    <col min="1" max="16384" width="8.796875" style="579"/>
  </cols>
  <sheetData>
    <row r="1" spans="1:8" ht="15.75" x14ac:dyDescent="0.25">
      <c r="A1" s="755" t="s">
        <v>457</v>
      </c>
      <c r="B1" s="755"/>
      <c r="C1" s="755"/>
      <c r="D1" s="755"/>
      <c r="E1" s="755"/>
      <c r="F1" s="755"/>
      <c r="G1" s="755"/>
      <c r="H1" s="755"/>
    </row>
    <row r="2" spans="1:8" ht="15.75" x14ac:dyDescent="0.25">
      <c r="A2" s="502"/>
      <c r="B2" s="502"/>
      <c r="C2" s="502"/>
      <c r="D2" s="502"/>
      <c r="E2" s="502"/>
      <c r="F2" s="502"/>
      <c r="G2" s="502"/>
      <c r="H2" s="502"/>
    </row>
    <row r="3" spans="1:8" ht="52.5" customHeight="1" x14ac:dyDescent="0.25">
      <c r="A3" s="756" t="s">
        <v>458</v>
      </c>
      <c r="B3" s="756"/>
      <c r="C3" s="756"/>
      <c r="D3" s="756"/>
      <c r="E3" s="756"/>
      <c r="F3" s="756"/>
      <c r="G3" s="756"/>
      <c r="H3" s="756"/>
    </row>
    <row r="4" spans="1:8" ht="15.75" x14ac:dyDescent="0.25">
      <c r="A4" s="502"/>
      <c r="B4" s="502"/>
      <c r="C4" s="502"/>
      <c r="D4" s="502"/>
      <c r="E4" s="502"/>
      <c r="F4" s="502"/>
      <c r="G4" s="502"/>
      <c r="H4" s="502"/>
    </row>
    <row r="5" spans="1:8" ht="52.5" customHeight="1" x14ac:dyDescent="0.25">
      <c r="A5" s="580"/>
      <c r="B5" s="751" t="s">
        <v>459</v>
      </c>
      <c r="C5" s="751"/>
      <c r="D5" s="751"/>
      <c r="E5" s="751"/>
      <c r="F5" s="751"/>
      <c r="G5" s="751"/>
      <c r="H5" s="751"/>
    </row>
    <row r="6" spans="1:8" ht="15.75" x14ac:dyDescent="0.25">
      <c r="A6" s="502"/>
      <c r="B6" s="502"/>
      <c r="C6" s="502"/>
      <c r="D6" s="502"/>
      <c r="E6" s="502"/>
      <c r="F6" s="502"/>
      <c r="G6" s="502"/>
      <c r="H6" s="502"/>
    </row>
    <row r="7" spans="1:8" ht="32.25" customHeight="1" x14ac:dyDescent="0.25">
      <c r="A7" s="580"/>
      <c r="B7" s="751" t="s">
        <v>460</v>
      </c>
      <c r="C7" s="751"/>
      <c r="D7" s="751"/>
      <c r="E7" s="751"/>
      <c r="F7" s="751"/>
      <c r="G7" s="751"/>
      <c r="H7" s="751"/>
    </row>
    <row r="8" spans="1:8" ht="15.75" x14ac:dyDescent="0.25">
      <c r="A8" s="502"/>
      <c r="B8" s="502"/>
      <c r="C8" s="502"/>
      <c r="D8" s="502"/>
      <c r="E8" s="502"/>
      <c r="F8" s="502"/>
      <c r="G8" s="502"/>
      <c r="H8" s="502"/>
    </row>
    <row r="9" spans="1:8" ht="15.75" x14ac:dyDescent="0.25">
      <c r="A9" s="754" t="s">
        <v>461</v>
      </c>
      <c r="B9" s="754"/>
      <c r="C9" s="754"/>
      <c r="D9" s="754"/>
      <c r="E9" s="754"/>
      <c r="F9" s="754"/>
      <c r="G9" s="754"/>
      <c r="H9" s="754"/>
    </row>
    <row r="10" spans="1:8" ht="15.75" x14ac:dyDescent="0.25">
      <c r="A10" s="502"/>
      <c r="B10" s="502"/>
      <c r="C10" s="502"/>
      <c r="D10" s="502"/>
      <c r="E10" s="502"/>
      <c r="F10" s="502"/>
      <c r="G10" s="502"/>
      <c r="H10" s="502"/>
    </row>
    <row r="11" spans="1:8" ht="15.75" x14ac:dyDescent="0.25">
      <c r="A11" s="502"/>
      <c r="B11" s="502"/>
      <c r="C11" s="502"/>
      <c r="D11" s="502"/>
      <c r="E11" s="502"/>
      <c r="F11" s="502"/>
      <c r="G11" s="502"/>
      <c r="H11" s="502"/>
    </row>
    <row r="12" spans="1:8" ht="15.75" x14ac:dyDescent="0.25">
      <c r="A12" s="502"/>
      <c r="B12" s="502"/>
      <c r="C12" s="502"/>
      <c r="D12" s="502"/>
      <c r="E12" s="502"/>
      <c r="F12" s="502"/>
      <c r="G12" s="502"/>
      <c r="H12" s="502"/>
    </row>
    <row r="13" spans="1:8" ht="15.75" x14ac:dyDescent="0.25">
      <c r="A13" s="502" t="s">
        <v>462</v>
      </c>
      <c r="B13" s="502"/>
      <c r="C13" s="502"/>
      <c r="D13" s="502"/>
      <c r="E13" s="502"/>
      <c r="F13" s="580"/>
      <c r="G13" s="580"/>
      <c r="H13" s="580"/>
    </row>
    <row r="14" spans="1:8" ht="15.75" x14ac:dyDescent="0.25">
      <c r="A14" s="502"/>
      <c r="B14" s="502"/>
      <c r="C14" s="502"/>
      <c r="D14" s="502"/>
      <c r="E14" s="502"/>
      <c r="F14" s="502" t="s">
        <v>463</v>
      </c>
    </row>
  </sheetData>
  <mergeCells count="5">
    <mergeCell ref="A1:H1"/>
    <mergeCell ref="A3:H3"/>
    <mergeCell ref="B5:H5"/>
    <mergeCell ref="B7:H7"/>
    <mergeCell ref="A9:H9"/>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0000"/>
  </sheetPr>
  <dimension ref="A1:L85"/>
  <sheetViews>
    <sheetView workbookViewId="0">
      <selection activeCell="A18" sqref="A18"/>
    </sheetView>
  </sheetViews>
  <sheetFormatPr defaultRowHeight="15.75" x14ac:dyDescent="0.25"/>
  <cols>
    <col min="1" max="1" width="64.19921875" style="269" customWidth="1"/>
  </cols>
  <sheetData>
    <row r="1" spans="1:12" x14ac:dyDescent="0.25">
      <c r="A1" s="757" t="s">
        <v>464</v>
      </c>
    </row>
    <row r="2" spans="1:12" x14ac:dyDescent="0.25">
      <c r="A2" s="757"/>
    </row>
    <row r="3" spans="1:12" x14ac:dyDescent="0.25">
      <c r="A3" s="571" t="s">
        <v>465</v>
      </c>
      <c r="B3" s="242"/>
      <c r="C3" s="242"/>
      <c r="D3" s="242"/>
      <c r="E3" s="242"/>
      <c r="F3" s="242"/>
      <c r="G3" s="242"/>
      <c r="H3" s="242"/>
      <c r="I3" s="242"/>
      <c r="J3" s="242"/>
      <c r="K3" s="242"/>
      <c r="L3" s="242"/>
    </row>
    <row r="5" spans="1:12" x14ac:dyDescent="0.25">
      <c r="A5" s="269" t="s">
        <v>466</v>
      </c>
    </row>
    <row r="6" spans="1:12" x14ac:dyDescent="0.25">
      <c r="A6" s="269" t="str">
        <f>CONCATENATE(inputPrYr!D6-2," 'total expenditures' exceed your ",inputPrYr!D6-2," 'budget authority.'")</f>
        <v>2023 'total expenditures' exceed your 2023 'budget authority.'</v>
      </c>
    </row>
    <row r="8" spans="1:12" x14ac:dyDescent="0.25">
      <c r="A8" s="269" t="s">
        <v>467</v>
      </c>
    </row>
    <row r="9" spans="1:12" x14ac:dyDescent="0.25">
      <c r="A9" s="269" t="s">
        <v>468</v>
      </c>
    </row>
    <row r="10" spans="1:12" x14ac:dyDescent="0.25">
      <c r="A10" s="269" t="s">
        <v>469</v>
      </c>
    </row>
    <row r="13" spans="1:12" x14ac:dyDescent="0.25">
      <c r="A13" s="572" t="s">
        <v>470</v>
      </c>
    </row>
    <row r="15" spans="1:12" x14ac:dyDescent="0.25">
      <c r="A15" s="269" t="s">
        <v>471</v>
      </c>
    </row>
    <row r="16" spans="1:12" x14ac:dyDescent="0.25">
      <c r="A16" s="269" t="str">
        <f>CONCATENATE("(i.e. an audit has not been completed, or the ",inputPrYr!D6," adopted")</f>
        <v>(i.e. an audit has not been completed, or the 2025 adopted</v>
      </c>
    </row>
    <row r="17" spans="1:1" x14ac:dyDescent="0.25">
      <c r="A17" s="269" t="s">
        <v>472</v>
      </c>
    </row>
    <row r="18" spans="1:1" x14ac:dyDescent="0.25">
      <c r="A18" s="269" t="s">
        <v>473</v>
      </c>
    </row>
    <row r="19" spans="1:1" x14ac:dyDescent="0.25">
      <c r="A19" s="269" t="s">
        <v>474</v>
      </c>
    </row>
    <row r="21" spans="1:1" x14ac:dyDescent="0.25">
      <c r="A21" s="572" t="s">
        <v>297</v>
      </c>
    </row>
    <row r="22" spans="1:1" x14ac:dyDescent="0.25">
      <c r="A22" s="572"/>
    </row>
    <row r="23" spans="1:1" x14ac:dyDescent="0.25">
      <c r="A23" s="269" t="s">
        <v>475</v>
      </c>
    </row>
    <row r="24" spans="1:1" x14ac:dyDescent="0.25">
      <c r="A24" s="269" t="s">
        <v>476</v>
      </c>
    </row>
    <row r="25" spans="1:1" x14ac:dyDescent="0.25">
      <c r="A25" s="269" t="str">
        <f>CONCATENATE("particular fund.  If your ",inputPrYr!D6-2," budget was amended, did you")</f>
        <v>particular fund.  If your 2023 budget was amended, did you</v>
      </c>
    </row>
    <row r="26" spans="1:1" x14ac:dyDescent="0.25">
      <c r="A26" s="269" t="s">
        <v>477</v>
      </c>
    </row>
    <row r="28" spans="1:1" x14ac:dyDescent="0.25">
      <c r="A28" s="269" t="str">
        <f>CONCATENATE("Next, look to see if any of your ",inputPrYr!D6-2," expenditures can be")</f>
        <v>Next, look to see if any of your 2023 expenditures can be</v>
      </c>
    </row>
    <row r="29" spans="1:1" x14ac:dyDescent="0.25">
      <c r="A29" s="269" t="s">
        <v>478</v>
      </c>
    </row>
    <row r="30" spans="1:1" x14ac:dyDescent="0.25">
      <c r="A30" s="269" t="s">
        <v>479</v>
      </c>
    </row>
    <row r="31" spans="1:1" x14ac:dyDescent="0.25">
      <c r="A31" s="269" t="s">
        <v>480</v>
      </c>
    </row>
    <row r="33" spans="1:1" x14ac:dyDescent="0.25">
      <c r="A33" s="269" t="str">
        <f>CONCATENATE("Additionally, do your ",inputPrYr!D6-2," receipts contain a reimbursement")</f>
        <v>Additionally, do your 2023 receipts contain a reimbursement</v>
      </c>
    </row>
    <row r="34" spans="1:1" x14ac:dyDescent="0.25">
      <c r="A34" s="269" t="s">
        <v>481</v>
      </c>
    </row>
    <row r="35" spans="1:1" x14ac:dyDescent="0.25">
      <c r="A35" s="269" t="s">
        <v>482</v>
      </c>
    </row>
    <row r="37" spans="1:1" x14ac:dyDescent="0.25">
      <c r="A37" s="269" t="s">
        <v>483</v>
      </c>
    </row>
    <row r="38" spans="1:1" x14ac:dyDescent="0.25">
      <c r="A38" s="269" t="s">
        <v>484</v>
      </c>
    </row>
    <row r="39" spans="1:1" x14ac:dyDescent="0.25">
      <c r="A39" s="269" t="s">
        <v>485</v>
      </c>
    </row>
    <row r="40" spans="1:1" x14ac:dyDescent="0.25">
      <c r="A40" s="269" t="s">
        <v>486</v>
      </c>
    </row>
    <row r="41" spans="1:1" x14ac:dyDescent="0.25">
      <c r="A41" s="269" t="s">
        <v>487</v>
      </c>
    </row>
    <row r="42" spans="1:1" x14ac:dyDescent="0.25">
      <c r="A42" s="269" t="s">
        <v>488</v>
      </c>
    </row>
    <row r="43" spans="1:1" x14ac:dyDescent="0.25">
      <c r="A43" s="269" t="s">
        <v>489</v>
      </c>
    </row>
    <row r="44" spans="1:1" x14ac:dyDescent="0.25">
      <c r="A44" s="269" t="s">
        <v>490</v>
      </c>
    </row>
    <row r="46" spans="1:1" x14ac:dyDescent="0.25">
      <c r="A46" s="269" t="s">
        <v>491</v>
      </c>
    </row>
    <row r="47" spans="1:1" x14ac:dyDescent="0.25">
      <c r="A47" s="269" t="s">
        <v>492</v>
      </c>
    </row>
    <row r="48" spans="1:1" x14ac:dyDescent="0.25">
      <c r="A48" s="269" t="s">
        <v>493</v>
      </c>
    </row>
    <row r="50" spans="1:1" x14ac:dyDescent="0.25">
      <c r="A50" s="269" t="s">
        <v>494</v>
      </c>
    </row>
    <row r="51" spans="1:1" x14ac:dyDescent="0.25">
      <c r="A51" s="269" t="s">
        <v>495</v>
      </c>
    </row>
    <row r="52" spans="1:1" x14ac:dyDescent="0.25">
      <c r="A52" s="269" t="s">
        <v>496</v>
      </c>
    </row>
    <row r="54" spans="1:1" x14ac:dyDescent="0.25">
      <c r="A54" s="572" t="s">
        <v>497</v>
      </c>
    </row>
    <row r="56" spans="1:1" x14ac:dyDescent="0.25">
      <c r="A56" s="269" t="s">
        <v>498</v>
      </c>
    </row>
    <row r="57" spans="1:1" x14ac:dyDescent="0.25">
      <c r="A57" s="269" t="s">
        <v>499</v>
      </c>
    </row>
    <row r="58" spans="1:1" x14ac:dyDescent="0.25">
      <c r="A58" s="269" t="s">
        <v>500</v>
      </c>
    </row>
    <row r="59" spans="1:1" x14ac:dyDescent="0.25">
      <c r="A59" s="269" t="s">
        <v>501</v>
      </c>
    </row>
    <row r="60" spans="1:1" x14ac:dyDescent="0.25">
      <c r="A60" s="269" t="s">
        <v>502</v>
      </c>
    </row>
    <row r="61" spans="1:1" x14ac:dyDescent="0.25">
      <c r="A61" s="269" t="s">
        <v>503</v>
      </c>
    </row>
    <row r="62" spans="1:1" x14ac:dyDescent="0.25">
      <c r="A62" s="269" t="s">
        <v>504</v>
      </c>
    </row>
    <row r="63" spans="1:1" x14ac:dyDescent="0.25">
      <c r="A63" s="269" t="s">
        <v>505</v>
      </c>
    </row>
    <row r="64" spans="1:1" x14ac:dyDescent="0.25">
      <c r="A64" s="269" t="s">
        <v>506</v>
      </c>
    </row>
    <row r="65" spans="1:1" x14ac:dyDescent="0.25">
      <c r="A65" s="269" t="s">
        <v>507</v>
      </c>
    </row>
    <row r="66" spans="1:1" x14ac:dyDescent="0.25">
      <c r="A66" s="269" t="s">
        <v>508</v>
      </c>
    </row>
    <row r="67" spans="1:1" x14ac:dyDescent="0.25">
      <c r="A67" s="269" t="s">
        <v>509</v>
      </c>
    </row>
    <row r="68" spans="1:1" x14ac:dyDescent="0.25">
      <c r="A68" s="269" t="s">
        <v>510</v>
      </c>
    </row>
    <row r="70" spans="1:1" x14ac:dyDescent="0.25">
      <c r="A70" s="269" t="s">
        <v>511</v>
      </c>
    </row>
    <row r="71" spans="1:1" x14ac:dyDescent="0.25">
      <c r="A71" s="269" t="s">
        <v>512</v>
      </c>
    </row>
    <row r="72" spans="1:1" x14ac:dyDescent="0.25">
      <c r="A72" s="269" t="s">
        <v>513</v>
      </c>
    </row>
    <row r="74" spans="1:1" x14ac:dyDescent="0.25">
      <c r="A74" s="572" t="str">
        <f>CONCATENATE("What if the ",inputPrYr!D6-2," financial records have been closed?")</f>
        <v>What if the 2023 financial records have been closed?</v>
      </c>
    </row>
    <row r="76" spans="1:1" x14ac:dyDescent="0.25">
      <c r="A76" s="269" t="s">
        <v>514</v>
      </c>
    </row>
    <row r="77" spans="1:1" x14ac:dyDescent="0.25">
      <c r="A77" s="269" t="str">
        <f>CONCATENATE("(i.e. an audit for ",inputPrYr!D6-2," has been completed, or the ",inputPrYr!D6)</f>
        <v>(i.e. an audit for 2023 has been completed, or the 2025</v>
      </c>
    </row>
    <row r="78" spans="1:1" x14ac:dyDescent="0.25">
      <c r="A78" s="269" t="s">
        <v>515</v>
      </c>
    </row>
    <row r="79" spans="1:1" x14ac:dyDescent="0.25">
      <c r="A79" s="269" t="s">
        <v>516</v>
      </c>
    </row>
    <row r="81" spans="1:1" x14ac:dyDescent="0.25">
      <c r="A81" s="269" t="s">
        <v>517</v>
      </c>
    </row>
    <row r="82" spans="1:1" x14ac:dyDescent="0.25">
      <c r="A82" s="269" t="s">
        <v>518</v>
      </c>
    </row>
    <row r="83" spans="1:1" x14ac:dyDescent="0.25">
      <c r="A83" s="269" t="s">
        <v>519</v>
      </c>
    </row>
    <row r="85" spans="1:1" x14ac:dyDescent="0.25">
      <c r="A85" s="269" t="s">
        <v>520</v>
      </c>
    </row>
  </sheetData>
  <sheetProtection sheet="1"/>
  <mergeCells count="1">
    <mergeCell ref="A1:A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FF0000"/>
  </sheetPr>
  <dimension ref="A1:J109"/>
  <sheetViews>
    <sheetView workbookViewId="0">
      <selection activeCell="B1" sqref="B1"/>
    </sheetView>
  </sheetViews>
  <sheetFormatPr defaultRowHeight="15.75" x14ac:dyDescent="0.25"/>
  <cols>
    <col min="1" max="1" width="64.19921875" style="269" customWidth="1"/>
  </cols>
  <sheetData>
    <row r="1" spans="1:10" x14ac:dyDescent="0.25">
      <c r="A1" s="758" t="s">
        <v>521</v>
      </c>
    </row>
    <row r="2" spans="1:10" x14ac:dyDescent="0.25">
      <c r="A2" s="758"/>
    </row>
    <row r="3" spans="1:10" x14ac:dyDescent="0.25">
      <c r="A3" s="571" t="s">
        <v>522</v>
      </c>
      <c r="B3" s="242"/>
      <c r="C3" s="242"/>
      <c r="D3" s="242"/>
      <c r="E3" s="242"/>
      <c r="F3" s="242"/>
      <c r="G3" s="242"/>
      <c r="H3" s="240"/>
      <c r="I3" s="240"/>
      <c r="J3" s="240"/>
    </row>
    <row r="5" spans="1:10" x14ac:dyDescent="0.25">
      <c r="A5" s="269" t="s">
        <v>523</v>
      </c>
    </row>
    <row r="6" spans="1:10" x14ac:dyDescent="0.25">
      <c r="A6" s="269" t="str">
        <f>CONCATENATE(inputPrYr!D6-2," expenditures show that you finished the year with a ")</f>
        <v xml:space="preserve">2023 expenditures show that you finished the year with a </v>
      </c>
    </row>
    <row r="7" spans="1:10" x14ac:dyDescent="0.25">
      <c r="A7" s="269" t="s">
        <v>524</v>
      </c>
    </row>
    <row r="9" spans="1:10" x14ac:dyDescent="0.25">
      <c r="A9" s="269" t="s">
        <v>525</v>
      </c>
    </row>
    <row r="10" spans="1:10" x14ac:dyDescent="0.25">
      <c r="A10" s="269" t="s">
        <v>526</v>
      </c>
    </row>
    <row r="11" spans="1:10" x14ac:dyDescent="0.25">
      <c r="A11" s="269" t="s">
        <v>527</v>
      </c>
    </row>
    <row r="13" spans="1:10" x14ac:dyDescent="0.25">
      <c r="A13" s="572" t="s">
        <v>528</v>
      </c>
    </row>
    <row r="14" spans="1:10" x14ac:dyDescent="0.25">
      <c r="A14" s="572"/>
    </row>
    <row r="15" spans="1:10" x14ac:dyDescent="0.25">
      <c r="A15" s="269" t="s">
        <v>529</v>
      </c>
    </row>
    <row r="16" spans="1:10" x14ac:dyDescent="0.25">
      <c r="A16" s="269" t="s">
        <v>530</v>
      </c>
    </row>
    <row r="17" spans="1:1" x14ac:dyDescent="0.25">
      <c r="A17" s="269" t="s">
        <v>531</v>
      </c>
    </row>
    <row r="19" spans="1:1" x14ac:dyDescent="0.25">
      <c r="A19" s="572" t="s">
        <v>532</v>
      </c>
    </row>
    <row r="20" spans="1:1" x14ac:dyDescent="0.25">
      <c r="A20" s="572"/>
    </row>
    <row r="21" spans="1:1" x14ac:dyDescent="0.25">
      <c r="A21" s="269" t="s">
        <v>533</v>
      </c>
    </row>
    <row r="22" spans="1:1" x14ac:dyDescent="0.25">
      <c r="A22" s="269" t="s">
        <v>534</v>
      </c>
    </row>
    <row r="23" spans="1:1" x14ac:dyDescent="0.25">
      <c r="A23" s="269" t="s">
        <v>535</v>
      </c>
    </row>
    <row r="25" spans="1:1" x14ac:dyDescent="0.25">
      <c r="A25" s="572" t="s">
        <v>536</v>
      </c>
    </row>
    <row r="26" spans="1:1" x14ac:dyDescent="0.25">
      <c r="A26" s="572"/>
    </row>
    <row r="27" spans="1:1" x14ac:dyDescent="0.25">
      <c r="A27" s="269" t="s">
        <v>537</v>
      </c>
    </row>
    <row r="28" spans="1:1" x14ac:dyDescent="0.25">
      <c r="A28" s="269" t="s">
        <v>538</v>
      </c>
    </row>
    <row r="29" spans="1:1" x14ac:dyDescent="0.25">
      <c r="A29" s="269" t="s">
        <v>539</v>
      </c>
    </row>
    <row r="31" spans="1:1" x14ac:dyDescent="0.25">
      <c r="A31" s="572" t="s">
        <v>540</v>
      </c>
    </row>
    <row r="32" spans="1:1" x14ac:dyDescent="0.25">
      <c r="A32" s="572"/>
    </row>
    <row r="33" spans="1:8" x14ac:dyDescent="0.25">
      <c r="A33" s="269" t="str">
        <f>CONCATENATE("If your financial records for ",inputPrYr!D6-2," are not closed")</f>
        <v>If your financial records for 2023 are not closed</v>
      </c>
      <c r="B33" s="241"/>
      <c r="C33" s="241"/>
      <c r="D33" s="241"/>
      <c r="E33" s="241"/>
      <c r="F33" s="241"/>
      <c r="G33" s="241"/>
      <c r="H33" s="241"/>
    </row>
    <row r="34" spans="1:8" x14ac:dyDescent="0.25">
      <c r="A34" s="269" t="str">
        <f>CONCATENATE("(i.e. an audit has not been completed, or the ",inputPrYr!D6," adopted ")</f>
        <v xml:space="preserve">(i.e. an audit has not been completed, or the 2025 adopted </v>
      </c>
      <c r="B34" s="241"/>
      <c r="C34" s="241"/>
      <c r="D34" s="241"/>
      <c r="E34" s="241"/>
      <c r="F34" s="241"/>
      <c r="G34" s="241"/>
      <c r="H34" s="241"/>
    </row>
    <row r="35" spans="1:8" x14ac:dyDescent="0.25">
      <c r="A35" s="269" t="s">
        <v>541</v>
      </c>
      <c r="B35" s="241"/>
      <c r="C35" s="241"/>
      <c r="D35" s="241"/>
      <c r="E35" s="241"/>
      <c r="F35" s="241"/>
      <c r="G35" s="241"/>
      <c r="H35" s="241"/>
    </row>
    <row r="36" spans="1:8" x14ac:dyDescent="0.25">
      <c r="A36" s="269" t="s">
        <v>542</v>
      </c>
      <c r="B36" s="241"/>
      <c r="C36" s="241"/>
      <c r="D36" s="241"/>
      <c r="E36" s="241"/>
      <c r="F36" s="241"/>
      <c r="G36" s="241"/>
      <c r="H36" s="241"/>
    </row>
    <row r="37" spans="1:8" x14ac:dyDescent="0.25">
      <c r="A37" s="269" t="s">
        <v>543</v>
      </c>
      <c r="B37" s="241"/>
      <c r="C37" s="241"/>
      <c r="D37" s="241"/>
      <c r="E37" s="241"/>
      <c r="F37" s="241"/>
      <c r="G37" s="241"/>
      <c r="H37" s="241"/>
    </row>
    <row r="38" spans="1:8" x14ac:dyDescent="0.25">
      <c r="A38" s="269" t="s">
        <v>544</v>
      </c>
      <c r="B38" s="241"/>
      <c r="C38" s="241"/>
      <c r="D38" s="241"/>
      <c r="E38" s="241"/>
      <c r="F38" s="241"/>
      <c r="G38" s="241"/>
      <c r="H38" s="241"/>
    </row>
    <row r="39" spans="1:8" x14ac:dyDescent="0.25">
      <c r="A39" s="269" t="s">
        <v>545</v>
      </c>
      <c r="B39" s="241"/>
      <c r="C39" s="241"/>
      <c r="D39" s="241"/>
      <c r="E39" s="241"/>
      <c r="F39" s="241"/>
      <c r="G39" s="241"/>
      <c r="H39" s="241"/>
    </row>
    <row r="40" spans="1:8" x14ac:dyDescent="0.25">
      <c r="B40" s="241"/>
      <c r="C40" s="241"/>
      <c r="D40" s="241"/>
      <c r="E40" s="241"/>
      <c r="F40" s="241"/>
      <c r="G40" s="241"/>
      <c r="H40" s="241"/>
    </row>
    <row r="41" spans="1:8" x14ac:dyDescent="0.25">
      <c r="A41" s="269" t="s">
        <v>546</v>
      </c>
      <c r="B41" s="241"/>
      <c r="C41" s="241"/>
      <c r="D41" s="241"/>
      <c r="E41" s="241"/>
      <c r="F41" s="241"/>
      <c r="G41" s="241"/>
      <c r="H41" s="241"/>
    </row>
    <row r="42" spans="1:8" x14ac:dyDescent="0.25">
      <c r="A42" s="269" t="s">
        <v>547</v>
      </c>
      <c r="B42" s="241"/>
      <c r="C42" s="241"/>
      <c r="D42" s="241"/>
      <c r="E42" s="241"/>
      <c r="F42" s="241"/>
      <c r="G42" s="241"/>
      <c r="H42" s="241"/>
    </row>
    <row r="43" spans="1:8" x14ac:dyDescent="0.25">
      <c r="A43" s="269" t="s">
        <v>548</v>
      </c>
      <c r="B43" s="241"/>
      <c r="C43" s="241"/>
      <c r="D43" s="241"/>
      <c r="E43" s="241"/>
      <c r="F43" s="241"/>
      <c r="G43" s="241"/>
      <c r="H43" s="241"/>
    </row>
    <row r="44" spans="1:8" x14ac:dyDescent="0.25">
      <c r="A44" s="269" t="s">
        <v>549</v>
      </c>
      <c r="B44" s="241"/>
      <c r="C44" s="241"/>
      <c r="D44" s="241"/>
      <c r="E44" s="241"/>
      <c r="F44" s="241"/>
      <c r="G44" s="241"/>
      <c r="H44" s="241"/>
    </row>
    <row r="45" spans="1:8" x14ac:dyDescent="0.25">
      <c r="B45" s="241"/>
      <c r="C45" s="241"/>
      <c r="D45" s="241"/>
      <c r="E45" s="241"/>
      <c r="F45" s="241"/>
      <c r="G45" s="241"/>
      <c r="H45" s="241"/>
    </row>
    <row r="46" spans="1:8" x14ac:dyDescent="0.25">
      <c r="A46" s="269" t="s">
        <v>550</v>
      </c>
      <c r="B46" s="241"/>
      <c r="C46" s="241"/>
      <c r="D46" s="241"/>
      <c r="E46" s="241"/>
      <c r="F46" s="241"/>
      <c r="G46" s="241"/>
      <c r="H46" s="241"/>
    </row>
    <row r="47" spans="1:8" x14ac:dyDescent="0.25">
      <c r="A47" s="269" t="s">
        <v>551</v>
      </c>
      <c r="B47" s="241"/>
      <c r="C47" s="241"/>
      <c r="D47" s="241"/>
      <c r="E47" s="241"/>
      <c r="F47" s="241"/>
      <c r="G47" s="241"/>
      <c r="H47" s="241"/>
    </row>
    <row r="48" spans="1:8" x14ac:dyDescent="0.25">
      <c r="A48" s="269" t="s">
        <v>552</v>
      </c>
      <c r="B48" s="241"/>
      <c r="C48" s="241"/>
      <c r="D48" s="241"/>
      <c r="E48" s="241"/>
      <c r="F48" s="241"/>
      <c r="G48" s="241"/>
      <c r="H48" s="241"/>
    </row>
    <row r="49" spans="1:8" x14ac:dyDescent="0.25">
      <c r="A49" s="269" t="s">
        <v>553</v>
      </c>
      <c r="B49" s="241"/>
      <c r="C49" s="241"/>
      <c r="D49" s="241"/>
      <c r="E49" s="241"/>
      <c r="F49" s="241"/>
      <c r="G49" s="241"/>
      <c r="H49" s="241"/>
    </row>
    <row r="50" spans="1:8" x14ac:dyDescent="0.25">
      <c r="A50" s="269" t="s">
        <v>554</v>
      </c>
      <c r="B50" s="241"/>
      <c r="C50" s="241"/>
      <c r="D50" s="241"/>
      <c r="E50" s="241"/>
      <c r="F50" s="241"/>
      <c r="G50" s="241"/>
      <c r="H50" s="241"/>
    </row>
    <row r="51" spans="1:8" x14ac:dyDescent="0.25">
      <c r="B51" s="241"/>
      <c r="C51" s="241"/>
      <c r="D51" s="241"/>
      <c r="E51" s="241"/>
      <c r="F51" s="241"/>
      <c r="G51" s="241"/>
      <c r="H51" s="241"/>
    </row>
    <row r="52" spans="1:8" x14ac:dyDescent="0.25">
      <c r="A52" s="572" t="s">
        <v>555</v>
      </c>
      <c r="B52" s="240"/>
      <c r="C52" s="240"/>
      <c r="D52" s="240"/>
      <c r="E52" s="240"/>
      <c r="F52" s="240"/>
      <c r="G52" s="240"/>
      <c r="H52" s="241"/>
    </row>
    <row r="53" spans="1:8" x14ac:dyDescent="0.25">
      <c r="A53" s="572" t="s">
        <v>556</v>
      </c>
      <c r="B53" s="240"/>
      <c r="C53" s="240"/>
      <c r="D53" s="240"/>
      <c r="E53" s="240"/>
      <c r="F53" s="240"/>
      <c r="G53" s="240"/>
      <c r="H53" s="241"/>
    </row>
    <row r="54" spans="1:8" x14ac:dyDescent="0.25">
      <c r="B54" s="241"/>
      <c r="C54" s="241"/>
      <c r="D54" s="241"/>
      <c r="E54" s="241"/>
      <c r="F54" s="241"/>
      <c r="G54" s="241"/>
      <c r="H54" s="241"/>
    </row>
    <row r="55" spans="1:8" x14ac:dyDescent="0.25">
      <c r="A55" s="269" t="s">
        <v>557</v>
      </c>
      <c r="B55" s="241"/>
      <c r="C55" s="241"/>
      <c r="D55" s="241"/>
      <c r="E55" s="241"/>
      <c r="F55" s="241"/>
      <c r="G55" s="241"/>
      <c r="H55" s="241"/>
    </row>
    <row r="56" spans="1:8" x14ac:dyDescent="0.25">
      <c r="A56" s="269" t="s">
        <v>558</v>
      </c>
      <c r="B56" s="241"/>
      <c r="C56" s="241"/>
      <c r="D56" s="241"/>
      <c r="E56" s="241"/>
      <c r="F56" s="241"/>
      <c r="G56" s="241"/>
      <c r="H56" s="241"/>
    </row>
    <row r="57" spans="1:8" x14ac:dyDescent="0.25">
      <c r="A57" s="269" t="s">
        <v>559</v>
      </c>
      <c r="B57" s="241"/>
      <c r="C57" s="241"/>
      <c r="D57" s="241"/>
      <c r="E57" s="241"/>
      <c r="F57" s="241"/>
      <c r="G57" s="241"/>
      <c r="H57" s="241"/>
    </row>
    <row r="58" spans="1:8" x14ac:dyDescent="0.25">
      <c r="A58" s="269" t="s">
        <v>560</v>
      </c>
      <c r="B58" s="241"/>
      <c r="C58" s="241"/>
      <c r="D58" s="241"/>
      <c r="E58" s="241"/>
      <c r="F58" s="241"/>
      <c r="G58" s="241"/>
      <c r="H58" s="241"/>
    </row>
    <row r="59" spans="1:8" x14ac:dyDescent="0.25">
      <c r="B59" s="241"/>
      <c r="C59" s="241"/>
      <c r="D59" s="241"/>
      <c r="E59" s="241"/>
      <c r="F59" s="241"/>
      <c r="G59" s="241"/>
      <c r="H59" s="241"/>
    </row>
    <row r="60" spans="1:8" x14ac:dyDescent="0.25">
      <c r="A60" s="269" t="s">
        <v>561</v>
      </c>
      <c r="B60" s="241"/>
      <c r="C60" s="241"/>
      <c r="D60" s="241"/>
      <c r="E60" s="241"/>
      <c r="F60" s="241"/>
      <c r="G60" s="241"/>
      <c r="H60" s="241"/>
    </row>
    <row r="61" spans="1:8" x14ac:dyDescent="0.25">
      <c r="A61" s="269" t="s">
        <v>562</v>
      </c>
      <c r="B61" s="241"/>
      <c r="C61" s="241"/>
      <c r="D61" s="241"/>
      <c r="E61" s="241"/>
      <c r="F61" s="241"/>
      <c r="G61" s="241"/>
      <c r="H61" s="241"/>
    </row>
    <row r="62" spans="1:8" x14ac:dyDescent="0.25">
      <c r="A62" s="269" t="s">
        <v>563</v>
      </c>
      <c r="B62" s="241"/>
      <c r="C62" s="241"/>
      <c r="D62" s="241"/>
      <c r="E62" s="241"/>
      <c r="F62" s="241"/>
      <c r="G62" s="241"/>
      <c r="H62" s="241"/>
    </row>
    <row r="63" spans="1:8" x14ac:dyDescent="0.25">
      <c r="A63" s="269" t="s">
        <v>564</v>
      </c>
      <c r="B63" s="241"/>
      <c r="C63" s="241"/>
      <c r="D63" s="241"/>
      <c r="E63" s="241"/>
      <c r="F63" s="241"/>
      <c r="G63" s="241"/>
      <c r="H63" s="241"/>
    </row>
    <row r="64" spans="1:8" x14ac:dyDescent="0.25">
      <c r="A64" s="269" t="s">
        <v>565</v>
      </c>
      <c r="B64" s="241"/>
      <c r="C64" s="241"/>
      <c r="D64" s="241"/>
      <c r="E64" s="241"/>
      <c r="F64" s="241"/>
      <c r="G64" s="241"/>
      <c r="H64" s="241"/>
    </row>
    <row r="65" spans="1:8" x14ac:dyDescent="0.25">
      <c r="A65" s="269" t="s">
        <v>566</v>
      </c>
      <c r="B65" s="241"/>
      <c r="C65" s="241"/>
      <c r="D65" s="241"/>
      <c r="E65" s="241"/>
      <c r="F65" s="241"/>
      <c r="G65" s="241"/>
      <c r="H65" s="241"/>
    </row>
    <row r="66" spans="1:8" x14ac:dyDescent="0.25">
      <c r="B66" s="241"/>
      <c r="C66" s="241"/>
      <c r="D66" s="241"/>
      <c r="E66" s="241"/>
      <c r="F66" s="241"/>
      <c r="G66" s="241"/>
      <c r="H66" s="241"/>
    </row>
    <row r="67" spans="1:8" x14ac:dyDescent="0.25">
      <c r="A67" s="269" t="s">
        <v>567</v>
      </c>
      <c r="B67" s="241"/>
      <c r="C67" s="241"/>
      <c r="D67" s="241"/>
      <c r="E67" s="241"/>
      <c r="F67" s="241"/>
      <c r="G67" s="241"/>
      <c r="H67" s="241"/>
    </row>
    <row r="68" spans="1:8" x14ac:dyDescent="0.25">
      <c r="A68" s="269" t="s">
        <v>568</v>
      </c>
      <c r="B68" s="241"/>
      <c r="C68" s="241"/>
      <c r="D68" s="241"/>
      <c r="E68" s="241"/>
      <c r="F68" s="241"/>
      <c r="G68" s="241"/>
      <c r="H68" s="241"/>
    </row>
    <row r="69" spans="1:8" x14ac:dyDescent="0.25">
      <c r="A69" s="269" t="s">
        <v>569</v>
      </c>
      <c r="B69" s="241"/>
      <c r="C69" s="241"/>
      <c r="D69" s="241"/>
      <c r="E69" s="241"/>
      <c r="F69" s="241"/>
      <c r="G69" s="241"/>
      <c r="H69" s="241"/>
    </row>
    <row r="70" spans="1:8" x14ac:dyDescent="0.25">
      <c r="A70" s="269" t="s">
        <v>570</v>
      </c>
      <c r="B70" s="241"/>
      <c r="C70" s="241"/>
      <c r="D70" s="241"/>
      <c r="E70" s="241"/>
      <c r="F70" s="241"/>
      <c r="G70" s="241"/>
      <c r="H70" s="241"/>
    </row>
    <row r="71" spans="1:8" x14ac:dyDescent="0.25">
      <c r="A71" s="269" t="s">
        <v>571</v>
      </c>
      <c r="B71" s="241"/>
      <c r="C71" s="241"/>
      <c r="D71" s="241"/>
      <c r="E71" s="241"/>
      <c r="F71" s="241"/>
      <c r="G71" s="241"/>
      <c r="H71" s="241"/>
    </row>
    <row r="72" spans="1:8" x14ac:dyDescent="0.25">
      <c r="A72" s="269" t="s">
        <v>572</v>
      </c>
      <c r="B72" s="241"/>
      <c r="C72" s="241"/>
      <c r="D72" s="241"/>
      <c r="E72" s="241"/>
      <c r="F72" s="241"/>
      <c r="G72" s="241"/>
      <c r="H72" s="241"/>
    </row>
    <row r="73" spans="1:8" x14ac:dyDescent="0.25">
      <c r="A73" s="269" t="s">
        <v>573</v>
      </c>
      <c r="B73" s="241"/>
      <c r="C73" s="241"/>
      <c r="D73" s="241"/>
      <c r="E73" s="241"/>
      <c r="F73" s="241"/>
      <c r="G73" s="241"/>
      <c r="H73" s="241"/>
    </row>
    <row r="74" spans="1:8" x14ac:dyDescent="0.25">
      <c r="B74" s="241"/>
      <c r="C74" s="241"/>
      <c r="D74" s="241"/>
      <c r="E74" s="241"/>
      <c r="F74" s="241"/>
      <c r="G74" s="241"/>
      <c r="H74" s="241"/>
    </row>
    <row r="75" spans="1:8" x14ac:dyDescent="0.25">
      <c r="A75" s="269" t="s">
        <v>574</v>
      </c>
      <c r="B75" s="241"/>
      <c r="C75" s="241"/>
      <c r="D75" s="241"/>
      <c r="E75" s="241"/>
      <c r="F75" s="241"/>
      <c r="G75" s="241"/>
      <c r="H75" s="241"/>
    </row>
    <row r="76" spans="1:8" x14ac:dyDescent="0.25">
      <c r="A76" s="269" t="s">
        <v>575</v>
      </c>
      <c r="B76" s="241"/>
      <c r="C76" s="241"/>
      <c r="D76" s="241"/>
      <c r="E76" s="241"/>
      <c r="F76" s="241"/>
      <c r="G76" s="241"/>
      <c r="H76" s="241"/>
    </row>
    <row r="77" spans="1:8" x14ac:dyDescent="0.25">
      <c r="A77" s="269" t="s">
        <v>576</v>
      </c>
      <c r="B77" s="241"/>
      <c r="C77" s="241"/>
      <c r="D77" s="241"/>
      <c r="E77" s="241"/>
      <c r="F77" s="241"/>
      <c r="G77" s="241"/>
      <c r="H77" s="241"/>
    </row>
    <row r="78" spans="1:8" x14ac:dyDescent="0.25">
      <c r="B78" s="241"/>
      <c r="C78" s="241"/>
      <c r="D78" s="241"/>
      <c r="E78" s="241"/>
      <c r="F78" s="241"/>
      <c r="G78" s="241"/>
      <c r="H78" s="241"/>
    </row>
    <row r="79" spans="1:8" x14ac:dyDescent="0.25">
      <c r="A79" s="269" t="s">
        <v>520</v>
      </c>
    </row>
    <row r="80" spans="1:8" x14ac:dyDescent="0.25">
      <c r="A80" s="572"/>
    </row>
    <row r="107" spans="1:1" x14ac:dyDescent="0.25">
      <c r="A107" s="572"/>
    </row>
    <row r="108" spans="1:1" x14ac:dyDescent="0.25">
      <c r="A108" s="572"/>
    </row>
    <row r="109" spans="1:1" x14ac:dyDescent="0.25">
      <c r="A109" s="572"/>
    </row>
  </sheetData>
  <sheetProtection sheet="1"/>
  <mergeCells count="1">
    <mergeCell ref="A1:A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sheetPr>
  <dimension ref="A1:L75"/>
  <sheetViews>
    <sheetView workbookViewId="0">
      <selection activeCell="B1" sqref="B1"/>
    </sheetView>
  </sheetViews>
  <sheetFormatPr defaultRowHeight="15.75" x14ac:dyDescent="0.25"/>
  <cols>
    <col min="1" max="1" width="64.19921875" style="269" customWidth="1"/>
  </cols>
  <sheetData>
    <row r="1" spans="1:12" x14ac:dyDescent="0.25">
      <c r="A1" s="757" t="s">
        <v>577</v>
      </c>
    </row>
    <row r="2" spans="1:12" x14ac:dyDescent="0.25">
      <c r="A2" s="757"/>
    </row>
    <row r="3" spans="1:12" x14ac:dyDescent="0.25">
      <c r="A3" s="571" t="s">
        <v>578</v>
      </c>
      <c r="B3" s="242"/>
      <c r="C3" s="242"/>
      <c r="D3" s="242"/>
      <c r="E3" s="242"/>
      <c r="F3" s="242"/>
      <c r="G3" s="242"/>
      <c r="H3" s="242"/>
      <c r="I3" s="242"/>
      <c r="J3" s="242"/>
      <c r="K3" s="242"/>
      <c r="L3" s="242"/>
    </row>
    <row r="4" spans="1:12" x14ac:dyDescent="0.25">
      <c r="A4" s="571"/>
      <c r="B4" s="242"/>
      <c r="C4" s="242"/>
      <c r="D4" s="242"/>
      <c r="E4" s="242"/>
      <c r="F4" s="242"/>
      <c r="G4" s="242"/>
      <c r="H4" s="242"/>
      <c r="I4" s="242"/>
      <c r="J4" s="242"/>
      <c r="K4" s="242"/>
      <c r="L4" s="242"/>
    </row>
    <row r="5" spans="1:12" x14ac:dyDescent="0.25">
      <c r="A5" s="269" t="s">
        <v>466</v>
      </c>
      <c r="I5" s="242"/>
      <c r="J5" s="242"/>
      <c r="K5" s="242"/>
      <c r="L5" s="242"/>
    </row>
    <row r="6" spans="1:12" x14ac:dyDescent="0.25">
      <c r="A6" s="269" t="str">
        <f>CONCATENATE("estimated ",inputPrYr!D6-1," 'total expenditures' exceed your ",inputPrYr!D6-1,"")</f>
        <v>estimated 2024 'total expenditures' exceed your 2024</v>
      </c>
      <c r="I6" s="242"/>
      <c r="J6" s="242"/>
      <c r="K6" s="242"/>
      <c r="L6" s="242"/>
    </row>
    <row r="7" spans="1:12" x14ac:dyDescent="0.25">
      <c r="A7" s="573" t="s">
        <v>579</v>
      </c>
      <c r="I7" s="242"/>
      <c r="J7" s="242"/>
      <c r="K7" s="242"/>
      <c r="L7" s="242"/>
    </row>
    <row r="8" spans="1:12" x14ac:dyDescent="0.25">
      <c r="I8" s="242"/>
      <c r="J8" s="242"/>
      <c r="K8" s="242"/>
      <c r="L8" s="242"/>
    </row>
    <row r="9" spans="1:12" x14ac:dyDescent="0.25">
      <c r="A9" s="269" t="s">
        <v>580</v>
      </c>
      <c r="I9" s="242"/>
      <c r="J9" s="242"/>
      <c r="K9" s="242"/>
      <c r="L9" s="242"/>
    </row>
    <row r="10" spans="1:12" x14ac:dyDescent="0.25">
      <c r="A10" s="269" t="s">
        <v>581</v>
      </c>
      <c r="I10" s="242"/>
      <c r="J10" s="242"/>
      <c r="K10" s="242"/>
      <c r="L10" s="242"/>
    </row>
    <row r="11" spans="1:12" x14ac:dyDescent="0.25">
      <c r="A11" s="269" t="s">
        <v>582</v>
      </c>
      <c r="I11" s="242"/>
      <c r="J11" s="242"/>
      <c r="K11" s="242"/>
      <c r="L11" s="242"/>
    </row>
    <row r="12" spans="1:12" x14ac:dyDescent="0.25">
      <c r="A12" s="269" t="s">
        <v>583</v>
      </c>
      <c r="I12" s="242"/>
      <c r="J12" s="242"/>
      <c r="K12" s="242"/>
      <c r="L12" s="242"/>
    </row>
    <row r="13" spans="1:12" x14ac:dyDescent="0.25">
      <c r="A13" s="269" t="s">
        <v>584</v>
      </c>
      <c r="I13" s="242"/>
      <c r="J13" s="242"/>
      <c r="K13" s="242"/>
      <c r="L13" s="242"/>
    </row>
    <row r="14" spans="1:12" x14ac:dyDescent="0.25">
      <c r="A14" s="571"/>
      <c r="B14" s="242"/>
      <c r="C14" s="242"/>
      <c r="D14" s="242"/>
      <c r="E14" s="242"/>
      <c r="F14" s="242"/>
      <c r="G14" s="242"/>
      <c r="H14" s="242"/>
      <c r="I14" s="242"/>
      <c r="J14" s="242"/>
      <c r="K14" s="242"/>
      <c r="L14" s="242"/>
    </row>
    <row r="15" spans="1:12" x14ac:dyDescent="0.25">
      <c r="A15" s="572" t="s">
        <v>585</v>
      </c>
    </row>
    <row r="16" spans="1:12" x14ac:dyDescent="0.25">
      <c r="A16" s="572" t="s">
        <v>586</v>
      </c>
    </row>
    <row r="17" spans="1:7" x14ac:dyDescent="0.25">
      <c r="A17" s="572"/>
    </row>
    <row r="18" spans="1:7" x14ac:dyDescent="0.25">
      <c r="A18" s="269" t="s">
        <v>587</v>
      </c>
      <c r="B18" s="241"/>
      <c r="C18" s="241"/>
      <c r="D18" s="241"/>
      <c r="E18" s="241"/>
      <c r="F18" s="241"/>
      <c r="G18" s="241"/>
    </row>
    <row r="19" spans="1:7" x14ac:dyDescent="0.25">
      <c r="A19" s="269" t="str">
        <f>CONCATENATE("your ",inputPrYr!D6-1," numbers to see what steps might be necessary to")</f>
        <v>your 2024 numbers to see what steps might be necessary to</v>
      </c>
      <c r="B19" s="241"/>
      <c r="C19" s="241"/>
      <c r="D19" s="241"/>
      <c r="E19" s="241"/>
      <c r="F19" s="241"/>
      <c r="G19" s="241"/>
    </row>
    <row r="20" spans="1:7" x14ac:dyDescent="0.25">
      <c r="A20" s="269" t="s">
        <v>588</v>
      </c>
      <c r="B20" s="241"/>
      <c r="C20" s="241"/>
      <c r="D20" s="241"/>
      <c r="E20" s="241"/>
      <c r="F20" s="241"/>
      <c r="G20" s="241"/>
    </row>
    <row r="21" spans="1:7" x14ac:dyDescent="0.25">
      <c r="A21" s="269" t="s">
        <v>589</v>
      </c>
      <c r="B21" s="241"/>
      <c r="C21" s="241"/>
      <c r="D21" s="241"/>
      <c r="E21" s="241"/>
      <c r="F21" s="241"/>
      <c r="G21" s="241"/>
    </row>
    <row r="23" spans="1:7" x14ac:dyDescent="0.25">
      <c r="A23" s="572" t="s">
        <v>590</v>
      </c>
    </row>
    <row r="24" spans="1:7" x14ac:dyDescent="0.25">
      <c r="A24" s="572"/>
    </row>
    <row r="25" spans="1:7" x14ac:dyDescent="0.25">
      <c r="A25" s="269" t="s">
        <v>591</v>
      </c>
    </row>
    <row r="26" spans="1:7" x14ac:dyDescent="0.25">
      <c r="A26" s="269" t="s">
        <v>592</v>
      </c>
      <c r="B26" s="241"/>
      <c r="C26" s="241"/>
      <c r="D26" s="241"/>
      <c r="E26" s="241"/>
      <c r="F26" s="241"/>
    </row>
    <row r="27" spans="1:7" x14ac:dyDescent="0.25">
      <c r="A27" s="269" t="s">
        <v>593</v>
      </c>
      <c r="B27" s="241"/>
      <c r="C27" s="241"/>
      <c r="D27" s="241"/>
      <c r="E27" s="241"/>
      <c r="F27" s="241"/>
    </row>
    <row r="28" spans="1:7" x14ac:dyDescent="0.25">
      <c r="A28" s="269" t="s">
        <v>594</v>
      </c>
      <c r="B28" s="241"/>
      <c r="C28" s="241"/>
      <c r="D28" s="241"/>
      <c r="E28" s="241"/>
      <c r="F28" s="241"/>
    </row>
    <row r="29" spans="1:7" x14ac:dyDescent="0.25">
      <c r="B29" s="241"/>
      <c r="C29" s="241"/>
      <c r="D29" s="241"/>
      <c r="E29" s="241"/>
      <c r="F29" s="241"/>
    </row>
    <row r="30" spans="1:7" x14ac:dyDescent="0.25">
      <c r="A30" s="572" t="s">
        <v>595</v>
      </c>
      <c r="B30" s="240"/>
      <c r="C30" s="240"/>
      <c r="D30" s="240"/>
      <c r="E30" s="240"/>
      <c r="F30" s="240"/>
      <c r="G30" s="240"/>
    </row>
    <row r="31" spans="1:7" x14ac:dyDescent="0.25">
      <c r="A31" s="572" t="s">
        <v>596</v>
      </c>
      <c r="B31" s="240"/>
      <c r="C31" s="240"/>
      <c r="D31" s="240"/>
      <c r="E31" s="240"/>
      <c r="F31" s="240"/>
      <c r="G31" s="240"/>
    </row>
    <row r="32" spans="1:7" x14ac:dyDescent="0.25">
      <c r="B32" s="241"/>
      <c r="C32" s="241"/>
      <c r="D32" s="241"/>
      <c r="E32" s="241"/>
      <c r="F32" s="241"/>
    </row>
    <row r="33" spans="1:6" x14ac:dyDescent="0.25">
      <c r="A33" s="574" t="str">
        <f>CONCATENATE("Well, let's look to see if any of your ",inputPrYr!D6-1," expenditures can")</f>
        <v>Well, let's look to see if any of your 2024 expenditures can</v>
      </c>
      <c r="B33" s="241"/>
      <c r="C33" s="241"/>
      <c r="D33" s="241"/>
      <c r="E33" s="241"/>
      <c r="F33" s="241"/>
    </row>
    <row r="34" spans="1:6" x14ac:dyDescent="0.25">
      <c r="A34" s="574" t="s">
        <v>597</v>
      </c>
      <c r="B34" s="241"/>
      <c r="C34" s="241"/>
      <c r="D34" s="241"/>
      <c r="E34" s="241"/>
      <c r="F34" s="241"/>
    </row>
    <row r="35" spans="1:6" x14ac:dyDescent="0.25">
      <c r="A35" s="574" t="s">
        <v>479</v>
      </c>
      <c r="B35" s="241"/>
      <c r="C35" s="241"/>
      <c r="D35" s="241"/>
      <c r="E35" s="241"/>
      <c r="F35" s="241"/>
    </row>
    <row r="36" spans="1:6" x14ac:dyDescent="0.25">
      <c r="A36" s="574" t="s">
        <v>480</v>
      </c>
      <c r="B36" s="241"/>
      <c r="C36" s="241"/>
      <c r="D36" s="241"/>
      <c r="E36" s="241"/>
      <c r="F36" s="241"/>
    </row>
    <row r="37" spans="1:6" x14ac:dyDescent="0.25">
      <c r="A37" s="574"/>
      <c r="B37" s="241"/>
      <c r="C37" s="241"/>
      <c r="D37" s="241"/>
      <c r="E37" s="241"/>
      <c r="F37" s="241"/>
    </row>
    <row r="38" spans="1:6" x14ac:dyDescent="0.25">
      <c r="A38" s="574" t="str">
        <f>CONCATENATE("Additionally, do your ",inputPrYr!D6-1," receipts contain a reimbursement")</f>
        <v>Additionally, do your 2024 receipts contain a reimbursement</v>
      </c>
      <c r="B38" s="241"/>
      <c r="C38" s="241"/>
      <c r="D38" s="241"/>
      <c r="E38" s="241"/>
      <c r="F38" s="241"/>
    </row>
    <row r="39" spans="1:6" x14ac:dyDescent="0.25">
      <c r="A39" s="574" t="s">
        <v>481</v>
      </c>
      <c r="B39" s="241"/>
      <c r="C39" s="241"/>
      <c r="D39" s="241"/>
      <c r="E39" s="241"/>
      <c r="F39" s="241"/>
    </row>
    <row r="40" spans="1:6" x14ac:dyDescent="0.25">
      <c r="A40" s="574" t="s">
        <v>482</v>
      </c>
      <c r="B40" s="241"/>
      <c r="C40" s="241"/>
      <c r="D40" s="241"/>
      <c r="E40" s="241"/>
      <c r="F40" s="241"/>
    </row>
    <row r="41" spans="1:6" x14ac:dyDescent="0.25">
      <c r="A41" s="574"/>
      <c r="B41" s="241"/>
      <c r="C41" s="241"/>
      <c r="D41" s="241"/>
      <c r="E41" s="241"/>
      <c r="F41" s="241"/>
    </row>
    <row r="42" spans="1:6" x14ac:dyDescent="0.25">
      <c r="A42" s="574" t="s">
        <v>483</v>
      </c>
      <c r="B42" s="241"/>
      <c r="C42" s="241"/>
      <c r="D42" s="241"/>
      <c r="E42" s="241"/>
      <c r="F42" s="241"/>
    </row>
    <row r="43" spans="1:6" x14ac:dyDescent="0.25">
      <c r="A43" s="574" t="s">
        <v>484</v>
      </c>
      <c r="B43" s="241"/>
      <c r="C43" s="241"/>
      <c r="D43" s="241"/>
      <c r="E43" s="241"/>
      <c r="F43" s="241"/>
    </row>
    <row r="44" spans="1:6" x14ac:dyDescent="0.25">
      <c r="A44" s="574" t="s">
        <v>485</v>
      </c>
      <c r="B44" s="241"/>
      <c r="C44" s="241"/>
      <c r="D44" s="241"/>
      <c r="E44" s="241"/>
      <c r="F44" s="241"/>
    </row>
    <row r="45" spans="1:6" x14ac:dyDescent="0.25">
      <c r="A45" s="574" t="s">
        <v>598</v>
      </c>
      <c r="B45" s="241"/>
      <c r="C45" s="241"/>
      <c r="D45" s="241"/>
      <c r="E45" s="241"/>
      <c r="F45" s="241"/>
    </row>
    <row r="46" spans="1:6" x14ac:dyDescent="0.25">
      <c r="A46" s="574" t="s">
        <v>487</v>
      </c>
      <c r="B46" s="241"/>
      <c r="C46" s="241"/>
      <c r="D46" s="241"/>
      <c r="E46" s="241"/>
      <c r="F46" s="241"/>
    </row>
    <row r="47" spans="1:6" x14ac:dyDescent="0.25">
      <c r="A47" s="574" t="s">
        <v>599</v>
      </c>
      <c r="B47" s="241"/>
      <c r="C47" s="241"/>
      <c r="D47" s="241"/>
      <c r="E47" s="241"/>
      <c r="F47" s="241"/>
    </row>
    <row r="48" spans="1:6" x14ac:dyDescent="0.25">
      <c r="A48" s="574" t="s">
        <v>600</v>
      </c>
      <c r="B48" s="241"/>
      <c r="C48" s="241"/>
      <c r="D48" s="241"/>
      <c r="E48" s="241"/>
      <c r="F48" s="241"/>
    </row>
    <row r="49" spans="1:6" x14ac:dyDescent="0.25">
      <c r="A49" s="574" t="s">
        <v>490</v>
      </c>
      <c r="B49" s="241"/>
      <c r="C49" s="241"/>
      <c r="D49" s="241"/>
      <c r="E49" s="241"/>
      <c r="F49" s="241"/>
    </row>
    <row r="50" spans="1:6" x14ac:dyDescent="0.25">
      <c r="A50" s="574"/>
      <c r="B50" s="241"/>
      <c r="C50" s="241"/>
      <c r="D50" s="241"/>
      <c r="E50" s="241"/>
      <c r="F50" s="241"/>
    </row>
    <row r="51" spans="1:6" x14ac:dyDescent="0.25">
      <c r="A51" s="574" t="s">
        <v>491</v>
      </c>
      <c r="B51" s="241"/>
      <c r="C51" s="241"/>
      <c r="D51" s="241"/>
      <c r="E51" s="241"/>
      <c r="F51" s="241"/>
    </row>
    <row r="52" spans="1:6" x14ac:dyDescent="0.25">
      <c r="A52" s="574" t="s">
        <v>492</v>
      </c>
      <c r="B52" s="241"/>
      <c r="C52" s="241"/>
      <c r="D52" s="241"/>
      <c r="E52" s="241"/>
      <c r="F52" s="241"/>
    </row>
    <row r="53" spans="1:6" x14ac:dyDescent="0.25">
      <c r="A53" s="574" t="s">
        <v>493</v>
      </c>
      <c r="B53" s="241"/>
      <c r="C53" s="241"/>
      <c r="D53" s="241"/>
      <c r="E53" s="241"/>
      <c r="F53" s="241"/>
    </row>
    <row r="54" spans="1:6" x14ac:dyDescent="0.25">
      <c r="A54" s="574"/>
      <c r="B54" s="241"/>
      <c r="C54" s="241"/>
      <c r="D54" s="241"/>
      <c r="E54" s="241"/>
      <c r="F54" s="241"/>
    </row>
    <row r="55" spans="1:6" x14ac:dyDescent="0.25">
      <c r="A55" s="574" t="s">
        <v>601</v>
      </c>
      <c r="B55" s="241"/>
      <c r="C55" s="241"/>
      <c r="D55" s="241"/>
      <c r="E55" s="241"/>
      <c r="F55" s="241"/>
    </row>
    <row r="56" spans="1:6" x14ac:dyDescent="0.25">
      <c r="A56" s="574" t="s">
        <v>602</v>
      </c>
      <c r="B56" s="241"/>
      <c r="C56" s="241"/>
      <c r="D56" s="241"/>
      <c r="E56" s="241"/>
      <c r="F56" s="241"/>
    </row>
    <row r="57" spans="1:6" x14ac:dyDescent="0.25">
      <c r="A57" s="574" t="s">
        <v>603</v>
      </c>
      <c r="B57" s="241"/>
      <c r="C57" s="241"/>
      <c r="D57" s="241"/>
      <c r="E57" s="241"/>
      <c r="F57" s="241"/>
    </row>
    <row r="58" spans="1:6" x14ac:dyDescent="0.25">
      <c r="A58" s="574" t="s">
        <v>604</v>
      </c>
      <c r="B58" s="241"/>
      <c r="C58" s="241"/>
      <c r="D58" s="241"/>
      <c r="E58" s="241"/>
      <c r="F58" s="241"/>
    </row>
    <row r="59" spans="1:6" x14ac:dyDescent="0.25">
      <c r="A59" s="574" t="s">
        <v>605</v>
      </c>
      <c r="B59" s="241"/>
      <c r="C59" s="241"/>
      <c r="D59" s="241"/>
      <c r="E59" s="241"/>
      <c r="F59" s="241"/>
    </row>
    <row r="60" spans="1:6" x14ac:dyDescent="0.25">
      <c r="A60" s="574"/>
      <c r="B60" s="241"/>
      <c r="C60" s="241"/>
      <c r="D60" s="241"/>
      <c r="E60" s="241"/>
      <c r="F60" s="241"/>
    </row>
    <row r="61" spans="1:6" x14ac:dyDescent="0.25">
      <c r="A61" s="574" t="s">
        <v>606</v>
      </c>
      <c r="B61" s="241"/>
      <c r="C61" s="241"/>
      <c r="D61" s="241"/>
      <c r="E61" s="241"/>
      <c r="F61" s="241"/>
    </row>
    <row r="62" spans="1:6" x14ac:dyDescent="0.25">
      <c r="A62" s="574" t="s">
        <v>607</v>
      </c>
      <c r="B62" s="241"/>
      <c r="C62" s="241"/>
      <c r="D62" s="241"/>
      <c r="E62" s="241"/>
      <c r="F62" s="241"/>
    </row>
    <row r="63" spans="1:6" x14ac:dyDescent="0.25">
      <c r="A63" s="574" t="s">
        <v>608</v>
      </c>
      <c r="B63" s="241"/>
      <c r="C63" s="241"/>
      <c r="D63" s="241"/>
      <c r="E63" s="241"/>
      <c r="F63" s="241"/>
    </row>
    <row r="64" spans="1:6" x14ac:dyDescent="0.25">
      <c r="A64" s="574" t="s">
        <v>609</v>
      </c>
    </row>
    <row r="65" spans="1:1" x14ac:dyDescent="0.25">
      <c r="A65" s="574" t="s">
        <v>610</v>
      </c>
    </row>
    <row r="66" spans="1:1" x14ac:dyDescent="0.25">
      <c r="A66" s="574" t="s">
        <v>611</v>
      </c>
    </row>
    <row r="68" spans="1:1" x14ac:dyDescent="0.25">
      <c r="A68" s="269" t="s">
        <v>612</v>
      </c>
    </row>
    <row r="69" spans="1:1" x14ac:dyDescent="0.25">
      <c r="A69" s="269" t="s">
        <v>613</v>
      </c>
    </row>
    <row r="70" spans="1:1" x14ac:dyDescent="0.25">
      <c r="A70" s="269" t="s">
        <v>614</v>
      </c>
    </row>
    <row r="71" spans="1:1" x14ac:dyDescent="0.25">
      <c r="A71" s="269" t="s">
        <v>615</v>
      </c>
    </row>
    <row r="72" spans="1:1" x14ac:dyDescent="0.25">
      <c r="A72" s="269" t="s">
        <v>616</v>
      </c>
    </row>
    <row r="73" spans="1:1" x14ac:dyDescent="0.25">
      <c r="A73" s="269" t="s">
        <v>617</v>
      </c>
    </row>
    <row r="75" spans="1:1" x14ac:dyDescent="0.25">
      <c r="A75" s="269" t="s">
        <v>520</v>
      </c>
    </row>
  </sheetData>
  <sheetProtection sheet="1"/>
  <mergeCells count="1">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60"/>
  <sheetViews>
    <sheetView workbookViewId="0">
      <selection activeCell="A39" sqref="A39:E39"/>
    </sheetView>
  </sheetViews>
  <sheetFormatPr defaultRowHeight="15.75" x14ac:dyDescent="0.25"/>
  <cols>
    <col min="1" max="1" width="14.19921875" style="55" customWidth="1"/>
    <col min="2" max="2" width="18.69921875" style="55" customWidth="1"/>
    <col min="3" max="3" width="9.69921875" style="55" customWidth="1"/>
    <col min="4" max="4" width="14.09765625" style="55" customWidth="1"/>
    <col min="5" max="5" width="12.796875" style="55" customWidth="1"/>
    <col min="6" max="16384" width="8.796875" style="55"/>
  </cols>
  <sheetData>
    <row r="1" spans="1:5" x14ac:dyDescent="0.25">
      <c r="A1" s="2">
        <f>inputPrYr!D3</f>
        <v>0</v>
      </c>
      <c r="B1" s="3"/>
      <c r="C1" s="3"/>
      <c r="D1" s="3"/>
      <c r="E1" s="3">
        <f>inputPrYr!D6</f>
        <v>2025</v>
      </c>
    </row>
    <row r="2" spans="1:5" x14ac:dyDescent="0.25">
      <c r="A2" s="2">
        <f>inputPrYr!D4</f>
        <v>0</v>
      </c>
      <c r="B2" s="3"/>
      <c r="C2" s="3"/>
      <c r="D2" s="3"/>
      <c r="E2" s="3"/>
    </row>
    <row r="3" spans="1:5" x14ac:dyDescent="0.25">
      <c r="A3" s="3"/>
      <c r="B3" s="3"/>
      <c r="C3" s="3"/>
      <c r="D3" s="3"/>
      <c r="E3" s="3"/>
    </row>
    <row r="4" spans="1:5" x14ac:dyDescent="0.25">
      <c r="A4" s="634" t="s">
        <v>85</v>
      </c>
      <c r="B4" s="635"/>
      <c r="C4" s="635"/>
      <c r="D4" s="635"/>
      <c r="E4" s="635"/>
    </row>
    <row r="5" spans="1:5" x14ac:dyDescent="0.25">
      <c r="A5" s="3"/>
      <c r="B5" s="3"/>
      <c r="C5" s="3"/>
      <c r="D5" s="3"/>
      <c r="E5" s="3"/>
    </row>
    <row r="6" spans="1:5" x14ac:dyDescent="0.25">
      <c r="A6" s="464" t="str">
        <f>CONCATENATE("From the County Clerk's Budget Information for ",E1,":")</f>
        <v>From the County Clerk's Budget Information for 2025:</v>
      </c>
      <c r="B6" s="463"/>
      <c r="C6" s="462"/>
      <c r="D6" s="3"/>
      <c r="E6" s="36"/>
    </row>
    <row r="7" spans="1:5" x14ac:dyDescent="0.25">
      <c r="A7" s="9" t="str">
        <f>CONCATENATE("Total Assessed Valuation for ",E1-1,"")</f>
        <v>Total Assessed Valuation for 2024</v>
      </c>
      <c r="B7" s="3"/>
      <c r="C7" s="3"/>
      <c r="D7" s="3"/>
      <c r="E7" s="20"/>
    </row>
    <row r="8" spans="1:5" hidden="1" x14ac:dyDescent="0.25">
      <c r="A8" s="9" t="str">
        <f>CONCATENATE("New Improvements for ",E1-1,"")</f>
        <v>New Improvements for 2024</v>
      </c>
      <c r="B8" s="3"/>
      <c r="C8" s="3"/>
      <c r="D8" s="3"/>
      <c r="E8" s="447"/>
    </row>
    <row r="9" spans="1:5" hidden="1" x14ac:dyDescent="0.25">
      <c r="A9" s="9" t="str">
        <f>CONCATENATE("Personal Property - ",E1-1,"")</f>
        <v>Personal Property - 2024</v>
      </c>
      <c r="B9" s="3"/>
      <c r="C9" s="3"/>
      <c r="D9" s="3"/>
      <c r="E9" s="447"/>
    </row>
    <row r="10" spans="1:5" hidden="1" x14ac:dyDescent="0.25">
      <c r="A10" s="9" t="str">
        <f>CONCATENATE("Property that has changed in use for ",E1-1,"")</f>
        <v>Property that has changed in use for 2024</v>
      </c>
      <c r="B10" s="3"/>
      <c r="C10" s="3"/>
      <c r="D10" s="3"/>
      <c r="E10" s="447"/>
    </row>
    <row r="11" spans="1:5" hidden="1" x14ac:dyDescent="0.25">
      <c r="A11" s="9" t="str">
        <f>CONCATENATE("Personal Property - ",E1-2,"")</f>
        <v>Personal Property - 2023</v>
      </c>
      <c r="B11" s="3"/>
      <c r="C11" s="3"/>
      <c r="D11" s="3"/>
      <c r="E11" s="447"/>
    </row>
    <row r="12" spans="1:5" x14ac:dyDescent="0.25">
      <c r="A12" s="9" t="str">
        <f>CONCATENATE("Gross earnings (intangible) tax estimate for ",E1,"")</f>
        <v>Gross earnings (intangible) tax estimate for 2025</v>
      </c>
      <c r="B12" s="3"/>
      <c r="C12" s="3"/>
      <c r="D12" s="3"/>
      <c r="E12" s="447"/>
    </row>
    <row r="13" spans="1:5" x14ac:dyDescent="0.25">
      <c r="A13" s="9" t="str">
        <f>CONCATENATE("Neighborhood Revitalization - ",E1,"")</f>
        <v>Neighborhood Revitalization - 2025</v>
      </c>
      <c r="B13" s="3"/>
      <c r="C13" s="3"/>
      <c r="D13" s="3"/>
      <c r="E13" s="447"/>
    </row>
    <row r="14" spans="1:5" x14ac:dyDescent="0.25">
      <c r="A14" s="9"/>
      <c r="B14" s="3"/>
      <c r="C14" s="3"/>
      <c r="D14" s="3"/>
      <c r="E14" s="204"/>
    </row>
    <row r="15" spans="1:5" x14ac:dyDescent="0.25">
      <c r="A15" s="45" t="s">
        <v>108</v>
      </c>
      <c r="B15" s="3"/>
      <c r="C15" s="3"/>
      <c r="D15" s="448"/>
      <c r="E15" s="204"/>
    </row>
    <row r="16" spans="1:5" x14ac:dyDescent="0.25">
      <c r="A16" s="9"/>
      <c r="B16" s="3"/>
      <c r="C16" s="3"/>
      <c r="D16" s="3"/>
      <c r="E16" s="204"/>
    </row>
    <row r="17" spans="1:5" x14ac:dyDescent="0.25">
      <c r="A17" s="205" t="str">
        <f>CONCATENATE("Actual Tax Rates for the ",E1-1," Budget:")</f>
        <v>Actual Tax Rates for the 2024 Budget:</v>
      </c>
      <c r="B17" s="3"/>
      <c r="C17" s="3"/>
      <c r="D17" s="3"/>
      <c r="E17" s="206"/>
    </row>
    <row r="18" spans="1:5" x14ac:dyDescent="0.25">
      <c r="A18" s="636" t="s">
        <v>109</v>
      </c>
      <c r="B18" s="645"/>
      <c r="C18" s="3"/>
      <c r="D18" s="609" t="s">
        <v>110</v>
      </c>
      <c r="E18" s="206"/>
    </row>
    <row r="19" spans="1:5" x14ac:dyDescent="0.25">
      <c r="A19" s="48" t="str">
        <f>inputPrYr!B17</f>
        <v>General</v>
      </c>
      <c r="B19" s="7"/>
      <c r="C19" s="3"/>
      <c r="D19" s="448"/>
      <c r="E19" s="206"/>
    </row>
    <row r="20" spans="1:5" x14ac:dyDescent="0.25">
      <c r="A20" s="48" t="str">
        <f>inputPrYr!B18</f>
        <v>Debt Service</v>
      </c>
      <c r="B20" s="197"/>
      <c r="C20" s="3"/>
      <c r="D20" s="448"/>
      <c r="E20" s="206"/>
    </row>
    <row r="21" spans="1:5" x14ac:dyDescent="0.25">
      <c r="A21" s="48" t="str">
        <f>inputPrYr!B19</f>
        <v>Library</v>
      </c>
      <c r="B21" s="197"/>
      <c r="C21" s="3"/>
      <c r="D21" s="448"/>
      <c r="E21" s="206"/>
    </row>
    <row r="22" spans="1:5" x14ac:dyDescent="0.25">
      <c r="A22" s="48" t="str">
        <f>inputPrYr!B20</f>
        <v>Road</v>
      </c>
      <c r="B22" s="197"/>
      <c r="C22" s="3"/>
      <c r="D22" s="448"/>
      <c r="E22" s="206"/>
    </row>
    <row r="23" spans="1:5" x14ac:dyDescent="0.25">
      <c r="A23" s="48">
        <f>inputPrYr!B21</f>
        <v>0</v>
      </c>
      <c r="B23" s="197"/>
      <c r="C23" s="3"/>
      <c r="D23" s="448"/>
      <c r="E23" s="206"/>
    </row>
    <row r="24" spans="1:5" x14ac:dyDescent="0.25">
      <c r="A24" s="48">
        <f>inputPrYr!B22</f>
        <v>0</v>
      </c>
      <c r="B24" s="197"/>
      <c r="C24" s="3"/>
      <c r="D24" s="448"/>
      <c r="E24" s="206"/>
    </row>
    <row r="25" spans="1:5" x14ac:dyDescent="0.25">
      <c r="A25" s="48">
        <f>inputPrYr!B23</f>
        <v>0</v>
      </c>
      <c r="B25" s="197"/>
      <c r="C25" s="3"/>
      <c r="D25" s="449"/>
      <c r="E25" s="206"/>
    </row>
    <row r="26" spans="1:5" x14ac:dyDescent="0.25">
      <c r="A26" s="48">
        <f>inputPrYr!B24</f>
        <v>0</v>
      </c>
      <c r="B26" s="197"/>
      <c r="C26" s="3"/>
      <c r="D26" s="449"/>
      <c r="E26" s="206"/>
    </row>
    <row r="27" spans="1:5" x14ac:dyDescent="0.25">
      <c r="A27" s="48">
        <f>inputPrYr!B25</f>
        <v>0</v>
      </c>
      <c r="B27" s="197"/>
      <c r="C27" s="3"/>
      <c r="D27" s="449"/>
      <c r="E27" s="206"/>
    </row>
    <row r="28" spans="1:5" x14ac:dyDescent="0.25">
      <c r="A28" s="48">
        <f>inputPrYr!B26</f>
        <v>0</v>
      </c>
      <c r="B28" s="197"/>
      <c r="C28" s="3"/>
      <c r="D28" s="448"/>
      <c r="E28" s="206"/>
    </row>
    <row r="29" spans="1:5" x14ac:dyDescent="0.25">
      <c r="A29" s="3"/>
      <c r="B29" s="7" t="s">
        <v>111</v>
      </c>
      <c r="C29" s="189"/>
      <c r="D29" s="207">
        <f>SUM(D19:D28)</f>
        <v>0</v>
      </c>
      <c r="E29" s="3"/>
    </row>
    <row r="30" spans="1:5" x14ac:dyDescent="0.25">
      <c r="A30" s="3"/>
      <c r="B30" s="3"/>
      <c r="C30" s="3"/>
      <c r="D30" s="3"/>
      <c r="E30" s="3"/>
    </row>
    <row r="31" spans="1:5" x14ac:dyDescent="0.25">
      <c r="A31" s="7" t="str">
        <f>CONCATENATE("Final Assessed Valuation from the November 1, ",E1-2," Abstract:")</f>
        <v>Final Assessed Valuation from the November 1, 2023 Abstract:</v>
      </c>
      <c r="B31" s="7"/>
      <c r="C31" s="7"/>
      <c r="D31" s="7"/>
      <c r="E31" s="22"/>
    </row>
    <row r="32" spans="1:5" x14ac:dyDescent="0.25">
      <c r="A32" s="3"/>
      <c r="B32" s="3"/>
      <c r="C32" s="3"/>
      <c r="D32" s="3"/>
      <c r="E32" s="3"/>
    </row>
    <row r="33" spans="1:5" x14ac:dyDescent="0.25">
      <c r="A33" s="461" t="str">
        <f>CONCATENATE("From the County Treasurer's Budget Information - ",E1," Budget Year Estimates:")</f>
        <v>From the County Treasurer's Budget Information - 2025 Budget Year Estimates:</v>
      </c>
      <c r="B33" s="230"/>
      <c r="C33" s="230"/>
      <c r="D33" s="460"/>
      <c r="E33" s="36"/>
    </row>
    <row r="34" spans="1:5" x14ac:dyDescent="0.25">
      <c r="A34" s="48" t="s">
        <v>112</v>
      </c>
      <c r="B34" s="7"/>
      <c r="C34" s="7"/>
      <c r="D34" s="208"/>
      <c r="E34" s="20"/>
    </row>
    <row r="35" spans="1:5" x14ac:dyDescent="0.25">
      <c r="A35" s="209" t="s">
        <v>113</v>
      </c>
      <c r="B35" s="197"/>
      <c r="C35" s="197"/>
      <c r="D35" s="17"/>
      <c r="E35" s="20"/>
    </row>
    <row r="36" spans="1:5" x14ac:dyDescent="0.25">
      <c r="A36" s="209" t="s">
        <v>114</v>
      </c>
      <c r="B36" s="197"/>
      <c r="C36" s="197"/>
      <c r="D36" s="17"/>
      <c r="E36" s="20"/>
    </row>
    <row r="37" spans="1:5" x14ac:dyDescent="0.25">
      <c r="A37" s="489" t="s">
        <v>115</v>
      </c>
      <c r="B37" s="197"/>
      <c r="C37" s="197"/>
      <c r="D37" s="17"/>
      <c r="E37" s="20"/>
    </row>
    <row r="38" spans="1:5" x14ac:dyDescent="0.25">
      <c r="A38" s="489" t="s">
        <v>116</v>
      </c>
      <c r="B38" s="197"/>
      <c r="C38" s="197"/>
      <c r="D38" s="17"/>
      <c r="E38" s="20"/>
    </row>
    <row r="39" spans="1:5" x14ac:dyDescent="0.25">
      <c r="A39" s="209" t="s">
        <v>118</v>
      </c>
      <c r="B39" s="7"/>
      <c r="C39" s="7"/>
      <c r="D39" s="208"/>
      <c r="E39" s="20"/>
    </row>
    <row r="40" spans="1:5" x14ac:dyDescent="0.25">
      <c r="A40" s="3" t="s">
        <v>119</v>
      </c>
      <c r="B40" s="3"/>
      <c r="C40" s="3"/>
      <c r="D40" s="3"/>
      <c r="E40" s="3"/>
    </row>
    <row r="41" spans="1:5" x14ac:dyDescent="0.25">
      <c r="A41" s="45" t="s">
        <v>120</v>
      </c>
      <c r="B41" s="104"/>
      <c r="C41" s="104"/>
      <c r="D41" s="3"/>
      <c r="E41" s="3"/>
    </row>
    <row r="42" spans="1:5" x14ac:dyDescent="0.25">
      <c r="A42" s="9" t="str">
        <f>CONCATENATE("Actual Delinquency for ",E1-3," Tax - (e.g. rate .01213 = 1.213%;  key in 1.2)")</f>
        <v>Actual Delinquency for 2022 Tax - (e.g. rate .01213 = 1.213%;  key in 1.2)</v>
      </c>
      <c r="B42" s="3"/>
      <c r="C42" s="3"/>
      <c r="D42" s="3"/>
      <c r="E42" s="3"/>
    </row>
    <row r="43" spans="1:5" x14ac:dyDescent="0.25">
      <c r="A43" s="48" t="s">
        <v>121</v>
      </c>
      <c r="B43" s="9"/>
      <c r="C43" s="3"/>
      <c r="D43" s="3"/>
      <c r="E43" s="441"/>
    </row>
    <row r="44" spans="1:5" x14ac:dyDescent="0.25">
      <c r="A44" s="210" t="s">
        <v>122</v>
      </c>
      <c r="B44" s="210"/>
      <c r="C44" s="211"/>
      <c r="D44" s="211"/>
      <c r="E44" s="212"/>
    </row>
    <row r="45" spans="1:5" x14ac:dyDescent="0.25">
      <c r="A45" s="100"/>
      <c r="B45" s="100"/>
      <c r="C45" s="100"/>
      <c r="D45" s="100"/>
      <c r="E45" s="100"/>
    </row>
    <row r="46" spans="1:5" x14ac:dyDescent="0.25">
      <c r="A46" s="646" t="str">
        <f>CONCATENATE("From the ",E1-2," Budget Certificate Page")</f>
        <v>From the 2023 Budget Certificate Page</v>
      </c>
      <c r="B46" s="647"/>
      <c r="C46" s="100"/>
      <c r="D46" s="100"/>
      <c r="E46" s="100"/>
    </row>
    <row r="47" spans="1:5" x14ac:dyDescent="0.25">
      <c r="A47" s="213"/>
      <c r="B47" s="213" t="str">
        <f>CONCATENATE("",E1-2," Expenditure Amounts")</f>
        <v>2023 Expenditure Amounts</v>
      </c>
      <c r="C47" s="648" t="str">
        <f>CONCATENATE("Note: If the ",E1-2," budget was amended, then the")</f>
        <v>Note: If the 2023 budget was amended, then the</v>
      </c>
      <c r="D47" s="649"/>
      <c r="E47" s="649"/>
    </row>
    <row r="48" spans="1:5" x14ac:dyDescent="0.25">
      <c r="A48" s="214" t="s">
        <v>123</v>
      </c>
      <c r="B48" s="214" t="s">
        <v>124</v>
      </c>
      <c r="C48" s="599" t="s">
        <v>125</v>
      </c>
      <c r="D48" s="215"/>
      <c r="E48" s="215"/>
    </row>
    <row r="49" spans="1:5" x14ac:dyDescent="0.25">
      <c r="A49" s="59" t="str">
        <f>inputPrYr!B17</f>
        <v>General</v>
      </c>
      <c r="B49" s="22"/>
      <c r="C49" s="599" t="s">
        <v>126</v>
      </c>
      <c r="D49" s="215"/>
      <c r="E49" s="215"/>
    </row>
    <row r="50" spans="1:5" x14ac:dyDescent="0.25">
      <c r="A50" s="59" t="str">
        <f>inputPrYr!B18</f>
        <v>Debt Service</v>
      </c>
      <c r="B50" s="22"/>
      <c r="C50" s="599"/>
      <c r="D50" s="215"/>
      <c r="E50" s="215"/>
    </row>
    <row r="51" spans="1:5" x14ac:dyDescent="0.25">
      <c r="A51" s="59" t="str">
        <f>inputPrYr!B19</f>
        <v>Library</v>
      </c>
      <c r="B51" s="22"/>
      <c r="C51" s="599"/>
      <c r="D51" s="215"/>
      <c r="E51" s="215"/>
    </row>
    <row r="52" spans="1:5" x14ac:dyDescent="0.25">
      <c r="A52" s="59" t="str">
        <f>inputPrYr!B20</f>
        <v>Road</v>
      </c>
      <c r="B52" s="22"/>
      <c r="C52" s="100"/>
      <c r="D52" s="100"/>
      <c r="E52" s="100"/>
    </row>
    <row r="53" spans="1:5" x14ac:dyDescent="0.25">
      <c r="A53" s="59">
        <f>inputPrYr!B21</f>
        <v>0</v>
      </c>
      <c r="B53" s="22"/>
      <c r="C53" s="100"/>
      <c r="D53" s="100"/>
      <c r="E53" s="100"/>
    </row>
    <row r="54" spans="1:5" x14ac:dyDescent="0.25">
      <c r="A54" s="59">
        <f>inputPrYr!B22</f>
        <v>0</v>
      </c>
      <c r="B54" s="22"/>
      <c r="C54" s="100"/>
      <c r="D54" s="100"/>
      <c r="E54" s="100"/>
    </row>
    <row r="55" spans="1:5" x14ac:dyDescent="0.25">
      <c r="A55" s="59">
        <f>inputPrYr!B23</f>
        <v>0</v>
      </c>
      <c r="B55" s="22"/>
      <c r="C55" s="100"/>
      <c r="D55" s="100"/>
      <c r="E55" s="100"/>
    </row>
    <row r="56" spans="1:5" x14ac:dyDescent="0.25">
      <c r="A56" s="59">
        <f>inputPrYr!B24</f>
        <v>0</v>
      </c>
      <c r="B56" s="22"/>
      <c r="C56" s="100"/>
      <c r="D56" s="100"/>
      <c r="E56" s="100"/>
    </row>
    <row r="57" spans="1:5" x14ac:dyDescent="0.25">
      <c r="A57" s="59">
        <f>inputPrYr!B25</f>
        <v>0</v>
      </c>
      <c r="B57" s="22"/>
      <c r="C57" s="100"/>
      <c r="D57" s="100"/>
      <c r="E57" s="100"/>
    </row>
    <row r="58" spans="1:5" x14ac:dyDescent="0.25">
      <c r="A58" s="59">
        <f>inputPrYr!B26</f>
        <v>0</v>
      </c>
      <c r="B58" s="22"/>
      <c r="C58" s="100"/>
      <c r="D58" s="100"/>
      <c r="E58" s="100"/>
    </row>
    <row r="59" spans="1:5" x14ac:dyDescent="0.25">
      <c r="A59" s="59">
        <f>inputPrYr!B30</f>
        <v>0</v>
      </c>
      <c r="B59" s="22"/>
      <c r="C59" s="100"/>
      <c r="D59" s="100"/>
      <c r="E59" s="100"/>
    </row>
    <row r="60" spans="1:5" x14ac:dyDescent="0.25">
      <c r="A60" s="59">
        <f>inputPrYr!B31</f>
        <v>0</v>
      </c>
      <c r="B60" s="22"/>
      <c r="C60" s="100"/>
      <c r="D60" s="100"/>
      <c r="E60" s="100"/>
    </row>
  </sheetData>
  <sheetProtection sheet="1"/>
  <mergeCells count="4">
    <mergeCell ref="A4:E4"/>
    <mergeCell ref="A18:B18"/>
    <mergeCell ref="A46:B46"/>
    <mergeCell ref="C47:E47"/>
  </mergeCells>
  <phoneticPr fontId="9"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0000"/>
  </sheetPr>
  <dimension ref="A1:G78"/>
  <sheetViews>
    <sheetView workbookViewId="0">
      <selection activeCell="B1" sqref="B1"/>
    </sheetView>
  </sheetViews>
  <sheetFormatPr defaultRowHeight="15.75" x14ac:dyDescent="0.25"/>
  <cols>
    <col min="1" max="1" width="64.19921875" style="269" customWidth="1"/>
  </cols>
  <sheetData>
    <row r="1" spans="1:7" x14ac:dyDescent="0.25">
      <c r="A1" s="757" t="s">
        <v>618</v>
      </c>
    </row>
    <row r="2" spans="1:7" x14ac:dyDescent="0.25">
      <c r="A2" s="757"/>
    </row>
    <row r="3" spans="1:7" x14ac:dyDescent="0.25">
      <c r="A3" s="571" t="s">
        <v>619</v>
      </c>
      <c r="B3" s="242"/>
      <c r="C3" s="242"/>
      <c r="D3" s="242"/>
      <c r="E3" s="242"/>
      <c r="F3" s="242"/>
      <c r="G3" s="242"/>
    </row>
    <row r="4" spans="1:7" x14ac:dyDescent="0.25">
      <c r="A4" s="571"/>
      <c r="B4" s="242"/>
      <c r="C4" s="242"/>
      <c r="D4" s="242"/>
      <c r="E4" s="242"/>
      <c r="F4" s="242"/>
      <c r="G4" s="242"/>
    </row>
    <row r="5" spans="1:7" x14ac:dyDescent="0.25">
      <c r="A5" s="269" t="s">
        <v>523</v>
      </c>
    </row>
    <row r="6" spans="1:7" x14ac:dyDescent="0.25">
      <c r="A6" s="269" t="str">
        <f>CONCATENATE(inputPrYr!D6," estimated expenditures show that at the end of this year")</f>
        <v>2025 estimated expenditures show that at the end of this year</v>
      </c>
    </row>
    <row r="7" spans="1:7" x14ac:dyDescent="0.25">
      <c r="A7" s="269" t="s">
        <v>620</v>
      </c>
    </row>
    <row r="8" spans="1:7" x14ac:dyDescent="0.25">
      <c r="A8" s="269" t="s">
        <v>621</v>
      </c>
    </row>
    <row r="10" spans="1:7" x14ac:dyDescent="0.25">
      <c r="A10" s="269" t="s">
        <v>525</v>
      </c>
    </row>
    <row r="11" spans="1:7" x14ac:dyDescent="0.25">
      <c r="A11" s="269" t="s">
        <v>526</v>
      </c>
    </row>
    <row r="12" spans="1:7" x14ac:dyDescent="0.25">
      <c r="A12" s="269" t="s">
        <v>527</v>
      </c>
    </row>
    <row r="13" spans="1:7" x14ac:dyDescent="0.25">
      <c r="A13" s="571"/>
      <c r="B13" s="242"/>
      <c r="C13" s="242"/>
      <c r="D13" s="242"/>
      <c r="E13" s="242"/>
      <c r="F13" s="242"/>
      <c r="G13" s="242"/>
    </row>
    <row r="14" spans="1:7" x14ac:dyDescent="0.25">
      <c r="A14" s="572" t="s">
        <v>622</v>
      </c>
    </row>
    <row r="16" spans="1:7" x14ac:dyDescent="0.25">
      <c r="A16" s="269" t="s">
        <v>623</v>
      </c>
    </row>
    <row r="17" spans="1:7" x14ac:dyDescent="0.25">
      <c r="A17" s="269" t="s">
        <v>624</v>
      </c>
    </row>
    <row r="18" spans="1:7" x14ac:dyDescent="0.25">
      <c r="A18" s="269" t="s">
        <v>625</v>
      </c>
    </row>
    <row r="20" spans="1:7" x14ac:dyDescent="0.25">
      <c r="A20" s="269" t="s">
        <v>626</v>
      </c>
    </row>
    <row r="21" spans="1:7" x14ac:dyDescent="0.25">
      <c r="A21" s="269" t="s">
        <v>627</v>
      </c>
    </row>
    <row r="22" spans="1:7" x14ac:dyDescent="0.25">
      <c r="A22" s="269" t="s">
        <v>628</v>
      </c>
    </row>
    <row r="23" spans="1:7" x14ac:dyDescent="0.25">
      <c r="A23" s="269" t="s">
        <v>629</v>
      </c>
    </row>
    <row r="25" spans="1:7" x14ac:dyDescent="0.25">
      <c r="A25" s="572" t="s">
        <v>590</v>
      </c>
    </row>
    <row r="26" spans="1:7" x14ac:dyDescent="0.25">
      <c r="A26" s="572"/>
    </row>
    <row r="27" spans="1:7" x14ac:dyDescent="0.25">
      <c r="A27" s="269" t="s">
        <v>591</v>
      </c>
    </row>
    <row r="28" spans="1:7" x14ac:dyDescent="0.25">
      <c r="A28" s="269" t="s">
        <v>592</v>
      </c>
      <c r="B28" s="241"/>
      <c r="C28" s="241"/>
      <c r="D28" s="241"/>
      <c r="E28" s="241"/>
      <c r="F28" s="241"/>
    </row>
    <row r="29" spans="1:7" x14ac:dyDescent="0.25">
      <c r="A29" s="269" t="s">
        <v>593</v>
      </c>
      <c r="B29" s="241"/>
      <c r="C29" s="241"/>
      <c r="D29" s="241"/>
      <c r="E29" s="241"/>
      <c r="F29" s="241"/>
    </row>
    <row r="30" spans="1:7" x14ac:dyDescent="0.25">
      <c r="A30" s="269" t="s">
        <v>594</v>
      </c>
      <c r="B30" s="241"/>
      <c r="C30" s="241"/>
      <c r="D30" s="241"/>
      <c r="E30" s="241"/>
      <c r="F30" s="241"/>
    </row>
    <row r="32" spans="1:7" x14ac:dyDescent="0.25">
      <c r="A32" s="572" t="s">
        <v>595</v>
      </c>
      <c r="B32" s="240"/>
      <c r="C32" s="240"/>
      <c r="D32" s="240"/>
      <c r="E32" s="240"/>
      <c r="F32" s="240"/>
      <c r="G32" s="240"/>
    </row>
    <row r="33" spans="1:7" x14ac:dyDescent="0.25">
      <c r="A33" s="572" t="s">
        <v>596</v>
      </c>
      <c r="B33" s="240"/>
      <c r="C33" s="240"/>
      <c r="D33" s="240"/>
      <c r="E33" s="240"/>
      <c r="F33" s="240"/>
      <c r="G33" s="240"/>
    </row>
    <row r="34" spans="1:7" x14ac:dyDescent="0.25">
      <c r="A34" s="572"/>
      <c r="B34" s="240"/>
      <c r="C34" s="240"/>
      <c r="D34" s="240"/>
      <c r="E34" s="240"/>
      <c r="F34" s="240"/>
      <c r="G34" s="240"/>
    </row>
    <row r="35" spans="1:7" x14ac:dyDescent="0.25">
      <c r="A35" s="269" t="s">
        <v>630</v>
      </c>
      <c r="B35" s="241"/>
      <c r="C35" s="241"/>
      <c r="D35" s="241"/>
      <c r="E35" s="241"/>
      <c r="F35" s="241"/>
      <c r="G35" s="241"/>
    </row>
    <row r="36" spans="1:7" x14ac:dyDescent="0.25">
      <c r="A36" s="269" t="s">
        <v>631</v>
      </c>
      <c r="B36" s="241"/>
      <c r="C36" s="241"/>
      <c r="D36" s="241"/>
      <c r="E36" s="241"/>
      <c r="F36" s="241"/>
      <c r="G36" s="241"/>
    </row>
    <row r="37" spans="1:7" x14ac:dyDescent="0.25">
      <c r="A37" s="269" t="s">
        <v>632</v>
      </c>
      <c r="B37" s="241"/>
      <c r="C37" s="241"/>
      <c r="D37" s="241"/>
      <c r="E37" s="241"/>
      <c r="F37" s="241"/>
      <c r="G37" s="241"/>
    </row>
    <row r="38" spans="1:7" x14ac:dyDescent="0.25">
      <c r="A38" s="269" t="s">
        <v>633</v>
      </c>
      <c r="B38" s="241"/>
      <c r="C38" s="241"/>
      <c r="D38" s="241"/>
      <c r="E38" s="241"/>
      <c r="F38" s="241"/>
      <c r="G38" s="241"/>
    </row>
    <row r="39" spans="1:7" x14ac:dyDescent="0.25">
      <c r="A39" s="269" t="s">
        <v>634</v>
      </c>
      <c r="B39" s="241"/>
      <c r="C39" s="241"/>
      <c r="D39" s="241"/>
      <c r="E39" s="241"/>
      <c r="F39" s="241"/>
      <c r="G39" s="241"/>
    </row>
    <row r="40" spans="1:7" x14ac:dyDescent="0.25">
      <c r="A40" s="572"/>
      <c r="B40" s="240"/>
      <c r="C40" s="240"/>
      <c r="D40" s="240"/>
      <c r="E40" s="240"/>
      <c r="F40" s="240"/>
      <c r="G40" s="240"/>
    </row>
    <row r="41" spans="1:7" x14ac:dyDescent="0.25">
      <c r="A41" s="574" t="str">
        <f>CONCATENATE("So, let's look to see if any of your ",inputPrYr!D6-1," expenditures can")</f>
        <v>So, let's look to see if any of your 2024 expenditures can</v>
      </c>
      <c r="B41" s="241"/>
      <c r="C41" s="241"/>
      <c r="D41" s="241"/>
      <c r="E41" s="241"/>
      <c r="F41" s="241"/>
    </row>
    <row r="42" spans="1:7" x14ac:dyDescent="0.25">
      <c r="A42" s="574" t="s">
        <v>597</v>
      </c>
      <c r="B42" s="241"/>
      <c r="C42" s="241"/>
      <c r="D42" s="241"/>
      <c r="E42" s="241"/>
      <c r="F42" s="241"/>
    </row>
    <row r="43" spans="1:7" x14ac:dyDescent="0.25">
      <c r="A43" s="574" t="s">
        <v>479</v>
      </c>
      <c r="B43" s="241"/>
      <c r="C43" s="241"/>
      <c r="D43" s="241"/>
      <c r="E43" s="241"/>
      <c r="F43" s="241"/>
    </row>
    <row r="44" spans="1:7" x14ac:dyDescent="0.25">
      <c r="A44" s="574" t="s">
        <v>480</v>
      </c>
      <c r="B44" s="241"/>
      <c r="C44" s="241"/>
      <c r="D44" s="241"/>
      <c r="E44" s="241"/>
      <c r="F44" s="241"/>
    </row>
    <row r="46" spans="1:7" x14ac:dyDescent="0.25">
      <c r="A46" s="574" t="str">
        <f>CONCATENATE("Additionally, do your ",inputPrYr!D6-1," receipts contain a reimbursement")</f>
        <v>Additionally, do your 2024 receipts contain a reimbursement</v>
      </c>
      <c r="B46" s="241"/>
      <c r="C46" s="241"/>
      <c r="D46" s="241"/>
      <c r="E46" s="241"/>
      <c r="F46" s="241"/>
    </row>
    <row r="47" spans="1:7" x14ac:dyDescent="0.25">
      <c r="A47" s="574" t="s">
        <v>481</v>
      </c>
      <c r="B47" s="241"/>
      <c r="C47" s="241"/>
      <c r="D47" s="241"/>
      <c r="E47" s="241"/>
      <c r="F47" s="241"/>
    </row>
    <row r="48" spans="1:7" x14ac:dyDescent="0.25">
      <c r="A48" s="574" t="s">
        <v>482</v>
      </c>
      <c r="B48" s="241"/>
      <c r="C48" s="241"/>
      <c r="D48" s="241"/>
      <c r="E48" s="241"/>
      <c r="F48" s="241"/>
    </row>
    <row r="49" spans="1:7" x14ac:dyDescent="0.25">
      <c r="B49" s="241"/>
      <c r="C49" s="241"/>
      <c r="D49" s="241"/>
      <c r="E49" s="241"/>
      <c r="F49" s="241"/>
      <c r="G49" s="241"/>
    </row>
    <row r="50" spans="1:7" x14ac:dyDescent="0.25">
      <c r="A50" s="269" t="s">
        <v>550</v>
      </c>
      <c r="B50" s="241"/>
      <c r="C50" s="241"/>
      <c r="D50" s="241"/>
      <c r="E50" s="241"/>
      <c r="F50" s="241"/>
      <c r="G50" s="241"/>
    </row>
    <row r="51" spans="1:7" x14ac:dyDescent="0.25">
      <c r="A51" s="269" t="s">
        <v>551</v>
      </c>
      <c r="B51" s="241"/>
      <c r="C51" s="241"/>
      <c r="D51" s="241"/>
      <c r="E51" s="241"/>
      <c r="F51" s="241"/>
      <c r="G51" s="241"/>
    </row>
    <row r="52" spans="1:7" x14ac:dyDescent="0.25">
      <c r="A52" s="269" t="s">
        <v>552</v>
      </c>
      <c r="B52" s="241"/>
      <c r="C52" s="241"/>
      <c r="D52" s="241"/>
      <c r="E52" s="241"/>
      <c r="F52" s="241"/>
      <c r="G52" s="241"/>
    </row>
    <row r="53" spans="1:7" x14ac:dyDescent="0.25">
      <c r="A53" s="269" t="s">
        <v>553</v>
      </c>
      <c r="B53" s="241"/>
      <c r="C53" s="241"/>
      <c r="D53" s="241"/>
      <c r="E53" s="241"/>
      <c r="F53" s="241"/>
      <c r="G53" s="241"/>
    </row>
    <row r="54" spans="1:7" x14ac:dyDescent="0.25">
      <c r="A54" s="269" t="s">
        <v>554</v>
      </c>
      <c r="B54" s="241"/>
      <c r="C54" s="241"/>
      <c r="D54" s="241"/>
      <c r="E54" s="241"/>
      <c r="F54" s="241"/>
      <c r="G54" s="241"/>
    </row>
    <row r="55" spans="1:7" x14ac:dyDescent="0.25">
      <c r="B55" s="241"/>
      <c r="C55" s="241"/>
      <c r="D55" s="241"/>
      <c r="E55" s="241"/>
      <c r="F55" s="241"/>
      <c r="G55" s="241"/>
    </row>
    <row r="56" spans="1:7" x14ac:dyDescent="0.25">
      <c r="A56" s="574" t="s">
        <v>491</v>
      </c>
      <c r="B56" s="241"/>
      <c r="C56" s="241"/>
      <c r="D56" s="241"/>
      <c r="E56" s="241"/>
      <c r="F56" s="241"/>
    </row>
    <row r="57" spans="1:7" x14ac:dyDescent="0.25">
      <c r="A57" s="574" t="s">
        <v>492</v>
      </c>
      <c r="B57" s="241"/>
      <c r="C57" s="241"/>
      <c r="D57" s="241"/>
      <c r="E57" s="241"/>
      <c r="F57" s="241"/>
    </row>
    <row r="58" spans="1:7" x14ac:dyDescent="0.25">
      <c r="A58" s="574" t="s">
        <v>493</v>
      </c>
      <c r="B58" s="241"/>
      <c r="C58" s="241"/>
      <c r="D58" s="241"/>
      <c r="E58" s="241"/>
      <c r="F58" s="241"/>
    </row>
    <row r="59" spans="1:7" x14ac:dyDescent="0.25">
      <c r="A59" s="574"/>
      <c r="B59" s="241"/>
      <c r="C59" s="241"/>
      <c r="D59" s="241"/>
      <c r="E59" s="241"/>
      <c r="F59" s="241"/>
    </row>
    <row r="60" spans="1:7" x14ac:dyDescent="0.25">
      <c r="A60" s="269" t="s">
        <v>635</v>
      </c>
      <c r="B60" s="241"/>
      <c r="C60" s="241"/>
      <c r="D60" s="241"/>
      <c r="E60" s="241"/>
      <c r="F60" s="241"/>
      <c r="G60" s="241"/>
    </row>
    <row r="61" spans="1:7" x14ac:dyDescent="0.25">
      <c r="A61" s="269" t="s">
        <v>636</v>
      </c>
      <c r="B61" s="241"/>
      <c r="C61" s="241"/>
      <c r="D61" s="241"/>
      <c r="E61" s="241"/>
      <c r="F61" s="241"/>
      <c r="G61" s="241"/>
    </row>
    <row r="62" spans="1:7" x14ac:dyDescent="0.25">
      <c r="A62" s="269" t="s">
        <v>637</v>
      </c>
      <c r="B62" s="241"/>
      <c r="C62" s="241"/>
      <c r="D62" s="241"/>
      <c r="E62" s="241"/>
      <c r="F62" s="241"/>
      <c r="G62" s="241"/>
    </row>
    <row r="63" spans="1:7" x14ac:dyDescent="0.25">
      <c r="A63" s="269" t="s">
        <v>638</v>
      </c>
      <c r="B63" s="241"/>
      <c r="C63" s="241"/>
      <c r="D63" s="241"/>
      <c r="E63" s="241"/>
      <c r="F63" s="241"/>
      <c r="G63" s="241"/>
    </row>
    <row r="64" spans="1:7" x14ac:dyDescent="0.25">
      <c r="A64" s="269" t="s">
        <v>639</v>
      </c>
      <c r="B64" s="241"/>
      <c r="C64" s="241"/>
      <c r="D64" s="241"/>
      <c r="E64" s="241"/>
      <c r="F64" s="241"/>
      <c r="G64" s="241"/>
    </row>
    <row r="66" spans="1:6" x14ac:dyDescent="0.25">
      <c r="A66" s="574" t="s">
        <v>601</v>
      </c>
      <c r="B66" s="241"/>
      <c r="C66" s="241"/>
      <c r="D66" s="241"/>
      <c r="E66" s="241"/>
      <c r="F66" s="241"/>
    </row>
    <row r="67" spans="1:6" x14ac:dyDescent="0.25">
      <c r="A67" s="574" t="s">
        <v>602</v>
      </c>
      <c r="B67" s="241"/>
      <c r="C67" s="241"/>
      <c r="D67" s="241"/>
      <c r="E67" s="241"/>
      <c r="F67" s="241"/>
    </row>
    <row r="68" spans="1:6" x14ac:dyDescent="0.25">
      <c r="A68" s="574" t="s">
        <v>603</v>
      </c>
      <c r="B68" s="241"/>
      <c r="C68" s="241"/>
      <c r="D68" s="241"/>
      <c r="E68" s="241"/>
      <c r="F68" s="241"/>
    </row>
    <row r="69" spans="1:6" x14ac:dyDescent="0.25">
      <c r="A69" s="574" t="s">
        <v>604</v>
      </c>
      <c r="B69" s="241"/>
      <c r="C69" s="241"/>
      <c r="D69" s="241"/>
      <c r="E69" s="241"/>
      <c r="F69" s="241"/>
    </row>
    <row r="70" spans="1:6" x14ac:dyDescent="0.25">
      <c r="A70" s="574" t="s">
        <v>605</v>
      </c>
      <c r="B70" s="241"/>
      <c r="C70" s="241"/>
      <c r="D70" s="241"/>
      <c r="E70" s="241"/>
      <c r="F70" s="241"/>
    </row>
    <row r="72" spans="1:6" x14ac:dyDescent="0.25">
      <c r="A72" s="269" t="s">
        <v>520</v>
      </c>
    </row>
    <row r="78" spans="1:6" x14ac:dyDescent="0.25">
      <c r="A78" s="572"/>
    </row>
  </sheetData>
  <sheetProtection sheet="1"/>
  <mergeCells count="1">
    <mergeCell ref="A1:A2"/>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G52"/>
  <sheetViews>
    <sheetView workbookViewId="0">
      <selection activeCell="B1" sqref="B1"/>
    </sheetView>
  </sheetViews>
  <sheetFormatPr defaultRowHeight="15.75" x14ac:dyDescent="0.25"/>
  <cols>
    <col min="1" max="1" width="64.19921875" style="269" customWidth="1"/>
  </cols>
  <sheetData>
    <row r="1" spans="1:7" x14ac:dyDescent="0.25">
      <c r="A1" s="757" t="s">
        <v>640</v>
      </c>
    </row>
    <row r="2" spans="1:7" x14ac:dyDescent="0.25">
      <c r="A2" s="757"/>
    </row>
    <row r="3" spans="1:7" x14ac:dyDescent="0.25">
      <c r="A3" s="571" t="s">
        <v>641</v>
      </c>
      <c r="B3" s="242"/>
      <c r="C3" s="242"/>
      <c r="D3" s="242"/>
      <c r="E3" s="242"/>
      <c r="F3" s="242"/>
      <c r="G3" s="242"/>
    </row>
    <row r="4" spans="1:7" x14ac:dyDescent="0.25">
      <c r="A4" s="571" t="s">
        <v>642</v>
      </c>
      <c r="B4" s="242"/>
      <c r="C4" s="242"/>
      <c r="D4" s="242"/>
      <c r="E4" s="242"/>
      <c r="F4" s="242"/>
      <c r="G4" s="242"/>
    </row>
    <row r="5" spans="1:7" x14ac:dyDescent="0.25">
      <c r="A5" s="571"/>
      <c r="B5" s="242"/>
      <c r="C5" s="242"/>
      <c r="D5" s="242"/>
      <c r="E5" s="242"/>
      <c r="F5" s="242"/>
      <c r="G5" s="242"/>
    </row>
    <row r="6" spans="1:7" x14ac:dyDescent="0.25">
      <c r="A6" s="571"/>
      <c r="B6" s="242"/>
      <c r="C6" s="242"/>
      <c r="D6" s="242"/>
      <c r="E6" s="242"/>
      <c r="F6" s="242"/>
      <c r="G6" s="242"/>
    </row>
    <row r="7" spans="1:7" x14ac:dyDescent="0.25">
      <c r="A7" s="269" t="s">
        <v>466</v>
      </c>
    </row>
    <row r="8" spans="1:7" x14ac:dyDescent="0.25">
      <c r="A8" s="269" t="str">
        <f>CONCATENATE("estimated ",inputPrYr!D6," 'total expenditures' exceed your ",inputPrYr!D6,"")</f>
        <v>estimated 2025 'total expenditures' exceed your 2025</v>
      </c>
    </row>
    <row r="9" spans="1:7" x14ac:dyDescent="0.25">
      <c r="A9" s="573" t="s">
        <v>643</v>
      </c>
    </row>
    <row r="11" spans="1:7" x14ac:dyDescent="0.25">
      <c r="A11" s="269" t="s">
        <v>644</v>
      </c>
    </row>
    <row r="12" spans="1:7" x14ac:dyDescent="0.25">
      <c r="A12" s="269" t="s">
        <v>645</v>
      </c>
    </row>
    <row r="13" spans="1:7" x14ac:dyDescent="0.25">
      <c r="A13" s="269" t="s">
        <v>646</v>
      </c>
    </row>
    <row r="15" spans="1:7" x14ac:dyDescent="0.25">
      <c r="A15" s="572" t="s">
        <v>647</v>
      </c>
    </row>
    <row r="16" spans="1:7" x14ac:dyDescent="0.25">
      <c r="A16" s="571"/>
      <c r="B16" s="242"/>
      <c r="C16" s="242"/>
      <c r="D16" s="242"/>
      <c r="E16" s="242"/>
      <c r="F16" s="242"/>
      <c r="G16" s="242"/>
    </row>
    <row r="17" spans="1:7" x14ac:dyDescent="0.25">
      <c r="A17" s="269" t="s">
        <v>648</v>
      </c>
    </row>
    <row r="18" spans="1:7" x14ac:dyDescent="0.25">
      <c r="A18" s="269" t="s">
        <v>649</v>
      </c>
      <c r="B18" s="245"/>
      <c r="C18" s="245"/>
      <c r="D18" s="245"/>
      <c r="E18" s="245"/>
      <c r="F18" s="245"/>
      <c r="G18" s="245"/>
    </row>
    <row r="19" spans="1:7" x14ac:dyDescent="0.25">
      <c r="A19" s="269" t="s">
        <v>650</v>
      </c>
    </row>
    <row r="20" spans="1:7" x14ac:dyDescent="0.25">
      <c r="A20" s="269" t="s">
        <v>651</v>
      </c>
    </row>
    <row r="22" spans="1:7" x14ac:dyDescent="0.25">
      <c r="A22" s="572" t="s">
        <v>652</v>
      </c>
    </row>
    <row r="24" spans="1:7" x14ac:dyDescent="0.25">
      <c r="A24" s="269" t="s">
        <v>653</v>
      </c>
    </row>
    <row r="25" spans="1:7" x14ac:dyDescent="0.25">
      <c r="A25" s="269" t="s">
        <v>654</v>
      </c>
    </row>
    <row r="26" spans="1:7" x14ac:dyDescent="0.25">
      <c r="A26" s="269" t="s">
        <v>655</v>
      </c>
    </row>
    <row r="28" spans="1:7" x14ac:dyDescent="0.25">
      <c r="A28" s="572" t="s">
        <v>656</v>
      </c>
    </row>
    <row r="30" spans="1:7" x14ac:dyDescent="0.25">
      <c r="A30" s="269" t="s">
        <v>657</v>
      </c>
    </row>
    <row r="31" spans="1:7" x14ac:dyDescent="0.25">
      <c r="A31" s="269" t="s">
        <v>658</v>
      </c>
    </row>
    <row r="32" spans="1:7" x14ac:dyDescent="0.25">
      <c r="A32" s="269" t="s">
        <v>659</v>
      </c>
    </row>
    <row r="33" spans="1:1" x14ac:dyDescent="0.25">
      <c r="A33" s="269" t="s">
        <v>660</v>
      </c>
    </row>
    <row r="35" spans="1:1" x14ac:dyDescent="0.25">
      <c r="A35" s="269" t="s">
        <v>661</v>
      </c>
    </row>
    <row r="36" spans="1:1" x14ac:dyDescent="0.25">
      <c r="A36" s="269" t="s">
        <v>662</v>
      </c>
    </row>
    <row r="37" spans="1:1" x14ac:dyDescent="0.25">
      <c r="A37" s="269" t="s">
        <v>663</v>
      </c>
    </row>
    <row r="38" spans="1:1" x14ac:dyDescent="0.25">
      <c r="A38" s="269" t="s">
        <v>664</v>
      </c>
    </row>
    <row r="40" spans="1:1" x14ac:dyDescent="0.25">
      <c r="A40" s="269" t="s">
        <v>665</v>
      </c>
    </row>
    <row r="41" spans="1:1" x14ac:dyDescent="0.25">
      <c r="A41" s="269" t="s">
        <v>666</v>
      </c>
    </row>
    <row r="42" spans="1:1" x14ac:dyDescent="0.25">
      <c r="A42" s="269" t="s">
        <v>667</v>
      </c>
    </row>
    <row r="43" spans="1:1" x14ac:dyDescent="0.25">
      <c r="A43" s="269" t="s">
        <v>668</v>
      </c>
    </row>
    <row r="44" spans="1:1" x14ac:dyDescent="0.25">
      <c r="A44" s="269" t="s">
        <v>669</v>
      </c>
    </row>
    <row r="45" spans="1:1" x14ac:dyDescent="0.25">
      <c r="A45" s="269" t="s">
        <v>670</v>
      </c>
    </row>
    <row r="47" spans="1:1" x14ac:dyDescent="0.25">
      <c r="A47" s="269" t="s">
        <v>671</v>
      </c>
    </row>
    <row r="48" spans="1:1" x14ac:dyDescent="0.25">
      <c r="A48" s="269" t="s">
        <v>672</v>
      </c>
    </row>
    <row r="49" spans="1:1" x14ac:dyDescent="0.25">
      <c r="A49" s="269" t="s">
        <v>673</v>
      </c>
    </row>
    <row r="50" spans="1:1" x14ac:dyDescent="0.25">
      <c r="A50" s="269" t="s">
        <v>674</v>
      </c>
    </row>
    <row r="52" spans="1:1" x14ac:dyDescent="0.25">
      <c r="A52" s="269" t="s">
        <v>520</v>
      </c>
    </row>
  </sheetData>
  <sheetProtection sheet="1"/>
  <mergeCells count="1">
    <mergeCell ref="A1:A2"/>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5E92E-8F1D-406D-8B53-534022BADBC9}">
  <dimension ref="A1:N245"/>
  <sheetViews>
    <sheetView workbookViewId="0">
      <selection activeCell="E41" sqref="E41"/>
    </sheetView>
  </sheetViews>
  <sheetFormatPr defaultRowHeight="15" x14ac:dyDescent="0.2"/>
  <cols>
    <col min="1" max="1" width="3.09765625" style="579" customWidth="1"/>
    <col min="2" max="2" width="7.19921875" style="579" customWidth="1"/>
    <col min="3" max="16384" width="8.796875" style="579"/>
  </cols>
  <sheetData>
    <row r="1" spans="1:14" ht="15.75" customHeight="1" x14ac:dyDescent="0.2">
      <c r="A1" s="759" t="s">
        <v>675</v>
      </c>
      <c r="B1" s="759"/>
      <c r="C1" s="759"/>
      <c r="D1" s="759"/>
      <c r="E1" s="759"/>
      <c r="F1" s="759"/>
      <c r="G1" s="759"/>
      <c r="H1" s="759"/>
      <c r="I1" s="759"/>
      <c r="J1" s="759"/>
      <c r="K1" s="759"/>
      <c r="L1" s="759"/>
      <c r="M1" s="759"/>
      <c r="N1" s="759"/>
    </row>
    <row r="2" spans="1:14" ht="9.75" customHeight="1" x14ac:dyDescent="0.2">
      <c r="A2" s="759"/>
      <c r="B2" s="759"/>
      <c r="C2" s="759"/>
      <c r="D2" s="759"/>
      <c r="E2" s="759"/>
      <c r="F2" s="759"/>
      <c r="G2" s="759"/>
      <c r="H2" s="759"/>
      <c r="I2" s="759"/>
      <c r="J2" s="759"/>
      <c r="K2" s="759"/>
      <c r="L2" s="759"/>
      <c r="M2" s="759"/>
      <c r="N2" s="759"/>
    </row>
    <row r="3" spans="1:14" ht="18" x14ac:dyDescent="0.25">
      <c r="A3" s="586" t="s">
        <v>108</v>
      </c>
    </row>
    <row r="4" spans="1:14" ht="9.75" customHeight="1" x14ac:dyDescent="0.55000000000000004">
      <c r="B4" s="587"/>
    </row>
    <row r="5" spans="1:14" ht="15.75" x14ac:dyDescent="0.2">
      <c r="B5" s="588" t="s">
        <v>676</v>
      </c>
    </row>
    <row r="6" spans="1:14" ht="8.1" customHeight="1" x14ac:dyDescent="0.2">
      <c r="B6" s="588"/>
    </row>
    <row r="7" spans="1:14" ht="15.75" x14ac:dyDescent="0.2">
      <c r="B7" s="588" t="s">
        <v>677</v>
      </c>
    </row>
    <row r="8" spans="1:14" ht="15.75" x14ac:dyDescent="0.2">
      <c r="B8" s="589" t="s">
        <v>678</v>
      </c>
    </row>
    <row r="9" spans="1:14" ht="8.1" customHeight="1" x14ac:dyDescent="0.2">
      <c r="B9" s="589"/>
    </row>
    <row r="10" spans="1:14" ht="15.75" x14ac:dyDescent="0.2">
      <c r="C10" s="590" t="s">
        <v>679</v>
      </c>
      <c r="D10" s="588" t="s">
        <v>680</v>
      </c>
    </row>
    <row r="11" spans="1:14" ht="15.75" customHeight="1" x14ac:dyDescent="0.2">
      <c r="B11" s="588"/>
      <c r="D11" s="588" t="s">
        <v>681</v>
      </c>
    </row>
    <row r="12" spans="1:14" ht="15.75" customHeight="1" x14ac:dyDescent="0.2">
      <c r="B12" s="588"/>
      <c r="D12" s="588"/>
    </row>
    <row r="13" spans="1:14" ht="15.75" customHeight="1" x14ac:dyDescent="0.2">
      <c r="B13" s="588" t="s">
        <v>682</v>
      </c>
      <c r="E13" s="588" t="s">
        <v>683</v>
      </c>
    </row>
    <row r="14" spans="1:14" ht="15.75" customHeight="1" x14ac:dyDescent="0.2">
      <c r="B14" s="588"/>
      <c r="E14" s="588" t="s">
        <v>684</v>
      </c>
    </row>
    <row r="15" spans="1:14" ht="15.75" customHeight="1" x14ac:dyDescent="0.2">
      <c r="B15" s="588"/>
      <c r="E15" s="588" t="s">
        <v>685</v>
      </c>
    </row>
    <row r="16" spans="1:14" ht="15.75" customHeight="1" x14ac:dyDescent="0.2">
      <c r="B16" s="588"/>
      <c r="E16" s="588" t="s">
        <v>686</v>
      </c>
    </row>
    <row r="17" spans="2:5" ht="15.75" customHeight="1" x14ac:dyDescent="0.2">
      <c r="B17" s="588"/>
      <c r="E17" s="588"/>
    </row>
    <row r="18" spans="2:5" ht="15.75" customHeight="1" x14ac:dyDescent="0.2">
      <c r="B18" s="588"/>
      <c r="E18" s="588"/>
    </row>
    <row r="19" spans="2:5" ht="15.75" customHeight="1" x14ac:dyDescent="0.2">
      <c r="B19" s="588"/>
      <c r="E19" s="588"/>
    </row>
    <row r="20" spans="2:5" ht="15.75" customHeight="1" x14ac:dyDescent="0.2">
      <c r="B20" s="588"/>
      <c r="E20" s="588"/>
    </row>
    <row r="21" spans="2:5" ht="15.75" customHeight="1" x14ac:dyDescent="0.2">
      <c r="B21" s="588"/>
      <c r="E21" s="588"/>
    </row>
    <row r="22" spans="2:5" ht="15.75" customHeight="1" x14ac:dyDescent="0.2">
      <c r="B22" s="588"/>
      <c r="E22" s="588"/>
    </row>
    <row r="23" spans="2:5" ht="15.75" customHeight="1" x14ac:dyDescent="0.2">
      <c r="B23" s="588"/>
      <c r="E23" s="588"/>
    </row>
    <row r="24" spans="2:5" ht="15.75" customHeight="1" x14ac:dyDescent="0.2">
      <c r="B24" s="588"/>
      <c r="E24" s="588"/>
    </row>
    <row r="25" spans="2:5" ht="15.75" customHeight="1" x14ac:dyDescent="0.2">
      <c r="B25" s="588"/>
      <c r="E25" s="588"/>
    </row>
    <row r="26" spans="2:5" ht="15.75" customHeight="1" x14ac:dyDescent="0.2">
      <c r="B26" s="588"/>
      <c r="E26" s="588"/>
    </row>
    <row r="27" spans="2:5" ht="15.75" customHeight="1" x14ac:dyDescent="0.2">
      <c r="B27" s="588"/>
      <c r="E27" s="588"/>
    </row>
    <row r="28" spans="2:5" ht="15.75" customHeight="1" x14ac:dyDescent="0.2">
      <c r="B28" s="588"/>
      <c r="E28" s="588"/>
    </row>
    <row r="29" spans="2:5" ht="15.75" customHeight="1" x14ac:dyDescent="0.2">
      <c r="B29" s="588"/>
      <c r="E29" s="588"/>
    </row>
    <row r="30" spans="2:5" ht="15.75" customHeight="1" x14ac:dyDescent="0.2">
      <c r="B30" s="588"/>
      <c r="E30" s="588"/>
    </row>
    <row r="31" spans="2:5" ht="15.75" customHeight="1" x14ac:dyDescent="0.2">
      <c r="B31" s="588"/>
      <c r="E31" s="588"/>
    </row>
    <row r="32" spans="2:5" ht="15.75" customHeight="1" x14ac:dyDescent="0.2">
      <c r="B32" s="588"/>
      <c r="E32" s="588"/>
    </row>
    <row r="33" spans="2:5" ht="15.75" customHeight="1" x14ac:dyDescent="0.2">
      <c r="B33" s="588"/>
      <c r="E33" s="588"/>
    </row>
    <row r="34" spans="2:5" ht="15.75" customHeight="1" x14ac:dyDescent="0.2">
      <c r="B34" s="588"/>
      <c r="E34" s="588"/>
    </row>
    <row r="35" spans="2:5" ht="15.75" customHeight="1" x14ac:dyDescent="0.2">
      <c r="B35" s="588"/>
      <c r="E35" s="588"/>
    </row>
    <row r="36" spans="2:5" ht="15.75" customHeight="1" x14ac:dyDescent="0.2">
      <c r="B36" s="588" t="s">
        <v>687</v>
      </c>
      <c r="D36" s="588"/>
      <c r="E36" s="588" t="s">
        <v>688</v>
      </c>
    </row>
    <row r="37" spans="2:5" ht="15.75" customHeight="1" x14ac:dyDescent="0.2">
      <c r="B37" s="588"/>
      <c r="D37" s="588"/>
      <c r="E37" s="588" t="s">
        <v>689</v>
      </c>
    </row>
    <row r="38" spans="2:5" ht="15.75" customHeight="1" x14ac:dyDescent="0.2">
      <c r="B38" s="588"/>
      <c r="D38" s="588"/>
      <c r="E38" s="588" t="s">
        <v>690</v>
      </c>
    </row>
    <row r="39" spans="2:5" ht="15.75" customHeight="1" x14ac:dyDescent="0.2">
      <c r="B39" s="588"/>
      <c r="D39" s="588"/>
      <c r="E39" s="588" t="s">
        <v>691</v>
      </c>
    </row>
    <row r="40" spans="2:5" ht="15.75" customHeight="1" x14ac:dyDescent="0.2"/>
    <row r="41" spans="2:5" ht="15.75" customHeight="1" x14ac:dyDescent="0.2">
      <c r="B41" s="588" t="s">
        <v>108</v>
      </c>
      <c r="E41" s="591" t="s">
        <v>692</v>
      </c>
    </row>
    <row r="42" spans="2:5" ht="15.75" customHeight="1" x14ac:dyDescent="0.2">
      <c r="B42" s="588"/>
      <c r="E42" s="591"/>
    </row>
    <row r="43" spans="2:5" ht="15.75" customHeight="1" x14ac:dyDescent="0.2">
      <c r="E43" s="591"/>
    </row>
    <row r="44" spans="2:5" ht="15.75" customHeight="1" x14ac:dyDescent="0.2">
      <c r="B44" s="588" t="s">
        <v>693</v>
      </c>
      <c r="D44" s="588"/>
      <c r="E44" s="591" t="s">
        <v>694</v>
      </c>
    </row>
    <row r="45" spans="2:5" ht="15.75" customHeight="1" x14ac:dyDescent="0.2">
      <c r="B45" s="588"/>
      <c r="D45" s="588"/>
      <c r="E45" s="588"/>
    </row>
    <row r="46" spans="2:5" ht="15.75" customHeight="1" x14ac:dyDescent="0.2">
      <c r="B46" s="588"/>
      <c r="D46" s="588"/>
    </row>
    <row r="47" spans="2:5" ht="15.75" customHeight="1" x14ac:dyDescent="0.2">
      <c r="B47" s="588"/>
      <c r="D47" s="588"/>
    </row>
    <row r="48" spans="2:5" ht="15.75" customHeight="1" x14ac:dyDescent="0.2">
      <c r="B48" s="588"/>
      <c r="D48" s="588"/>
    </row>
    <row r="49" spans="1:14" ht="15.75" customHeight="1" x14ac:dyDescent="0.2">
      <c r="B49" s="588"/>
      <c r="D49" s="588"/>
    </row>
    <row r="50" spans="1:14" ht="15.75" customHeight="1" x14ac:dyDescent="0.2">
      <c r="B50" s="588"/>
      <c r="D50" s="588"/>
    </row>
    <row r="51" spans="1:14" ht="15.75" customHeight="1" x14ac:dyDescent="0.2">
      <c r="B51" s="588"/>
      <c r="D51" s="588"/>
    </row>
    <row r="52" spans="1:14" ht="15.75" customHeight="1" x14ac:dyDescent="0.2">
      <c r="B52" s="588"/>
      <c r="D52" s="588"/>
    </row>
    <row r="53" spans="1:14" ht="15.75" customHeight="1" x14ac:dyDescent="0.2">
      <c r="B53" s="588"/>
      <c r="D53" s="588"/>
    </row>
    <row r="54" spans="1:14" ht="15.75" customHeight="1" x14ac:dyDescent="0.2">
      <c r="B54" s="588"/>
      <c r="D54" s="588"/>
    </row>
    <row r="55" spans="1:14" ht="15.75" customHeight="1" x14ac:dyDescent="0.2">
      <c r="B55" s="588"/>
    </row>
    <row r="56" spans="1:14" ht="15.75" customHeight="1" x14ac:dyDescent="0.2">
      <c r="B56" s="588"/>
    </row>
    <row r="57" spans="1:14" ht="15.75" customHeight="1" x14ac:dyDescent="0.2">
      <c r="B57" s="588"/>
    </row>
    <row r="58" spans="1:14" ht="15.75" customHeight="1" x14ac:dyDescent="0.2">
      <c r="B58" s="588"/>
    </row>
    <row r="59" spans="1:14" ht="3" customHeight="1" x14ac:dyDescent="0.2">
      <c r="A59" s="592"/>
      <c r="B59" s="593"/>
      <c r="C59" s="592"/>
      <c r="D59" s="592"/>
      <c r="E59" s="592"/>
      <c r="F59" s="592"/>
      <c r="G59" s="592"/>
      <c r="H59" s="592"/>
      <c r="I59" s="592"/>
      <c r="J59" s="592"/>
      <c r="K59" s="592"/>
      <c r="L59" s="592"/>
      <c r="M59" s="592"/>
      <c r="N59" s="592"/>
    </row>
    <row r="60" spans="1:14" ht="15.75" customHeight="1" x14ac:dyDescent="0.2">
      <c r="B60" s="588"/>
    </row>
    <row r="61" spans="1:14" ht="15.75" customHeight="1" x14ac:dyDescent="0.25">
      <c r="A61" s="760" t="s">
        <v>695</v>
      </c>
      <c r="B61" s="760"/>
      <c r="C61" s="760"/>
      <c r="D61" s="760"/>
      <c r="E61" s="760"/>
      <c r="F61" s="760"/>
      <c r="G61" s="760"/>
      <c r="H61" s="760"/>
      <c r="I61" s="760"/>
      <c r="J61" s="760"/>
      <c r="K61" s="594"/>
    </row>
    <row r="62" spans="1:14" ht="21.75" customHeight="1" x14ac:dyDescent="0.25">
      <c r="A62" s="760"/>
      <c r="B62" s="760"/>
      <c r="C62" s="760"/>
      <c r="D62" s="760"/>
      <c r="E62" s="760"/>
      <c r="F62" s="760"/>
      <c r="G62" s="760"/>
      <c r="H62" s="760"/>
      <c r="I62" s="760"/>
      <c r="J62" s="760"/>
      <c r="K62" s="594"/>
    </row>
    <row r="63" spans="1:14" ht="15.75" customHeight="1" x14ac:dyDescent="0.2">
      <c r="B63" s="588"/>
    </row>
    <row r="64" spans="1:14" ht="15.75" x14ac:dyDescent="0.2">
      <c r="B64" s="588"/>
    </row>
    <row r="65" spans="2:2" ht="18.75" customHeight="1" x14ac:dyDescent="0.2">
      <c r="B65" s="588"/>
    </row>
    <row r="66" spans="2:2" ht="13.5" customHeight="1" x14ac:dyDescent="0.2">
      <c r="B66" s="588"/>
    </row>
    <row r="67" spans="2:2" ht="15.75" x14ac:dyDescent="0.2">
      <c r="B67" s="588"/>
    </row>
    <row r="82" spans="12:12" x14ac:dyDescent="0.2">
      <c r="L82" s="595"/>
    </row>
    <row r="214" spans="1:14" ht="3" customHeight="1" x14ac:dyDescent="0.2">
      <c r="A214" s="592"/>
      <c r="B214" s="593"/>
      <c r="C214" s="592"/>
      <c r="D214" s="592"/>
      <c r="E214" s="592"/>
      <c r="F214" s="592"/>
      <c r="G214" s="592"/>
      <c r="H214" s="592"/>
      <c r="I214" s="592"/>
      <c r="J214" s="592"/>
      <c r="K214" s="592"/>
      <c r="L214" s="592"/>
      <c r="M214" s="592"/>
      <c r="N214" s="592"/>
    </row>
    <row r="217" spans="1:14" ht="18" x14ac:dyDescent="0.25">
      <c r="A217" s="596" t="s">
        <v>696</v>
      </c>
      <c r="B217" s="597"/>
    </row>
    <row r="218" spans="1:14" ht="15.75" x14ac:dyDescent="0.25">
      <c r="B218" s="502"/>
    </row>
    <row r="219" spans="1:14" ht="30" customHeight="1" x14ac:dyDescent="0.25">
      <c r="B219" s="751" t="s">
        <v>697</v>
      </c>
      <c r="C219" s="751"/>
      <c r="D219" s="751"/>
      <c r="E219" s="751"/>
      <c r="F219" s="751"/>
      <c r="G219" s="751"/>
      <c r="H219" s="751"/>
      <c r="I219" s="751"/>
      <c r="J219" s="614"/>
    </row>
    <row r="220" spans="1:14" ht="15.75" x14ac:dyDescent="0.25">
      <c r="B220" s="270" t="s">
        <v>698</v>
      </c>
    </row>
    <row r="221" spans="1:14" ht="15.75" x14ac:dyDescent="0.25">
      <c r="B221" s="502"/>
    </row>
    <row r="222" spans="1:14" ht="45.75" customHeight="1" x14ac:dyDescent="0.25">
      <c r="B222" s="751" t="s">
        <v>699</v>
      </c>
      <c r="C222" s="751"/>
      <c r="D222" s="751"/>
      <c r="E222" s="751"/>
      <c r="F222" s="751"/>
      <c r="G222" s="751"/>
      <c r="H222" s="751"/>
    </row>
    <row r="223" spans="1:14" ht="15.75" x14ac:dyDescent="0.25">
      <c r="B223" s="270" t="s">
        <v>700</v>
      </c>
    </row>
    <row r="224" spans="1:14" ht="15.75" x14ac:dyDescent="0.25">
      <c r="B224" s="502"/>
    </row>
    <row r="225" spans="2:2" ht="15.75" x14ac:dyDescent="0.25">
      <c r="B225" s="502" t="s">
        <v>701</v>
      </c>
    </row>
    <row r="226" spans="2:2" ht="15.75" x14ac:dyDescent="0.25">
      <c r="B226" s="270" t="s">
        <v>702</v>
      </c>
    </row>
    <row r="227" spans="2:2" ht="15.75" x14ac:dyDescent="0.25">
      <c r="B227" s="502"/>
    </row>
    <row r="228" spans="2:2" ht="15.75" x14ac:dyDescent="0.25">
      <c r="B228" s="502" t="s">
        <v>703</v>
      </c>
    </row>
    <row r="229" spans="2:2" ht="15.75" x14ac:dyDescent="0.25">
      <c r="B229" s="270" t="s">
        <v>704</v>
      </c>
    </row>
    <row r="230" spans="2:2" ht="15.75" x14ac:dyDescent="0.25">
      <c r="B230" s="502"/>
    </row>
    <row r="231" spans="2:2" ht="15.75" x14ac:dyDescent="0.25">
      <c r="B231" s="502" t="s">
        <v>705</v>
      </c>
    </row>
    <row r="232" spans="2:2" ht="15.75" x14ac:dyDescent="0.25">
      <c r="B232" s="270" t="s">
        <v>706</v>
      </c>
    </row>
    <row r="233" spans="2:2" ht="15.75" x14ac:dyDescent="0.25">
      <c r="B233" s="502"/>
    </row>
    <row r="234" spans="2:2" ht="15.75" x14ac:dyDescent="0.25">
      <c r="B234" s="502" t="s">
        <v>707</v>
      </c>
    </row>
    <row r="235" spans="2:2" ht="15.75" x14ac:dyDescent="0.25">
      <c r="B235" s="270" t="s">
        <v>708</v>
      </c>
    </row>
    <row r="236" spans="2:2" ht="15.75" x14ac:dyDescent="0.25">
      <c r="B236" s="502"/>
    </row>
    <row r="237" spans="2:2" ht="15.75" x14ac:dyDescent="0.25">
      <c r="B237" s="502" t="s">
        <v>709</v>
      </c>
    </row>
    <row r="238" spans="2:2" ht="15.75" x14ac:dyDescent="0.25">
      <c r="B238" s="270" t="s">
        <v>710</v>
      </c>
    </row>
    <row r="239" spans="2:2" ht="15.75" x14ac:dyDescent="0.25">
      <c r="B239" s="502"/>
    </row>
    <row r="240" spans="2:2" ht="15.75" x14ac:dyDescent="0.25">
      <c r="B240" s="502" t="s">
        <v>711</v>
      </c>
    </row>
    <row r="241" spans="2:2" ht="15.75" x14ac:dyDescent="0.25">
      <c r="B241" s="270" t="s">
        <v>712</v>
      </c>
    </row>
    <row r="242" spans="2:2" ht="15.75" x14ac:dyDescent="0.25">
      <c r="B242" s="502"/>
    </row>
    <row r="243" spans="2:2" ht="15.75" x14ac:dyDescent="0.25">
      <c r="B243" s="502" t="s">
        <v>713</v>
      </c>
    </row>
    <row r="244" spans="2:2" ht="15.75" x14ac:dyDescent="0.25">
      <c r="B244" s="270" t="s">
        <v>714</v>
      </c>
    </row>
    <row r="245" spans="2:2" ht="15.75" x14ac:dyDescent="0.25">
      <c r="B245" s="502"/>
    </row>
  </sheetData>
  <mergeCells count="4">
    <mergeCell ref="A1:N2"/>
    <mergeCell ref="A61:J62"/>
    <mergeCell ref="B219:I219"/>
    <mergeCell ref="B222:H222"/>
  </mergeCells>
  <hyperlinks>
    <hyperlink ref="B244" r:id="rId1" xr:uid="{B3F98B74-9D04-4286-BB54-0110A9A59613}"/>
  </hyperlinks>
  <pageMargins left="0.7" right="0.7" top="0.75" bottom="0.75" header="0.3" footer="0.3"/>
  <pageSetup orientation="landscape"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A283"/>
  <sheetViews>
    <sheetView workbookViewId="0"/>
  </sheetViews>
  <sheetFormatPr defaultRowHeight="15.75" x14ac:dyDescent="0.25"/>
  <cols>
    <col min="1" max="1" width="74" style="55" customWidth="1"/>
    <col min="2" max="16384" width="8.796875" style="55"/>
  </cols>
  <sheetData>
    <row r="1" spans="1:1" x14ac:dyDescent="0.25">
      <c r="A1" s="575" t="s">
        <v>955</v>
      </c>
    </row>
    <row r="2" spans="1:1" x14ac:dyDescent="0.25">
      <c r="A2" s="236" t="s">
        <v>953</v>
      </c>
    </row>
    <row r="3" spans="1:1" x14ac:dyDescent="0.25">
      <c r="A3" s="55" t="s">
        <v>954</v>
      </c>
    </row>
    <row r="4" spans="1:1" x14ac:dyDescent="0.25">
      <c r="A4" s="55" t="s">
        <v>956</v>
      </c>
    </row>
    <row r="6" spans="1:1" x14ac:dyDescent="0.25">
      <c r="A6" s="598" t="s">
        <v>715</v>
      </c>
    </row>
    <row r="7" spans="1:1" x14ac:dyDescent="0.25">
      <c r="A7" s="269" t="s">
        <v>716</v>
      </c>
    </row>
    <row r="8" spans="1:1" x14ac:dyDescent="0.25">
      <c r="A8" s="269" t="s">
        <v>717</v>
      </c>
    </row>
    <row r="9" spans="1:1" x14ac:dyDescent="0.25">
      <c r="A9" s="269" t="s">
        <v>718</v>
      </c>
    </row>
    <row r="10" spans="1:1" x14ac:dyDescent="0.25">
      <c r="A10" s="269"/>
    </row>
    <row r="11" spans="1:1" x14ac:dyDescent="0.25">
      <c r="A11" s="575" t="s">
        <v>719</v>
      </c>
    </row>
    <row r="12" spans="1:1" x14ac:dyDescent="0.25">
      <c r="A12" s="236" t="s">
        <v>720</v>
      </c>
    </row>
    <row r="13" spans="1:1" x14ac:dyDescent="0.25">
      <c r="A13" s="236" t="s">
        <v>721</v>
      </c>
    </row>
    <row r="14" spans="1:1" ht="31.5" x14ac:dyDescent="0.25">
      <c r="A14" s="236" t="s">
        <v>722</v>
      </c>
    </row>
    <row r="15" spans="1:1" ht="31.5" x14ac:dyDescent="0.25">
      <c r="A15" s="236" t="s">
        <v>723</v>
      </c>
    </row>
    <row r="16" spans="1:1" x14ac:dyDescent="0.25">
      <c r="A16" s="236" t="s">
        <v>724</v>
      </c>
    </row>
    <row r="17" spans="1:1" ht="31.5" x14ac:dyDescent="0.25">
      <c r="A17" s="236" t="s">
        <v>725</v>
      </c>
    </row>
    <row r="18" spans="1:1" x14ac:dyDescent="0.25">
      <c r="A18" s="236" t="s">
        <v>726</v>
      </c>
    </row>
    <row r="19" spans="1:1" x14ac:dyDescent="0.25">
      <c r="A19" s="236" t="s">
        <v>727</v>
      </c>
    </row>
    <row r="20" spans="1:1" x14ac:dyDescent="0.25">
      <c r="A20" s="236" t="s">
        <v>728</v>
      </c>
    </row>
    <row r="22" spans="1:1" x14ac:dyDescent="0.25">
      <c r="A22" s="237" t="s">
        <v>729</v>
      </c>
    </row>
    <row r="23" spans="1:1" x14ac:dyDescent="0.25">
      <c r="A23" s="55" t="s">
        <v>730</v>
      </c>
    </row>
    <row r="24" spans="1:1" x14ac:dyDescent="0.25">
      <c r="A24" s="55" t="s">
        <v>731</v>
      </c>
    </row>
    <row r="25" spans="1:1" x14ac:dyDescent="0.25">
      <c r="A25" s="55" t="s">
        <v>732</v>
      </c>
    </row>
    <row r="26" spans="1:1" x14ac:dyDescent="0.25">
      <c r="A26" s="55" t="s">
        <v>733</v>
      </c>
    </row>
    <row r="27" spans="1:1" x14ac:dyDescent="0.25">
      <c r="A27" s="55" t="s">
        <v>734</v>
      </c>
    </row>
    <row r="28" spans="1:1" x14ac:dyDescent="0.25">
      <c r="A28" s="55" t="s">
        <v>735</v>
      </c>
    </row>
    <row r="30" spans="1:1" x14ac:dyDescent="0.25">
      <c r="A30" s="535" t="s">
        <v>736</v>
      </c>
    </row>
    <row r="31" spans="1:1" x14ac:dyDescent="0.25">
      <c r="A31" s="55" t="s">
        <v>737</v>
      </c>
    </row>
    <row r="32" spans="1:1" x14ac:dyDescent="0.25">
      <c r="A32" s="55" t="s">
        <v>738</v>
      </c>
    </row>
    <row r="33" spans="1:1" x14ac:dyDescent="0.25">
      <c r="A33" s="55" t="s">
        <v>739</v>
      </c>
    </row>
    <row r="35" spans="1:1" x14ac:dyDescent="0.25">
      <c r="A35" s="237" t="s">
        <v>740</v>
      </c>
    </row>
    <row r="36" spans="1:1" x14ac:dyDescent="0.25">
      <c r="A36" s="55" t="s">
        <v>741</v>
      </c>
    </row>
    <row r="37" spans="1:1" x14ac:dyDescent="0.25">
      <c r="A37" s="55" t="s">
        <v>742</v>
      </c>
    </row>
    <row r="38" spans="1:1" x14ac:dyDescent="0.25">
      <c r="A38" s="55" t="s">
        <v>743</v>
      </c>
    </row>
    <row r="40" spans="1:1" x14ac:dyDescent="0.25">
      <c r="A40" s="237" t="s">
        <v>744</v>
      </c>
    </row>
    <row r="41" spans="1:1" x14ac:dyDescent="0.25">
      <c r="A41" s="55" t="s">
        <v>745</v>
      </c>
    </row>
    <row r="42" spans="1:1" x14ac:dyDescent="0.25">
      <c r="A42" s="55" t="s">
        <v>746</v>
      </c>
    </row>
    <row r="43" spans="1:1" x14ac:dyDescent="0.25">
      <c r="A43" s="55" t="s">
        <v>747</v>
      </c>
    </row>
    <row r="44" spans="1:1" x14ac:dyDescent="0.25">
      <c r="A44" s="55" t="s">
        <v>748</v>
      </c>
    </row>
    <row r="45" spans="1:1" x14ac:dyDescent="0.25">
      <c r="A45" s="55" t="s">
        <v>749</v>
      </c>
    </row>
    <row r="47" spans="1:1" x14ac:dyDescent="0.25">
      <c r="A47" s="503" t="s">
        <v>750</v>
      </c>
    </row>
    <row r="48" spans="1:1" x14ac:dyDescent="0.25">
      <c r="A48" s="55" t="s">
        <v>751</v>
      </c>
    </row>
    <row r="50" spans="1:1" x14ac:dyDescent="0.25">
      <c r="A50" s="503" t="s">
        <v>752</v>
      </c>
    </row>
    <row r="51" spans="1:1" x14ac:dyDescent="0.25">
      <c r="A51" s="502" t="s">
        <v>753</v>
      </c>
    </row>
    <row r="53" spans="1:1" x14ac:dyDescent="0.25">
      <c r="A53" s="503" t="s">
        <v>754</v>
      </c>
    </row>
    <row r="54" spans="1:1" x14ac:dyDescent="0.25">
      <c r="A54" s="502" t="s">
        <v>755</v>
      </c>
    </row>
    <row r="56" spans="1:1" x14ac:dyDescent="0.25">
      <c r="A56" s="503" t="s">
        <v>756</v>
      </c>
    </row>
    <row r="57" spans="1:1" x14ac:dyDescent="0.25">
      <c r="A57" s="502" t="s">
        <v>757</v>
      </c>
    </row>
    <row r="58" spans="1:1" x14ac:dyDescent="0.25">
      <c r="A58" s="502" t="s">
        <v>758</v>
      </c>
    </row>
    <row r="59" spans="1:1" x14ac:dyDescent="0.25">
      <c r="A59" s="502" t="s">
        <v>759</v>
      </c>
    </row>
    <row r="60" spans="1:1" x14ac:dyDescent="0.25">
      <c r="A60" s="502" t="s">
        <v>760</v>
      </c>
    </row>
    <row r="61" spans="1:1" x14ac:dyDescent="0.25">
      <c r="A61" s="502" t="s">
        <v>761</v>
      </c>
    </row>
    <row r="63" spans="1:1" x14ac:dyDescent="0.25">
      <c r="A63" s="247" t="s">
        <v>762</v>
      </c>
    </row>
    <row r="64" spans="1:1" x14ac:dyDescent="0.25">
      <c r="A64" s="459" t="s">
        <v>763</v>
      </c>
    </row>
    <row r="65" spans="1:1" x14ac:dyDescent="0.25">
      <c r="A65" s="500" t="s">
        <v>764</v>
      </c>
    </row>
    <row r="67" spans="1:1" x14ac:dyDescent="0.25">
      <c r="A67" s="247" t="s">
        <v>765</v>
      </c>
    </row>
    <row r="68" spans="1:1" x14ac:dyDescent="0.25">
      <c r="A68" s="459" t="s">
        <v>766</v>
      </c>
    </row>
    <row r="70" spans="1:1" x14ac:dyDescent="0.25">
      <c r="A70" s="247" t="s">
        <v>767</v>
      </c>
    </row>
    <row r="71" spans="1:1" x14ac:dyDescent="0.25">
      <c r="A71" s="459" t="s">
        <v>768</v>
      </c>
    </row>
    <row r="73" spans="1:1" x14ac:dyDescent="0.25">
      <c r="A73" s="247" t="s">
        <v>769</v>
      </c>
    </row>
    <row r="74" spans="1:1" x14ac:dyDescent="0.25">
      <c r="A74" s="55" t="s">
        <v>770</v>
      </c>
    </row>
    <row r="76" spans="1:1" x14ac:dyDescent="0.25">
      <c r="A76" s="247" t="s">
        <v>771</v>
      </c>
    </row>
    <row r="77" spans="1:1" x14ac:dyDescent="0.25">
      <c r="A77" s="459" t="s">
        <v>772</v>
      </c>
    </row>
    <row r="79" spans="1:1" x14ac:dyDescent="0.25">
      <c r="A79" s="247" t="s">
        <v>773</v>
      </c>
    </row>
    <row r="80" spans="1:1" x14ac:dyDescent="0.25">
      <c r="A80" s="456" t="s">
        <v>774</v>
      </c>
    </row>
    <row r="82" spans="1:1" x14ac:dyDescent="0.25">
      <c r="A82" s="247" t="s">
        <v>775</v>
      </c>
    </row>
    <row r="83" spans="1:1" x14ac:dyDescent="0.25">
      <c r="A83" s="445" t="s">
        <v>776</v>
      </c>
    </row>
    <row r="85" spans="1:1" x14ac:dyDescent="0.25">
      <c r="A85" s="247" t="s">
        <v>777</v>
      </c>
    </row>
    <row r="86" spans="1:1" x14ac:dyDescent="0.25">
      <c r="A86" s="443" t="s">
        <v>778</v>
      </c>
    </row>
    <row r="88" spans="1:1" x14ac:dyDescent="0.25">
      <c r="A88" s="247" t="s">
        <v>779</v>
      </c>
    </row>
    <row r="89" spans="1:1" x14ac:dyDescent="0.25">
      <c r="A89" s="444" t="s">
        <v>780</v>
      </c>
    </row>
    <row r="91" spans="1:1" x14ac:dyDescent="0.25">
      <c r="A91" s="247" t="s">
        <v>781</v>
      </c>
    </row>
    <row r="92" spans="1:1" x14ac:dyDescent="0.25">
      <c r="A92" s="55" t="s">
        <v>782</v>
      </c>
    </row>
    <row r="94" spans="1:1" x14ac:dyDescent="0.25">
      <c r="A94" s="247" t="s">
        <v>783</v>
      </c>
    </row>
    <row r="95" spans="1:1" x14ac:dyDescent="0.25">
      <c r="A95" s="443" t="s">
        <v>784</v>
      </c>
    </row>
    <row r="97" spans="1:1" x14ac:dyDescent="0.25">
      <c r="A97" s="247" t="s">
        <v>785</v>
      </c>
    </row>
    <row r="98" spans="1:1" x14ac:dyDescent="0.25">
      <c r="A98" s="55" t="s">
        <v>786</v>
      </c>
    </row>
    <row r="99" spans="1:1" x14ac:dyDescent="0.25">
      <c r="A99" s="55" t="s">
        <v>787</v>
      </c>
    </row>
    <row r="100" spans="1:1" x14ac:dyDescent="0.25">
      <c r="A100" s="55" t="s">
        <v>788</v>
      </c>
    </row>
    <row r="101" spans="1:1" x14ac:dyDescent="0.25">
      <c r="A101" s="55" t="s">
        <v>789</v>
      </c>
    </row>
    <row r="102" spans="1:1" x14ac:dyDescent="0.25">
      <c r="A102" s="55" t="s">
        <v>790</v>
      </c>
    </row>
    <row r="103" spans="1:1" x14ac:dyDescent="0.25">
      <c r="A103" s="55" t="s">
        <v>791</v>
      </c>
    </row>
    <row r="104" spans="1:1" x14ac:dyDescent="0.25">
      <c r="A104" s="55" t="s">
        <v>792</v>
      </c>
    </row>
    <row r="105" spans="1:1" x14ac:dyDescent="0.25">
      <c r="A105" s="55" t="s">
        <v>793</v>
      </c>
    </row>
    <row r="106" spans="1:1" x14ac:dyDescent="0.25">
      <c r="A106" s="55" t="s">
        <v>794</v>
      </c>
    </row>
    <row r="107" spans="1:1" x14ac:dyDescent="0.25">
      <c r="A107" s="55" t="s">
        <v>795</v>
      </c>
    </row>
    <row r="108" spans="1:1" x14ac:dyDescent="0.25">
      <c r="A108" s="55" t="s">
        <v>796</v>
      </c>
    </row>
    <row r="109" spans="1:1" x14ac:dyDescent="0.25">
      <c r="A109" s="55" t="s">
        <v>797</v>
      </c>
    </row>
    <row r="110" spans="1:1" x14ac:dyDescent="0.25">
      <c r="A110" s="55" t="s">
        <v>798</v>
      </c>
    </row>
    <row r="111" spans="1:1" x14ac:dyDescent="0.25">
      <c r="A111" s="55" t="s">
        <v>799</v>
      </c>
    </row>
    <row r="112" spans="1:1" x14ac:dyDescent="0.25">
      <c r="A112" s="55" t="s">
        <v>800</v>
      </c>
    </row>
    <row r="113" spans="1:1" x14ac:dyDescent="0.25">
      <c r="A113" s="55" t="s">
        <v>801</v>
      </c>
    </row>
    <row r="114" spans="1:1" x14ac:dyDescent="0.25">
      <c r="A114" s="55" t="s">
        <v>802</v>
      </c>
    </row>
    <row r="115" spans="1:1" x14ac:dyDescent="0.25">
      <c r="A115" s="55" t="s">
        <v>803</v>
      </c>
    </row>
    <row r="116" spans="1:1" x14ac:dyDescent="0.25">
      <c r="A116" s="55" t="s">
        <v>804</v>
      </c>
    </row>
    <row r="117" spans="1:1" x14ac:dyDescent="0.25">
      <c r="A117" s="55" t="s">
        <v>805</v>
      </c>
    </row>
    <row r="118" spans="1:1" x14ac:dyDescent="0.25">
      <c r="A118" s="55" t="s">
        <v>806</v>
      </c>
    </row>
    <row r="119" spans="1:1" x14ac:dyDescent="0.25">
      <c r="A119" s="55" t="s">
        <v>807</v>
      </c>
    </row>
    <row r="120" spans="1:1" x14ac:dyDescent="0.25">
      <c r="A120" s="55" t="s">
        <v>808</v>
      </c>
    </row>
    <row r="121" spans="1:1" x14ac:dyDescent="0.25">
      <c r="A121" s="55" t="s">
        <v>809</v>
      </c>
    </row>
    <row r="122" spans="1:1" x14ac:dyDescent="0.25">
      <c r="A122" s="55" t="s">
        <v>810</v>
      </c>
    </row>
    <row r="123" spans="1:1" x14ac:dyDescent="0.25">
      <c r="A123" s="55" t="s">
        <v>811</v>
      </c>
    </row>
    <row r="124" spans="1:1" x14ac:dyDescent="0.25">
      <c r="A124" s="55" t="s">
        <v>812</v>
      </c>
    </row>
    <row r="125" spans="1:1" x14ac:dyDescent="0.25">
      <c r="A125" s="55" t="s">
        <v>813</v>
      </c>
    </row>
    <row r="126" spans="1:1" x14ac:dyDescent="0.25">
      <c r="A126" s="55" t="s">
        <v>814</v>
      </c>
    </row>
    <row r="128" spans="1:1" x14ac:dyDescent="0.25">
      <c r="A128" s="247" t="s">
        <v>815</v>
      </c>
    </row>
    <row r="129" spans="1:1" x14ac:dyDescent="0.25">
      <c r="A129" s="55" t="s">
        <v>816</v>
      </c>
    </row>
    <row r="131" spans="1:1" x14ac:dyDescent="0.25">
      <c r="A131" s="247" t="s">
        <v>817</v>
      </c>
    </row>
    <row r="132" spans="1:1" x14ac:dyDescent="0.25">
      <c r="A132" s="55" t="s">
        <v>818</v>
      </c>
    </row>
    <row r="134" spans="1:1" x14ac:dyDescent="0.25">
      <c r="A134" s="247" t="s">
        <v>819</v>
      </c>
    </row>
    <row r="135" spans="1:1" x14ac:dyDescent="0.25">
      <c r="A135" s="315" t="s">
        <v>820</v>
      </c>
    </row>
    <row r="137" spans="1:1" x14ac:dyDescent="0.25">
      <c r="A137" s="247" t="s">
        <v>821</v>
      </c>
    </row>
    <row r="138" spans="1:1" x14ac:dyDescent="0.25">
      <c r="A138" s="55" t="s">
        <v>822</v>
      </c>
    </row>
    <row r="139" spans="1:1" x14ac:dyDescent="0.25">
      <c r="A139" s="55" t="s">
        <v>823</v>
      </c>
    </row>
    <row r="141" spans="1:1" x14ac:dyDescent="0.25">
      <c r="A141" s="247" t="s">
        <v>824</v>
      </c>
    </row>
    <row r="142" spans="1:1" x14ac:dyDescent="0.25">
      <c r="A142" s="315" t="s">
        <v>825</v>
      </c>
    </row>
    <row r="143" spans="1:1" x14ac:dyDescent="0.25">
      <c r="A143" s="315" t="s">
        <v>826</v>
      </c>
    </row>
    <row r="144" spans="1:1" ht="31.5" x14ac:dyDescent="0.25">
      <c r="A144" s="314" t="s">
        <v>827</v>
      </c>
    </row>
    <row r="145" spans="1:1" ht="37.5" customHeight="1" x14ac:dyDescent="0.25">
      <c r="A145" s="315" t="s">
        <v>828</v>
      </c>
    </row>
    <row r="146" spans="1:1" ht="15.75" customHeight="1" x14ac:dyDescent="0.25">
      <c r="A146" s="315" t="s">
        <v>829</v>
      </c>
    </row>
    <row r="147" spans="1:1" x14ac:dyDescent="0.25">
      <c r="A147" s="315" t="s">
        <v>830</v>
      </c>
    </row>
    <row r="148" spans="1:1" x14ac:dyDescent="0.25">
      <c r="A148" s="315" t="s">
        <v>831</v>
      </c>
    </row>
    <row r="149" spans="1:1" x14ac:dyDescent="0.25">
      <c r="A149" s="315" t="s">
        <v>832</v>
      </c>
    </row>
    <row r="150" spans="1:1" x14ac:dyDescent="0.25">
      <c r="A150" s="315" t="s">
        <v>833</v>
      </c>
    </row>
    <row r="151" spans="1:1" x14ac:dyDescent="0.25">
      <c r="A151" s="315" t="s">
        <v>834</v>
      </c>
    </row>
    <row r="152" spans="1:1" x14ac:dyDescent="0.25">
      <c r="A152" s="315" t="s">
        <v>835</v>
      </c>
    </row>
    <row r="153" spans="1:1" x14ac:dyDescent="0.25">
      <c r="A153" s="315" t="s">
        <v>836</v>
      </c>
    </row>
    <row r="154" spans="1:1" x14ac:dyDescent="0.25">
      <c r="A154" s="315" t="s">
        <v>837</v>
      </c>
    </row>
    <row r="155" spans="1:1" x14ac:dyDescent="0.25">
      <c r="A155" s="315" t="s">
        <v>838</v>
      </c>
    </row>
    <row r="156" spans="1:1" x14ac:dyDescent="0.25">
      <c r="A156" s="315" t="s">
        <v>839</v>
      </c>
    </row>
    <row r="157" spans="1:1" x14ac:dyDescent="0.25">
      <c r="A157" s="315" t="s">
        <v>840</v>
      </c>
    </row>
    <row r="158" spans="1:1" x14ac:dyDescent="0.25">
      <c r="A158" s="315" t="s">
        <v>841</v>
      </c>
    </row>
    <row r="159" spans="1:1" x14ac:dyDescent="0.25">
      <c r="A159" s="315" t="s">
        <v>842</v>
      </c>
    </row>
    <row r="160" spans="1:1" x14ac:dyDescent="0.25">
      <c r="A160" s="315" t="s">
        <v>843</v>
      </c>
    </row>
    <row r="161" spans="1:1" x14ac:dyDescent="0.25">
      <c r="A161" s="315" t="s">
        <v>844</v>
      </c>
    </row>
    <row r="162" spans="1:1" x14ac:dyDescent="0.25">
      <c r="A162" s="315" t="s">
        <v>845</v>
      </c>
    </row>
    <row r="163" spans="1:1" x14ac:dyDescent="0.25">
      <c r="A163" s="315" t="s">
        <v>846</v>
      </c>
    </row>
    <row r="164" spans="1:1" x14ac:dyDescent="0.25">
      <c r="A164" s="315" t="s">
        <v>847</v>
      </c>
    </row>
    <row r="166" spans="1:1" x14ac:dyDescent="0.25">
      <c r="A166" s="247" t="s">
        <v>848</v>
      </c>
    </row>
    <row r="167" spans="1:1" ht="31.5" x14ac:dyDescent="0.25">
      <c r="A167" s="236" t="s">
        <v>849</v>
      </c>
    </row>
    <row r="169" spans="1:1" x14ac:dyDescent="0.25">
      <c r="A169" s="247" t="s">
        <v>850</v>
      </c>
    </row>
    <row r="170" spans="1:1" x14ac:dyDescent="0.25">
      <c r="A170" s="55" t="s">
        <v>851</v>
      </c>
    </row>
    <row r="171" spans="1:1" x14ac:dyDescent="0.25">
      <c r="A171" s="55" t="s">
        <v>852</v>
      </c>
    </row>
    <row r="172" spans="1:1" x14ac:dyDescent="0.25">
      <c r="A172" s="55" t="s">
        <v>853</v>
      </c>
    </row>
    <row r="174" spans="1:1" x14ac:dyDescent="0.25">
      <c r="A174" s="250" t="s">
        <v>854</v>
      </c>
    </row>
    <row r="175" spans="1:1" x14ac:dyDescent="0.25">
      <c r="A175" s="55" t="s">
        <v>855</v>
      </c>
    </row>
    <row r="177" spans="1:1" x14ac:dyDescent="0.25">
      <c r="A177" s="247" t="s">
        <v>856</v>
      </c>
    </row>
    <row r="178" spans="1:1" x14ac:dyDescent="0.25">
      <c r="A178" s="248" t="s">
        <v>857</v>
      </c>
    </row>
    <row r="179" spans="1:1" x14ac:dyDescent="0.25">
      <c r="A179" s="248" t="s">
        <v>858</v>
      </c>
    </row>
    <row r="180" spans="1:1" x14ac:dyDescent="0.25">
      <c r="A180" s="248" t="s">
        <v>859</v>
      </c>
    </row>
    <row r="181" spans="1:1" x14ac:dyDescent="0.25">
      <c r="A181" s="246" t="s">
        <v>860</v>
      </c>
    </row>
    <row r="183" spans="1:1" x14ac:dyDescent="0.25">
      <c r="A183" s="237" t="s">
        <v>861</v>
      </c>
    </row>
    <row r="184" spans="1:1" x14ac:dyDescent="0.25">
      <c r="A184" s="55" t="s">
        <v>862</v>
      </c>
    </row>
    <row r="185" spans="1:1" x14ac:dyDescent="0.25">
      <c r="A185" s="55" t="s">
        <v>863</v>
      </c>
    </row>
    <row r="186" spans="1:1" x14ac:dyDescent="0.25">
      <c r="A186" s="55" t="s">
        <v>864</v>
      </c>
    </row>
    <row r="187" spans="1:1" x14ac:dyDescent="0.25">
      <c r="A187" s="55" t="s">
        <v>865</v>
      </c>
    </row>
    <row r="188" spans="1:1" x14ac:dyDescent="0.25">
      <c r="A188" s="55" t="s">
        <v>866</v>
      </c>
    </row>
    <row r="189" spans="1:1" x14ac:dyDescent="0.25">
      <c r="A189" s="55" t="s">
        <v>867</v>
      </c>
    </row>
    <row r="190" spans="1:1" x14ac:dyDescent="0.25">
      <c r="A190" s="55" t="s">
        <v>868</v>
      </c>
    </row>
    <row r="191" spans="1:1" x14ac:dyDescent="0.25">
      <c r="A191" s="55" t="s">
        <v>869</v>
      </c>
    </row>
    <row r="192" spans="1:1" x14ac:dyDescent="0.25">
      <c r="A192" s="55" t="s">
        <v>870</v>
      </c>
    </row>
    <row r="193" spans="1:1" x14ac:dyDescent="0.25">
      <c r="A193" s="55" t="s">
        <v>871</v>
      </c>
    </row>
    <row r="194" spans="1:1" x14ac:dyDescent="0.25">
      <c r="A194" s="55" t="s">
        <v>872</v>
      </c>
    </row>
    <row r="195" spans="1:1" ht="31.5" x14ac:dyDescent="0.25">
      <c r="A195" s="236" t="s">
        <v>873</v>
      </c>
    </row>
    <row r="196" spans="1:1" x14ac:dyDescent="0.25">
      <c r="A196" s="236" t="s">
        <v>874</v>
      </c>
    </row>
    <row r="197" spans="1:1" x14ac:dyDescent="0.25">
      <c r="A197" s="238" t="s">
        <v>875</v>
      </c>
    </row>
    <row r="198" spans="1:1" x14ac:dyDescent="0.25">
      <c r="A198" s="239" t="s">
        <v>876</v>
      </c>
    </row>
    <row r="200" spans="1:1" x14ac:dyDescent="0.25">
      <c r="A200" s="237" t="s">
        <v>877</v>
      </c>
    </row>
    <row r="201" spans="1:1" x14ac:dyDescent="0.25">
      <c r="A201" s="55" t="s">
        <v>878</v>
      </c>
    </row>
    <row r="202" spans="1:1" ht="15.75" customHeight="1" x14ac:dyDescent="0.25">
      <c r="A202" s="55" t="s">
        <v>879</v>
      </c>
    </row>
    <row r="204" spans="1:1" x14ac:dyDescent="0.25">
      <c r="A204" s="237" t="s">
        <v>880</v>
      </c>
    </row>
    <row r="205" spans="1:1" x14ac:dyDescent="0.25">
      <c r="A205" s="55" t="s">
        <v>881</v>
      </c>
    </row>
    <row r="207" spans="1:1" x14ac:dyDescent="0.25">
      <c r="A207" s="237" t="s">
        <v>882</v>
      </c>
    </row>
    <row r="208" spans="1:1" x14ac:dyDescent="0.25">
      <c r="A208" s="55" t="s">
        <v>883</v>
      </c>
    </row>
    <row r="210" spans="1:1" x14ac:dyDescent="0.25">
      <c r="A210" s="237" t="s">
        <v>884</v>
      </c>
    </row>
    <row r="211" spans="1:1" x14ac:dyDescent="0.25">
      <c r="A211" s="55" t="s">
        <v>885</v>
      </c>
    </row>
    <row r="212" spans="1:1" x14ac:dyDescent="0.25">
      <c r="A212" s="55" t="s">
        <v>886</v>
      </c>
    </row>
    <row r="214" spans="1:1" x14ac:dyDescent="0.25">
      <c r="A214" s="55" t="s">
        <v>887</v>
      </c>
    </row>
    <row r="215" spans="1:1" ht="15.75" customHeight="1" x14ac:dyDescent="0.25">
      <c r="A215" s="55" t="s">
        <v>888</v>
      </c>
    </row>
    <row r="216" spans="1:1" ht="15.75" customHeight="1" x14ac:dyDescent="0.25">
      <c r="A216" s="55" t="s">
        <v>889</v>
      </c>
    </row>
    <row r="217" spans="1:1" ht="15.75" customHeight="1" x14ac:dyDescent="0.25">
      <c r="A217" s="55" t="s">
        <v>890</v>
      </c>
    </row>
    <row r="218" spans="1:1" ht="15.75" customHeight="1" x14ac:dyDescent="0.25"/>
    <row r="219" spans="1:1" ht="15.75" customHeight="1" x14ac:dyDescent="0.25">
      <c r="A219" s="237" t="s">
        <v>891</v>
      </c>
    </row>
    <row r="220" spans="1:1" ht="34.5" customHeight="1" x14ac:dyDescent="0.25">
      <c r="A220" s="55" t="s">
        <v>892</v>
      </c>
    </row>
    <row r="221" spans="1:1" ht="15.75" customHeight="1" x14ac:dyDescent="0.25">
      <c r="A221" s="55" t="s">
        <v>893</v>
      </c>
    </row>
    <row r="222" spans="1:1" ht="33.75" customHeight="1" x14ac:dyDescent="0.25"/>
    <row r="223" spans="1:1" ht="15.75" customHeight="1" x14ac:dyDescent="0.25">
      <c r="A223" s="237" t="s">
        <v>894</v>
      </c>
    </row>
    <row r="224" spans="1:1" ht="15.75" customHeight="1" x14ac:dyDescent="0.25">
      <c r="A224" s="55" t="s">
        <v>895</v>
      </c>
    </row>
    <row r="225" spans="1:1" ht="15.75" customHeight="1" x14ac:dyDescent="0.25"/>
    <row r="226" spans="1:1" x14ac:dyDescent="0.25">
      <c r="A226" s="237" t="s">
        <v>896</v>
      </c>
    </row>
    <row r="227" spans="1:1" x14ac:dyDescent="0.25">
      <c r="A227" s="55" t="s">
        <v>897</v>
      </c>
    </row>
    <row r="228" spans="1:1" ht="31.5" x14ac:dyDescent="0.25">
      <c r="A228" s="236" t="s">
        <v>898</v>
      </c>
    </row>
    <row r="229" spans="1:1" x14ac:dyDescent="0.25">
      <c r="A229" s="55" t="s">
        <v>899</v>
      </c>
    </row>
    <row r="230" spans="1:1" x14ac:dyDescent="0.25">
      <c r="A230" s="55" t="s">
        <v>900</v>
      </c>
    </row>
    <row r="231" spans="1:1" x14ac:dyDescent="0.25">
      <c r="A231" s="55" t="s">
        <v>901</v>
      </c>
    </row>
    <row r="232" spans="1:1" x14ac:dyDescent="0.25">
      <c r="A232" s="55" t="s">
        <v>902</v>
      </c>
    </row>
    <row r="233" spans="1:1" ht="31.5" x14ac:dyDescent="0.25">
      <c r="A233" s="236" t="s">
        <v>903</v>
      </c>
    </row>
    <row r="234" spans="1:1" ht="31.5" x14ac:dyDescent="0.25">
      <c r="A234" s="236" t="s">
        <v>904</v>
      </c>
    </row>
    <row r="235" spans="1:1" ht="31.5" x14ac:dyDescent="0.25">
      <c r="A235" s="236" t="s">
        <v>905</v>
      </c>
    </row>
    <row r="236" spans="1:1" x14ac:dyDescent="0.25">
      <c r="A236" s="236" t="s">
        <v>906</v>
      </c>
    </row>
    <row r="237" spans="1:1" ht="31.5" x14ac:dyDescent="0.25">
      <c r="A237" s="236" t="s">
        <v>907</v>
      </c>
    </row>
    <row r="238" spans="1:1" x14ac:dyDescent="0.25">
      <c r="A238" s="55" t="s">
        <v>908</v>
      </c>
    </row>
    <row r="239" spans="1:1" x14ac:dyDescent="0.25">
      <c r="A239" s="55" t="s">
        <v>909</v>
      </c>
    </row>
    <row r="240" spans="1:1" x14ac:dyDescent="0.25">
      <c r="A240" s="55" t="s">
        <v>910</v>
      </c>
    </row>
    <row r="241" spans="1:1" x14ac:dyDescent="0.25">
      <c r="A241" s="55" t="s">
        <v>911</v>
      </c>
    </row>
    <row r="242" spans="1:1" ht="31.5" x14ac:dyDescent="0.25">
      <c r="A242" s="236" t="s">
        <v>912</v>
      </c>
    </row>
    <row r="243" spans="1:1" x14ac:dyDescent="0.25">
      <c r="A243" s="236" t="s">
        <v>913</v>
      </c>
    </row>
    <row r="244" spans="1:1" ht="31.5" x14ac:dyDescent="0.25">
      <c r="A244" s="236" t="s">
        <v>914</v>
      </c>
    </row>
    <row r="245" spans="1:1" x14ac:dyDescent="0.25">
      <c r="A245" s="236" t="s">
        <v>915</v>
      </c>
    </row>
    <row r="246" spans="1:1" x14ac:dyDescent="0.25">
      <c r="A246" s="236" t="s">
        <v>916</v>
      </c>
    </row>
    <row r="247" spans="1:1" x14ac:dyDescent="0.25">
      <c r="A247" s="236" t="s">
        <v>917</v>
      </c>
    </row>
    <row r="248" spans="1:1" ht="31.5" x14ac:dyDescent="0.25">
      <c r="A248" s="236" t="s">
        <v>918</v>
      </c>
    </row>
    <row r="249" spans="1:1" ht="31.5" x14ac:dyDescent="0.25">
      <c r="A249" s="236" t="s">
        <v>919</v>
      </c>
    </row>
    <row r="250" spans="1:1" ht="31.5" x14ac:dyDescent="0.25">
      <c r="A250" s="236" t="s">
        <v>920</v>
      </c>
    </row>
    <row r="251" spans="1:1" ht="31.5" x14ac:dyDescent="0.25">
      <c r="A251" s="236" t="s">
        <v>921</v>
      </c>
    </row>
    <row r="252" spans="1:1" x14ac:dyDescent="0.25">
      <c r="A252" s="236" t="s">
        <v>922</v>
      </c>
    </row>
    <row r="254" spans="1:1" x14ac:dyDescent="0.25">
      <c r="A254" s="237" t="s">
        <v>923</v>
      </c>
    </row>
    <row r="255" spans="1:1" ht="47.25" x14ac:dyDescent="0.25">
      <c r="A255" s="236" t="s">
        <v>924</v>
      </c>
    </row>
    <row r="256" spans="1:1" x14ac:dyDescent="0.25">
      <c r="A256" s="55" t="s">
        <v>925</v>
      </c>
    </row>
    <row r="257" spans="1:1" x14ac:dyDescent="0.25">
      <c r="A257" s="55" t="s">
        <v>926</v>
      </c>
    </row>
    <row r="258" spans="1:1" x14ac:dyDescent="0.25">
      <c r="A258" s="55" t="s">
        <v>927</v>
      </c>
    </row>
    <row r="259" spans="1:1" x14ac:dyDescent="0.25">
      <c r="A259" s="55" t="s">
        <v>928</v>
      </c>
    </row>
    <row r="260" spans="1:1" x14ac:dyDescent="0.25">
      <c r="A260" s="55" t="s">
        <v>929</v>
      </c>
    </row>
    <row r="261" spans="1:1" x14ac:dyDescent="0.25">
      <c r="A261" s="55" t="s">
        <v>930</v>
      </c>
    </row>
    <row r="262" spans="1:1" x14ac:dyDescent="0.25">
      <c r="A262" s="236" t="s">
        <v>931</v>
      </c>
    </row>
    <row r="263" spans="1:1" x14ac:dyDescent="0.25">
      <c r="A263" s="55" t="s">
        <v>932</v>
      </c>
    </row>
    <row r="264" spans="1:1" x14ac:dyDescent="0.25">
      <c r="A264" s="55" t="s">
        <v>933</v>
      </c>
    </row>
    <row r="265" spans="1:1" x14ac:dyDescent="0.25">
      <c r="A265" s="55" t="s">
        <v>934</v>
      </c>
    </row>
    <row r="266" spans="1:1" x14ac:dyDescent="0.25">
      <c r="A266" s="55" t="s">
        <v>935</v>
      </c>
    </row>
    <row r="267" spans="1:1" x14ac:dyDescent="0.25">
      <c r="A267" s="55" t="s">
        <v>936</v>
      </c>
    </row>
    <row r="268" spans="1:1" x14ac:dyDescent="0.25">
      <c r="A268" s="55" t="s">
        <v>937</v>
      </c>
    </row>
    <row r="269" spans="1:1" x14ac:dyDescent="0.25">
      <c r="A269" s="55" t="s">
        <v>938</v>
      </c>
    </row>
    <row r="270" spans="1:1" x14ac:dyDescent="0.25">
      <c r="A270" s="55" t="s">
        <v>939</v>
      </c>
    </row>
    <row r="271" spans="1:1" x14ac:dyDescent="0.25">
      <c r="A271" s="55" t="s">
        <v>940</v>
      </c>
    </row>
    <row r="272" spans="1:1" x14ac:dyDescent="0.25">
      <c r="A272" s="55" t="s">
        <v>941</v>
      </c>
    </row>
    <row r="273" spans="1:1" x14ac:dyDescent="0.25">
      <c r="A273" s="55" t="s">
        <v>942</v>
      </c>
    </row>
    <row r="274" spans="1:1" x14ac:dyDescent="0.25">
      <c r="A274" s="55" t="s">
        <v>943</v>
      </c>
    </row>
    <row r="275" spans="1:1" x14ac:dyDescent="0.25">
      <c r="A275" s="55" t="s">
        <v>944</v>
      </c>
    </row>
    <row r="276" spans="1:1" x14ac:dyDescent="0.25">
      <c r="A276" s="55" t="s">
        <v>945</v>
      </c>
    </row>
    <row r="277" spans="1:1" x14ac:dyDescent="0.25">
      <c r="A277" s="55" t="s">
        <v>946</v>
      </c>
    </row>
    <row r="278" spans="1:1" x14ac:dyDescent="0.25">
      <c r="A278" s="55" t="s">
        <v>947</v>
      </c>
    </row>
    <row r="279" spans="1:1" x14ac:dyDescent="0.25">
      <c r="A279" s="55" t="s">
        <v>948</v>
      </c>
    </row>
    <row r="280" spans="1:1" x14ac:dyDescent="0.25">
      <c r="A280" s="55" t="s">
        <v>949</v>
      </c>
    </row>
    <row r="281" spans="1:1" x14ac:dyDescent="0.25">
      <c r="A281" s="55" t="s">
        <v>950</v>
      </c>
    </row>
    <row r="282" spans="1:1" x14ac:dyDescent="0.25">
      <c r="A282" s="55" t="s">
        <v>951</v>
      </c>
    </row>
    <row r="283" spans="1:1" x14ac:dyDescent="0.25">
      <c r="A283" s="55" t="s">
        <v>952</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49"/>
  <sheetViews>
    <sheetView zoomScale="80" zoomScaleNormal="80" workbookViewId="0">
      <selection activeCell="M6" sqref="M6"/>
    </sheetView>
  </sheetViews>
  <sheetFormatPr defaultRowHeight="15.75" x14ac:dyDescent="0.25"/>
  <cols>
    <col min="1" max="1" width="15.5" customWidth="1"/>
    <col min="2" max="2" width="14.5" customWidth="1"/>
    <col min="8" max="8" width="11.3984375" style="269" customWidth="1"/>
    <col min="9" max="9" width="11.19921875" style="269" customWidth="1"/>
    <col min="10" max="11" width="8.796875" style="269"/>
  </cols>
  <sheetData>
    <row r="1" spans="1:11" x14ac:dyDescent="0.25">
      <c r="A1" s="658" t="s">
        <v>127</v>
      </c>
      <c r="B1" s="658"/>
      <c r="C1" s="658"/>
      <c r="D1" s="658"/>
      <c r="E1" s="658"/>
      <c r="F1" s="658"/>
      <c r="H1" s="650" t="s">
        <v>128</v>
      </c>
      <c r="I1" s="650"/>
      <c r="J1" s="650"/>
      <c r="K1" s="650"/>
    </row>
    <row r="2" spans="1:11" x14ac:dyDescent="0.25">
      <c r="A2" s="658"/>
      <c r="B2" s="658"/>
      <c r="C2" s="658"/>
      <c r="D2" s="658"/>
      <c r="E2" s="658"/>
      <c r="F2" s="658"/>
      <c r="H2" s="650"/>
      <c r="I2" s="650"/>
      <c r="J2" s="650"/>
      <c r="K2" s="650"/>
    </row>
    <row r="3" spans="1:11" ht="18" customHeight="1" x14ac:dyDescent="0.25">
      <c r="A3" s="659" t="s">
        <v>129</v>
      </c>
      <c r="B3" s="659"/>
      <c r="C3" s="659"/>
      <c r="D3" s="659"/>
      <c r="E3" s="659"/>
      <c r="F3" s="659"/>
      <c r="H3" s="244" t="s">
        <v>130</v>
      </c>
      <c r="I3" s="651" t="s">
        <v>131</v>
      </c>
      <c r="J3" s="652"/>
      <c r="K3" s="653"/>
    </row>
    <row r="4" spans="1:11" ht="18" customHeight="1" x14ac:dyDescent="0.25">
      <c r="A4" s="659"/>
      <c r="B4" s="659"/>
      <c r="C4" s="659"/>
      <c r="D4" s="659"/>
      <c r="E4" s="659"/>
      <c r="F4" s="659"/>
      <c r="H4" s="244"/>
      <c r="I4" s="244"/>
    </row>
    <row r="5" spans="1:11" ht="18" customHeight="1" x14ac:dyDescent="0.25">
      <c r="A5" s="659"/>
      <c r="B5" s="659"/>
      <c r="C5" s="659"/>
      <c r="D5" s="659"/>
      <c r="E5" s="659"/>
      <c r="F5" s="659"/>
      <c r="H5" s="244" t="s">
        <v>132</v>
      </c>
      <c r="I5" s="651" t="s">
        <v>133</v>
      </c>
      <c r="J5" s="652"/>
      <c r="K5" s="653"/>
    </row>
    <row r="6" spans="1:11" ht="18" customHeight="1" x14ac:dyDescent="0.25">
      <c r="A6" s="659"/>
      <c r="B6" s="659"/>
      <c r="C6" s="659"/>
      <c r="D6" s="659"/>
      <c r="E6" s="659"/>
      <c r="F6" s="659"/>
      <c r="H6" s="244"/>
      <c r="I6" s="244"/>
    </row>
    <row r="7" spans="1:11" ht="18" customHeight="1" x14ac:dyDescent="0.25">
      <c r="A7" s="659"/>
      <c r="B7" s="659"/>
      <c r="C7" s="659"/>
      <c r="D7" s="659"/>
      <c r="E7" s="659"/>
      <c r="F7" s="659"/>
      <c r="H7" s="244" t="s">
        <v>134</v>
      </c>
      <c r="I7" s="651" t="s">
        <v>135</v>
      </c>
      <c r="J7" s="652"/>
      <c r="K7" s="653"/>
    </row>
    <row r="8" spans="1:11" ht="18" customHeight="1" x14ac:dyDescent="0.25">
      <c r="A8" s="659"/>
      <c r="B8" s="659"/>
      <c r="C8" s="659"/>
      <c r="D8" s="659"/>
      <c r="E8" s="659"/>
      <c r="F8" s="659"/>
      <c r="H8" s="244"/>
      <c r="I8" s="244"/>
    </row>
    <row r="9" spans="1:11" ht="18" customHeight="1" x14ac:dyDescent="0.25">
      <c r="A9" s="659"/>
      <c r="B9" s="659"/>
      <c r="C9" s="659"/>
      <c r="D9" s="659"/>
      <c r="E9" s="659"/>
      <c r="F9" s="659"/>
      <c r="H9" s="244" t="s">
        <v>136</v>
      </c>
      <c r="I9" s="651" t="s">
        <v>137</v>
      </c>
      <c r="J9" s="652"/>
      <c r="K9" s="653"/>
    </row>
    <row r="10" spans="1:11" ht="18" customHeight="1" x14ac:dyDescent="0.25">
      <c r="A10" s="659"/>
      <c r="B10" s="659"/>
      <c r="C10" s="659"/>
      <c r="D10" s="659"/>
      <c r="E10" s="659"/>
      <c r="F10" s="659"/>
      <c r="H10" s="244"/>
      <c r="I10" s="244"/>
    </row>
    <row r="11" spans="1:11" ht="18" customHeight="1" x14ac:dyDescent="0.25">
      <c r="A11" s="659"/>
      <c r="B11" s="659"/>
      <c r="C11" s="659"/>
      <c r="D11" s="659"/>
      <c r="E11" s="659"/>
      <c r="F11" s="659"/>
      <c r="H11" s="244" t="s">
        <v>138</v>
      </c>
      <c r="I11" s="651" t="s">
        <v>137</v>
      </c>
      <c r="J11" s="652"/>
      <c r="K11" s="653"/>
    </row>
    <row r="12" spans="1:11" ht="18" customHeight="1" x14ac:dyDescent="0.25">
      <c r="A12" s="659"/>
      <c r="B12" s="659"/>
      <c r="C12" s="659"/>
      <c r="D12" s="659"/>
      <c r="E12" s="659"/>
      <c r="F12" s="659"/>
    </row>
    <row r="13" spans="1:11" ht="20.25" x14ac:dyDescent="0.25">
      <c r="A13" s="650" t="s">
        <v>139</v>
      </c>
      <c r="B13" s="650"/>
      <c r="C13" s="650"/>
      <c r="D13" s="650"/>
      <c r="E13" s="650"/>
      <c r="F13" s="650"/>
      <c r="G13" s="650"/>
      <c r="H13" s="650"/>
      <c r="I13" s="650"/>
      <c r="J13" s="650"/>
      <c r="K13" s="650"/>
    </row>
    <row r="14" spans="1:11" x14ac:dyDescent="0.25">
      <c r="A14" s="547" t="s">
        <v>140</v>
      </c>
      <c r="B14" s="651"/>
      <c r="C14" s="652"/>
      <c r="D14" s="652"/>
      <c r="E14" s="653"/>
      <c r="H14" s="654" t="s">
        <v>141</v>
      </c>
      <c r="I14" s="654"/>
      <c r="J14" s="654"/>
      <c r="K14" s="654"/>
    </row>
    <row r="15" spans="1:11" x14ac:dyDescent="0.25">
      <c r="A15" s="547"/>
      <c r="B15" s="433"/>
      <c r="C15" s="548"/>
      <c r="D15" s="548"/>
      <c r="E15" s="548"/>
      <c r="H15" s="654"/>
      <c r="I15" s="654"/>
      <c r="J15" s="654"/>
      <c r="K15" s="654"/>
    </row>
    <row r="16" spans="1:11" x14ac:dyDescent="0.25">
      <c r="A16" s="547" t="s">
        <v>130</v>
      </c>
      <c r="B16" s="651"/>
      <c r="C16" s="652"/>
      <c r="D16" s="652"/>
      <c r="E16" s="653"/>
      <c r="H16" s="654"/>
      <c r="I16" s="654"/>
      <c r="J16" s="654"/>
      <c r="K16" s="654"/>
    </row>
    <row r="17" spans="1:11" x14ac:dyDescent="0.25">
      <c r="A17" s="549"/>
      <c r="B17" s="550"/>
      <c r="C17" s="550"/>
      <c r="D17" s="548"/>
      <c r="E17" s="550"/>
      <c r="F17" s="243"/>
      <c r="H17" s="654"/>
      <c r="I17" s="654"/>
      <c r="J17" s="654"/>
      <c r="K17" s="654"/>
    </row>
    <row r="18" spans="1:11" x14ac:dyDescent="0.25">
      <c r="A18" s="551" t="s">
        <v>132</v>
      </c>
      <c r="B18" s="651"/>
      <c r="C18" s="652"/>
      <c r="D18" s="652"/>
      <c r="E18" s="653"/>
      <c r="F18" s="243"/>
      <c r="H18" s="654"/>
      <c r="I18" s="654"/>
      <c r="J18" s="654"/>
      <c r="K18" s="654"/>
    </row>
    <row r="19" spans="1:11" x14ac:dyDescent="0.25">
      <c r="A19" s="552" t="s">
        <v>142</v>
      </c>
      <c r="B19" s="548"/>
      <c r="C19" s="548"/>
      <c r="D19" s="244"/>
      <c r="E19" s="550"/>
      <c r="F19" s="243"/>
      <c r="H19" s="654"/>
      <c r="I19" s="654"/>
      <c r="J19" s="654"/>
      <c r="K19" s="654"/>
    </row>
    <row r="20" spans="1:11" x14ac:dyDescent="0.25">
      <c r="A20" s="551" t="s">
        <v>134</v>
      </c>
      <c r="B20" s="651"/>
      <c r="C20" s="652"/>
      <c r="D20" s="652"/>
      <c r="E20" s="653"/>
      <c r="F20" s="243"/>
      <c r="H20" s="654"/>
      <c r="I20" s="654"/>
      <c r="J20" s="654"/>
      <c r="K20" s="654"/>
    </row>
    <row r="21" spans="1:11" x14ac:dyDescent="0.25">
      <c r="A21" s="551"/>
      <c r="B21" s="244"/>
      <c r="C21" s="244"/>
      <c r="D21" s="244"/>
      <c r="E21" s="550"/>
      <c r="F21" s="243"/>
      <c r="H21" s="654"/>
      <c r="I21" s="654"/>
      <c r="J21" s="654"/>
      <c r="K21" s="654"/>
    </row>
    <row r="22" spans="1:11" x14ac:dyDescent="0.25">
      <c r="A22" s="551" t="s">
        <v>136</v>
      </c>
      <c r="B22" s="655"/>
      <c r="C22" s="656"/>
      <c r="D22" s="656"/>
      <c r="E22" s="657"/>
      <c r="F22" s="243"/>
      <c r="H22" s="654"/>
      <c r="I22" s="654"/>
      <c r="J22" s="654"/>
      <c r="K22" s="654"/>
    </row>
    <row r="23" spans="1:11" x14ac:dyDescent="0.25">
      <c r="A23" s="551"/>
      <c r="B23" s="244"/>
      <c r="C23" s="244"/>
      <c r="D23" s="244"/>
      <c r="E23" s="550"/>
      <c r="F23" s="243"/>
      <c r="H23" s="654"/>
      <c r="I23" s="654"/>
      <c r="J23" s="654"/>
      <c r="K23" s="654"/>
    </row>
    <row r="24" spans="1:11" x14ac:dyDescent="0.25">
      <c r="A24" s="551" t="s">
        <v>143</v>
      </c>
      <c r="B24" s="655"/>
      <c r="C24" s="656"/>
      <c r="D24" s="656"/>
      <c r="E24" s="657"/>
      <c r="F24" s="243"/>
      <c r="H24" s="654"/>
      <c r="I24" s="654"/>
      <c r="J24" s="654"/>
      <c r="K24" s="654"/>
    </row>
    <row r="27" spans="1:11" ht="20.25" x14ac:dyDescent="0.25">
      <c r="A27" s="650" t="s">
        <v>144</v>
      </c>
      <c r="B27" s="650"/>
      <c r="C27" s="650"/>
      <c r="D27" s="650"/>
      <c r="E27" s="650"/>
      <c r="F27" s="650"/>
      <c r="G27" s="650"/>
      <c r="H27" s="650"/>
      <c r="I27" s="650"/>
      <c r="J27" s="650"/>
      <c r="K27" s="650"/>
    </row>
    <row r="28" spans="1:11" x14ac:dyDescent="0.25">
      <c r="A28" s="547" t="s">
        <v>140</v>
      </c>
      <c r="B28" s="651"/>
      <c r="C28" s="652"/>
      <c r="D28" s="652"/>
      <c r="E28" s="653"/>
      <c r="H28" s="654" t="s">
        <v>145</v>
      </c>
      <c r="I28" s="654"/>
      <c r="J28" s="654"/>
      <c r="K28" s="654"/>
    </row>
    <row r="29" spans="1:11" x14ac:dyDescent="0.25">
      <c r="A29" s="547"/>
      <c r="B29" s="433"/>
      <c r="H29" s="654"/>
      <c r="I29" s="654"/>
      <c r="J29" s="654"/>
      <c r="K29" s="654"/>
    </row>
    <row r="30" spans="1:11" x14ac:dyDescent="0.25">
      <c r="A30" s="547" t="s">
        <v>130</v>
      </c>
      <c r="B30" s="651"/>
      <c r="C30" s="652"/>
      <c r="D30" s="652"/>
      <c r="E30" s="653"/>
      <c r="H30" s="654"/>
      <c r="I30" s="654"/>
      <c r="J30" s="654"/>
      <c r="K30" s="654"/>
    </row>
    <row r="31" spans="1:11" x14ac:dyDescent="0.25">
      <c r="A31" s="549"/>
      <c r="B31" s="243"/>
      <c r="C31" s="243"/>
      <c r="E31" s="243"/>
      <c r="F31" s="243"/>
      <c r="H31" s="654"/>
      <c r="I31" s="654"/>
      <c r="J31" s="654"/>
      <c r="K31" s="654"/>
    </row>
    <row r="32" spans="1:11" x14ac:dyDescent="0.25">
      <c r="A32" s="551" t="s">
        <v>132</v>
      </c>
      <c r="B32" s="651"/>
      <c r="C32" s="652"/>
      <c r="D32" s="652"/>
      <c r="E32" s="653"/>
      <c r="F32" s="243"/>
      <c r="H32" s="654"/>
      <c r="I32" s="654"/>
      <c r="J32" s="654"/>
      <c r="K32" s="654"/>
    </row>
    <row r="33" spans="1:11" x14ac:dyDescent="0.25">
      <c r="A33" s="552" t="s">
        <v>142</v>
      </c>
      <c r="D33" s="244"/>
      <c r="E33" s="243"/>
      <c r="F33" s="243"/>
      <c r="H33" s="654"/>
      <c r="I33" s="654"/>
      <c r="J33" s="654"/>
      <c r="K33" s="654"/>
    </row>
    <row r="34" spans="1:11" x14ac:dyDescent="0.25">
      <c r="A34" s="551" t="s">
        <v>134</v>
      </c>
      <c r="B34" s="651"/>
      <c r="C34" s="652"/>
      <c r="D34" s="652"/>
      <c r="E34" s="653"/>
      <c r="F34" s="243"/>
      <c r="H34" s="654"/>
      <c r="I34" s="654"/>
      <c r="J34" s="654"/>
      <c r="K34" s="654"/>
    </row>
    <row r="35" spans="1:11" x14ac:dyDescent="0.25">
      <c r="A35" s="551"/>
      <c r="B35" s="244"/>
      <c r="C35" s="244"/>
      <c r="D35" s="244"/>
      <c r="E35" s="243"/>
      <c r="F35" s="243"/>
      <c r="H35" s="654"/>
      <c r="I35" s="654"/>
      <c r="J35" s="654"/>
      <c r="K35" s="654"/>
    </row>
    <row r="36" spans="1:11" x14ac:dyDescent="0.25">
      <c r="A36" s="551" t="s">
        <v>136</v>
      </c>
      <c r="B36" s="655"/>
      <c r="C36" s="656"/>
      <c r="D36" s="656"/>
      <c r="E36" s="657"/>
      <c r="F36" s="243"/>
      <c r="H36" s="654"/>
      <c r="I36" s="654"/>
      <c r="J36" s="654"/>
      <c r="K36" s="654"/>
    </row>
    <row r="37" spans="1:11" x14ac:dyDescent="0.25">
      <c r="A37" s="551"/>
      <c r="B37" s="244"/>
      <c r="C37" s="244"/>
      <c r="D37" s="244"/>
      <c r="E37" s="243"/>
      <c r="F37" s="243"/>
      <c r="H37" s="654"/>
      <c r="I37" s="654"/>
      <c r="J37" s="654"/>
      <c r="K37" s="654"/>
    </row>
    <row r="38" spans="1:11" x14ac:dyDescent="0.25">
      <c r="A38" s="551" t="s">
        <v>143</v>
      </c>
      <c r="B38" s="655"/>
      <c r="C38" s="656"/>
      <c r="D38" s="656"/>
      <c r="E38" s="657"/>
      <c r="F38" s="243"/>
      <c r="H38" s="654"/>
      <c r="I38" s="654"/>
      <c r="J38" s="654"/>
      <c r="K38" s="654"/>
    </row>
    <row r="39" spans="1:11" x14ac:dyDescent="0.25">
      <c r="H39" s="654"/>
      <c r="I39" s="654"/>
      <c r="J39" s="654"/>
      <c r="K39" s="654"/>
    </row>
    <row r="41" spans="1:11" ht="20.25" x14ac:dyDescent="0.25">
      <c r="A41" s="650" t="s">
        <v>146</v>
      </c>
      <c r="B41" s="650"/>
      <c r="C41" s="650"/>
      <c r="D41" s="650"/>
      <c r="E41" s="650"/>
      <c r="F41" s="650"/>
      <c r="G41" s="650"/>
      <c r="H41" s="650"/>
      <c r="I41" s="650"/>
      <c r="J41" s="650"/>
      <c r="K41" s="650"/>
    </row>
    <row r="42" spans="1:11" x14ac:dyDescent="0.25">
      <c r="A42" s="551" t="s">
        <v>132</v>
      </c>
      <c r="B42" s="651"/>
      <c r="C42" s="652"/>
      <c r="D42" s="652"/>
      <c r="E42" s="653"/>
      <c r="F42" s="243"/>
      <c r="H42" s="654" t="s">
        <v>147</v>
      </c>
      <c r="I42" s="654"/>
      <c r="J42" s="654"/>
      <c r="K42" s="654"/>
    </row>
    <row r="43" spans="1:11" x14ac:dyDescent="0.25">
      <c r="A43" s="552" t="s">
        <v>142</v>
      </c>
      <c r="B43" s="548"/>
      <c r="C43" s="548"/>
      <c r="D43" s="244"/>
      <c r="E43" s="550"/>
      <c r="F43" s="243"/>
      <c r="H43" s="654"/>
      <c r="I43" s="654"/>
      <c r="J43" s="654"/>
      <c r="K43" s="654"/>
    </row>
    <row r="44" spans="1:11" x14ac:dyDescent="0.25">
      <c r="A44" s="551" t="s">
        <v>134</v>
      </c>
      <c r="B44" s="651"/>
      <c r="C44" s="652"/>
      <c r="D44" s="652"/>
      <c r="E44" s="653"/>
      <c r="F44" s="243"/>
      <c r="H44" s="654"/>
      <c r="I44" s="654"/>
      <c r="J44" s="654"/>
      <c r="K44" s="654"/>
    </row>
    <row r="45" spans="1:11" x14ac:dyDescent="0.25">
      <c r="A45" s="551"/>
      <c r="B45" s="244"/>
      <c r="C45" s="244"/>
      <c r="D45" s="244"/>
      <c r="E45" s="550"/>
      <c r="F45" s="243"/>
      <c r="H45" s="654"/>
      <c r="I45" s="654"/>
      <c r="J45" s="654"/>
      <c r="K45" s="654"/>
    </row>
    <row r="46" spans="1:11" x14ac:dyDescent="0.25">
      <c r="A46" s="551" t="s">
        <v>136</v>
      </c>
      <c r="B46" s="655"/>
      <c r="C46" s="656"/>
      <c r="D46" s="656"/>
      <c r="E46" s="657"/>
      <c r="F46" s="243"/>
      <c r="H46" s="654"/>
      <c r="I46" s="654"/>
      <c r="J46" s="654"/>
      <c r="K46" s="654"/>
    </row>
    <row r="47" spans="1:11" x14ac:dyDescent="0.25">
      <c r="H47" s="654"/>
      <c r="I47" s="654"/>
      <c r="J47" s="654"/>
      <c r="K47" s="654"/>
    </row>
    <row r="48" spans="1:11" x14ac:dyDescent="0.25">
      <c r="H48" s="654"/>
      <c r="I48" s="654"/>
      <c r="J48" s="654"/>
      <c r="K48" s="654"/>
    </row>
    <row r="49" spans="8:11" x14ac:dyDescent="0.25">
      <c r="H49" s="654"/>
      <c r="I49" s="654"/>
      <c r="J49" s="654"/>
      <c r="K49" s="654"/>
    </row>
  </sheetData>
  <sheetProtection sheet="1"/>
  <mergeCells count="29">
    <mergeCell ref="A1:F2"/>
    <mergeCell ref="H1:K2"/>
    <mergeCell ref="A3:F12"/>
    <mergeCell ref="I3:K3"/>
    <mergeCell ref="I5:K5"/>
    <mergeCell ref="I7:K7"/>
    <mergeCell ref="I9:K9"/>
    <mergeCell ref="I11:K11"/>
    <mergeCell ref="B34:E34"/>
    <mergeCell ref="B36:E36"/>
    <mergeCell ref="B38:E38"/>
    <mergeCell ref="A13:K13"/>
    <mergeCell ref="B14:E14"/>
    <mergeCell ref="H14:K24"/>
    <mergeCell ref="B16:E16"/>
    <mergeCell ref="B18:E18"/>
    <mergeCell ref="B20:E20"/>
    <mergeCell ref="B22:E22"/>
    <mergeCell ref="A27:K27"/>
    <mergeCell ref="B28:E28"/>
    <mergeCell ref="H28:K39"/>
    <mergeCell ref="B30:E30"/>
    <mergeCell ref="B32:E32"/>
    <mergeCell ref="B24:E24"/>
    <mergeCell ref="A41:K41"/>
    <mergeCell ref="B42:E42"/>
    <mergeCell ref="H42:K49"/>
    <mergeCell ref="B44:E44"/>
    <mergeCell ref="B46:E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A46"/>
  <sheetViews>
    <sheetView workbookViewId="0">
      <selection activeCell="B1" sqref="B1"/>
    </sheetView>
  </sheetViews>
  <sheetFormatPr defaultRowHeight="15.75" x14ac:dyDescent="0.25"/>
  <cols>
    <col min="1" max="1" width="87.8984375" customWidth="1"/>
  </cols>
  <sheetData>
    <row r="1" spans="1:1" x14ac:dyDescent="0.25">
      <c r="A1" s="660" t="s">
        <v>148</v>
      </c>
    </row>
    <row r="2" spans="1:1" x14ac:dyDescent="0.25">
      <c r="A2" s="660"/>
    </row>
    <row r="3" spans="1:1" x14ac:dyDescent="0.25">
      <c r="A3" s="660"/>
    </row>
    <row r="4" spans="1:1" x14ac:dyDescent="0.25">
      <c r="A4" s="660"/>
    </row>
    <row r="5" spans="1:1" x14ac:dyDescent="0.25">
      <c r="A5" s="660"/>
    </row>
    <row r="6" spans="1:1" x14ac:dyDescent="0.25">
      <c r="A6" s="660"/>
    </row>
    <row r="7" spans="1:1" x14ac:dyDescent="0.25">
      <c r="A7" s="660"/>
    </row>
    <row r="8" spans="1:1" x14ac:dyDescent="0.25">
      <c r="A8" s="660"/>
    </row>
    <row r="9" spans="1:1" x14ac:dyDescent="0.25">
      <c r="A9" s="660"/>
    </row>
    <row r="10" spans="1:1" x14ac:dyDescent="0.25">
      <c r="A10" s="660"/>
    </row>
    <row r="11" spans="1:1" x14ac:dyDescent="0.25">
      <c r="A11" s="660"/>
    </row>
    <row r="12" spans="1:1" x14ac:dyDescent="0.25">
      <c r="A12" s="660"/>
    </row>
    <row r="13" spans="1:1" x14ac:dyDescent="0.25">
      <c r="A13" s="660"/>
    </row>
    <row r="14" spans="1:1" x14ac:dyDescent="0.25">
      <c r="A14" s="660"/>
    </row>
    <row r="15" spans="1:1" x14ac:dyDescent="0.25">
      <c r="A15" s="660"/>
    </row>
    <row r="16" spans="1:1" x14ac:dyDescent="0.25">
      <c r="A16" s="660"/>
    </row>
    <row r="17" spans="1:1" x14ac:dyDescent="0.25">
      <c r="A17" s="660"/>
    </row>
    <row r="18" spans="1:1" x14ac:dyDescent="0.25">
      <c r="A18" s="660"/>
    </row>
    <row r="19" spans="1:1" x14ac:dyDescent="0.25">
      <c r="A19" s="660"/>
    </row>
    <row r="20" spans="1:1" x14ac:dyDescent="0.25">
      <c r="A20" s="660"/>
    </row>
    <row r="21" spans="1:1" x14ac:dyDescent="0.25">
      <c r="A21" s="660"/>
    </row>
    <row r="22" spans="1:1" x14ac:dyDescent="0.25">
      <c r="A22" s="660"/>
    </row>
    <row r="23" spans="1:1" x14ac:dyDescent="0.25">
      <c r="A23" s="660"/>
    </row>
    <row r="24" spans="1:1" x14ac:dyDescent="0.25">
      <c r="A24" s="660"/>
    </row>
    <row r="25" spans="1:1" x14ac:dyDescent="0.25">
      <c r="A25" s="660"/>
    </row>
    <row r="26" spans="1:1" x14ac:dyDescent="0.25">
      <c r="A26" s="660"/>
    </row>
    <row r="27" spans="1:1" x14ac:dyDescent="0.25">
      <c r="A27" s="660"/>
    </row>
    <row r="28" spans="1:1" x14ac:dyDescent="0.25">
      <c r="A28" s="660"/>
    </row>
    <row r="29" spans="1:1" x14ac:dyDescent="0.25">
      <c r="A29" s="660"/>
    </row>
    <row r="30" spans="1:1" x14ac:dyDescent="0.25">
      <c r="A30" s="660"/>
    </row>
    <row r="31" spans="1:1" x14ac:dyDescent="0.25">
      <c r="A31" s="660"/>
    </row>
    <row r="32" spans="1:1" x14ac:dyDescent="0.25">
      <c r="A32" s="660"/>
    </row>
    <row r="33" spans="1:1" x14ac:dyDescent="0.25">
      <c r="A33" s="660"/>
    </row>
    <row r="34" spans="1:1" x14ac:dyDescent="0.25">
      <c r="A34" s="660"/>
    </row>
    <row r="35" spans="1:1" x14ac:dyDescent="0.25">
      <c r="A35" s="660"/>
    </row>
    <row r="36" spans="1:1" x14ac:dyDescent="0.25">
      <c r="A36" s="660"/>
    </row>
    <row r="37" spans="1:1" x14ac:dyDescent="0.25">
      <c r="A37" s="660"/>
    </row>
    <row r="38" spans="1:1" x14ac:dyDescent="0.25">
      <c r="A38" s="660"/>
    </row>
    <row r="39" spans="1:1" x14ac:dyDescent="0.25">
      <c r="A39" s="660"/>
    </row>
    <row r="40" spans="1:1" x14ac:dyDescent="0.25">
      <c r="A40" s="660"/>
    </row>
    <row r="41" spans="1:1" x14ac:dyDescent="0.25">
      <c r="A41" s="236"/>
    </row>
    <row r="42" spans="1:1" x14ac:dyDescent="0.25">
      <c r="A42" s="236"/>
    </row>
    <row r="43" spans="1:1" x14ac:dyDescent="0.25">
      <c r="A43" s="236"/>
    </row>
    <row r="44" spans="1:1" x14ac:dyDescent="0.25">
      <c r="A44" s="236"/>
    </row>
    <row r="45" spans="1:1" x14ac:dyDescent="0.25">
      <c r="A45" s="236"/>
    </row>
    <row r="46" spans="1:1" x14ac:dyDescent="0.25">
      <c r="A46" s="236"/>
    </row>
  </sheetData>
  <sheetProtection sheet="1"/>
  <mergeCells count="1">
    <mergeCell ref="A1:A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GW66"/>
  <sheetViews>
    <sheetView zoomScaleNormal="100" workbookViewId="0">
      <selection activeCell="F42" sqref="F42"/>
    </sheetView>
  </sheetViews>
  <sheetFormatPr defaultRowHeight="15.75" x14ac:dyDescent="0.25"/>
  <cols>
    <col min="1" max="1" width="20.69921875" style="55" customWidth="1"/>
    <col min="2" max="2" width="9.69921875" style="55" customWidth="1"/>
    <col min="3" max="3" width="5.69921875" style="55" customWidth="1"/>
    <col min="4" max="4" width="15.69921875" style="55" customWidth="1"/>
    <col min="5" max="5" width="12.69921875" style="55" customWidth="1"/>
    <col min="6" max="6" width="11.796875" style="55" customWidth="1"/>
    <col min="7" max="16384" width="8.796875" style="55"/>
  </cols>
  <sheetData>
    <row r="1" spans="1:205" s="3" customFormat="1" x14ac:dyDescent="0.25">
      <c r="A1" s="668" t="s">
        <v>149</v>
      </c>
      <c r="B1" s="668"/>
      <c r="C1" s="668"/>
      <c r="D1" s="668"/>
      <c r="E1" s="668"/>
      <c r="F1" s="668"/>
      <c r="G1" s="3">
        <f>inputPrYr!D6</f>
        <v>2025</v>
      </c>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row>
    <row r="2" spans="1:205" s="3" customFormat="1" x14ac:dyDescent="0.25">
      <c r="B2" s="104"/>
      <c r="C2" s="104"/>
      <c r="D2" s="104"/>
      <c r="E2" s="104"/>
      <c r="F2" s="40"/>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row>
    <row r="3" spans="1:205" s="3" customFormat="1" x14ac:dyDescent="0.25">
      <c r="A3" s="662" t="str">
        <f>CONCATENATE("To the Clerk of ",inputPrYr!D4,", State of Kansas")</f>
        <v>To the Clerk of , State of Kansas</v>
      </c>
      <c r="B3" s="675"/>
      <c r="C3" s="675"/>
      <c r="D3" s="675"/>
      <c r="E3" s="675"/>
      <c r="F3" s="675"/>
      <c r="G3" s="67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row>
    <row r="4" spans="1:205" s="3" customFormat="1" x14ac:dyDescent="0.25">
      <c r="A4" s="662" t="s">
        <v>150</v>
      </c>
      <c r="B4" s="637"/>
      <c r="C4" s="637"/>
      <c r="D4" s="637"/>
      <c r="E4" s="637"/>
      <c r="F4" s="637"/>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row>
    <row r="5" spans="1:205" s="3" customFormat="1" x14ac:dyDescent="0.25">
      <c r="A5" s="636">
        <f>inputPrYr!D3</f>
        <v>0</v>
      </c>
      <c r="B5" s="637"/>
      <c r="C5" s="637"/>
      <c r="D5" s="637"/>
      <c r="E5" s="637"/>
      <c r="F5" s="637"/>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row>
    <row r="6" spans="1:205" s="3" customFormat="1" x14ac:dyDescent="0.25">
      <c r="A6" s="674" t="s">
        <v>151</v>
      </c>
      <c r="B6" s="675"/>
      <c r="C6" s="675"/>
      <c r="D6" s="675"/>
      <c r="E6" s="675"/>
      <c r="F6" s="67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row>
    <row r="7" spans="1:205" s="3" customFormat="1" ht="15.75" customHeight="1" x14ac:dyDescent="0.25">
      <c r="A7" s="662" t="s">
        <v>152</v>
      </c>
      <c r="B7" s="637"/>
      <c r="C7" s="637"/>
      <c r="D7" s="637"/>
      <c r="E7" s="637"/>
      <c r="F7" s="637"/>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row>
    <row r="8" spans="1:205" s="3" customFormat="1" ht="15.75" customHeight="1" x14ac:dyDescent="0.25">
      <c r="A8" s="662" t="str">
        <f>CONCATENATE("maximum expenditures for the various funds for the year ",G1,"; and (3) the")</f>
        <v>maximum expenditures for the various funds for the year 2025; and (3) the</v>
      </c>
      <c r="B8" s="637"/>
      <c r="C8" s="637"/>
      <c r="D8" s="637"/>
      <c r="E8" s="637"/>
      <c r="F8" s="637"/>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row>
    <row r="9" spans="1:205" s="3" customFormat="1" ht="15.75" customHeight="1" x14ac:dyDescent="0.25">
      <c r="A9" s="662" t="str">
        <f>CONCATENATE("Amount(s) of ",G1-1," Ad Valorem Tax are within statutory limitations for the ",G1," Budget.")</f>
        <v>Amount(s) of 2024 Ad Valorem Tax are within statutory limitations for the 2025 Budget.</v>
      </c>
      <c r="B9" s="637"/>
      <c r="C9" s="637"/>
      <c r="D9" s="637"/>
      <c r="E9" s="637"/>
      <c r="F9" s="637"/>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row>
    <row r="10" spans="1:205" s="3" customFormat="1" ht="15.75" customHeight="1" x14ac:dyDescent="0.25">
      <c r="D10" s="43"/>
      <c r="E10" s="43"/>
      <c r="F10" s="43"/>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row>
    <row r="11" spans="1:205" s="3" customFormat="1" x14ac:dyDescent="0.25">
      <c r="D11" s="671" t="str">
        <f>CONCATENATE("",G1," Adopted Budget")</f>
        <v>2025 Adopted Budget</v>
      </c>
      <c r="E11" s="672"/>
      <c r="F11" s="673"/>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row>
    <row r="12" spans="1:205" s="3" customFormat="1" x14ac:dyDescent="0.25">
      <c r="A12" s="9"/>
      <c r="C12" s="43"/>
      <c r="D12" s="185" t="s">
        <v>153</v>
      </c>
      <c r="E12" s="663" t="str">
        <f>CONCATENATE("Amount of ",G1-1," Ad Valorem Tax")</f>
        <v>Amount of 2024 Ad Valorem Tax</v>
      </c>
      <c r="F12" s="663" t="s">
        <v>154</v>
      </c>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row>
    <row r="13" spans="1:205" s="3" customFormat="1" x14ac:dyDescent="0.25">
      <c r="C13" s="10" t="s">
        <v>155</v>
      </c>
      <c r="D13" s="307" t="s">
        <v>124</v>
      </c>
      <c r="E13" s="669"/>
      <c r="F13" s="664"/>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row>
    <row r="14" spans="1:205" s="3" customFormat="1" x14ac:dyDescent="0.25">
      <c r="A14" s="48" t="s">
        <v>156</v>
      </c>
      <c r="B14" s="7"/>
      <c r="C14" s="12" t="s">
        <v>157</v>
      </c>
      <c r="D14" s="308" t="s">
        <v>158</v>
      </c>
      <c r="E14" s="670"/>
      <c r="F14" s="66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row>
    <row r="15" spans="1:205" s="3" customFormat="1" x14ac:dyDescent="0.25">
      <c r="A15" s="13" t="s">
        <v>159</v>
      </c>
      <c r="B15" s="14"/>
      <c r="C15" s="119">
        <v>2</v>
      </c>
      <c r="F15" s="187"/>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row>
    <row r="16" spans="1:205" s="3" customFormat="1" x14ac:dyDescent="0.25">
      <c r="A16" s="42" t="s">
        <v>160</v>
      </c>
      <c r="B16" s="14"/>
      <c r="C16" s="119">
        <v>3</v>
      </c>
      <c r="F16" s="187"/>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row>
    <row r="17" spans="1:205" s="3" customFormat="1" x14ac:dyDescent="0.25">
      <c r="A17" s="42" t="s">
        <v>161</v>
      </c>
      <c r="B17" s="14"/>
      <c r="C17" s="119">
        <v>4</v>
      </c>
      <c r="F17" s="187"/>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row>
    <row r="18" spans="1:205" s="3" customFormat="1" x14ac:dyDescent="0.25">
      <c r="A18" s="42" t="str">
        <f>IF(inputPrYr!E19=""," ","Computation to Determine State Library Grant")</f>
        <v xml:space="preserve"> </v>
      </c>
      <c r="B18" s="14"/>
      <c r="C18" s="119" t="str">
        <f>IF(inputPrYr!D19="","",'Library Grant'!F40)</f>
        <v/>
      </c>
      <c r="F18" s="187"/>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row>
    <row r="19" spans="1:205" s="3" customFormat="1" x14ac:dyDescent="0.25">
      <c r="A19" s="188" t="s">
        <v>109</v>
      </c>
      <c r="B19" s="105" t="s">
        <v>162</v>
      </c>
      <c r="C19" s="611"/>
      <c r="F19" s="189"/>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row>
    <row r="20" spans="1:205" s="3" customFormat="1" x14ac:dyDescent="0.25">
      <c r="A20" s="59" t="str">
        <f>inputPrYr!B17</f>
        <v>General</v>
      </c>
      <c r="B20" s="190" t="str">
        <f>inputPrYr!C17</f>
        <v>79-1962</v>
      </c>
      <c r="C20" s="191" t="str">
        <f>IF(General!C62&gt;0,General!C62,"  ")</f>
        <v xml:space="preserve">  </v>
      </c>
      <c r="D20" s="435" t="str">
        <f>IF(General!$E$49&lt;&gt;0,General!$E$49,"  ")</f>
        <v xml:space="preserve">  </v>
      </c>
      <c r="E20" s="435">
        <f>IF(General!$E$56&lt;&gt;0,General!$E$56,0)</f>
        <v>0</v>
      </c>
      <c r="F20" s="436" t="str">
        <f>IF(AND(E20=0,$F$36&gt;=0)," ",IF(AND(E20&gt;0,$F$36=0)," ",IF(AND(E20&gt;0,$F$36&gt;0),ROUND(E20/$F$36*1000,3))))</f>
        <v xml:space="preserve"> </v>
      </c>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row>
    <row r="21" spans="1:205" s="3" customFormat="1" x14ac:dyDescent="0.25">
      <c r="A21" s="59" t="s">
        <v>96</v>
      </c>
      <c r="B21" s="190" t="str">
        <f>inputPrYr!C18</f>
        <v>10-113</v>
      </c>
      <c r="C21" s="191" t="str">
        <f>IF('DebtSvs-Library'!C86&gt;0,'DebtSvs-Library'!C86,"  ")</f>
        <v xml:space="preserve">  </v>
      </c>
      <c r="D21" s="435" t="str">
        <f>IF('DebtSvs-Library'!E34&lt;&gt;0,'DebtSvs-Library'!E34,"  ")</f>
        <v xml:space="preserve">  </v>
      </c>
      <c r="E21" s="435" t="str">
        <f>IF('DebtSvs-Library'!E41&lt;&gt;0,'DebtSvs-Library'!E41,"  ")</f>
        <v xml:space="preserve">  </v>
      </c>
      <c r="F21" s="436" t="str">
        <f>IF(AND('DebtSvs-Library'!E41=0,$F$36&gt;=0)," ",IF(AND(E21&gt;0,$F$36=0)," ",IF(AND(E21&gt;0,$F$36&gt;0),ROUND(E21/$F$36*1000,3))))</f>
        <v xml:space="preserve"> </v>
      </c>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row>
    <row r="22" spans="1:205" s="3" customFormat="1" x14ac:dyDescent="0.25">
      <c r="A22" s="59" t="str">
        <f>inputPrYr!B19</f>
        <v>Library</v>
      </c>
      <c r="B22" s="190" t="str">
        <f>inputPrYr!C19</f>
        <v>12-1220</v>
      </c>
      <c r="C22" s="191" t="str">
        <f>IF('DebtSvs-Library'!C86&gt;0,'DebtSvs-Library'!C86,"  ")</f>
        <v xml:space="preserve">  </v>
      </c>
      <c r="D22" s="435" t="str">
        <f>IF('DebtSvs-Library'!E73&lt;&gt;0,'DebtSvs-Library'!E73,"  ")</f>
        <v xml:space="preserve">  </v>
      </c>
      <c r="E22" s="435" t="str">
        <f>IF('DebtSvs-Library'!E80&lt;&gt;0,'DebtSvs-Library'!E80,"  ")</f>
        <v xml:space="preserve">  </v>
      </c>
      <c r="F22" s="436" t="str">
        <f>IF(AND('DebtSvs-Library'!E80=0,$F$36&gt;=0)," ",IF(AND(E22&gt;0,$F$36=0)," ",IF(AND(E22&gt;0,$F$36&gt;0),ROUND(E22/$F$36*1000,3))))</f>
        <v xml:space="preserve"> </v>
      </c>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row>
    <row r="23" spans="1:205" s="3" customFormat="1" x14ac:dyDescent="0.25">
      <c r="A23" s="59" t="str">
        <f>IF(inputPrYr!$B20&gt;"  ",inputPrYr!$B20,"  ")</f>
        <v>Road</v>
      </c>
      <c r="B23" s="190" t="str">
        <f>IF(inputPrYr!C20&gt;0,inputPrYr!C20,"  ")</f>
        <v>68-518c</v>
      </c>
      <c r="C23" s="191" t="str">
        <f>IF(Road!C70&gt;0,Road!C70,"  ")</f>
        <v xml:space="preserve">  </v>
      </c>
      <c r="D23" s="435" t="str">
        <f>IF(Road!$E$43&lt;&gt;0,Road!$E$43,"  ")</f>
        <v xml:space="preserve">  </v>
      </c>
      <c r="E23" s="435" t="str">
        <f>IF(Road!$E$50&lt;&gt;0,Road!$E$50,"  ")</f>
        <v xml:space="preserve">  </v>
      </c>
      <c r="F23" s="436" t="str">
        <f>IF(AND(Road!E50=0,$F$36&gt;=0)," ",IF(AND(E23&gt;0,$F$36=0)," ",IF(AND(E23&gt;0,$F$36&gt;0),ROUND(E23/$F$36*1000,3))))</f>
        <v xml:space="preserve"> </v>
      </c>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row>
    <row r="24" spans="1:205" s="3" customFormat="1" x14ac:dyDescent="0.25">
      <c r="A24" s="59" t="str">
        <f>IF(inputPrYr!$B21&gt;"  ",inputPrYr!$B21,"  ")</f>
        <v xml:space="preserve">  </v>
      </c>
      <c r="B24" s="190" t="str">
        <f>IF(inputPrYr!C21&gt;0,inputPrYr!C21,"  ")</f>
        <v xml:space="preserve">  </v>
      </c>
      <c r="C24" s="191" t="str">
        <f>IF('Levy Page 9'!C87&gt;0,'Levy Page 9'!C87,"  ")</f>
        <v xml:space="preserve">  </v>
      </c>
      <c r="D24" s="435" t="str">
        <f>IF('Levy Page 9'!$E$34&lt;&gt;0,'Levy Page 9'!$E$34,"  ")</f>
        <v xml:space="preserve">  </v>
      </c>
      <c r="E24" s="435" t="str">
        <f>IF('Levy Page 9'!$E$41&lt;&gt;0,'Levy Page 9'!$E$41,"  ")</f>
        <v xml:space="preserve">  </v>
      </c>
      <c r="F24" s="436" t="str">
        <f>IF(AND('Levy Page 9'!E41=0,$F$36&gt;=0)," ",IF(AND(E24&gt;0,$F$36=0)," ",IF(AND(E24&gt;0,$F$36&gt;0),ROUND(E24/$F$36*1000,3))))</f>
        <v xml:space="preserve"> </v>
      </c>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row>
    <row r="25" spans="1:205" s="3" customFormat="1" x14ac:dyDescent="0.25">
      <c r="A25" s="59" t="str">
        <f>IF(inputPrYr!$B22&gt;"  ",inputPrYr!$B22,"  ")</f>
        <v xml:space="preserve">  </v>
      </c>
      <c r="B25" s="190" t="str">
        <f>IF(inputPrYr!C22&gt;0,inputPrYr!C22,"  ")</f>
        <v xml:space="preserve">  </v>
      </c>
      <c r="C25" s="191" t="str">
        <f>IF('Levy Page 9'!C87&gt;0,'Levy Page 9'!C87,"  ")</f>
        <v xml:space="preserve">  </v>
      </c>
      <c r="D25" s="435" t="str">
        <f>IF('Levy Page 9'!$E$74&lt;&gt;0,'Levy Page 9'!$E$74,"  ")</f>
        <v xml:space="preserve">  </v>
      </c>
      <c r="E25" s="435" t="str">
        <f>IF('Levy Page 9'!$E$81&lt;&gt;0,'Levy Page 9'!$E$81,"  ")</f>
        <v xml:space="preserve">  </v>
      </c>
      <c r="F25" s="436" t="str">
        <f>IF(AND('Levy Page 9'!E81=0,$F$36&gt;=0)," ",IF(AND(E25&gt;0,$F$36=0)," ",IF(AND(E25&gt;0,$F$36&gt;0),ROUND(E25/$F$36*1000,3))))</f>
        <v xml:space="preserve"> </v>
      </c>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row>
    <row r="26" spans="1:205" s="3" customFormat="1" x14ac:dyDescent="0.25">
      <c r="A26" s="59" t="str">
        <f>IF(inputPrYr!$B23&gt;"  ",inputPrYr!$B23,"  ")</f>
        <v xml:space="preserve">  </v>
      </c>
      <c r="B26" s="190" t="str">
        <f>IF(inputPrYr!C23&gt;0,inputPrYr!C23,"  ")</f>
        <v xml:space="preserve">  </v>
      </c>
      <c r="C26" s="191" t="str">
        <f>IF('Levy Page 10'!C88&gt;0,'Levy Page 10'!C88,"  ")</f>
        <v xml:space="preserve">  </v>
      </c>
      <c r="D26" s="435" t="str">
        <f>IF('Levy Page 10'!$E$34&lt;&gt;0,'Levy Page 10'!$E$34,"  ")</f>
        <v xml:space="preserve">  </v>
      </c>
      <c r="E26" s="435" t="str">
        <f>IF('Levy Page 10'!$E$41&lt;&gt;0,'Levy Page 10'!$E$41,"  ")</f>
        <v xml:space="preserve">  </v>
      </c>
      <c r="F26" s="436" t="str">
        <f>IF(AND('Levy Page 10'!E41=0,$F$36&gt;=0)," ",IF(AND(E26&gt;0,$F$36=0)," ",IF(AND(E26&gt;0,$F$36&gt;0),ROUND(E26/$F$36*1000,3))))</f>
        <v xml:space="preserve"> </v>
      </c>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row>
    <row r="27" spans="1:205" s="3" customFormat="1" x14ac:dyDescent="0.25">
      <c r="A27" s="59" t="str">
        <f>IF(inputPrYr!$B24&gt;"  ",inputPrYr!$B24,"  ")</f>
        <v xml:space="preserve">  </v>
      </c>
      <c r="B27" s="190" t="str">
        <f>IF(inputPrYr!C24&gt;0,inputPrYr!C24,"  ")</f>
        <v xml:space="preserve">  </v>
      </c>
      <c r="C27" s="191" t="str">
        <f>IF('Levy Page 10'!C88&gt;0,'Levy Page 10'!C88,"  ")</f>
        <v xml:space="preserve">  </v>
      </c>
      <c r="D27" s="435" t="str">
        <f>IF('Levy Page 10'!$E$75&lt;&gt;0,'Levy Page 10'!$E$75,"  ")</f>
        <v xml:space="preserve">  </v>
      </c>
      <c r="E27" s="435" t="str">
        <f>IF('Levy Page 10'!$E$82&lt;&gt;0,'Levy Page 10'!$E$82,"  ")</f>
        <v xml:space="preserve">  </v>
      </c>
      <c r="F27" s="436" t="str">
        <f>IF(AND('Levy Page 10'!E82=0,$F$36&gt;=0)," ",IF(AND(E27&gt;0,$F$36=0)," ",IF(AND(E27&gt;0,$F$36&gt;0),ROUND(E27/$F$36*1000,3))))</f>
        <v xml:space="preserve"> </v>
      </c>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row>
    <row r="28" spans="1:205" s="3" customFormat="1" x14ac:dyDescent="0.25">
      <c r="A28" s="59" t="str">
        <f>IF(inputPrYr!$B25&gt;"  ",inputPrYr!$B25,"  ")</f>
        <v xml:space="preserve">  </v>
      </c>
      <c r="B28" s="190" t="str">
        <f>IF(inputPrYr!C25&gt;0,inputPrYr!C25,"  ")</f>
        <v xml:space="preserve">  </v>
      </c>
      <c r="C28" s="191" t="str">
        <f>IF('Levy Page 11'!C88&gt;0,'Levy Page 11'!C88,"  ")</f>
        <v xml:space="preserve">  </v>
      </c>
      <c r="D28" s="435" t="str">
        <f>IF('Levy Page 11'!$E$34&lt;&gt;0,'Levy Page 11'!$E$34,"  ")</f>
        <v xml:space="preserve">  </v>
      </c>
      <c r="E28" s="435" t="str">
        <f>IF('Levy Page 11'!$E$41&lt;&gt;0,'Levy Page 11'!$E$41,"  ")</f>
        <v xml:space="preserve">  </v>
      </c>
      <c r="F28" s="436" t="str">
        <f>IF(AND('Levy Page 11'!E41=0,$F$36&gt;=0)," ",IF(AND(E28&gt;0,$F$36=0)," ",IF(AND(E28&gt;0,$F$36&gt;0),ROUND(E28/$F$36*1000,3))))</f>
        <v xml:space="preserve"> </v>
      </c>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row>
    <row r="29" spans="1:205" s="3" customFormat="1" x14ac:dyDescent="0.25">
      <c r="A29" s="59" t="str">
        <f>IF(inputPrYr!$B26&gt;"  ",inputPrYr!$B26,"  ")</f>
        <v xml:space="preserve">  </v>
      </c>
      <c r="B29" s="190" t="str">
        <f>IF(inputPrYr!C26&gt;0,inputPrYr!C26,"  ")</f>
        <v xml:space="preserve">  </v>
      </c>
      <c r="C29" s="191" t="str">
        <f>IF('Levy Page 11'!C88&gt;0,'Levy Page 11'!C88,"  ")</f>
        <v xml:space="preserve">  </v>
      </c>
      <c r="D29" s="435" t="str">
        <f>IF('Levy Page 11'!$E$75&lt;&gt;0,'Levy Page 11'!$E$75,"  ")</f>
        <v xml:space="preserve">  </v>
      </c>
      <c r="E29" s="435" t="str">
        <f>IF('Levy Page 11'!$E$82&lt;&gt;0,'Levy Page 11'!$E$82,"  ")</f>
        <v xml:space="preserve">  </v>
      </c>
      <c r="F29" s="436" t="str">
        <f>IF(AND('Levy Page 11'!E82=0,$F$36&gt;=0)," ",IF(AND(E29&gt;0,$F$36=0)," ",IF(AND(E29&gt;0,$F$36&gt;0),ROUND(E29/$F$36*1000,3))))</f>
        <v xml:space="preserve"> </v>
      </c>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row>
    <row r="30" spans="1:205" s="3" customFormat="1" x14ac:dyDescent="0.25">
      <c r="A30" s="192" t="str">
        <f>IF(inputPrYr!$B30&gt;"  ",inputPrYr!$B30,"  ")</f>
        <v xml:space="preserve">  </v>
      </c>
      <c r="B30" s="193"/>
      <c r="C30" s="194" t="str">
        <f>IF('No Levy Page 12'!$C$65&gt;0,'No Levy Page 12'!$C$65,"  ")</f>
        <v xml:space="preserve">  </v>
      </c>
      <c r="D30" s="435" t="str">
        <f>IF('No Levy Page 12'!$E$27&lt;&gt;0,'No Levy Page 12'!$E$27,"  ")</f>
        <v xml:space="preserve">  </v>
      </c>
      <c r="E30" s="435"/>
      <c r="F30" s="436"/>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row>
    <row r="31" spans="1:205" s="3" customFormat="1" x14ac:dyDescent="0.25">
      <c r="A31" s="195" t="str">
        <f>IF(inputPrYr!$B31&gt;"  ",inputPrYr!$B31,"  ")</f>
        <v xml:space="preserve">  </v>
      </c>
      <c r="B31" s="11"/>
      <c r="C31" s="194" t="str">
        <f>IF('No Levy Page 12'!$C$65&gt;0,'No Levy Page 12'!$C$65,"  ")</f>
        <v xml:space="preserve">  </v>
      </c>
      <c r="D31" s="435" t="str">
        <f>IF('No Levy Page 12'!$E$57&lt;&gt;0,'No Levy Page 12'!$E$57,"  ")</f>
        <v xml:space="preserve">  </v>
      </c>
      <c r="E31" s="435"/>
      <c r="F31" s="436"/>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row>
    <row r="32" spans="1:205" s="3" customFormat="1" x14ac:dyDescent="0.25">
      <c r="A32" s="192" t="str">
        <f>IF((inputPrYr!$B35&gt;"  "),('Non-Budgeted Funds'!$A3),"  ")</f>
        <v xml:space="preserve">  </v>
      </c>
      <c r="B32" s="11"/>
      <c r="C32" s="194" t="str">
        <f>IF('Non-Budgeted Funds'!$F$36&gt;0,'Non-Budgeted Funds'!$F$36,"  ")</f>
        <v xml:space="preserve">  </v>
      </c>
      <c r="D32" s="435"/>
      <c r="E32" s="435"/>
      <c r="F32" s="436"/>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row>
    <row r="33" spans="1:205" s="3" customFormat="1" x14ac:dyDescent="0.25">
      <c r="A33" s="13" t="s">
        <v>163</v>
      </c>
      <c r="B33" s="193"/>
      <c r="C33" s="194" t="str">
        <f>IF(Road!C70&gt;0,Road!C70,"  ")</f>
        <v xml:space="preserve">  </v>
      </c>
      <c r="D33" s="181"/>
      <c r="E33" s="181"/>
      <c r="F33" s="436"/>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row>
    <row r="34" spans="1:205" s="3" customFormat="1" ht="16.5" thickBot="1" x14ac:dyDescent="0.3">
      <c r="A34" s="196" t="s">
        <v>164</v>
      </c>
      <c r="B34" s="197"/>
      <c r="C34" s="117" t="s">
        <v>165</v>
      </c>
      <c r="D34" s="437">
        <f>SUM(D20:D33)</f>
        <v>0</v>
      </c>
      <c r="E34" s="437">
        <f>SUM(E20:E33)</f>
        <v>0</v>
      </c>
      <c r="F34" s="438" t="str">
        <f>IF(SUM(F20:F33)&gt;0, SUM(F20:F33), " ")</f>
        <v xml:space="preserve"> </v>
      </c>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row>
    <row r="35" spans="1:205" s="3" customFormat="1" ht="16.5" thickTop="1" x14ac:dyDescent="0.25">
      <c r="A35" s="13" t="s">
        <v>166</v>
      </c>
      <c r="B35" s="189"/>
      <c r="C35" s="194" t="str">
        <f>IF('Budget Hearing Notice'!D51&gt;0,'Budget Hearing Notice'!D5149, " ")</f>
        <v xml:space="preserve"> </v>
      </c>
      <c r="D35" s="35"/>
      <c r="E35" s="35"/>
      <c r="F35" s="576" t="s">
        <v>167</v>
      </c>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row>
    <row r="36" spans="1:205" s="3" customFormat="1" x14ac:dyDescent="0.25">
      <c r="A36" s="458" t="s">
        <v>168</v>
      </c>
      <c r="B36" s="14"/>
      <c r="C36" s="457" t="str">
        <f>IF('Combined Rate-Bud Hearing Notic'!D51&gt;0, 'Combined Rate-Bud Hearing Notic'!D51, " ")</f>
        <v xml:space="preserve"> </v>
      </c>
      <c r="D36" s="35"/>
      <c r="E36" s="35"/>
      <c r="F36" s="666"/>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row>
    <row r="37" spans="1:205" s="3" customFormat="1" x14ac:dyDescent="0.25">
      <c r="A37" s="458" t="s">
        <v>169</v>
      </c>
      <c r="B37" s="187"/>
      <c r="C37" s="457" t="str">
        <f>IF('RNR Hearing Notice'!E15&gt;0, 'RNR Hearing Notice'!E15, " ")</f>
        <v xml:space="preserve"> </v>
      </c>
      <c r="F37" s="667"/>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row>
    <row r="38" spans="1:205" s="3" customFormat="1" x14ac:dyDescent="0.25">
      <c r="A38" s="13" t="s">
        <v>170</v>
      </c>
      <c r="B38" s="14"/>
      <c r="C38" s="194" t="str">
        <f>IF('NR Rebate'!C36&gt;0,'NR Rebate'!C36,"")</f>
        <v/>
      </c>
      <c r="F38" s="661" t="str">
        <f>CONCATENATE("Nov 1, ", inputPrYr!D6-1, " Total Assessed Valuation")</f>
        <v>Nov 1, 2024 Total Assessed Valuation</v>
      </c>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row>
    <row r="39" spans="1:205" s="3" customFormat="1" x14ac:dyDescent="0.25">
      <c r="A39" s="9"/>
      <c r="C39" s="553"/>
      <c r="F39" s="661"/>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row>
    <row r="40" spans="1:205" s="3" customFormat="1" x14ac:dyDescent="0.25">
      <c r="A40" s="9"/>
      <c r="C40" s="553"/>
      <c r="D40" s="9"/>
      <c r="E40" s="9"/>
      <c r="F40" s="184"/>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row>
    <row r="41" spans="1:205" s="3" customFormat="1" x14ac:dyDescent="0.25">
      <c r="A41" s="9"/>
      <c r="C41" s="553"/>
      <c r="D41" s="9"/>
      <c r="E41" s="612" t="s">
        <v>171</v>
      </c>
      <c r="F41" s="570">
        <f>inputOth!D15</f>
        <v>0</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row>
    <row r="42" spans="1:205" s="3" customFormat="1" x14ac:dyDescent="0.25">
      <c r="A42" s="761" t="s">
        <v>957</v>
      </c>
      <c r="B42" s="762"/>
      <c r="C42" s="762"/>
      <c r="D42" s="762"/>
      <c r="E42" s="762"/>
      <c r="F42" s="570" t="str">
        <f>IF(E34&gt;inputPrYr!E27,"YES","NO")</f>
        <v>NO</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row>
    <row r="43" spans="1:205" s="3" customFormat="1" x14ac:dyDescent="0.25">
      <c r="A43" s="9"/>
      <c r="C43" s="553"/>
      <c r="D43" s="198"/>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row>
    <row r="44" spans="1:205" s="3" customFormat="1" x14ac:dyDescent="0.25">
      <c r="A44" s="9" t="s">
        <v>172</v>
      </c>
      <c r="E44" s="249"/>
      <c r="F44" s="9"/>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row>
    <row r="45" spans="1:205" s="3" customFormat="1" x14ac:dyDescent="0.25">
      <c r="A45" s="199"/>
      <c r="B45" s="199"/>
      <c r="D45" s="249" t="s">
        <v>173</v>
      </c>
      <c r="E45" s="249"/>
      <c r="F45" s="249"/>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row>
    <row r="46" spans="1:205" s="3" customFormat="1" x14ac:dyDescent="0.25">
      <c r="A46" s="200"/>
      <c r="B46" s="200"/>
      <c r="D46" s="249"/>
      <c r="E46" s="249"/>
      <c r="F46" s="249"/>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row>
    <row r="47" spans="1:205" s="3" customFormat="1" x14ac:dyDescent="0.25">
      <c r="A47" s="9" t="s">
        <v>174</v>
      </c>
      <c r="D47" s="249" t="s">
        <v>173</v>
      </c>
      <c r="E47" s="249"/>
      <c r="F47" s="249"/>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row>
    <row r="48" spans="1:205" x14ac:dyDescent="0.25">
      <c r="A48" s="199"/>
      <c r="B48" s="199"/>
      <c r="C48" s="9"/>
      <c r="D48" s="249"/>
      <c r="E48" s="439"/>
      <c r="F48" s="249"/>
      <c r="G48" s="3"/>
    </row>
    <row r="49" spans="1:8" x14ac:dyDescent="0.25">
      <c r="A49" s="200"/>
      <c r="B49" s="200"/>
      <c r="C49" s="9"/>
      <c r="D49" s="249" t="s">
        <v>173</v>
      </c>
      <c r="E49" s="249"/>
      <c r="F49" s="439"/>
      <c r="G49" s="3"/>
    </row>
    <row r="50" spans="1:8" x14ac:dyDescent="0.25">
      <c r="A50" s="9" t="s">
        <v>175</v>
      </c>
      <c r="B50" s="3"/>
      <c r="C50" s="9"/>
      <c r="D50" s="440"/>
      <c r="E50" s="439"/>
      <c r="F50" s="249"/>
      <c r="G50" s="3"/>
    </row>
    <row r="51" spans="1:8" x14ac:dyDescent="0.25">
      <c r="A51" s="199"/>
      <c r="B51" s="199"/>
      <c r="C51" s="9"/>
      <c r="D51" s="249" t="s">
        <v>173</v>
      </c>
      <c r="E51" s="249"/>
      <c r="F51" s="439"/>
      <c r="G51" s="3"/>
    </row>
    <row r="52" spans="1:8" x14ac:dyDescent="0.25">
      <c r="A52" s="43"/>
      <c r="B52" s="3"/>
      <c r="C52" s="9"/>
      <c r="D52" s="440"/>
      <c r="E52" s="439"/>
      <c r="F52" s="249"/>
      <c r="G52" s="3"/>
    </row>
    <row r="53" spans="1:8" x14ac:dyDescent="0.25">
      <c r="A53" s="312" t="s">
        <v>176</v>
      </c>
      <c r="B53" s="203">
        <f>G1-1</f>
        <v>2024</v>
      </c>
      <c r="C53" s="9"/>
      <c r="D53" s="249" t="s">
        <v>173</v>
      </c>
      <c r="E53" s="440"/>
      <c r="F53" s="439"/>
      <c r="G53" s="3"/>
    </row>
    <row r="54" spans="1:8" x14ac:dyDescent="0.25">
      <c r="A54" s="3"/>
      <c r="B54" s="3"/>
      <c r="C54" s="3"/>
      <c r="D54" s="249"/>
      <c r="E54" s="249"/>
      <c r="F54" s="249"/>
      <c r="G54" s="3"/>
    </row>
    <row r="55" spans="1:8" x14ac:dyDescent="0.25">
      <c r="A55" s="607"/>
      <c r="B55" s="3"/>
      <c r="C55" s="3"/>
      <c r="D55" s="249" t="s">
        <v>173</v>
      </c>
      <c r="E55" s="3"/>
      <c r="F55" s="3"/>
      <c r="G55" s="3"/>
    </row>
    <row r="56" spans="1:8" ht="17.25" customHeight="1" x14ac:dyDescent="0.25">
      <c r="A56" s="602" t="s">
        <v>177</v>
      </c>
      <c r="B56" s="3"/>
      <c r="C56" s="3"/>
      <c r="D56" s="602" t="s">
        <v>178</v>
      </c>
      <c r="E56" s="3"/>
      <c r="F56" s="3"/>
      <c r="G56" s="3"/>
    </row>
    <row r="57" spans="1:8" x14ac:dyDescent="0.25">
      <c r="A57" s="3"/>
      <c r="B57" s="3"/>
      <c r="C57" s="3"/>
      <c r="D57" s="3"/>
      <c r="E57" s="3"/>
      <c r="F57" s="3"/>
      <c r="G57" s="3"/>
    </row>
    <row r="58" spans="1:8" x14ac:dyDescent="0.25">
      <c r="A58" s="3"/>
      <c r="B58" s="3"/>
      <c r="C58" s="3"/>
      <c r="D58" s="3"/>
      <c r="E58" s="90"/>
      <c r="F58" s="3"/>
      <c r="G58" s="3"/>
    </row>
    <row r="59" spans="1:8" x14ac:dyDescent="0.25">
      <c r="A59" s="202" t="s">
        <v>179</v>
      </c>
      <c r="B59" s="201"/>
      <c r="C59" s="201"/>
      <c r="D59" s="201"/>
      <c r="E59" s="90"/>
      <c r="F59" s="3"/>
      <c r="G59" s="3"/>
    </row>
    <row r="60" spans="1:8" x14ac:dyDescent="0.25">
      <c r="A60" s="202" t="s">
        <v>180</v>
      </c>
      <c r="B60" s="201"/>
      <c r="C60" s="201"/>
      <c r="D60" s="201"/>
      <c r="E60" s="90"/>
      <c r="F60" s="3"/>
      <c r="G60" s="3"/>
    </row>
    <row r="61" spans="1:8" x14ac:dyDescent="0.25">
      <c r="A61" s="202"/>
      <c r="B61" s="201"/>
      <c r="C61" s="201"/>
      <c r="D61" s="201"/>
      <c r="E61" s="90"/>
      <c r="F61" s="3"/>
      <c r="G61" s="3"/>
    </row>
    <row r="62" spans="1:8" x14ac:dyDescent="0.25">
      <c r="A62" s="3"/>
      <c r="B62" s="3"/>
      <c r="C62" s="3"/>
      <c r="D62" s="3"/>
      <c r="E62" s="3"/>
      <c r="F62" s="3"/>
      <c r="G62" s="531"/>
      <c r="H62" s="236"/>
    </row>
    <row r="63" spans="1:8" x14ac:dyDescent="0.25">
      <c r="A63" s="529" t="s">
        <v>181</v>
      </c>
      <c r="B63" s="506"/>
      <c r="C63" s="506"/>
      <c r="D63" s="506"/>
      <c r="E63" s="506"/>
      <c r="F63" s="530"/>
      <c r="G63" s="531"/>
      <c r="H63" s="236"/>
    </row>
    <row r="64" spans="1:8" x14ac:dyDescent="0.25">
      <c r="A64" s="531"/>
      <c r="B64" s="507"/>
      <c r="C64" s="507"/>
      <c r="D64" s="507"/>
      <c r="E64" s="507"/>
      <c r="F64" s="532"/>
      <c r="G64" s="531"/>
      <c r="H64" s="236"/>
    </row>
    <row r="65" spans="1:8" x14ac:dyDescent="0.25">
      <c r="A65" s="531"/>
      <c r="B65" s="507"/>
      <c r="C65" s="507"/>
      <c r="D65" s="507"/>
      <c r="E65" s="507"/>
      <c r="F65" s="532"/>
      <c r="G65" s="531"/>
      <c r="H65" s="236"/>
    </row>
    <row r="66" spans="1:8" x14ac:dyDescent="0.25">
      <c r="A66" s="533"/>
      <c r="B66" s="508"/>
      <c r="C66" s="508"/>
      <c r="D66" s="508"/>
      <c r="E66" s="508"/>
      <c r="F66" s="534"/>
    </row>
  </sheetData>
  <sheetProtection sheet="1" objects="1" scenarios="1"/>
  <mergeCells count="14">
    <mergeCell ref="A42:E42"/>
    <mergeCell ref="A1:F1"/>
    <mergeCell ref="E12:E14"/>
    <mergeCell ref="D11:F11"/>
    <mergeCell ref="A6:F6"/>
    <mergeCell ref="A7:F7"/>
    <mergeCell ref="A3:G3"/>
    <mergeCell ref="F38:F39"/>
    <mergeCell ref="A8:F8"/>
    <mergeCell ref="A9:F9"/>
    <mergeCell ref="A5:F5"/>
    <mergeCell ref="A4:F4"/>
    <mergeCell ref="F12:F14"/>
    <mergeCell ref="F36:F37"/>
  </mergeCells>
  <phoneticPr fontId="0" type="noConversion"/>
  <conditionalFormatting sqref="E20">
    <cfRule type="cellIs" dxfId="149" priority="2" stopIfTrue="1" operator="equal">
      <formula>0</formula>
    </cfRule>
  </conditionalFormatting>
  <conditionalFormatting sqref="F42">
    <cfRule type="containsText" dxfId="0" priority="1" operator="containsText" text="YES">
      <formula>NOT(ISERROR(SEARCH("YES",F42)))</formula>
    </cfRule>
  </conditionalFormatting>
  <pageMargins left="0.7" right="0.7" top="0.75" bottom="0.75" header="0.3" footer="0.3"/>
  <pageSetup scale="73" orientation="portrait" blackAndWhite="1" r:id="rId1"/>
  <headerFooter alignWithMargins="0">
    <oddHeader xml:space="preserve">&amp;RState of Kansas
Township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pageSetUpPr fitToPage="1"/>
  </sheetPr>
  <dimension ref="A1:I4480"/>
  <sheetViews>
    <sheetView zoomScale="85" workbookViewId="0">
      <selection activeCell="C26" sqref="C26"/>
    </sheetView>
  </sheetViews>
  <sheetFormatPr defaultRowHeight="15.75" x14ac:dyDescent="0.25"/>
  <cols>
    <col min="1" max="1" width="6.3984375" style="3" customWidth="1"/>
    <col min="2" max="2" width="17.796875" style="55" customWidth="1"/>
    <col min="3" max="3" width="17.3984375" style="55" customWidth="1"/>
    <col min="4" max="6" width="13.69921875" style="55" customWidth="1"/>
    <col min="7" max="8" width="13.59765625" style="55" customWidth="1"/>
    <col min="9" max="9" width="6.296875" style="55" customWidth="1"/>
    <col min="10" max="16384" width="8.796875" style="55"/>
  </cols>
  <sheetData>
    <row r="1" spans="1:9" x14ac:dyDescent="0.25">
      <c r="B1" s="2">
        <f>inputPrYr!D3</f>
        <v>0</v>
      </c>
      <c r="C1" s="3"/>
      <c r="D1" s="3"/>
      <c r="E1" s="3"/>
      <c r="F1" s="3"/>
      <c r="G1" s="3"/>
      <c r="H1" s="612"/>
      <c r="I1" s="612">
        <f>inputPrYr!D6</f>
        <v>2025</v>
      </c>
    </row>
    <row r="2" spans="1:9" x14ac:dyDescent="0.25">
      <c r="B2" s="2">
        <f>inputPrYr!D4</f>
        <v>0</v>
      </c>
      <c r="C2" s="3"/>
      <c r="D2" s="3"/>
      <c r="E2" s="3"/>
      <c r="F2" s="35"/>
      <c r="G2" s="35"/>
      <c r="H2" s="35"/>
      <c r="I2" s="3"/>
    </row>
    <row r="3" spans="1:9" x14ac:dyDescent="0.25">
      <c r="B3" s="2"/>
      <c r="C3" s="3"/>
      <c r="D3" s="3"/>
      <c r="E3" s="3"/>
      <c r="F3" s="35"/>
      <c r="G3" s="35"/>
      <c r="H3" s="35"/>
      <c r="I3" s="3"/>
    </row>
    <row r="4" spans="1:9" x14ac:dyDescent="0.25">
      <c r="B4" s="2"/>
      <c r="C4" s="3"/>
      <c r="D4" s="3"/>
      <c r="E4" s="3"/>
      <c r="F4" s="35"/>
      <c r="G4" s="35"/>
      <c r="H4" s="35"/>
      <c r="I4" s="3"/>
    </row>
    <row r="5" spans="1:9" x14ac:dyDescent="0.25">
      <c r="B5" s="3"/>
      <c r="C5" s="3"/>
      <c r="D5" s="3"/>
      <c r="E5" s="3"/>
      <c r="F5" s="3"/>
      <c r="G5" s="3"/>
      <c r="H5" s="3"/>
      <c r="I5" s="3"/>
    </row>
    <row r="6" spans="1:9" x14ac:dyDescent="0.25">
      <c r="A6" s="676" t="s">
        <v>182</v>
      </c>
      <c r="B6" s="676"/>
      <c r="C6" s="676"/>
      <c r="D6" s="676"/>
      <c r="E6" s="676"/>
      <c r="F6" s="676"/>
      <c r="G6" s="676"/>
      <c r="H6" s="676"/>
      <c r="I6" s="637"/>
    </row>
    <row r="7" spans="1:9" x14ac:dyDescent="0.25">
      <c r="B7" s="608"/>
      <c r="C7" s="100"/>
      <c r="D7" s="100"/>
      <c r="E7" s="100"/>
      <c r="F7" s="100"/>
      <c r="G7" s="35"/>
      <c r="H7" s="100"/>
      <c r="I7" s="100"/>
    </row>
    <row r="8" spans="1:9" x14ac:dyDescent="0.25">
      <c r="B8" s="3"/>
      <c r="C8" s="179"/>
      <c r="D8" s="104"/>
      <c r="E8" s="104"/>
      <c r="F8" s="3"/>
      <c r="G8" s="35"/>
      <c r="H8" s="3"/>
      <c r="I8" s="3"/>
    </row>
    <row r="9" spans="1:9" ht="21" customHeight="1" x14ac:dyDescent="0.25">
      <c r="B9" s="128" t="s">
        <v>183</v>
      </c>
      <c r="C9" s="663" t="str">
        <f>CONCATENATE("Tax Levy Amount in ",I1-1," Budget")</f>
        <v>Tax Levy Amount in 2024 Budget</v>
      </c>
      <c r="D9" s="671" t="str">
        <f>CONCATENATE("Allocation for Year ",I1,"")</f>
        <v>Allocation for Year 2025</v>
      </c>
      <c r="E9" s="677"/>
      <c r="F9" s="677"/>
      <c r="G9" s="677"/>
      <c r="H9" s="678"/>
      <c r="I9" s="3"/>
    </row>
    <row r="10" spans="1:9" ht="15.75" customHeight="1" x14ac:dyDescent="0.25">
      <c r="B10" s="12" t="str">
        <f>CONCATENATE("for ",I1-1,"")</f>
        <v>for 2024</v>
      </c>
      <c r="C10" s="679"/>
      <c r="D10" s="12" t="s">
        <v>184</v>
      </c>
      <c r="E10" s="12" t="s">
        <v>185</v>
      </c>
      <c r="F10" s="12" t="s">
        <v>186</v>
      </c>
      <c r="G10" s="496" t="s">
        <v>187</v>
      </c>
      <c r="H10" s="496" t="s">
        <v>188</v>
      </c>
      <c r="I10" s="3"/>
    </row>
    <row r="11" spans="1:9" x14ac:dyDescent="0.25">
      <c r="B11" s="59" t="str">
        <f>inputPrYr!B17</f>
        <v>General</v>
      </c>
      <c r="C11" s="119" t="str">
        <f>IF(inputPrYr!E17&gt;0,inputPrYr!E17,"  ")</f>
        <v xml:space="preserve">  </v>
      </c>
      <c r="D11" s="119">
        <f>IF(inputPrYr!E17=0,0,D23-SUM(D12:D20))</f>
        <v>0</v>
      </c>
      <c r="E11" s="119">
        <f>IF(inputPrYr!E17=0,0,E25-SUM(E12:E20))</f>
        <v>0</v>
      </c>
      <c r="F11" s="119">
        <f>IF(inputPrYr!E17=0,0,F27-SUM(F12:F20))</f>
        <v>0</v>
      </c>
      <c r="G11" s="119">
        <f>IF(inputPrYr!E17=0,0,G29-SUM(G12:G20))</f>
        <v>0</v>
      </c>
      <c r="H11" s="119">
        <f>IF(inputPrYr!E17=0,0,H31-SUM(H12:H20))</f>
        <v>0</v>
      </c>
      <c r="I11" s="3"/>
    </row>
    <row r="12" spans="1:9" x14ac:dyDescent="0.25">
      <c r="B12" s="59" t="str">
        <f>inputPrYr!B18</f>
        <v>Debt Service</v>
      </c>
      <c r="C12" s="119">
        <f>IF(inputPrYr!E18&gt;=0,inputPrYr!E18,"  ")</f>
        <v>0</v>
      </c>
      <c r="D12" s="119">
        <f>IF(inputPrYr!E18=0,0,ROUND(C12*$D$34,0))</f>
        <v>0</v>
      </c>
      <c r="E12" s="119">
        <f>IF(inputPrYr!$E$18=0,0,ROUND($C$12*$E$36,0))</f>
        <v>0</v>
      </c>
      <c r="F12" s="119">
        <f>IF(inputPrYr!E18=0,0,ROUND($C12*$F$38,0))</f>
        <v>0</v>
      </c>
      <c r="G12" s="119">
        <f>IF(inputPrYr!E18=0,0,ROUND($C12*$G$40,0))</f>
        <v>0</v>
      </c>
      <c r="H12" s="119">
        <f>IF(inputPrYr!E18=0,0,ROUND($C12*$H$42,0))</f>
        <v>0</v>
      </c>
      <c r="I12" s="3"/>
    </row>
    <row r="13" spans="1:9" x14ac:dyDescent="0.25">
      <c r="B13" s="59" t="str">
        <f>inputPrYr!B19</f>
        <v>Library</v>
      </c>
      <c r="C13" s="119">
        <f>IF(inputPrYr!E19&gt;=0,inputPrYr!E19,"  ")</f>
        <v>0</v>
      </c>
      <c r="D13" s="119">
        <f>IF(inputPrYr!E19=0,0,ROUND(C13*$D$34,0))</f>
        <v>0</v>
      </c>
      <c r="E13" s="119">
        <f>IF(inputPrYr!$E$19=0,0,ROUND($C$13*$E$36,0))</f>
        <v>0</v>
      </c>
      <c r="F13" s="119">
        <f>IF(inputPrYr!E19=0,0,ROUND($C13*$F$38,0))</f>
        <v>0</v>
      </c>
      <c r="G13" s="119">
        <f>IF(inputPrYr!E19=0,0,ROUND($C13*$G$40,0))</f>
        <v>0</v>
      </c>
      <c r="H13" s="119">
        <f>IF(inputPrYr!E19=0,0,ROUND($C13*$H$42,0))</f>
        <v>0</v>
      </c>
      <c r="I13" s="3"/>
    </row>
    <row r="14" spans="1:9" x14ac:dyDescent="0.25">
      <c r="B14" s="59" t="str">
        <f>IF(inputPrYr!$B20&gt;"  ",inputPrYr!$B20,"  ")</f>
        <v>Road</v>
      </c>
      <c r="C14" s="119">
        <f>IF(inputPrYr!E20&gt;=0,inputPrYr!E20,"  ")</f>
        <v>0</v>
      </c>
      <c r="D14" s="119">
        <f>IF(inputPrYr!E20=0,0,ROUND(C14*$D$34,0))</f>
        <v>0</v>
      </c>
      <c r="E14" s="119">
        <f>IF(inputPrYr!$E$20=0,0,ROUND($C$14*$E$36,0))</f>
        <v>0</v>
      </c>
      <c r="F14" s="119">
        <f>IF(inputPrYr!E20=0,0,ROUND($C14*$F$38,0))</f>
        <v>0</v>
      </c>
      <c r="G14" s="119">
        <f>IF(inputPrYr!E20=0,0,ROUND($C14*$G$40,0))</f>
        <v>0</v>
      </c>
      <c r="H14" s="119">
        <f>IF(inputPrYr!E20=0,0,ROUND($C14*$H$42,0))</f>
        <v>0</v>
      </c>
      <c r="I14" s="3"/>
    </row>
    <row r="15" spans="1:9" x14ac:dyDescent="0.25">
      <c r="B15" s="59" t="str">
        <f>IF(inputPrYr!$B21&gt;"  ",inputPrYr!$B21,"  ")</f>
        <v xml:space="preserve">  </v>
      </c>
      <c r="C15" s="119">
        <f>IF(inputPrYr!E21&gt;=0,inputPrYr!E21,"  ")</f>
        <v>0</v>
      </c>
      <c r="D15" s="119">
        <f>IF(inputPrYr!E21=0,0,ROUND(C15*$D$34,0))</f>
        <v>0</v>
      </c>
      <c r="E15" s="119">
        <f>IF(inputPrYr!$E$21=0,0,ROUND($C$15*$E$36,0))</f>
        <v>0</v>
      </c>
      <c r="F15" s="119">
        <f>IF(inputPrYr!E21=0,0,ROUND($C15*$F$38,0))</f>
        <v>0</v>
      </c>
      <c r="G15" s="119">
        <f>IF(inputPrYr!E21=0,0,ROUND($C15*$G$40,0))</f>
        <v>0</v>
      </c>
      <c r="H15" s="119">
        <f>IF(inputPrYr!E21=0,0,ROUND($C15*$H$42,0))</f>
        <v>0</v>
      </c>
      <c r="I15" s="3"/>
    </row>
    <row r="16" spans="1:9" x14ac:dyDescent="0.25">
      <c r="B16" s="59" t="str">
        <f>IF(inputPrYr!$B22&gt;"  ",inputPrYr!$B22,"  ")</f>
        <v xml:space="preserve">  </v>
      </c>
      <c r="C16" s="119">
        <f>IF(inputPrYr!E22&gt;=0,inputPrYr!E22,"  ")</f>
        <v>0</v>
      </c>
      <c r="D16" s="119">
        <f>IF(inputPrYr!E22=0,0,ROUND(C16*$D$34,0))</f>
        <v>0</v>
      </c>
      <c r="E16" s="119">
        <f>IF(inputPrYr!$E$22=0,0,ROUND($C$16*$E$36,0))</f>
        <v>0</v>
      </c>
      <c r="F16" s="119">
        <f>IF(inputPrYr!E22=0,0,ROUND($C16*$F$38,0))</f>
        <v>0</v>
      </c>
      <c r="G16" s="119">
        <f>IF(inputPrYr!E22=0,0,ROUND($C16*$G$40,0))</f>
        <v>0</v>
      </c>
      <c r="H16" s="119">
        <f>IF(inputPrYr!E22=0,0,ROUND($C16*$H$42,0))</f>
        <v>0</v>
      </c>
      <c r="I16" s="3"/>
    </row>
    <row r="17" spans="2:9" x14ac:dyDescent="0.25">
      <c r="B17" s="59" t="str">
        <f>IF(inputPrYr!$B23&gt;"  ",inputPrYr!$B23,"  ")</f>
        <v xml:space="preserve">  </v>
      </c>
      <c r="C17" s="119">
        <f>IF(inputPrYr!E23&gt;=0,inputPrYr!E23,"  ")</f>
        <v>0</v>
      </c>
      <c r="D17" s="119">
        <f>IF(inputPrYr!E23=0,0,ROUND(C17*$D$34,0))</f>
        <v>0</v>
      </c>
      <c r="E17" s="119">
        <f>IF(inputPrYr!$E$23=0,0,ROUND($C$17*$E$36,0))</f>
        <v>0</v>
      </c>
      <c r="F17" s="119">
        <f>IF(inputPrYr!E23=0,0,ROUND($C17*$F$38,0))</f>
        <v>0</v>
      </c>
      <c r="G17" s="119">
        <f>IF(inputPrYr!E23=0,0,ROUND($C17*$G$40,0))</f>
        <v>0</v>
      </c>
      <c r="H17" s="119">
        <f>IF(inputPrYr!E23=0,0,ROUND($C17*$H$42,0))</f>
        <v>0</v>
      </c>
      <c r="I17" s="3"/>
    </row>
    <row r="18" spans="2:9" x14ac:dyDescent="0.25">
      <c r="B18" s="59" t="str">
        <f>IF(inputPrYr!$B24&gt;"  ",inputPrYr!$B24,"  ")</f>
        <v xml:space="preserve">  </v>
      </c>
      <c r="C18" s="119">
        <f>IF(inputPrYr!E24&gt;=0,inputPrYr!E24,"  ")</f>
        <v>0</v>
      </c>
      <c r="D18" s="119">
        <f>IF(inputPrYr!E24=0,0,ROUND(C18*$D$34,0))</f>
        <v>0</v>
      </c>
      <c r="E18" s="119">
        <f>IF(inputPrYr!$E$24=0,0,ROUND($C$18*$E$36,0))</f>
        <v>0</v>
      </c>
      <c r="F18" s="119">
        <f>IF(inputPrYr!E24=0,0,ROUND($C18*$F$38,0))</f>
        <v>0</v>
      </c>
      <c r="G18" s="119">
        <f>IF(inputPrYr!E24=0,0,ROUND($C18*$G$40,0))</f>
        <v>0</v>
      </c>
      <c r="H18" s="119">
        <f>IF(inputPrYr!E24=0,0,ROUND($C18*$H$42,0))</f>
        <v>0</v>
      </c>
      <c r="I18" s="3"/>
    </row>
    <row r="19" spans="2:9" x14ac:dyDescent="0.25">
      <c r="B19" s="59" t="str">
        <f>IF(inputPrYr!$B25&gt;"  ",inputPrYr!$B25,"  ")</f>
        <v xml:space="preserve">  </v>
      </c>
      <c r="C19" s="119">
        <f>IF(inputPrYr!E25&gt;=0,inputPrYr!E25,"  ")</f>
        <v>0</v>
      </c>
      <c r="D19" s="119">
        <f>IF(inputPrYr!E25=0,0,ROUND(C19*$D$34,0))</f>
        <v>0</v>
      </c>
      <c r="E19" s="119">
        <f>IF(inputPrYr!$E$25=0,0,ROUND($C$19*$E$36,0))</f>
        <v>0</v>
      </c>
      <c r="F19" s="119">
        <f>IF(inputPrYr!E25=0,0,ROUND($C19*$F$38,0))</f>
        <v>0</v>
      </c>
      <c r="G19" s="119">
        <f>IF(inputPrYr!E25=0,0,ROUND($C19*$G$40,0))</f>
        <v>0</v>
      </c>
      <c r="H19" s="119">
        <f>IF(inputPrYr!E25=0,0,ROUND($C19*$H$42,0))</f>
        <v>0</v>
      </c>
      <c r="I19" s="3"/>
    </row>
    <row r="20" spans="2:9" x14ac:dyDescent="0.25">
      <c r="B20" s="59" t="str">
        <f>IF(inputPrYr!$B26&gt;"  ",inputPrYr!$B26,"  ")</f>
        <v xml:space="preserve">  </v>
      </c>
      <c r="C20" s="119">
        <f>IF(inputPrYr!E26&gt;=0,inputPrYr!E26,"  ")</f>
        <v>0</v>
      </c>
      <c r="D20" s="119">
        <f>IF(inputPrYr!E26=0,0,ROUND(C20*$D$34,0))</f>
        <v>0</v>
      </c>
      <c r="E20" s="119">
        <f>IF(inputPrYr!$E$26=0,0,ROUND($C$20*$E$36,0))</f>
        <v>0</v>
      </c>
      <c r="F20" s="119">
        <f>IF(inputPrYr!E26=0,0,ROUND($C20*$F$38,0))</f>
        <v>0</v>
      </c>
      <c r="G20" s="119">
        <f>IF(inputPrYr!E26=0,0,ROUND($C20*$G$40,0))</f>
        <v>0</v>
      </c>
      <c r="H20" s="119">
        <f>IF(inputPrYr!E26=0,0,ROUND($C20*$H$42,0))</f>
        <v>0</v>
      </c>
      <c r="I20" s="3"/>
    </row>
    <row r="21" spans="2:9" ht="16.5" thickBot="1" x14ac:dyDescent="0.3">
      <c r="B21" s="49" t="s">
        <v>111</v>
      </c>
      <c r="C21" s="434">
        <f t="shared" ref="C21:H21" si="0">SUM(C11:C20)</f>
        <v>0</v>
      </c>
      <c r="D21" s="434">
        <f t="shared" si="0"/>
        <v>0</v>
      </c>
      <c r="E21" s="434">
        <f t="shared" si="0"/>
        <v>0</v>
      </c>
      <c r="F21" s="434">
        <f t="shared" si="0"/>
        <v>0</v>
      </c>
      <c r="G21" s="434">
        <f t="shared" si="0"/>
        <v>0</v>
      </c>
      <c r="H21" s="434">
        <f t="shared" si="0"/>
        <v>0</v>
      </c>
      <c r="I21" s="3"/>
    </row>
    <row r="22" spans="2:9" ht="16.5" thickTop="1" x14ac:dyDescent="0.25">
      <c r="B22" s="3"/>
      <c r="C22" s="3"/>
      <c r="D22" s="3"/>
      <c r="E22" s="3"/>
      <c r="F22" s="3"/>
      <c r="G22" s="3"/>
      <c r="H22" s="3"/>
      <c r="I22" s="3"/>
    </row>
    <row r="23" spans="2:9" x14ac:dyDescent="0.25">
      <c r="B23" s="494" t="s">
        <v>189</v>
      </c>
      <c r="C23" s="3"/>
      <c r="D23" s="54">
        <f>inputOth!E34</f>
        <v>0</v>
      </c>
      <c r="E23" s="3"/>
      <c r="F23" s="3"/>
      <c r="G23" s="3"/>
      <c r="H23" s="3"/>
      <c r="I23" s="3"/>
    </row>
    <row r="24" spans="2:9" x14ac:dyDescent="0.25">
      <c r="B24" s="493"/>
      <c r="C24" s="3"/>
      <c r="D24" s="3"/>
      <c r="E24" s="3"/>
      <c r="F24" s="3"/>
      <c r="G24" s="3"/>
      <c r="H24" s="3"/>
      <c r="I24" s="3"/>
    </row>
    <row r="25" spans="2:9" x14ac:dyDescent="0.25">
      <c r="B25" s="494" t="s">
        <v>190</v>
      </c>
      <c r="C25" s="3"/>
      <c r="D25" s="3"/>
      <c r="E25" s="54">
        <f>inputOth!E35</f>
        <v>0</v>
      </c>
      <c r="F25" s="3"/>
      <c r="G25" s="3"/>
      <c r="H25" s="3"/>
      <c r="I25" s="3"/>
    </row>
    <row r="26" spans="2:9" x14ac:dyDescent="0.25">
      <c r="B26" s="493"/>
      <c r="C26" s="3"/>
      <c r="D26" s="3"/>
      <c r="E26" s="3"/>
      <c r="F26" s="3"/>
      <c r="G26" s="3"/>
      <c r="H26" s="3"/>
      <c r="I26" s="3"/>
    </row>
    <row r="27" spans="2:9" x14ac:dyDescent="0.25">
      <c r="B27" s="494" t="s">
        <v>191</v>
      </c>
      <c r="C27" s="3"/>
      <c r="D27" s="3"/>
      <c r="E27" s="3"/>
      <c r="F27" s="54">
        <f>inputOth!E36</f>
        <v>0</v>
      </c>
      <c r="G27" s="2"/>
      <c r="H27" s="2"/>
      <c r="I27" s="3"/>
    </row>
    <row r="28" spans="2:9" x14ac:dyDescent="0.25">
      <c r="B28" s="493"/>
      <c r="C28" s="3"/>
      <c r="D28" s="3"/>
      <c r="E28" s="3"/>
      <c r="F28" s="2"/>
      <c r="G28" s="2"/>
      <c r="H28" s="2"/>
      <c r="I28" s="3"/>
    </row>
    <row r="29" spans="2:9" x14ac:dyDescent="0.25">
      <c r="B29" s="493" t="s">
        <v>192</v>
      </c>
      <c r="C29" s="3"/>
      <c r="D29" s="3"/>
      <c r="E29" s="3"/>
      <c r="F29" s="2"/>
      <c r="G29" s="54">
        <f>inputOth!E37</f>
        <v>0</v>
      </c>
      <c r="H29" s="2"/>
      <c r="I29" s="3"/>
    </row>
    <row r="30" spans="2:9" x14ac:dyDescent="0.25">
      <c r="B30" s="493"/>
      <c r="C30" s="3"/>
      <c r="D30" s="3"/>
      <c r="E30" s="3"/>
      <c r="F30" s="2"/>
      <c r="G30" s="2"/>
      <c r="H30" s="2"/>
      <c r="I30" s="3"/>
    </row>
    <row r="31" spans="2:9" x14ac:dyDescent="0.25">
      <c r="B31" s="493" t="s">
        <v>193</v>
      </c>
      <c r="C31" s="3"/>
      <c r="D31" s="3"/>
      <c r="E31" s="3"/>
      <c r="F31" s="2"/>
      <c r="G31" s="2"/>
      <c r="H31" s="54">
        <f>inputOth!E38</f>
        <v>0</v>
      </c>
      <c r="I31" s="3"/>
    </row>
    <row r="32" spans="2:9" x14ac:dyDescent="0.25">
      <c r="B32" s="3"/>
      <c r="C32" s="3"/>
      <c r="D32" s="3"/>
      <c r="E32" s="3"/>
      <c r="F32" s="3"/>
      <c r="G32" s="3"/>
      <c r="H32" s="3"/>
      <c r="I32" s="3"/>
    </row>
    <row r="33" spans="1:9" x14ac:dyDescent="0.25">
      <c r="B33" s="3"/>
      <c r="C33" s="3"/>
      <c r="D33" s="488"/>
      <c r="E33" s="488"/>
      <c r="F33" s="488"/>
      <c r="G33" s="488"/>
      <c r="H33" s="492"/>
      <c r="I33" s="3"/>
    </row>
    <row r="34" spans="1:9" x14ac:dyDescent="0.25">
      <c r="B34" s="9"/>
      <c r="C34" s="495" t="s">
        <v>194</v>
      </c>
      <c r="D34" s="491">
        <f>IF(C21=0,0,D23/C21)</f>
        <v>0</v>
      </c>
      <c r="E34" s="488"/>
      <c r="F34" s="488"/>
      <c r="G34" s="488"/>
      <c r="H34" s="488"/>
      <c r="I34" s="3"/>
    </row>
    <row r="35" spans="1:9" x14ac:dyDescent="0.25">
      <c r="B35" s="3"/>
      <c r="C35" s="3"/>
      <c r="D35" s="488"/>
      <c r="E35" s="488"/>
      <c r="F35" s="488"/>
      <c r="G35" s="488"/>
      <c r="H35" s="488"/>
      <c r="I35" s="3"/>
    </row>
    <row r="36" spans="1:9" x14ac:dyDescent="0.25">
      <c r="B36" s="9"/>
      <c r="C36" s="9"/>
      <c r="D36" s="495" t="s">
        <v>195</v>
      </c>
      <c r="E36" s="490">
        <f>IF(C21=0,0,E25/C21)</f>
        <v>0</v>
      </c>
      <c r="F36" s="488"/>
      <c r="G36" s="488"/>
      <c r="H36" s="488"/>
      <c r="I36" s="3"/>
    </row>
    <row r="37" spans="1:9" x14ac:dyDescent="0.25">
      <c r="B37" s="3"/>
      <c r="C37" s="3"/>
      <c r="D37" s="488"/>
      <c r="E37" s="488"/>
      <c r="F37" s="488"/>
      <c r="G37" s="488"/>
      <c r="H37" s="488"/>
      <c r="I37" s="3"/>
    </row>
    <row r="38" spans="1:9" x14ac:dyDescent="0.25">
      <c r="B38" s="9"/>
      <c r="C38" s="3"/>
      <c r="D38" s="486"/>
      <c r="E38" s="495" t="s">
        <v>196</v>
      </c>
      <c r="F38" s="491">
        <f>IF(C21=0,0,F27/C21)</f>
        <v>0</v>
      </c>
      <c r="G38" s="487"/>
      <c r="H38" s="487"/>
      <c r="I38" s="3"/>
    </row>
    <row r="39" spans="1:9" x14ac:dyDescent="0.25">
      <c r="B39" s="9"/>
      <c r="C39" s="3"/>
      <c r="D39" s="486"/>
      <c r="E39" s="488"/>
      <c r="F39" s="487"/>
      <c r="G39" s="487"/>
      <c r="H39" s="487"/>
      <c r="I39" s="3"/>
    </row>
    <row r="40" spans="1:9" x14ac:dyDescent="0.25">
      <c r="B40" s="9"/>
      <c r="C40" s="3"/>
      <c r="D40" s="486"/>
      <c r="E40" s="488"/>
      <c r="F40" s="498" t="s">
        <v>197</v>
      </c>
      <c r="G40" s="491">
        <f>IF(C21=0,0,G29/C21)</f>
        <v>0</v>
      </c>
      <c r="H40" s="487"/>
      <c r="I40" s="3"/>
    </row>
    <row r="41" spans="1:9" x14ac:dyDescent="0.25">
      <c r="B41" s="9"/>
      <c r="C41" s="3"/>
      <c r="D41" s="486"/>
      <c r="E41" s="488"/>
      <c r="F41" s="487"/>
      <c r="G41" s="487"/>
      <c r="H41" s="487"/>
      <c r="I41" s="3"/>
    </row>
    <row r="42" spans="1:9" x14ac:dyDescent="0.25">
      <c r="B42" s="9"/>
      <c r="C42" s="3"/>
      <c r="D42" s="486"/>
      <c r="E42" s="488"/>
      <c r="F42" s="487"/>
      <c r="G42" s="499" t="s">
        <v>198</v>
      </c>
      <c r="H42" s="491">
        <f>IF(C21=0,0,H31/C21)</f>
        <v>0</v>
      </c>
      <c r="I42" s="3"/>
    </row>
    <row r="43" spans="1:9" x14ac:dyDescent="0.25">
      <c r="B43" s="3"/>
      <c r="C43" s="3"/>
      <c r="D43" s="488"/>
      <c r="E43" s="488"/>
      <c r="F43" s="488"/>
      <c r="G43" s="488"/>
      <c r="H43" s="488"/>
      <c r="I43" s="3"/>
    </row>
    <row r="44" spans="1:9" x14ac:dyDescent="0.25">
      <c r="B44" s="3"/>
      <c r="C44" s="3"/>
      <c r="D44" s="3"/>
      <c r="E44" s="3"/>
      <c r="F44" s="3"/>
      <c r="G44" s="3"/>
      <c r="H44" s="3"/>
      <c r="I44" s="3"/>
    </row>
    <row r="45" spans="1:9" x14ac:dyDescent="0.25">
      <c r="A45" s="55"/>
    </row>
    <row r="46" spans="1:9" x14ac:dyDescent="0.25">
      <c r="A46" s="55"/>
    </row>
    <row r="47" spans="1:9" x14ac:dyDescent="0.25">
      <c r="A47" s="55"/>
    </row>
    <row r="48" spans="1:9" x14ac:dyDescent="0.25">
      <c r="A48" s="55"/>
      <c r="B48" s="182"/>
      <c r="C48" s="182"/>
      <c r="D48" s="182"/>
      <c r="E48" s="4"/>
    </row>
    <row r="49" spans="1:1" x14ac:dyDescent="0.25">
      <c r="A49" s="55"/>
    </row>
    <row r="50" spans="1:1" x14ac:dyDescent="0.25">
      <c r="A50" s="55"/>
    </row>
    <row r="51" spans="1:1" x14ac:dyDescent="0.25">
      <c r="A51" s="55"/>
    </row>
    <row r="52" spans="1:1" x14ac:dyDescent="0.25">
      <c r="A52" s="55"/>
    </row>
    <row r="53" spans="1:1" x14ac:dyDescent="0.25">
      <c r="A53" s="55"/>
    </row>
    <row r="54" spans="1:1" x14ac:dyDescent="0.25">
      <c r="A54" s="55"/>
    </row>
    <row r="55" spans="1:1" x14ac:dyDescent="0.25">
      <c r="A55" s="55"/>
    </row>
    <row r="56" spans="1:1" x14ac:dyDescent="0.25">
      <c r="A56" s="55"/>
    </row>
    <row r="57" spans="1:1" x14ac:dyDescent="0.25">
      <c r="A57" s="55"/>
    </row>
    <row r="58" spans="1:1" x14ac:dyDescent="0.25">
      <c r="A58" s="55"/>
    </row>
    <row r="59" spans="1:1" x14ac:dyDescent="0.25">
      <c r="A59" s="55"/>
    </row>
    <row r="60" spans="1:1" x14ac:dyDescent="0.25">
      <c r="A60" s="55"/>
    </row>
    <row r="61" spans="1:1" x14ac:dyDescent="0.25">
      <c r="A61" s="55"/>
    </row>
    <row r="62" spans="1:1" x14ac:dyDescent="0.25">
      <c r="A62" s="55"/>
    </row>
    <row r="63" spans="1:1" x14ac:dyDescent="0.25">
      <c r="A63" s="55"/>
    </row>
    <row r="64" spans="1:1" x14ac:dyDescent="0.25">
      <c r="A64" s="55"/>
    </row>
    <row r="65" spans="1:1" x14ac:dyDescent="0.25">
      <c r="A65" s="55"/>
    </row>
    <row r="66" spans="1:1" x14ac:dyDescent="0.25">
      <c r="A66" s="55"/>
    </row>
    <row r="67" spans="1:1" x14ac:dyDescent="0.25">
      <c r="A67" s="55"/>
    </row>
    <row r="68" spans="1:1" x14ac:dyDescent="0.25">
      <c r="A68" s="55"/>
    </row>
    <row r="69" spans="1:1" x14ac:dyDescent="0.25">
      <c r="A69" s="55"/>
    </row>
    <row r="70" spans="1:1" x14ac:dyDescent="0.25">
      <c r="A70" s="55"/>
    </row>
    <row r="71" spans="1:1" x14ac:dyDescent="0.25">
      <c r="A71" s="55"/>
    </row>
    <row r="72" spans="1:1" x14ac:dyDescent="0.25">
      <c r="A72" s="55"/>
    </row>
    <row r="73" spans="1:1" x14ac:dyDescent="0.25">
      <c r="A73" s="55"/>
    </row>
    <row r="74" spans="1:1" x14ac:dyDescent="0.25">
      <c r="A74" s="55"/>
    </row>
    <row r="75" spans="1:1" x14ac:dyDescent="0.25">
      <c r="A75" s="55"/>
    </row>
    <row r="76" spans="1:1" x14ac:dyDescent="0.25">
      <c r="A76" s="55"/>
    </row>
    <row r="77" spans="1:1" x14ac:dyDescent="0.25">
      <c r="A77" s="55"/>
    </row>
    <row r="78" spans="1:1" x14ac:dyDescent="0.25">
      <c r="A78" s="55"/>
    </row>
    <row r="79" spans="1:1" x14ac:dyDescent="0.25">
      <c r="A79" s="55"/>
    </row>
    <row r="80" spans="1:1" x14ac:dyDescent="0.25">
      <c r="A80" s="55"/>
    </row>
    <row r="81" spans="1:1" x14ac:dyDescent="0.25">
      <c r="A81" s="55"/>
    </row>
    <row r="82" spans="1:1" x14ac:dyDescent="0.25">
      <c r="A82" s="55"/>
    </row>
    <row r="83" spans="1:1" x14ac:dyDescent="0.25">
      <c r="A83" s="55"/>
    </row>
    <row r="84" spans="1:1" x14ac:dyDescent="0.25">
      <c r="A84" s="55"/>
    </row>
    <row r="85" spans="1:1" x14ac:dyDescent="0.25">
      <c r="A85" s="55"/>
    </row>
    <row r="86" spans="1:1" x14ac:dyDescent="0.25">
      <c r="A86" s="55"/>
    </row>
    <row r="87" spans="1:1" x14ac:dyDescent="0.25">
      <c r="A87" s="55"/>
    </row>
    <row r="88" spans="1:1" x14ac:dyDescent="0.25">
      <c r="A88" s="55"/>
    </row>
    <row r="89" spans="1:1" x14ac:dyDescent="0.25">
      <c r="A89" s="55"/>
    </row>
    <row r="90" spans="1:1" x14ac:dyDescent="0.25">
      <c r="A90" s="55"/>
    </row>
    <row r="91" spans="1:1" x14ac:dyDescent="0.25">
      <c r="A91" s="55"/>
    </row>
    <row r="92" spans="1:1" x14ac:dyDescent="0.25">
      <c r="A92" s="55"/>
    </row>
    <row r="93" spans="1:1" x14ac:dyDescent="0.25">
      <c r="A93" s="55"/>
    </row>
    <row r="94" spans="1:1" x14ac:dyDescent="0.25">
      <c r="A94" s="55"/>
    </row>
    <row r="95" spans="1:1" x14ac:dyDescent="0.25">
      <c r="A95" s="55"/>
    </row>
    <row r="96" spans="1:1" x14ac:dyDescent="0.25">
      <c r="A96" s="55"/>
    </row>
    <row r="97" spans="1:1" x14ac:dyDescent="0.25">
      <c r="A97" s="55"/>
    </row>
    <row r="98" spans="1:1" x14ac:dyDescent="0.25">
      <c r="A98" s="55"/>
    </row>
    <row r="99" spans="1:1" x14ac:dyDescent="0.25">
      <c r="A99" s="55"/>
    </row>
    <row r="100" spans="1:1" x14ac:dyDescent="0.25">
      <c r="A100" s="55"/>
    </row>
    <row r="101" spans="1:1" x14ac:dyDescent="0.25">
      <c r="A101" s="55"/>
    </row>
    <row r="102" spans="1:1" x14ac:dyDescent="0.25">
      <c r="A102" s="55"/>
    </row>
    <row r="103" spans="1:1" x14ac:dyDescent="0.25">
      <c r="A103" s="55"/>
    </row>
    <row r="104" spans="1:1" x14ac:dyDescent="0.25">
      <c r="A104" s="55"/>
    </row>
    <row r="105" spans="1:1" x14ac:dyDescent="0.25">
      <c r="A105" s="55"/>
    </row>
    <row r="106" spans="1:1" x14ac:dyDescent="0.25">
      <c r="A106" s="55"/>
    </row>
    <row r="107" spans="1:1" x14ac:dyDescent="0.25">
      <c r="A107" s="55"/>
    </row>
    <row r="108" spans="1:1" x14ac:dyDescent="0.25">
      <c r="A108" s="55"/>
    </row>
    <row r="109" spans="1:1" x14ac:dyDescent="0.25">
      <c r="A109" s="55"/>
    </row>
    <row r="110" spans="1:1" x14ac:dyDescent="0.25">
      <c r="A110" s="55"/>
    </row>
    <row r="111" spans="1:1" x14ac:dyDescent="0.25">
      <c r="A111" s="55"/>
    </row>
    <row r="112" spans="1:1" x14ac:dyDescent="0.25">
      <c r="A112" s="55"/>
    </row>
    <row r="113" spans="1:1" x14ac:dyDescent="0.25">
      <c r="A113" s="55"/>
    </row>
    <row r="114" spans="1:1" x14ac:dyDescent="0.25">
      <c r="A114" s="55"/>
    </row>
    <row r="115" spans="1:1" x14ac:dyDescent="0.25">
      <c r="A115" s="55"/>
    </row>
    <row r="116" spans="1:1" x14ac:dyDescent="0.25">
      <c r="A116" s="55"/>
    </row>
    <row r="117" spans="1:1" x14ac:dyDescent="0.25">
      <c r="A117" s="55"/>
    </row>
    <row r="118" spans="1:1" x14ac:dyDescent="0.25">
      <c r="A118" s="55"/>
    </row>
    <row r="119" spans="1:1" x14ac:dyDescent="0.25">
      <c r="A119" s="55"/>
    </row>
    <row r="120" spans="1:1" x14ac:dyDescent="0.25">
      <c r="A120" s="55"/>
    </row>
    <row r="121" spans="1:1" x14ac:dyDescent="0.25">
      <c r="A121" s="55"/>
    </row>
    <row r="122" spans="1:1" x14ac:dyDescent="0.25">
      <c r="A122" s="55"/>
    </row>
    <row r="123" spans="1:1" x14ac:dyDescent="0.25">
      <c r="A123" s="55"/>
    </row>
    <row r="124" spans="1:1" x14ac:dyDescent="0.25">
      <c r="A124" s="55"/>
    </row>
    <row r="125" spans="1:1" x14ac:dyDescent="0.25">
      <c r="A125" s="55"/>
    </row>
    <row r="126" spans="1:1" x14ac:dyDescent="0.25">
      <c r="A126" s="55"/>
    </row>
    <row r="127" spans="1:1" x14ac:dyDescent="0.25">
      <c r="A127" s="55"/>
    </row>
    <row r="128" spans="1:1" x14ac:dyDescent="0.25">
      <c r="A128" s="55"/>
    </row>
    <row r="129" spans="1:1" x14ac:dyDescent="0.25">
      <c r="A129" s="55"/>
    </row>
    <row r="130" spans="1:1" x14ac:dyDescent="0.25">
      <c r="A130" s="55"/>
    </row>
    <row r="131" spans="1:1" x14ac:dyDescent="0.25">
      <c r="A131" s="55"/>
    </row>
    <row r="132" spans="1:1" x14ac:dyDescent="0.25">
      <c r="A132" s="55"/>
    </row>
    <row r="133" spans="1:1" x14ac:dyDescent="0.25">
      <c r="A133" s="55"/>
    </row>
    <row r="134" spans="1:1" x14ac:dyDescent="0.25">
      <c r="A134" s="55"/>
    </row>
    <row r="135" spans="1:1" x14ac:dyDescent="0.25">
      <c r="A135" s="55"/>
    </row>
    <row r="136" spans="1:1" x14ac:dyDescent="0.25">
      <c r="A136" s="55"/>
    </row>
    <row r="137" spans="1:1" x14ac:dyDescent="0.25">
      <c r="A137" s="55"/>
    </row>
    <row r="138" spans="1:1" x14ac:dyDescent="0.25">
      <c r="A138" s="55"/>
    </row>
    <row r="139" spans="1:1" x14ac:dyDescent="0.25">
      <c r="A139" s="55"/>
    </row>
    <row r="140" spans="1:1" x14ac:dyDescent="0.25">
      <c r="A140" s="55"/>
    </row>
    <row r="141" spans="1:1" x14ac:dyDescent="0.25">
      <c r="A141" s="55"/>
    </row>
    <row r="142" spans="1:1" x14ac:dyDescent="0.25">
      <c r="A142" s="55"/>
    </row>
    <row r="143" spans="1:1" x14ac:dyDescent="0.25">
      <c r="A143" s="55"/>
    </row>
    <row r="144" spans="1:1" x14ac:dyDescent="0.25">
      <c r="A144" s="55"/>
    </row>
    <row r="145" spans="1:1" x14ac:dyDescent="0.25">
      <c r="A145" s="55"/>
    </row>
    <row r="146" spans="1:1" x14ac:dyDescent="0.25">
      <c r="A146" s="55"/>
    </row>
    <row r="147" spans="1:1" x14ac:dyDescent="0.25">
      <c r="A147" s="55"/>
    </row>
    <row r="148" spans="1:1" x14ac:dyDescent="0.25">
      <c r="A148" s="55"/>
    </row>
    <row r="149" spans="1:1" x14ac:dyDescent="0.25">
      <c r="A149" s="55"/>
    </row>
    <row r="150" spans="1:1" x14ac:dyDescent="0.25">
      <c r="A150" s="55"/>
    </row>
    <row r="151" spans="1:1" x14ac:dyDescent="0.25">
      <c r="A151" s="55"/>
    </row>
    <row r="152" spans="1:1" x14ac:dyDescent="0.25">
      <c r="A152" s="55"/>
    </row>
    <row r="153" spans="1:1" x14ac:dyDescent="0.25">
      <c r="A153" s="55"/>
    </row>
    <row r="154" spans="1:1" x14ac:dyDescent="0.25">
      <c r="A154" s="55"/>
    </row>
    <row r="155" spans="1:1" x14ac:dyDescent="0.25">
      <c r="A155" s="55"/>
    </row>
    <row r="156" spans="1:1" x14ac:dyDescent="0.25">
      <c r="A156" s="55"/>
    </row>
    <row r="157" spans="1:1" x14ac:dyDescent="0.25">
      <c r="A157" s="55"/>
    </row>
    <row r="158" spans="1:1" x14ac:dyDescent="0.25">
      <c r="A158" s="55"/>
    </row>
    <row r="159" spans="1:1" x14ac:dyDescent="0.25">
      <c r="A159" s="55"/>
    </row>
    <row r="160" spans="1:1" x14ac:dyDescent="0.25">
      <c r="A160" s="55"/>
    </row>
    <row r="161" spans="1:1" x14ac:dyDescent="0.25">
      <c r="A161" s="55"/>
    </row>
    <row r="162" spans="1:1" x14ac:dyDescent="0.25">
      <c r="A162" s="55"/>
    </row>
    <row r="163" spans="1:1" x14ac:dyDescent="0.25">
      <c r="A163" s="55"/>
    </row>
    <row r="164" spans="1:1" x14ac:dyDescent="0.25">
      <c r="A164" s="55"/>
    </row>
    <row r="165" spans="1:1" x14ac:dyDescent="0.25">
      <c r="A165" s="55"/>
    </row>
    <row r="166" spans="1:1" x14ac:dyDescent="0.25">
      <c r="A166" s="55"/>
    </row>
    <row r="167" spans="1:1" x14ac:dyDescent="0.25">
      <c r="A167" s="55"/>
    </row>
    <row r="168" spans="1:1" x14ac:dyDescent="0.25">
      <c r="A168" s="55"/>
    </row>
    <row r="169" spans="1:1" x14ac:dyDescent="0.25">
      <c r="A169" s="55"/>
    </row>
    <row r="170" spans="1:1" x14ac:dyDescent="0.25">
      <c r="A170" s="55"/>
    </row>
    <row r="171" spans="1:1" x14ac:dyDescent="0.25">
      <c r="A171" s="55"/>
    </row>
    <row r="172" spans="1:1" x14ac:dyDescent="0.25">
      <c r="A172" s="55"/>
    </row>
    <row r="173" spans="1:1" x14ac:dyDescent="0.25">
      <c r="A173" s="55"/>
    </row>
    <row r="174" spans="1:1" x14ac:dyDescent="0.25">
      <c r="A174" s="55"/>
    </row>
    <row r="175" spans="1:1" x14ac:dyDescent="0.25">
      <c r="A175" s="55"/>
    </row>
    <row r="176" spans="1:1" x14ac:dyDescent="0.25">
      <c r="A176" s="55"/>
    </row>
    <row r="177" spans="1:1" x14ac:dyDescent="0.25">
      <c r="A177" s="55"/>
    </row>
    <row r="178" spans="1:1" x14ac:dyDescent="0.25">
      <c r="A178" s="55"/>
    </row>
    <row r="179" spans="1:1" x14ac:dyDescent="0.25">
      <c r="A179" s="55"/>
    </row>
    <row r="180" spans="1:1" x14ac:dyDescent="0.25">
      <c r="A180" s="55"/>
    </row>
    <row r="181" spans="1:1" x14ac:dyDescent="0.25">
      <c r="A181" s="55"/>
    </row>
    <row r="182" spans="1:1" x14ac:dyDescent="0.25">
      <c r="A182" s="55"/>
    </row>
    <row r="183" spans="1:1" x14ac:dyDescent="0.25">
      <c r="A183" s="55"/>
    </row>
    <row r="184" spans="1:1" x14ac:dyDescent="0.25">
      <c r="A184" s="55"/>
    </row>
    <row r="185" spans="1:1" x14ac:dyDescent="0.25">
      <c r="A185" s="55"/>
    </row>
    <row r="186" spans="1:1" x14ac:dyDescent="0.25">
      <c r="A186" s="55"/>
    </row>
    <row r="187" spans="1:1" x14ac:dyDescent="0.25">
      <c r="A187" s="55"/>
    </row>
    <row r="188" spans="1:1" x14ac:dyDescent="0.25">
      <c r="A188" s="55"/>
    </row>
    <row r="189" spans="1:1" x14ac:dyDescent="0.25">
      <c r="A189" s="55"/>
    </row>
    <row r="190" spans="1:1" x14ac:dyDescent="0.25">
      <c r="A190" s="55"/>
    </row>
    <row r="191" spans="1:1" x14ac:dyDescent="0.25">
      <c r="A191" s="55"/>
    </row>
    <row r="192" spans="1:1" x14ac:dyDescent="0.25">
      <c r="A192" s="55"/>
    </row>
    <row r="193" spans="1:1" x14ac:dyDescent="0.25">
      <c r="A193" s="55"/>
    </row>
    <row r="194" spans="1:1" x14ac:dyDescent="0.25">
      <c r="A194" s="55"/>
    </row>
    <row r="195" spans="1:1" x14ac:dyDescent="0.25">
      <c r="A195" s="55"/>
    </row>
    <row r="196" spans="1:1" x14ac:dyDescent="0.25">
      <c r="A196" s="55"/>
    </row>
    <row r="197" spans="1:1" x14ac:dyDescent="0.25">
      <c r="A197" s="55"/>
    </row>
    <row r="198" spans="1:1" x14ac:dyDescent="0.25">
      <c r="A198" s="55"/>
    </row>
    <row r="199" spans="1:1" x14ac:dyDescent="0.25">
      <c r="A199" s="55"/>
    </row>
    <row r="200" spans="1:1" x14ac:dyDescent="0.25">
      <c r="A200" s="55"/>
    </row>
    <row r="201" spans="1:1" x14ac:dyDescent="0.25">
      <c r="A201" s="55"/>
    </row>
    <row r="202" spans="1:1" x14ac:dyDescent="0.25">
      <c r="A202" s="55"/>
    </row>
    <row r="203" spans="1:1" x14ac:dyDescent="0.25">
      <c r="A203" s="55"/>
    </row>
    <row r="204" spans="1:1" x14ac:dyDescent="0.25">
      <c r="A204" s="55"/>
    </row>
    <row r="205" spans="1:1" x14ac:dyDescent="0.25">
      <c r="A205" s="55"/>
    </row>
    <row r="206" spans="1:1" x14ac:dyDescent="0.25">
      <c r="A206" s="55"/>
    </row>
    <row r="207" spans="1:1" x14ac:dyDescent="0.25">
      <c r="A207" s="55"/>
    </row>
    <row r="208" spans="1:1" x14ac:dyDescent="0.25">
      <c r="A208" s="55"/>
    </row>
    <row r="209" spans="1:1" x14ac:dyDescent="0.25">
      <c r="A209" s="55"/>
    </row>
    <row r="210" spans="1:1" x14ac:dyDescent="0.25">
      <c r="A210" s="55"/>
    </row>
    <row r="211" spans="1:1" x14ac:dyDescent="0.25">
      <c r="A211" s="55"/>
    </row>
    <row r="212" spans="1:1" x14ac:dyDescent="0.25">
      <c r="A212" s="55"/>
    </row>
    <row r="213" spans="1:1" x14ac:dyDescent="0.25">
      <c r="A213" s="55"/>
    </row>
    <row r="214" spans="1:1" x14ac:dyDescent="0.25">
      <c r="A214" s="55"/>
    </row>
    <row r="215" spans="1:1" x14ac:dyDescent="0.25">
      <c r="A215" s="55"/>
    </row>
    <row r="216" spans="1:1" x14ac:dyDescent="0.25">
      <c r="A216" s="55"/>
    </row>
    <row r="217" spans="1:1" x14ac:dyDescent="0.25">
      <c r="A217" s="55"/>
    </row>
    <row r="218" spans="1:1" x14ac:dyDescent="0.25">
      <c r="A218" s="55"/>
    </row>
    <row r="219" spans="1:1" x14ac:dyDescent="0.25">
      <c r="A219" s="55"/>
    </row>
    <row r="220" spans="1:1" x14ac:dyDescent="0.25">
      <c r="A220" s="55"/>
    </row>
    <row r="221" spans="1:1" x14ac:dyDescent="0.25">
      <c r="A221" s="55"/>
    </row>
    <row r="222" spans="1:1" x14ac:dyDescent="0.25">
      <c r="A222" s="55"/>
    </row>
    <row r="223" spans="1:1" x14ac:dyDescent="0.25">
      <c r="A223" s="55"/>
    </row>
    <row r="224" spans="1:1" x14ac:dyDescent="0.25">
      <c r="A224" s="55"/>
    </row>
    <row r="225" spans="1:1" x14ac:dyDescent="0.25">
      <c r="A225" s="55"/>
    </row>
    <row r="226" spans="1:1" x14ac:dyDescent="0.25">
      <c r="A226" s="55"/>
    </row>
    <row r="227" spans="1:1" x14ac:dyDescent="0.25">
      <c r="A227" s="55"/>
    </row>
    <row r="228" spans="1:1" x14ac:dyDescent="0.25">
      <c r="A228" s="55"/>
    </row>
    <row r="229" spans="1:1" x14ac:dyDescent="0.25">
      <c r="A229" s="55"/>
    </row>
    <row r="230" spans="1:1" x14ac:dyDescent="0.25">
      <c r="A230" s="55"/>
    </row>
    <row r="231" spans="1:1" x14ac:dyDescent="0.25">
      <c r="A231" s="55"/>
    </row>
    <row r="232" spans="1:1" x14ac:dyDescent="0.25">
      <c r="A232" s="55"/>
    </row>
    <row r="233" spans="1:1" x14ac:dyDescent="0.25">
      <c r="A233" s="55"/>
    </row>
    <row r="234" spans="1:1" x14ac:dyDescent="0.25">
      <c r="A234" s="55"/>
    </row>
    <row r="235" spans="1:1" x14ac:dyDescent="0.25">
      <c r="A235" s="55"/>
    </row>
    <row r="236" spans="1:1" x14ac:dyDescent="0.25">
      <c r="A236" s="55"/>
    </row>
    <row r="237" spans="1:1" x14ac:dyDescent="0.25">
      <c r="A237" s="55"/>
    </row>
    <row r="238" spans="1:1" x14ac:dyDescent="0.25">
      <c r="A238" s="55"/>
    </row>
    <row r="239" spans="1:1" x14ac:dyDescent="0.25">
      <c r="A239" s="55"/>
    </row>
    <row r="240" spans="1:1" x14ac:dyDescent="0.25">
      <c r="A240" s="55"/>
    </row>
    <row r="241" spans="1:1" x14ac:dyDescent="0.25">
      <c r="A241" s="55"/>
    </row>
    <row r="242" spans="1:1" x14ac:dyDescent="0.25">
      <c r="A242" s="55"/>
    </row>
    <row r="243" spans="1:1" x14ac:dyDescent="0.25">
      <c r="A243" s="55"/>
    </row>
    <row r="244" spans="1:1" x14ac:dyDescent="0.25">
      <c r="A244" s="55"/>
    </row>
    <row r="245" spans="1:1" x14ac:dyDescent="0.25">
      <c r="A245" s="55"/>
    </row>
    <row r="246" spans="1:1" x14ac:dyDescent="0.25">
      <c r="A246" s="55"/>
    </row>
    <row r="247" spans="1:1" x14ac:dyDescent="0.25">
      <c r="A247" s="55"/>
    </row>
    <row r="248" spans="1:1" x14ac:dyDescent="0.25">
      <c r="A248" s="55"/>
    </row>
    <row r="249" spans="1:1" x14ac:dyDescent="0.25">
      <c r="A249" s="55"/>
    </row>
    <row r="250" spans="1:1" x14ac:dyDescent="0.25">
      <c r="A250" s="55"/>
    </row>
    <row r="251" spans="1:1" x14ac:dyDescent="0.25">
      <c r="A251" s="55"/>
    </row>
    <row r="252" spans="1:1" x14ac:dyDescent="0.25">
      <c r="A252" s="55"/>
    </row>
    <row r="253" spans="1:1" x14ac:dyDescent="0.25">
      <c r="A253" s="55"/>
    </row>
    <row r="254" spans="1:1" x14ac:dyDescent="0.25">
      <c r="A254" s="55"/>
    </row>
    <row r="255" spans="1:1" x14ac:dyDescent="0.25">
      <c r="A255" s="55"/>
    </row>
    <row r="256" spans="1:1" x14ac:dyDescent="0.25">
      <c r="A256" s="55"/>
    </row>
    <row r="257" spans="1:1" x14ac:dyDescent="0.25">
      <c r="A257" s="55"/>
    </row>
    <row r="258" spans="1:1" x14ac:dyDescent="0.25">
      <c r="A258" s="55"/>
    </row>
    <row r="259" spans="1:1" x14ac:dyDescent="0.25">
      <c r="A259" s="55"/>
    </row>
    <row r="260" spans="1:1" x14ac:dyDescent="0.25">
      <c r="A260" s="55"/>
    </row>
    <row r="261" spans="1:1" x14ac:dyDescent="0.25">
      <c r="A261" s="55"/>
    </row>
    <row r="262" spans="1:1" x14ac:dyDescent="0.25">
      <c r="A262" s="55"/>
    </row>
    <row r="263" spans="1:1" x14ac:dyDescent="0.25">
      <c r="A263" s="55"/>
    </row>
    <row r="264" spans="1:1" x14ac:dyDescent="0.25">
      <c r="A264" s="55"/>
    </row>
    <row r="265" spans="1:1" x14ac:dyDescent="0.25">
      <c r="A265" s="55"/>
    </row>
    <row r="266" spans="1:1" x14ac:dyDescent="0.25">
      <c r="A266" s="55"/>
    </row>
    <row r="267" spans="1:1" x14ac:dyDescent="0.25">
      <c r="A267" s="55"/>
    </row>
    <row r="268" spans="1:1" x14ac:dyDescent="0.25">
      <c r="A268" s="55"/>
    </row>
    <row r="269" spans="1:1" x14ac:dyDescent="0.25">
      <c r="A269" s="55"/>
    </row>
    <row r="270" spans="1:1" x14ac:dyDescent="0.25">
      <c r="A270" s="55"/>
    </row>
    <row r="271" spans="1:1" x14ac:dyDescent="0.25">
      <c r="A271" s="55"/>
    </row>
    <row r="272" spans="1:1" x14ac:dyDescent="0.25">
      <c r="A272" s="55"/>
    </row>
    <row r="273" spans="1:1" x14ac:dyDescent="0.25">
      <c r="A273" s="55"/>
    </row>
    <row r="274" spans="1:1" x14ac:dyDescent="0.25">
      <c r="A274" s="55"/>
    </row>
    <row r="275" spans="1:1" x14ac:dyDescent="0.25">
      <c r="A275" s="55"/>
    </row>
    <row r="276" spans="1:1" x14ac:dyDescent="0.25">
      <c r="A276" s="55"/>
    </row>
    <row r="277" spans="1:1" x14ac:dyDescent="0.25">
      <c r="A277" s="55"/>
    </row>
    <row r="278" spans="1:1" x14ac:dyDescent="0.25">
      <c r="A278" s="55"/>
    </row>
    <row r="279" spans="1:1" x14ac:dyDescent="0.25">
      <c r="A279" s="55"/>
    </row>
    <row r="280" spans="1:1" x14ac:dyDescent="0.25">
      <c r="A280" s="55"/>
    </row>
    <row r="281" spans="1:1" x14ac:dyDescent="0.25">
      <c r="A281" s="55"/>
    </row>
    <row r="282" spans="1:1" x14ac:dyDescent="0.25">
      <c r="A282" s="55"/>
    </row>
    <row r="283" spans="1:1" x14ac:dyDescent="0.25">
      <c r="A283" s="55"/>
    </row>
    <row r="284" spans="1:1" x14ac:dyDescent="0.25">
      <c r="A284" s="55"/>
    </row>
    <row r="285" spans="1:1" x14ac:dyDescent="0.25">
      <c r="A285" s="55"/>
    </row>
    <row r="286" spans="1:1" x14ac:dyDescent="0.25">
      <c r="A286" s="55"/>
    </row>
    <row r="287" spans="1:1" x14ac:dyDescent="0.25">
      <c r="A287" s="55"/>
    </row>
    <row r="288" spans="1:1" x14ac:dyDescent="0.25">
      <c r="A288" s="55"/>
    </row>
    <row r="289" spans="1:1" x14ac:dyDescent="0.25">
      <c r="A289" s="55"/>
    </row>
    <row r="290" spans="1:1" x14ac:dyDescent="0.25">
      <c r="A290" s="55"/>
    </row>
    <row r="291" spans="1:1" x14ac:dyDescent="0.25">
      <c r="A291" s="55"/>
    </row>
    <row r="292" spans="1:1" x14ac:dyDescent="0.25">
      <c r="A292" s="55"/>
    </row>
    <row r="293" spans="1:1" x14ac:dyDescent="0.25">
      <c r="A293" s="55"/>
    </row>
    <row r="294" spans="1:1" x14ac:dyDescent="0.25">
      <c r="A294" s="55"/>
    </row>
    <row r="295" spans="1:1" x14ac:dyDescent="0.25">
      <c r="A295" s="55"/>
    </row>
    <row r="296" spans="1:1" x14ac:dyDescent="0.25">
      <c r="A296" s="55"/>
    </row>
    <row r="297" spans="1:1" x14ac:dyDescent="0.25">
      <c r="A297" s="55"/>
    </row>
    <row r="298" spans="1:1" x14ac:dyDescent="0.25">
      <c r="A298" s="55"/>
    </row>
    <row r="299" spans="1:1" x14ac:dyDescent="0.25">
      <c r="A299" s="55"/>
    </row>
    <row r="300" spans="1:1" x14ac:dyDescent="0.25">
      <c r="A300" s="55"/>
    </row>
    <row r="301" spans="1:1" x14ac:dyDescent="0.25">
      <c r="A301" s="55"/>
    </row>
    <row r="302" spans="1:1" x14ac:dyDescent="0.25">
      <c r="A302" s="55"/>
    </row>
    <row r="303" spans="1:1" x14ac:dyDescent="0.25">
      <c r="A303" s="55"/>
    </row>
    <row r="304" spans="1:1" x14ac:dyDescent="0.25">
      <c r="A304" s="55"/>
    </row>
    <row r="305" spans="1:1" x14ac:dyDescent="0.25">
      <c r="A305" s="55"/>
    </row>
    <row r="306" spans="1:1" x14ac:dyDescent="0.25">
      <c r="A306" s="55"/>
    </row>
    <row r="307" spans="1:1" x14ac:dyDescent="0.25">
      <c r="A307" s="55"/>
    </row>
    <row r="308" spans="1:1" x14ac:dyDescent="0.25">
      <c r="A308" s="55"/>
    </row>
    <row r="309" spans="1:1" x14ac:dyDescent="0.25">
      <c r="A309" s="55"/>
    </row>
    <row r="310" spans="1:1" x14ac:dyDescent="0.25">
      <c r="A310" s="55"/>
    </row>
    <row r="311" spans="1:1" x14ac:dyDescent="0.25">
      <c r="A311" s="55"/>
    </row>
    <row r="312" spans="1:1" x14ac:dyDescent="0.25">
      <c r="A312" s="55"/>
    </row>
    <row r="313" spans="1:1" x14ac:dyDescent="0.25">
      <c r="A313" s="55"/>
    </row>
    <row r="314" spans="1:1" x14ac:dyDescent="0.25">
      <c r="A314" s="55"/>
    </row>
    <row r="315" spans="1:1" x14ac:dyDescent="0.25">
      <c r="A315" s="55"/>
    </row>
    <row r="316" spans="1:1" x14ac:dyDescent="0.25">
      <c r="A316" s="55"/>
    </row>
    <row r="317" spans="1:1" x14ac:dyDescent="0.25">
      <c r="A317" s="55"/>
    </row>
    <row r="318" spans="1:1" x14ac:dyDescent="0.25">
      <c r="A318" s="55"/>
    </row>
    <row r="319" spans="1:1" x14ac:dyDescent="0.25">
      <c r="A319" s="55"/>
    </row>
    <row r="320" spans="1:1" x14ac:dyDescent="0.25">
      <c r="A320" s="55"/>
    </row>
    <row r="321" spans="1:1" x14ac:dyDescent="0.25">
      <c r="A321" s="55"/>
    </row>
    <row r="322" spans="1:1" x14ac:dyDescent="0.25">
      <c r="A322" s="55"/>
    </row>
    <row r="323" spans="1:1" x14ac:dyDescent="0.25">
      <c r="A323" s="55"/>
    </row>
    <row r="324" spans="1:1" x14ac:dyDescent="0.25">
      <c r="A324" s="55"/>
    </row>
    <row r="325" spans="1:1" x14ac:dyDescent="0.25">
      <c r="A325" s="55"/>
    </row>
    <row r="326" spans="1:1" x14ac:dyDescent="0.25">
      <c r="A326" s="55"/>
    </row>
    <row r="327" spans="1:1" x14ac:dyDescent="0.25">
      <c r="A327" s="55"/>
    </row>
    <row r="328" spans="1:1" x14ac:dyDescent="0.25">
      <c r="A328" s="55"/>
    </row>
    <row r="329" spans="1:1" x14ac:dyDescent="0.25">
      <c r="A329" s="55"/>
    </row>
    <row r="330" spans="1:1" x14ac:dyDescent="0.25">
      <c r="A330" s="55"/>
    </row>
    <row r="331" spans="1:1" x14ac:dyDescent="0.25">
      <c r="A331" s="55"/>
    </row>
    <row r="332" spans="1:1" x14ac:dyDescent="0.25">
      <c r="A332" s="55"/>
    </row>
    <row r="333" spans="1:1" x14ac:dyDescent="0.25">
      <c r="A333" s="55"/>
    </row>
    <row r="334" spans="1:1" x14ac:dyDescent="0.25">
      <c r="A334" s="55"/>
    </row>
    <row r="335" spans="1:1" x14ac:dyDescent="0.25">
      <c r="A335" s="55"/>
    </row>
    <row r="336" spans="1:1" x14ac:dyDescent="0.25">
      <c r="A336" s="55"/>
    </row>
    <row r="337" spans="1:1" x14ac:dyDescent="0.25">
      <c r="A337" s="55"/>
    </row>
    <row r="338" spans="1:1" x14ac:dyDescent="0.25">
      <c r="A338" s="55"/>
    </row>
    <row r="339" spans="1:1" x14ac:dyDescent="0.25">
      <c r="A339" s="55"/>
    </row>
    <row r="340" spans="1:1" x14ac:dyDescent="0.25">
      <c r="A340" s="55"/>
    </row>
    <row r="341" spans="1:1" x14ac:dyDescent="0.25">
      <c r="A341" s="55"/>
    </row>
    <row r="342" spans="1:1" x14ac:dyDescent="0.25">
      <c r="A342" s="55"/>
    </row>
    <row r="343" spans="1:1" x14ac:dyDescent="0.25">
      <c r="A343" s="55"/>
    </row>
    <row r="344" spans="1:1" x14ac:dyDescent="0.25">
      <c r="A344" s="55"/>
    </row>
    <row r="345" spans="1:1" x14ac:dyDescent="0.25">
      <c r="A345" s="55"/>
    </row>
    <row r="346" spans="1:1" x14ac:dyDescent="0.25">
      <c r="A346" s="55"/>
    </row>
    <row r="347" spans="1:1" x14ac:dyDescent="0.25">
      <c r="A347" s="55"/>
    </row>
    <row r="348" spans="1:1" x14ac:dyDescent="0.25">
      <c r="A348" s="55"/>
    </row>
    <row r="349" spans="1:1" x14ac:dyDescent="0.25">
      <c r="A349" s="55"/>
    </row>
    <row r="350" spans="1:1" x14ac:dyDescent="0.25">
      <c r="A350" s="55"/>
    </row>
    <row r="351" spans="1:1" x14ac:dyDescent="0.25">
      <c r="A351" s="55"/>
    </row>
    <row r="352" spans="1:1" x14ac:dyDescent="0.25">
      <c r="A352" s="55"/>
    </row>
    <row r="353" spans="1:1" x14ac:dyDescent="0.25">
      <c r="A353" s="55"/>
    </row>
    <row r="354" spans="1:1" x14ac:dyDescent="0.25">
      <c r="A354" s="55"/>
    </row>
    <row r="355" spans="1:1" x14ac:dyDescent="0.25">
      <c r="A355" s="55"/>
    </row>
    <row r="356" spans="1:1" x14ac:dyDescent="0.25">
      <c r="A356" s="55"/>
    </row>
    <row r="357" spans="1:1" x14ac:dyDescent="0.25">
      <c r="A357" s="55"/>
    </row>
    <row r="358" spans="1:1" x14ac:dyDescent="0.25">
      <c r="A358" s="55"/>
    </row>
    <row r="359" spans="1:1" x14ac:dyDescent="0.25">
      <c r="A359" s="55"/>
    </row>
    <row r="360" spans="1:1" x14ac:dyDescent="0.25">
      <c r="A360" s="55"/>
    </row>
    <row r="361" spans="1:1" x14ac:dyDescent="0.25">
      <c r="A361" s="55"/>
    </row>
    <row r="362" spans="1:1" x14ac:dyDescent="0.25">
      <c r="A362" s="55"/>
    </row>
    <row r="363" spans="1:1" x14ac:dyDescent="0.25">
      <c r="A363" s="55"/>
    </row>
    <row r="364" spans="1:1" x14ac:dyDescent="0.25">
      <c r="A364" s="55"/>
    </row>
    <row r="365" spans="1:1" x14ac:dyDescent="0.25">
      <c r="A365" s="55"/>
    </row>
    <row r="366" spans="1:1" x14ac:dyDescent="0.25">
      <c r="A366" s="55"/>
    </row>
    <row r="367" spans="1:1" x14ac:dyDescent="0.25">
      <c r="A367" s="55"/>
    </row>
    <row r="368" spans="1:1" x14ac:dyDescent="0.25">
      <c r="A368" s="55"/>
    </row>
    <row r="369" spans="1:1" x14ac:dyDescent="0.25">
      <c r="A369" s="55"/>
    </row>
    <row r="370" spans="1:1" x14ac:dyDescent="0.25">
      <c r="A370" s="55"/>
    </row>
    <row r="371" spans="1:1" x14ac:dyDescent="0.25">
      <c r="A371" s="55"/>
    </row>
    <row r="372" spans="1:1" x14ac:dyDescent="0.25">
      <c r="A372" s="55"/>
    </row>
    <row r="373" spans="1:1" x14ac:dyDescent="0.25">
      <c r="A373" s="55"/>
    </row>
    <row r="374" spans="1:1" x14ac:dyDescent="0.25">
      <c r="A374" s="55"/>
    </row>
    <row r="375" spans="1:1" x14ac:dyDescent="0.25">
      <c r="A375" s="55"/>
    </row>
    <row r="376" spans="1:1" x14ac:dyDescent="0.25">
      <c r="A376" s="55"/>
    </row>
    <row r="377" spans="1:1" x14ac:dyDescent="0.25">
      <c r="A377" s="55"/>
    </row>
    <row r="378" spans="1:1" x14ac:dyDescent="0.25">
      <c r="A378" s="55"/>
    </row>
    <row r="379" spans="1:1" x14ac:dyDescent="0.25">
      <c r="A379" s="55"/>
    </row>
    <row r="380" spans="1:1" x14ac:dyDescent="0.25">
      <c r="A380" s="55"/>
    </row>
    <row r="381" spans="1:1" x14ac:dyDescent="0.25">
      <c r="A381" s="55"/>
    </row>
    <row r="382" spans="1:1" x14ac:dyDescent="0.25">
      <c r="A382" s="55"/>
    </row>
    <row r="383" spans="1:1" x14ac:dyDescent="0.25">
      <c r="A383" s="55"/>
    </row>
    <row r="384" spans="1:1" x14ac:dyDescent="0.25">
      <c r="A384" s="55"/>
    </row>
    <row r="385" spans="1:1" x14ac:dyDescent="0.25">
      <c r="A385" s="55"/>
    </row>
    <row r="386" spans="1:1" x14ac:dyDescent="0.25">
      <c r="A386" s="55"/>
    </row>
    <row r="387" spans="1:1" x14ac:dyDescent="0.25">
      <c r="A387" s="55"/>
    </row>
    <row r="388" spans="1:1" x14ac:dyDescent="0.25">
      <c r="A388" s="55"/>
    </row>
    <row r="389" spans="1:1" x14ac:dyDescent="0.25">
      <c r="A389" s="55"/>
    </row>
    <row r="390" spans="1:1" x14ac:dyDescent="0.25">
      <c r="A390" s="55"/>
    </row>
    <row r="391" spans="1:1" x14ac:dyDescent="0.25">
      <c r="A391" s="55"/>
    </row>
    <row r="392" spans="1:1" x14ac:dyDescent="0.25">
      <c r="A392" s="55"/>
    </row>
    <row r="393" spans="1:1" x14ac:dyDescent="0.25">
      <c r="A393" s="55"/>
    </row>
    <row r="394" spans="1:1" x14ac:dyDescent="0.25">
      <c r="A394" s="55"/>
    </row>
    <row r="395" spans="1:1" x14ac:dyDescent="0.25">
      <c r="A395" s="55"/>
    </row>
    <row r="396" spans="1:1" x14ac:dyDescent="0.25">
      <c r="A396" s="55"/>
    </row>
    <row r="397" spans="1:1" x14ac:dyDescent="0.25">
      <c r="A397" s="55"/>
    </row>
    <row r="398" spans="1:1" x14ac:dyDescent="0.25">
      <c r="A398" s="55"/>
    </row>
    <row r="399" spans="1:1" x14ac:dyDescent="0.25">
      <c r="A399" s="55"/>
    </row>
    <row r="400" spans="1:1" x14ac:dyDescent="0.25">
      <c r="A400" s="55"/>
    </row>
    <row r="401" spans="1:1" x14ac:dyDescent="0.25">
      <c r="A401" s="55"/>
    </row>
    <row r="402" spans="1:1" x14ac:dyDescent="0.25">
      <c r="A402" s="55"/>
    </row>
    <row r="403" spans="1:1" x14ac:dyDescent="0.25">
      <c r="A403" s="55"/>
    </row>
    <row r="404" spans="1:1" x14ac:dyDescent="0.25">
      <c r="A404" s="55"/>
    </row>
    <row r="405" spans="1:1" x14ac:dyDescent="0.25">
      <c r="A405" s="55"/>
    </row>
    <row r="406" spans="1:1" x14ac:dyDescent="0.25">
      <c r="A406" s="55"/>
    </row>
    <row r="407" spans="1:1" x14ac:dyDescent="0.25">
      <c r="A407" s="55"/>
    </row>
    <row r="408" spans="1:1" x14ac:dyDescent="0.25">
      <c r="A408" s="55"/>
    </row>
    <row r="409" spans="1:1" x14ac:dyDescent="0.25">
      <c r="A409" s="55"/>
    </row>
    <row r="410" spans="1:1" x14ac:dyDescent="0.25">
      <c r="A410" s="55"/>
    </row>
    <row r="411" spans="1:1" x14ac:dyDescent="0.25">
      <c r="A411" s="55"/>
    </row>
    <row r="412" spans="1:1" x14ac:dyDescent="0.25">
      <c r="A412" s="55"/>
    </row>
    <row r="413" spans="1:1" x14ac:dyDescent="0.25">
      <c r="A413" s="55"/>
    </row>
    <row r="414" spans="1:1" x14ac:dyDescent="0.25">
      <c r="A414" s="55"/>
    </row>
    <row r="415" spans="1:1" x14ac:dyDescent="0.25">
      <c r="A415" s="55"/>
    </row>
    <row r="416" spans="1:1" x14ac:dyDescent="0.25">
      <c r="A416" s="55"/>
    </row>
    <row r="417" spans="1:1" x14ac:dyDescent="0.25">
      <c r="A417" s="55"/>
    </row>
    <row r="418" spans="1:1" x14ac:dyDescent="0.25">
      <c r="A418" s="55"/>
    </row>
    <row r="419" spans="1:1" x14ac:dyDescent="0.25">
      <c r="A419" s="55"/>
    </row>
    <row r="420" spans="1:1" x14ac:dyDescent="0.25">
      <c r="A420" s="55"/>
    </row>
    <row r="421" spans="1:1" x14ac:dyDescent="0.25">
      <c r="A421" s="55"/>
    </row>
    <row r="422" spans="1:1" x14ac:dyDescent="0.25">
      <c r="A422" s="55"/>
    </row>
    <row r="423" spans="1:1" x14ac:dyDescent="0.25">
      <c r="A423" s="55"/>
    </row>
    <row r="424" spans="1:1" x14ac:dyDescent="0.25">
      <c r="A424" s="55"/>
    </row>
    <row r="425" spans="1:1" x14ac:dyDescent="0.25">
      <c r="A425" s="55"/>
    </row>
    <row r="426" spans="1:1" x14ac:dyDescent="0.25">
      <c r="A426" s="55"/>
    </row>
    <row r="427" spans="1:1" x14ac:dyDescent="0.25">
      <c r="A427" s="55"/>
    </row>
    <row r="428" spans="1:1" x14ac:dyDescent="0.25">
      <c r="A428" s="55"/>
    </row>
    <row r="429" spans="1:1" x14ac:dyDescent="0.25">
      <c r="A429" s="55"/>
    </row>
    <row r="430" spans="1:1" x14ac:dyDescent="0.25">
      <c r="A430" s="55"/>
    </row>
    <row r="431" spans="1:1" x14ac:dyDescent="0.25">
      <c r="A431" s="55"/>
    </row>
    <row r="432" spans="1:1" x14ac:dyDescent="0.25">
      <c r="A432" s="55"/>
    </row>
    <row r="433" spans="1:1" x14ac:dyDescent="0.25">
      <c r="A433" s="55"/>
    </row>
    <row r="434" spans="1:1" x14ac:dyDescent="0.25">
      <c r="A434" s="55"/>
    </row>
    <row r="435" spans="1:1" x14ac:dyDescent="0.25">
      <c r="A435" s="55"/>
    </row>
    <row r="436" spans="1:1" x14ac:dyDescent="0.25">
      <c r="A436" s="55"/>
    </row>
    <row r="437" spans="1:1" x14ac:dyDescent="0.25">
      <c r="A437" s="55"/>
    </row>
    <row r="438" spans="1:1" x14ac:dyDescent="0.25">
      <c r="A438" s="55"/>
    </row>
    <row r="439" spans="1:1" x14ac:dyDescent="0.25">
      <c r="A439" s="55"/>
    </row>
    <row r="440" spans="1:1" x14ac:dyDescent="0.25">
      <c r="A440" s="55"/>
    </row>
    <row r="441" spans="1:1" x14ac:dyDescent="0.25">
      <c r="A441" s="55"/>
    </row>
    <row r="442" spans="1:1" x14ac:dyDescent="0.25">
      <c r="A442" s="55"/>
    </row>
    <row r="443" spans="1:1" x14ac:dyDescent="0.25">
      <c r="A443" s="55"/>
    </row>
    <row r="444" spans="1:1" x14ac:dyDescent="0.25">
      <c r="A444" s="55"/>
    </row>
    <row r="445" spans="1:1" x14ac:dyDescent="0.25">
      <c r="A445" s="55"/>
    </row>
    <row r="446" spans="1:1" x14ac:dyDescent="0.25">
      <c r="A446" s="55"/>
    </row>
    <row r="447" spans="1:1" x14ac:dyDescent="0.25">
      <c r="A447" s="55"/>
    </row>
    <row r="448" spans="1:1" x14ac:dyDescent="0.25">
      <c r="A448" s="55"/>
    </row>
    <row r="449" spans="1:1" x14ac:dyDescent="0.25">
      <c r="A449" s="55"/>
    </row>
    <row r="450" spans="1:1" x14ac:dyDescent="0.25">
      <c r="A450" s="55"/>
    </row>
    <row r="451" spans="1:1" x14ac:dyDescent="0.25">
      <c r="A451" s="55"/>
    </row>
    <row r="452" spans="1:1" x14ac:dyDescent="0.25">
      <c r="A452" s="55"/>
    </row>
    <row r="453" spans="1:1" x14ac:dyDescent="0.25">
      <c r="A453" s="55"/>
    </row>
    <row r="454" spans="1:1" x14ac:dyDescent="0.25">
      <c r="A454" s="55"/>
    </row>
    <row r="455" spans="1:1" x14ac:dyDescent="0.25">
      <c r="A455" s="55"/>
    </row>
    <row r="456" spans="1:1" x14ac:dyDescent="0.25">
      <c r="A456" s="55"/>
    </row>
    <row r="457" spans="1:1" x14ac:dyDescent="0.25">
      <c r="A457" s="55"/>
    </row>
    <row r="458" spans="1:1" x14ac:dyDescent="0.25">
      <c r="A458" s="55"/>
    </row>
    <row r="459" spans="1:1" x14ac:dyDescent="0.25">
      <c r="A459" s="55"/>
    </row>
    <row r="460" spans="1:1" x14ac:dyDescent="0.25">
      <c r="A460" s="55"/>
    </row>
    <row r="461" spans="1:1" x14ac:dyDescent="0.25">
      <c r="A461" s="55"/>
    </row>
    <row r="462" spans="1:1" x14ac:dyDescent="0.25">
      <c r="A462" s="55"/>
    </row>
    <row r="463" spans="1:1" x14ac:dyDescent="0.25">
      <c r="A463" s="55"/>
    </row>
    <row r="464" spans="1:1" x14ac:dyDescent="0.25">
      <c r="A464" s="55"/>
    </row>
    <row r="465" spans="1:1" x14ac:dyDescent="0.25">
      <c r="A465" s="55"/>
    </row>
    <row r="466" spans="1:1" x14ac:dyDescent="0.25">
      <c r="A466" s="55"/>
    </row>
    <row r="467" spans="1:1" x14ac:dyDescent="0.25">
      <c r="A467" s="55"/>
    </row>
    <row r="468" spans="1:1" x14ac:dyDescent="0.25">
      <c r="A468" s="55"/>
    </row>
    <row r="469" spans="1:1" x14ac:dyDescent="0.25">
      <c r="A469" s="55"/>
    </row>
    <row r="470" spans="1:1" x14ac:dyDescent="0.25">
      <c r="A470" s="55"/>
    </row>
    <row r="471" spans="1:1" x14ac:dyDescent="0.25">
      <c r="A471" s="55"/>
    </row>
    <row r="472" spans="1:1" x14ac:dyDescent="0.25">
      <c r="A472" s="55"/>
    </row>
    <row r="473" spans="1:1" x14ac:dyDescent="0.25">
      <c r="A473" s="55"/>
    </row>
    <row r="474" spans="1:1" x14ac:dyDescent="0.25">
      <c r="A474" s="55"/>
    </row>
    <row r="475" spans="1:1" x14ac:dyDescent="0.25">
      <c r="A475" s="55"/>
    </row>
    <row r="476" spans="1:1" x14ac:dyDescent="0.25">
      <c r="A476" s="55"/>
    </row>
    <row r="477" spans="1:1" x14ac:dyDescent="0.25">
      <c r="A477" s="55"/>
    </row>
    <row r="478" spans="1:1" x14ac:dyDescent="0.25">
      <c r="A478" s="55"/>
    </row>
    <row r="479" spans="1:1" x14ac:dyDescent="0.25">
      <c r="A479" s="55"/>
    </row>
    <row r="480" spans="1:1" x14ac:dyDescent="0.25">
      <c r="A480" s="55"/>
    </row>
    <row r="481" spans="1:1" x14ac:dyDescent="0.25">
      <c r="A481" s="55"/>
    </row>
    <row r="482" spans="1:1" x14ac:dyDescent="0.25">
      <c r="A482" s="55"/>
    </row>
    <row r="483" spans="1:1" x14ac:dyDescent="0.25">
      <c r="A483" s="55"/>
    </row>
    <row r="484" spans="1:1" x14ac:dyDescent="0.25">
      <c r="A484" s="55"/>
    </row>
    <row r="485" spans="1:1" x14ac:dyDescent="0.25">
      <c r="A485" s="55"/>
    </row>
    <row r="486" spans="1:1" x14ac:dyDescent="0.25">
      <c r="A486" s="55"/>
    </row>
    <row r="487" spans="1:1" x14ac:dyDescent="0.25">
      <c r="A487" s="55"/>
    </row>
    <row r="488" spans="1:1" x14ac:dyDescent="0.25">
      <c r="A488" s="55"/>
    </row>
    <row r="489" spans="1:1" x14ac:dyDescent="0.25">
      <c r="A489" s="55"/>
    </row>
    <row r="490" spans="1:1" x14ac:dyDescent="0.25">
      <c r="A490" s="55"/>
    </row>
    <row r="491" spans="1:1" x14ac:dyDescent="0.25">
      <c r="A491" s="55"/>
    </row>
    <row r="492" spans="1:1" x14ac:dyDescent="0.25">
      <c r="A492" s="55"/>
    </row>
    <row r="493" spans="1:1" x14ac:dyDescent="0.25">
      <c r="A493" s="55"/>
    </row>
    <row r="494" spans="1:1" x14ac:dyDescent="0.25">
      <c r="A494" s="55"/>
    </row>
    <row r="495" spans="1:1" x14ac:dyDescent="0.25">
      <c r="A495" s="55"/>
    </row>
    <row r="496" spans="1:1" x14ac:dyDescent="0.25">
      <c r="A496" s="55"/>
    </row>
    <row r="497" spans="1:1" x14ac:dyDescent="0.25">
      <c r="A497" s="55"/>
    </row>
    <row r="498" spans="1:1" x14ac:dyDescent="0.25">
      <c r="A498" s="55"/>
    </row>
    <row r="499" spans="1:1" x14ac:dyDescent="0.25">
      <c r="A499" s="55"/>
    </row>
    <row r="500" spans="1:1" x14ac:dyDescent="0.25">
      <c r="A500" s="55"/>
    </row>
    <row r="501" spans="1:1" x14ac:dyDescent="0.25">
      <c r="A501" s="55"/>
    </row>
    <row r="502" spans="1:1" x14ac:dyDescent="0.25">
      <c r="A502" s="55"/>
    </row>
    <row r="503" spans="1:1" x14ac:dyDescent="0.25">
      <c r="A503" s="55"/>
    </row>
    <row r="504" spans="1:1" x14ac:dyDescent="0.25">
      <c r="A504" s="55"/>
    </row>
    <row r="505" spans="1:1" x14ac:dyDescent="0.25">
      <c r="A505" s="55"/>
    </row>
    <row r="506" spans="1:1" x14ac:dyDescent="0.25">
      <c r="A506" s="55"/>
    </row>
    <row r="507" spans="1:1" x14ac:dyDescent="0.25">
      <c r="A507" s="55"/>
    </row>
    <row r="508" spans="1:1" x14ac:dyDescent="0.25">
      <c r="A508" s="55"/>
    </row>
    <row r="509" spans="1:1" x14ac:dyDescent="0.25">
      <c r="A509" s="55"/>
    </row>
    <row r="510" spans="1:1" x14ac:dyDescent="0.25">
      <c r="A510" s="55"/>
    </row>
    <row r="511" spans="1:1" x14ac:dyDescent="0.25">
      <c r="A511" s="55"/>
    </row>
    <row r="512" spans="1:1" x14ac:dyDescent="0.25">
      <c r="A512" s="55"/>
    </row>
    <row r="513" spans="1:1" x14ac:dyDescent="0.25">
      <c r="A513" s="55"/>
    </row>
    <row r="514" spans="1:1" x14ac:dyDescent="0.25">
      <c r="A514" s="55"/>
    </row>
    <row r="515" spans="1:1" x14ac:dyDescent="0.25">
      <c r="A515" s="55"/>
    </row>
    <row r="516" spans="1:1" x14ac:dyDescent="0.25">
      <c r="A516" s="55"/>
    </row>
    <row r="517" spans="1:1" x14ac:dyDescent="0.25">
      <c r="A517" s="55"/>
    </row>
    <row r="518" spans="1:1" x14ac:dyDescent="0.25">
      <c r="A518" s="55"/>
    </row>
    <row r="519" spans="1:1" x14ac:dyDescent="0.25">
      <c r="A519" s="55"/>
    </row>
    <row r="520" spans="1:1" x14ac:dyDescent="0.25">
      <c r="A520" s="55"/>
    </row>
    <row r="521" spans="1:1" x14ac:dyDescent="0.25">
      <c r="A521" s="55"/>
    </row>
    <row r="522" spans="1:1" x14ac:dyDescent="0.25">
      <c r="A522" s="55"/>
    </row>
    <row r="523" spans="1:1" x14ac:dyDescent="0.25">
      <c r="A523" s="55"/>
    </row>
    <row r="524" spans="1:1" x14ac:dyDescent="0.25">
      <c r="A524" s="55"/>
    </row>
    <row r="525" spans="1:1" x14ac:dyDescent="0.25">
      <c r="A525" s="55"/>
    </row>
    <row r="526" spans="1:1" x14ac:dyDescent="0.25">
      <c r="A526" s="55"/>
    </row>
    <row r="527" spans="1:1" x14ac:dyDescent="0.25">
      <c r="A527" s="55"/>
    </row>
    <row r="528" spans="1:1" x14ac:dyDescent="0.25">
      <c r="A528" s="55"/>
    </row>
    <row r="529" spans="1:1" x14ac:dyDescent="0.25">
      <c r="A529" s="55"/>
    </row>
    <row r="530" spans="1:1" x14ac:dyDescent="0.25">
      <c r="A530" s="55"/>
    </row>
    <row r="531" spans="1:1" x14ac:dyDescent="0.25">
      <c r="A531" s="55"/>
    </row>
    <row r="532" spans="1:1" x14ac:dyDescent="0.25">
      <c r="A532" s="55"/>
    </row>
    <row r="533" spans="1:1" x14ac:dyDescent="0.25">
      <c r="A533" s="55"/>
    </row>
    <row r="534" spans="1:1" x14ac:dyDescent="0.25">
      <c r="A534" s="55"/>
    </row>
    <row r="535" spans="1:1" x14ac:dyDescent="0.25">
      <c r="A535" s="55"/>
    </row>
    <row r="536" spans="1:1" x14ac:dyDescent="0.25">
      <c r="A536" s="55"/>
    </row>
    <row r="537" spans="1:1" x14ac:dyDescent="0.25">
      <c r="A537" s="55"/>
    </row>
    <row r="538" spans="1:1" x14ac:dyDescent="0.25">
      <c r="A538" s="55"/>
    </row>
    <row r="539" spans="1:1" x14ac:dyDescent="0.25">
      <c r="A539" s="55"/>
    </row>
    <row r="540" spans="1:1" x14ac:dyDescent="0.25">
      <c r="A540" s="55"/>
    </row>
    <row r="541" spans="1:1" x14ac:dyDescent="0.25">
      <c r="A541" s="55"/>
    </row>
    <row r="542" spans="1:1" x14ac:dyDescent="0.25">
      <c r="A542" s="55"/>
    </row>
    <row r="543" spans="1:1" x14ac:dyDescent="0.25">
      <c r="A543" s="55"/>
    </row>
    <row r="544" spans="1:1" x14ac:dyDescent="0.25">
      <c r="A544" s="55"/>
    </row>
    <row r="545" spans="1:1" x14ac:dyDescent="0.25">
      <c r="A545" s="55"/>
    </row>
    <row r="546" spans="1:1" x14ac:dyDescent="0.25">
      <c r="A546" s="55"/>
    </row>
    <row r="547" spans="1:1" x14ac:dyDescent="0.25">
      <c r="A547" s="55"/>
    </row>
    <row r="548" spans="1:1" x14ac:dyDescent="0.25">
      <c r="A548" s="55"/>
    </row>
    <row r="549" spans="1:1" x14ac:dyDescent="0.25">
      <c r="A549" s="55"/>
    </row>
    <row r="550" spans="1:1" x14ac:dyDescent="0.25">
      <c r="A550" s="55"/>
    </row>
    <row r="551" spans="1:1" x14ac:dyDescent="0.25">
      <c r="A551" s="55"/>
    </row>
    <row r="552" spans="1:1" x14ac:dyDescent="0.25">
      <c r="A552" s="55"/>
    </row>
    <row r="553" spans="1:1" x14ac:dyDescent="0.25">
      <c r="A553" s="55"/>
    </row>
    <row r="554" spans="1:1" x14ac:dyDescent="0.25">
      <c r="A554" s="55"/>
    </row>
    <row r="555" spans="1:1" x14ac:dyDescent="0.25">
      <c r="A555" s="55"/>
    </row>
    <row r="556" spans="1:1" x14ac:dyDescent="0.25">
      <c r="A556" s="55"/>
    </row>
    <row r="557" spans="1:1" x14ac:dyDescent="0.25">
      <c r="A557" s="55"/>
    </row>
    <row r="558" spans="1:1" x14ac:dyDescent="0.25">
      <c r="A558" s="55"/>
    </row>
    <row r="559" spans="1:1" x14ac:dyDescent="0.25">
      <c r="A559" s="55"/>
    </row>
    <row r="560" spans="1:1" x14ac:dyDescent="0.25">
      <c r="A560" s="55"/>
    </row>
    <row r="561" spans="1:1" x14ac:dyDescent="0.25">
      <c r="A561" s="55"/>
    </row>
    <row r="562" spans="1:1" x14ac:dyDescent="0.25">
      <c r="A562" s="55"/>
    </row>
    <row r="563" spans="1:1" x14ac:dyDescent="0.25">
      <c r="A563" s="55"/>
    </row>
    <row r="564" spans="1:1" x14ac:dyDescent="0.25">
      <c r="A564" s="55"/>
    </row>
    <row r="565" spans="1:1" x14ac:dyDescent="0.25">
      <c r="A565" s="55"/>
    </row>
    <row r="566" spans="1:1" x14ac:dyDescent="0.25">
      <c r="A566" s="55"/>
    </row>
    <row r="567" spans="1:1" x14ac:dyDescent="0.25">
      <c r="A567" s="55"/>
    </row>
    <row r="568" spans="1:1" x14ac:dyDescent="0.25">
      <c r="A568" s="55"/>
    </row>
    <row r="569" spans="1:1" x14ac:dyDescent="0.25">
      <c r="A569" s="55"/>
    </row>
    <row r="570" spans="1:1" x14ac:dyDescent="0.25">
      <c r="A570" s="55"/>
    </row>
    <row r="571" spans="1:1" x14ac:dyDescent="0.25">
      <c r="A571" s="55"/>
    </row>
    <row r="572" spans="1:1" x14ac:dyDescent="0.25">
      <c r="A572" s="55"/>
    </row>
    <row r="573" spans="1:1" x14ac:dyDescent="0.25">
      <c r="A573" s="55"/>
    </row>
    <row r="574" spans="1:1" x14ac:dyDescent="0.25">
      <c r="A574" s="55"/>
    </row>
    <row r="575" spans="1:1" x14ac:dyDescent="0.25">
      <c r="A575" s="55"/>
    </row>
    <row r="576" spans="1:1" x14ac:dyDescent="0.25">
      <c r="A576" s="55"/>
    </row>
    <row r="577" spans="1:1" x14ac:dyDescent="0.25">
      <c r="A577" s="55"/>
    </row>
    <row r="578" spans="1:1" x14ac:dyDescent="0.25">
      <c r="A578" s="55"/>
    </row>
    <row r="579" spans="1:1" x14ac:dyDescent="0.25">
      <c r="A579" s="55"/>
    </row>
    <row r="580" spans="1:1" x14ac:dyDescent="0.25">
      <c r="A580" s="55"/>
    </row>
    <row r="581" spans="1:1" x14ac:dyDescent="0.25">
      <c r="A581" s="55"/>
    </row>
    <row r="582" spans="1:1" x14ac:dyDescent="0.25">
      <c r="A582" s="55"/>
    </row>
    <row r="583" spans="1:1" x14ac:dyDescent="0.25">
      <c r="A583" s="55"/>
    </row>
    <row r="584" spans="1:1" x14ac:dyDescent="0.25">
      <c r="A584" s="55"/>
    </row>
    <row r="585" spans="1:1" x14ac:dyDescent="0.25">
      <c r="A585" s="55"/>
    </row>
    <row r="586" spans="1:1" x14ac:dyDescent="0.25">
      <c r="A586" s="55"/>
    </row>
    <row r="587" spans="1:1" x14ac:dyDescent="0.25">
      <c r="A587" s="55"/>
    </row>
    <row r="588" spans="1:1" x14ac:dyDescent="0.25">
      <c r="A588" s="55"/>
    </row>
    <row r="589" spans="1:1" x14ac:dyDescent="0.25">
      <c r="A589" s="55"/>
    </row>
    <row r="590" spans="1:1" x14ac:dyDescent="0.25">
      <c r="A590" s="55"/>
    </row>
    <row r="591" spans="1:1" x14ac:dyDescent="0.25">
      <c r="A591" s="55"/>
    </row>
    <row r="592" spans="1:1" x14ac:dyDescent="0.25">
      <c r="A592" s="55"/>
    </row>
    <row r="593" spans="1:1" x14ac:dyDescent="0.25">
      <c r="A593" s="55"/>
    </row>
    <row r="594" spans="1:1" x14ac:dyDescent="0.25">
      <c r="A594" s="55"/>
    </row>
    <row r="595" spans="1:1" x14ac:dyDescent="0.25">
      <c r="A595" s="55"/>
    </row>
    <row r="596" spans="1:1" x14ac:dyDescent="0.25">
      <c r="A596" s="55"/>
    </row>
    <row r="597" spans="1:1" x14ac:dyDescent="0.25">
      <c r="A597" s="55"/>
    </row>
    <row r="598" spans="1:1" x14ac:dyDescent="0.25">
      <c r="A598" s="55"/>
    </row>
    <row r="599" spans="1:1" x14ac:dyDescent="0.25">
      <c r="A599" s="55"/>
    </row>
    <row r="600" spans="1:1" x14ac:dyDescent="0.25">
      <c r="A600" s="55"/>
    </row>
    <row r="601" spans="1:1" x14ac:dyDescent="0.25">
      <c r="A601" s="55"/>
    </row>
    <row r="602" spans="1:1" x14ac:dyDescent="0.25">
      <c r="A602" s="55"/>
    </row>
    <row r="603" spans="1:1" x14ac:dyDescent="0.25">
      <c r="A603" s="55"/>
    </row>
    <row r="604" spans="1:1" x14ac:dyDescent="0.25">
      <c r="A604" s="55"/>
    </row>
    <row r="605" spans="1:1" x14ac:dyDescent="0.25">
      <c r="A605" s="55"/>
    </row>
    <row r="606" spans="1:1" x14ac:dyDescent="0.25">
      <c r="A606" s="55"/>
    </row>
    <row r="607" spans="1:1" x14ac:dyDescent="0.25">
      <c r="A607" s="55"/>
    </row>
    <row r="608" spans="1:1" x14ac:dyDescent="0.25">
      <c r="A608" s="55"/>
    </row>
    <row r="609" spans="1:1" x14ac:dyDescent="0.25">
      <c r="A609" s="55"/>
    </row>
    <row r="610" spans="1:1" x14ac:dyDescent="0.25">
      <c r="A610" s="55"/>
    </row>
    <row r="611" spans="1:1" x14ac:dyDescent="0.25">
      <c r="A611" s="55"/>
    </row>
    <row r="612" spans="1:1" x14ac:dyDescent="0.25">
      <c r="A612" s="55"/>
    </row>
    <row r="613" spans="1:1" x14ac:dyDescent="0.25">
      <c r="A613" s="55"/>
    </row>
    <row r="614" spans="1:1" x14ac:dyDescent="0.25">
      <c r="A614" s="55"/>
    </row>
    <row r="615" spans="1:1" x14ac:dyDescent="0.25">
      <c r="A615" s="55"/>
    </row>
    <row r="616" spans="1:1" x14ac:dyDescent="0.25">
      <c r="A616" s="55"/>
    </row>
    <row r="617" spans="1:1" x14ac:dyDescent="0.25">
      <c r="A617" s="55"/>
    </row>
    <row r="618" spans="1:1" x14ac:dyDescent="0.25">
      <c r="A618" s="55"/>
    </row>
    <row r="619" spans="1:1" x14ac:dyDescent="0.25">
      <c r="A619" s="55"/>
    </row>
    <row r="620" spans="1:1" x14ac:dyDescent="0.25">
      <c r="A620" s="55"/>
    </row>
    <row r="621" spans="1:1" x14ac:dyDescent="0.25">
      <c r="A621" s="55"/>
    </row>
    <row r="622" spans="1:1" x14ac:dyDescent="0.25">
      <c r="A622" s="55"/>
    </row>
    <row r="623" spans="1:1" x14ac:dyDescent="0.25">
      <c r="A623" s="55"/>
    </row>
    <row r="624" spans="1:1" x14ac:dyDescent="0.25">
      <c r="A624" s="55"/>
    </row>
    <row r="625" spans="1:1" x14ac:dyDescent="0.25">
      <c r="A625" s="55"/>
    </row>
    <row r="626" spans="1:1" x14ac:dyDescent="0.25">
      <c r="A626" s="55"/>
    </row>
    <row r="627" spans="1:1" x14ac:dyDescent="0.25">
      <c r="A627" s="55"/>
    </row>
    <row r="628" spans="1:1" x14ac:dyDescent="0.25">
      <c r="A628" s="55"/>
    </row>
    <row r="629" spans="1:1" x14ac:dyDescent="0.25">
      <c r="A629" s="55"/>
    </row>
    <row r="630" spans="1:1" x14ac:dyDescent="0.25">
      <c r="A630" s="55"/>
    </row>
    <row r="631" spans="1:1" x14ac:dyDescent="0.25">
      <c r="A631" s="55"/>
    </row>
    <row r="632" spans="1:1" x14ac:dyDescent="0.25">
      <c r="A632" s="55"/>
    </row>
    <row r="633" spans="1:1" x14ac:dyDescent="0.25">
      <c r="A633" s="55"/>
    </row>
    <row r="634" spans="1:1" x14ac:dyDescent="0.25">
      <c r="A634" s="55"/>
    </row>
    <row r="635" spans="1:1" x14ac:dyDescent="0.25">
      <c r="A635" s="55"/>
    </row>
    <row r="636" spans="1:1" x14ac:dyDescent="0.25">
      <c r="A636" s="55"/>
    </row>
    <row r="637" spans="1:1" x14ac:dyDescent="0.25">
      <c r="A637" s="55"/>
    </row>
    <row r="638" spans="1:1" x14ac:dyDescent="0.25">
      <c r="A638" s="55"/>
    </row>
    <row r="639" spans="1:1" x14ac:dyDescent="0.25">
      <c r="A639" s="55"/>
    </row>
    <row r="640" spans="1:1" x14ac:dyDescent="0.25">
      <c r="A640" s="55"/>
    </row>
    <row r="641" spans="1:1" x14ac:dyDescent="0.25">
      <c r="A641" s="55"/>
    </row>
    <row r="642" spans="1:1" x14ac:dyDescent="0.25">
      <c r="A642" s="55"/>
    </row>
    <row r="643" spans="1:1" x14ac:dyDescent="0.25">
      <c r="A643" s="55"/>
    </row>
    <row r="644" spans="1:1" x14ac:dyDescent="0.25">
      <c r="A644" s="55"/>
    </row>
    <row r="645" spans="1:1" x14ac:dyDescent="0.25">
      <c r="A645" s="55"/>
    </row>
    <row r="646" spans="1:1" x14ac:dyDescent="0.25">
      <c r="A646" s="55"/>
    </row>
    <row r="647" spans="1:1" x14ac:dyDescent="0.25">
      <c r="A647" s="55"/>
    </row>
    <row r="648" spans="1:1" x14ac:dyDescent="0.25">
      <c r="A648" s="55"/>
    </row>
    <row r="649" spans="1:1" x14ac:dyDescent="0.25">
      <c r="A649" s="55"/>
    </row>
    <row r="650" spans="1:1" x14ac:dyDescent="0.25">
      <c r="A650" s="55"/>
    </row>
    <row r="651" spans="1:1" x14ac:dyDescent="0.25">
      <c r="A651" s="55"/>
    </row>
    <row r="652" spans="1:1" x14ac:dyDescent="0.25">
      <c r="A652" s="55"/>
    </row>
    <row r="653" spans="1:1" x14ac:dyDescent="0.25">
      <c r="A653" s="55"/>
    </row>
    <row r="654" spans="1:1" x14ac:dyDescent="0.25">
      <c r="A654" s="55"/>
    </row>
    <row r="655" spans="1:1" x14ac:dyDescent="0.25">
      <c r="A655" s="55"/>
    </row>
    <row r="656" spans="1:1" x14ac:dyDescent="0.25">
      <c r="A656" s="55"/>
    </row>
    <row r="657" spans="1:1" x14ac:dyDescent="0.25">
      <c r="A657" s="55"/>
    </row>
    <row r="658" spans="1:1" x14ac:dyDescent="0.25">
      <c r="A658" s="55"/>
    </row>
    <row r="659" spans="1:1" x14ac:dyDescent="0.25">
      <c r="A659" s="55"/>
    </row>
    <row r="660" spans="1:1" x14ac:dyDescent="0.25">
      <c r="A660" s="55"/>
    </row>
    <row r="661" spans="1:1" x14ac:dyDescent="0.25">
      <c r="A661" s="55"/>
    </row>
    <row r="662" spans="1:1" x14ac:dyDescent="0.25">
      <c r="A662" s="55"/>
    </row>
    <row r="663" spans="1:1" x14ac:dyDescent="0.25">
      <c r="A663" s="55"/>
    </row>
    <row r="664" spans="1:1" x14ac:dyDescent="0.25">
      <c r="A664" s="55"/>
    </row>
    <row r="665" spans="1:1" x14ac:dyDescent="0.25">
      <c r="A665" s="55"/>
    </row>
    <row r="666" spans="1:1" x14ac:dyDescent="0.25">
      <c r="A666" s="55"/>
    </row>
    <row r="667" spans="1:1" x14ac:dyDescent="0.25">
      <c r="A667" s="55"/>
    </row>
    <row r="668" spans="1:1" x14ac:dyDescent="0.25">
      <c r="A668" s="55"/>
    </row>
    <row r="669" spans="1:1" x14ac:dyDescent="0.25">
      <c r="A669" s="55"/>
    </row>
    <row r="670" spans="1:1" x14ac:dyDescent="0.25">
      <c r="A670" s="55"/>
    </row>
    <row r="671" spans="1:1" x14ac:dyDescent="0.25">
      <c r="A671" s="55"/>
    </row>
    <row r="672" spans="1:1" x14ac:dyDescent="0.25">
      <c r="A672" s="55"/>
    </row>
    <row r="673" spans="1:1" x14ac:dyDescent="0.25">
      <c r="A673" s="55"/>
    </row>
    <row r="674" spans="1:1" x14ac:dyDescent="0.25">
      <c r="A674" s="55"/>
    </row>
    <row r="675" spans="1:1" x14ac:dyDescent="0.25">
      <c r="A675" s="55"/>
    </row>
    <row r="676" spans="1:1" x14ac:dyDescent="0.25">
      <c r="A676" s="55"/>
    </row>
    <row r="677" spans="1:1" x14ac:dyDescent="0.25">
      <c r="A677" s="55"/>
    </row>
    <row r="678" spans="1:1" x14ac:dyDescent="0.25">
      <c r="A678" s="55"/>
    </row>
    <row r="679" spans="1:1" x14ac:dyDescent="0.25">
      <c r="A679" s="55"/>
    </row>
    <row r="680" spans="1:1" x14ac:dyDescent="0.25">
      <c r="A680" s="55"/>
    </row>
    <row r="681" spans="1:1" x14ac:dyDescent="0.25">
      <c r="A681" s="55"/>
    </row>
    <row r="682" spans="1:1" x14ac:dyDescent="0.25">
      <c r="A682" s="55"/>
    </row>
    <row r="683" spans="1:1" x14ac:dyDescent="0.25">
      <c r="A683" s="55"/>
    </row>
    <row r="684" spans="1:1" x14ac:dyDescent="0.25">
      <c r="A684" s="55"/>
    </row>
    <row r="685" spans="1:1" x14ac:dyDescent="0.25">
      <c r="A685" s="55"/>
    </row>
    <row r="686" spans="1:1" x14ac:dyDescent="0.25">
      <c r="A686" s="55"/>
    </row>
    <row r="687" spans="1:1" x14ac:dyDescent="0.25">
      <c r="A687" s="55"/>
    </row>
    <row r="688" spans="1:1" x14ac:dyDescent="0.25">
      <c r="A688" s="55"/>
    </row>
    <row r="689" spans="1:1" x14ac:dyDescent="0.25">
      <c r="A689" s="55"/>
    </row>
    <row r="690" spans="1:1" x14ac:dyDescent="0.25">
      <c r="A690" s="55"/>
    </row>
    <row r="691" spans="1:1" x14ac:dyDescent="0.25">
      <c r="A691" s="55"/>
    </row>
    <row r="692" spans="1:1" x14ac:dyDescent="0.25">
      <c r="A692" s="55"/>
    </row>
    <row r="693" spans="1:1" x14ac:dyDescent="0.25">
      <c r="A693" s="55"/>
    </row>
    <row r="694" spans="1:1" x14ac:dyDescent="0.25">
      <c r="A694" s="55"/>
    </row>
    <row r="695" spans="1:1" x14ac:dyDescent="0.25">
      <c r="A695" s="55"/>
    </row>
    <row r="696" spans="1:1" x14ac:dyDescent="0.25">
      <c r="A696" s="55"/>
    </row>
    <row r="697" spans="1:1" x14ac:dyDescent="0.25">
      <c r="A697" s="55"/>
    </row>
    <row r="698" spans="1:1" x14ac:dyDescent="0.25">
      <c r="A698" s="55"/>
    </row>
    <row r="699" spans="1:1" x14ac:dyDescent="0.25">
      <c r="A699" s="55"/>
    </row>
    <row r="700" spans="1:1" x14ac:dyDescent="0.25">
      <c r="A700" s="55"/>
    </row>
    <row r="701" spans="1:1" x14ac:dyDescent="0.25">
      <c r="A701" s="55"/>
    </row>
    <row r="702" spans="1:1" x14ac:dyDescent="0.25">
      <c r="A702" s="55"/>
    </row>
    <row r="703" spans="1:1" x14ac:dyDescent="0.25">
      <c r="A703" s="55"/>
    </row>
    <row r="704" spans="1:1" x14ac:dyDescent="0.25">
      <c r="A704" s="55"/>
    </row>
    <row r="705" spans="1:1" x14ac:dyDescent="0.25">
      <c r="A705" s="55"/>
    </row>
    <row r="706" spans="1:1" x14ac:dyDescent="0.25">
      <c r="A706" s="55"/>
    </row>
    <row r="707" spans="1:1" x14ac:dyDescent="0.25">
      <c r="A707" s="55"/>
    </row>
    <row r="708" spans="1:1" x14ac:dyDescent="0.25">
      <c r="A708" s="55"/>
    </row>
    <row r="709" spans="1:1" x14ac:dyDescent="0.25">
      <c r="A709" s="55"/>
    </row>
    <row r="710" spans="1:1" x14ac:dyDescent="0.25">
      <c r="A710" s="55"/>
    </row>
    <row r="711" spans="1:1" x14ac:dyDescent="0.25">
      <c r="A711" s="55"/>
    </row>
    <row r="712" spans="1:1" x14ac:dyDescent="0.25">
      <c r="A712" s="55"/>
    </row>
    <row r="713" spans="1:1" x14ac:dyDescent="0.25">
      <c r="A713" s="55"/>
    </row>
    <row r="714" spans="1:1" x14ac:dyDescent="0.25">
      <c r="A714" s="55"/>
    </row>
    <row r="715" spans="1:1" x14ac:dyDescent="0.25">
      <c r="A715" s="55"/>
    </row>
    <row r="716" spans="1:1" x14ac:dyDescent="0.25">
      <c r="A716" s="55"/>
    </row>
    <row r="717" spans="1:1" x14ac:dyDescent="0.25">
      <c r="A717" s="55"/>
    </row>
    <row r="718" spans="1:1" x14ac:dyDescent="0.25">
      <c r="A718" s="55"/>
    </row>
    <row r="719" spans="1:1" x14ac:dyDescent="0.25">
      <c r="A719" s="55"/>
    </row>
    <row r="720" spans="1:1" x14ac:dyDescent="0.25">
      <c r="A720" s="55"/>
    </row>
    <row r="721" spans="1:1" x14ac:dyDescent="0.25">
      <c r="A721" s="55"/>
    </row>
    <row r="722" spans="1:1" x14ac:dyDescent="0.25">
      <c r="A722" s="55"/>
    </row>
    <row r="723" spans="1:1" x14ac:dyDescent="0.25">
      <c r="A723" s="55"/>
    </row>
    <row r="724" spans="1:1" x14ac:dyDescent="0.25">
      <c r="A724" s="55"/>
    </row>
    <row r="725" spans="1:1" x14ac:dyDescent="0.25">
      <c r="A725" s="55"/>
    </row>
    <row r="726" spans="1:1" x14ac:dyDescent="0.25">
      <c r="A726" s="55"/>
    </row>
    <row r="727" spans="1:1" x14ac:dyDescent="0.25">
      <c r="A727" s="55"/>
    </row>
    <row r="728" spans="1:1" x14ac:dyDescent="0.25">
      <c r="A728" s="55"/>
    </row>
    <row r="729" spans="1:1" x14ac:dyDescent="0.25">
      <c r="A729" s="55"/>
    </row>
    <row r="730" spans="1:1" x14ac:dyDescent="0.25">
      <c r="A730" s="55"/>
    </row>
    <row r="731" spans="1:1" x14ac:dyDescent="0.25">
      <c r="A731" s="55"/>
    </row>
    <row r="732" spans="1:1" x14ac:dyDescent="0.25">
      <c r="A732" s="55"/>
    </row>
    <row r="733" spans="1:1" x14ac:dyDescent="0.25">
      <c r="A733" s="55"/>
    </row>
    <row r="734" spans="1:1" x14ac:dyDescent="0.25">
      <c r="A734" s="55"/>
    </row>
    <row r="735" spans="1:1" x14ac:dyDescent="0.25">
      <c r="A735" s="55"/>
    </row>
    <row r="736" spans="1:1" x14ac:dyDescent="0.25">
      <c r="A736" s="55"/>
    </row>
    <row r="737" spans="1:1" x14ac:dyDescent="0.25">
      <c r="A737" s="55"/>
    </row>
    <row r="738" spans="1:1" x14ac:dyDescent="0.25">
      <c r="A738" s="55"/>
    </row>
    <row r="739" spans="1:1" x14ac:dyDescent="0.25">
      <c r="A739" s="55"/>
    </row>
    <row r="740" spans="1:1" x14ac:dyDescent="0.25">
      <c r="A740" s="55"/>
    </row>
    <row r="741" spans="1:1" x14ac:dyDescent="0.25">
      <c r="A741" s="55"/>
    </row>
    <row r="742" spans="1:1" x14ac:dyDescent="0.25">
      <c r="A742" s="55"/>
    </row>
    <row r="743" spans="1:1" x14ac:dyDescent="0.25">
      <c r="A743" s="55"/>
    </row>
    <row r="744" spans="1:1" x14ac:dyDescent="0.25">
      <c r="A744" s="55"/>
    </row>
    <row r="745" spans="1:1" x14ac:dyDescent="0.25">
      <c r="A745" s="55"/>
    </row>
    <row r="746" spans="1:1" x14ac:dyDescent="0.25">
      <c r="A746" s="55"/>
    </row>
    <row r="747" spans="1:1" x14ac:dyDescent="0.25">
      <c r="A747" s="55"/>
    </row>
    <row r="748" spans="1:1" x14ac:dyDescent="0.25">
      <c r="A748" s="55"/>
    </row>
    <row r="749" spans="1:1" x14ac:dyDescent="0.25">
      <c r="A749" s="55"/>
    </row>
    <row r="750" spans="1:1" x14ac:dyDescent="0.25">
      <c r="A750" s="55"/>
    </row>
    <row r="751" spans="1:1" x14ac:dyDescent="0.25">
      <c r="A751" s="55"/>
    </row>
    <row r="752" spans="1:1" x14ac:dyDescent="0.25">
      <c r="A752" s="55"/>
    </row>
    <row r="753" spans="1:1" x14ac:dyDescent="0.25">
      <c r="A753" s="55"/>
    </row>
    <row r="754" spans="1:1" x14ac:dyDescent="0.25">
      <c r="A754" s="55"/>
    </row>
    <row r="755" spans="1:1" x14ac:dyDescent="0.25">
      <c r="A755" s="55"/>
    </row>
    <row r="756" spans="1:1" x14ac:dyDescent="0.25">
      <c r="A756" s="55"/>
    </row>
    <row r="757" spans="1:1" x14ac:dyDescent="0.25">
      <c r="A757" s="55"/>
    </row>
    <row r="758" spans="1:1" x14ac:dyDescent="0.25">
      <c r="A758" s="55"/>
    </row>
    <row r="759" spans="1:1" x14ac:dyDescent="0.25">
      <c r="A759" s="55"/>
    </row>
    <row r="760" spans="1:1" x14ac:dyDescent="0.25">
      <c r="A760" s="55"/>
    </row>
    <row r="761" spans="1:1" x14ac:dyDescent="0.25">
      <c r="A761" s="55"/>
    </row>
    <row r="762" spans="1:1" x14ac:dyDescent="0.25">
      <c r="A762" s="55"/>
    </row>
    <row r="763" spans="1:1" x14ac:dyDescent="0.25">
      <c r="A763" s="55"/>
    </row>
    <row r="764" spans="1:1" x14ac:dyDescent="0.25">
      <c r="A764" s="55"/>
    </row>
    <row r="765" spans="1:1" x14ac:dyDescent="0.25">
      <c r="A765" s="55"/>
    </row>
    <row r="766" spans="1:1" x14ac:dyDescent="0.25">
      <c r="A766" s="55"/>
    </row>
    <row r="767" spans="1:1" x14ac:dyDescent="0.25">
      <c r="A767" s="55"/>
    </row>
    <row r="768" spans="1:1" x14ac:dyDescent="0.25">
      <c r="A768" s="55"/>
    </row>
    <row r="769" spans="1:1" x14ac:dyDescent="0.25">
      <c r="A769" s="55"/>
    </row>
    <row r="770" spans="1:1" x14ac:dyDescent="0.25">
      <c r="A770" s="55"/>
    </row>
    <row r="771" spans="1:1" x14ac:dyDescent="0.25">
      <c r="A771" s="55"/>
    </row>
    <row r="772" spans="1:1" x14ac:dyDescent="0.25">
      <c r="A772" s="55"/>
    </row>
    <row r="773" spans="1:1" x14ac:dyDescent="0.25">
      <c r="A773" s="55"/>
    </row>
    <row r="774" spans="1:1" x14ac:dyDescent="0.25">
      <c r="A774" s="55"/>
    </row>
    <row r="775" spans="1:1" x14ac:dyDescent="0.25">
      <c r="A775" s="55"/>
    </row>
    <row r="776" spans="1:1" x14ac:dyDescent="0.25">
      <c r="A776" s="55"/>
    </row>
    <row r="777" spans="1:1" x14ac:dyDescent="0.25">
      <c r="A777" s="55"/>
    </row>
    <row r="778" spans="1:1" x14ac:dyDescent="0.25">
      <c r="A778" s="55"/>
    </row>
    <row r="779" spans="1:1" x14ac:dyDescent="0.25">
      <c r="A779" s="55"/>
    </row>
    <row r="780" spans="1:1" x14ac:dyDescent="0.25">
      <c r="A780" s="55"/>
    </row>
    <row r="781" spans="1:1" x14ac:dyDescent="0.25">
      <c r="A781" s="55"/>
    </row>
    <row r="782" spans="1:1" x14ac:dyDescent="0.25">
      <c r="A782" s="55"/>
    </row>
    <row r="783" spans="1:1" x14ac:dyDescent="0.25">
      <c r="A783" s="55"/>
    </row>
    <row r="784" spans="1:1" x14ac:dyDescent="0.25">
      <c r="A784" s="55"/>
    </row>
    <row r="785" spans="1:1" x14ac:dyDescent="0.25">
      <c r="A785" s="55"/>
    </row>
    <row r="786" spans="1:1" x14ac:dyDescent="0.25">
      <c r="A786" s="55"/>
    </row>
    <row r="787" spans="1:1" x14ac:dyDescent="0.25">
      <c r="A787" s="55"/>
    </row>
    <row r="788" spans="1:1" x14ac:dyDescent="0.25">
      <c r="A788" s="55"/>
    </row>
    <row r="789" spans="1:1" x14ac:dyDescent="0.25">
      <c r="A789" s="55"/>
    </row>
    <row r="790" spans="1:1" x14ac:dyDescent="0.25">
      <c r="A790" s="55"/>
    </row>
    <row r="791" spans="1:1" x14ac:dyDescent="0.25">
      <c r="A791" s="55"/>
    </row>
    <row r="792" spans="1:1" x14ac:dyDescent="0.25">
      <c r="A792" s="55"/>
    </row>
    <row r="793" spans="1:1" x14ac:dyDescent="0.25">
      <c r="A793" s="55"/>
    </row>
    <row r="794" spans="1:1" x14ac:dyDescent="0.25">
      <c r="A794" s="55"/>
    </row>
    <row r="795" spans="1:1" x14ac:dyDescent="0.25">
      <c r="A795" s="55"/>
    </row>
    <row r="796" spans="1:1" x14ac:dyDescent="0.25">
      <c r="A796" s="55"/>
    </row>
    <row r="797" spans="1:1" x14ac:dyDescent="0.25">
      <c r="A797" s="55"/>
    </row>
    <row r="798" spans="1:1" x14ac:dyDescent="0.25">
      <c r="A798" s="55"/>
    </row>
    <row r="799" spans="1:1" x14ac:dyDescent="0.25">
      <c r="A799" s="55"/>
    </row>
    <row r="800" spans="1:1" x14ac:dyDescent="0.25">
      <c r="A800" s="55"/>
    </row>
    <row r="801" spans="1:1" x14ac:dyDescent="0.25">
      <c r="A801" s="55"/>
    </row>
    <row r="802" spans="1:1" x14ac:dyDescent="0.25">
      <c r="A802" s="55"/>
    </row>
    <row r="803" spans="1:1" x14ac:dyDescent="0.25">
      <c r="A803" s="55"/>
    </row>
    <row r="804" spans="1:1" x14ac:dyDescent="0.25">
      <c r="A804" s="55"/>
    </row>
    <row r="805" spans="1:1" x14ac:dyDescent="0.25">
      <c r="A805" s="55"/>
    </row>
    <row r="806" spans="1:1" x14ac:dyDescent="0.25">
      <c r="A806" s="55"/>
    </row>
    <row r="807" spans="1:1" x14ac:dyDescent="0.25">
      <c r="A807" s="55"/>
    </row>
    <row r="808" spans="1:1" x14ac:dyDescent="0.25">
      <c r="A808" s="55"/>
    </row>
    <row r="809" spans="1:1" x14ac:dyDescent="0.25">
      <c r="A809" s="55"/>
    </row>
    <row r="810" spans="1:1" x14ac:dyDescent="0.25">
      <c r="A810" s="55"/>
    </row>
    <row r="811" spans="1:1" x14ac:dyDescent="0.25">
      <c r="A811" s="55"/>
    </row>
    <row r="812" spans="1:1" x14ac:dyDescent="0.25">
      <c r="A812" s="55"/>
    </row>
    <row r="813" spans="1:1" x14ac:dyDescent="0.25">
      <c r="A813" s="55"/>
    </row>
    <row r="814" spans="1:1" x14ac:dyDescent="0.25">
      <c r="A814" s="55"/>
    </row>
    <row r="815" spans="1:1" x14ac:dyDescent="0.25">
      <c r="A815" s="55"/>
    </row>
    <row r="816" spans="1:1" x14ac:dyDescent="0.25">
      <c r="A816" s="55"/>
    </row>
    <row r="817" spans="1:1" x14ac:dyDescent="0.25">
      <c r="A817" s="55"/>
    </row>
    <row r="818" spans="1:1" x14ac:dyDescent="0.25">
      <c r="A818" s="55"/>
    </row>
    <row r="819" spans="1:1" x14ac:dyDescent="0.25">
      <c r="A819" s="55"/>
    </row>
    <row r="820" spans="1:1" x14ac:dyDescent="0.25">
      <c r="A820" s="55"/>
    </row>
    <row r="821" spans="1:1" x14ac:dyDescent="0.25">
      <c r="A821" s="55"/>
    </row>
    <row r="822" spans="1:1" x14ac:dyDescent="0.25">
      <c r="A822" s="55"/>
    </row>
    <row r="823" spans="1:1" x14ac:dyDescent="0.25">
      <c r="A823" s="55"/>
    </row>
    <row r="824" spans="1:1" x14ac:dyDescent="0.25">
      <c r="A824" s="55"/>
    </row>
    <row r="825" spans="1:1" x14ac:dyDescent="0.25">
      <c r="A825" s="55"/>
    </row>
    <row r="826" spans="1:1" x14ac:dyDescent="0.25">
      <c r="A826" s="55"/>
    </row>
    <row r="827" spans="1:1" x14ac:dyDescent="0.25">
      <c r="A827" s="55"/>
    </row>
    <row r="828" spans="1:1" x14ac:dyDescent="0.25">
      <c r="A828" s="55"/>
    </row>
    <row r="829" spans="1:1" x14ac:dyDescent="0.25">
      <c r="A829" s="55"/>
    </row>
    <row r="830" spans="1:1" x14ac:dyDescent="0.25">
      <c r="A830" s="55"/>
    </row>
    <row r="831" spans="1:1" x14ac:dyDescent="0.25">
      <c r="A831" s="55"/>
    </row>
    <row r="832" spans="1:1" x14ac:dyDescent="0.25">
      <c r="A832" s="55"/>
    </row>
    <row r="833" spans="1:1" x14ac:dyDescent="0.25">
      <c r="A833" s="55"/>
    </row>
    <row r="834" spans="1:1" x14ac:dyDescent="0.25">
      <c r="A834" s="55"/>
    </row>
    <row r="835" spans="1:1" x14ac:dyDescent="0.25">
      <c r="A835" s="55"/>
    </row>
    <row r="836" spans="1:1" x14ac:dyDescent="0.25">
      <c r="A836" s="55"/>
    </row>
    <row r="837" spans="1:1" x14ac:dyDescent="0.25">
      <c r="A837" s="55"/>
    </row>
    <row r="838" spans="1:1" x14ac:dyDescent="0.25">
      <c r="A838" s="55"/>
    </row>
    <row r="839" spans="1:1" x14ac:dyDescent="0.25">
      <c r="A839" s="55"/>
    </row>
    <row r="840" spans="1:1" x14ac:dyDescent="0.25">
      <c r="A840" s="55"/>
    </row>
    <row r="841" spans="1:1" x14ac:dyDescent="0.25">
      <c r="A841" s="55"/>
    </row>
    <row r="842" spans="1:1" x14ac:dyDescent="0.25">
      <c r="A842" s="55"/>
    </row>
    <row r="843" spans="1:1" x14ac:dyDescent="0.25">
      <c r="A843" s="55"/>
    </row>
    <row r="844" spans="1:1" x14ac:dyDescent="0.25">
      <c r="A844" s="55"/>
    </row>
    <row r="845" spans="1:1" x14ac:dyDescent="0.25">
      <c r="A845" s="55"/>
    </row>
    <row r="846" spans="1:1" x14ac:dyDescent="0.25">
      <c r="A846" s="55"/>
    </row>
    <row r="847" spans="1:1" x14ac:dyDescent="0.25">
      <c r="A847" s="55"/>
    </row>
    <row r="848" spans="1:1" x14ac:dyDescent="0.25">
      <c r="A848" s="55"/>
    </row>
    <row r="849" spans="1:1" x14ac:dyDescent="0.25">
      <c r="A849" s="55"/>
    </row>
    <row r="850" spans="1:1" x14ac:dyDescent="0.25">
      <c r="A850" s="55"/>
    </row>
    <row r="851" spans="1:1" x14ac:dyDescent="0.25">
      <c r="A851" s="55"/>
    </row>
    <row r="852" spans="1:1" x14ac:dyDescent="0.25">
      <c r="A852" s="55"/>
    </row>
    <row r="853" spans="1:1" x14ac:dyDescent="0.25">
      <c r="A853" s="55"/>
    </row>
    <row r="854" spans="1:1" x14ac:dyDescent="0.25">
      <c r="A854" s="55"/>
    </row>
    <row r="855" spans="1:1" x14ac:dyDescent="0.25">
      <c r="A855" s="55"/>
    </row>
    <row r="856" spans="1:1" x14ac:dyDescent="0.25">
      <c r="A856" s="55"/>
    </row>
    <row r="857" spans="1:1" x14ac:dyDescent="0.25">
      <c r="A857" s="55"/>
    </row>
    <row r="858" spans="1:1" x14ac:dyDescent="0.25">
      <c r="A858" s="55"/>
    </row>
    <row r="859" spans="1:1" x14ac:dyDescent="0.25">
      <c r="A859" s="55"/>
    </row>
    <row r="860" spans="1:1" x14ac:dyDescent="0.25">
      <c r="A860" s="55"/>
    </row>
    <row r="861" spans="1:1" x14ac:dyDescent="0.25">
      <c r="A861" s="55"/>
    </row>
    <row r="862" spans="1:1" x14ac:dyDescent="0.25">
      <c r="A862" s="55"/>
    </row>
    <row r="863" spans="1:1" x14ac:dyDescent="0.25">
      <c r="A863" s="55"/>
    </row>
    <row r="864" spans="1:1" x14ac:dyDescent="0.25">
      <c r="A864" s="55"/>
    </row>
    <row r="865" spans="1:1" x14ac:dyDescent="0.25">
      <c r="A865" s="55"/>
    </row>
    <row r="866" spans="1:1" x14ac:dyDescent="0.25">
      <c r="A866" s="55"/>
    </row>
    <row r="867" spans="1:1" x14ac:dyDescent="0.25">
      <c r="A867" s="55"/>
    </row>
    <row r="868" spans="1:1" x14ac:dyDescent="0.25">
      <c r="A868" s="55"/>
    </row>
    <row r="869" spans="1:1" x14ac:dyDescent="0.25">
      <c r="A869" s="55"/>
    </row>
    <row r="870" spans="1:1" x14ac:dyDescent="0.25">
      <c r="A870" s="55"/>
    </row>
    <row r="871" spans="1:1" x14ac:dyDescent="0.25">
      <c r="A871" s="55"/>
    </row>
    <row r="872" spans="1:1" x14ac:dyDescent="0.25">
      <c r="A872" s="55"/>
    </row>
    <row r="873" spans="1:1" x14ac:dyDescent="0.25">
      <c r="A873" s="55"/>
    </row>
    <row r="874" spans="1:1" x14ac:dyDescent="0.25">
      <c r="A874" s="55"/>
    </row>
    <row r="875" spans="1:1" x14ac:dyDescent="0.25">
      <c r="A875" s="55"/>
    </row>
    <row r="876" spans="1:1" x14ac:dyDescent="0.25">
      <c r="A876" s="55"/>
    </row>
    <row r="877" spans="1:1" x14ac:dyDescent="0.25">
      <c r="A877" s="55"/>
    </row>
    <row r="878" spans="1:1" x14ac:dyDescent="0.25">
      <c r="A878" s="55"/>
    </row>
    <row r="879" spans="1:1" x14ac:dyDescent="0.25">
      <c r="A879" s="55"/>
    </row>
    <row r="880" spans="1:1" x14ac:dyDescent="0.25">
      <c r="A880" s="55"/>
    </row>
    <row r="881" spans="1:1" x14ac:dyDescent="0.25">
      <c r="A881" s="55"/>
    </row>
    <row r="882" spans="1:1" x14ac:dyDescent="0.25">
      <c r="A882" s="55"/>
    </row>
    <row r="883" spans="1:1" x14ac:dyDescent="0.25">
      <c r="A883" s="55"/>
    </row>
    <row r="884" spans="1:1" x14ac:dyDescent="0.25">
      <c r="A884" s="55"/>
    </row>
    <row r="885" spans="1:1" x14ac:dyDescent="0.25">
      <c r="A885" s="55"/>
    </row>
    <row r="886" spans="1:1" x14ac:dyDescent="0.25">
      <c r="A886" s="55"/>
    </row>
    <row r="887" spans="1:1" x14ac:dyDescent="0.25">
      <c r="A887" s="55"/>
    </row>
    <row r="888" spans="1:1" x14ac:dyDescent="0.25">
      <c r="A888" s="55"/>
    </row>
    <row r="889" spans="1:1" x14ac:dyDescent="0.25">
      <c r="A889" s="55"/>
    </row>
    <row r="890" spans="1:1" x14ac:dyDescent="0.25">
      <c r="A890" s="55"/>
    </row>
    <row r="891" spans="1:1" x14ac:dyDescent="0.25">
      <c r="A891" s="55"/>
    </row>
    <row r="892" spans="1:1" x14ac:dyDescent="0.25">
      <c r="A892" s="55"/>
    </row>
    <row r="893" spans="1:1" x14ac:dyDescent="0.25">
      <c r="A893" s="55"/>
    </row>
    <row r="894" spans="1:1" x14ac:dyDescent="0.25">
      <c r="A894" s="55"/>
    </row>
    <row r="895" spans="1:1" x14ac:dyDescent="0.25">
      <c r="A895" s="55"/>
    </row>
    <row r="896" spans="1:1" x14ac:dyDescent="0.25">
      <c r="A896" s="55"/>
    </row>
    <row r="897" spans="1:1" x14ac:dyDescent="0.25">
      <c r="A897" s="55"/>
    </row>
    <row r="898" spans="1:1" x14ac:dyDescent="0.25">
      <c r="A898" s="55"/>
    </row>
    <row r="899" spans="1:1" x14ac:dyDescent="0.25">
      <c r="A899" s="55"/>
    </row>
    <row r="900" spans="1:1" x14ac:dyDescent="0.25">
      <c r="A900" s="55"/>
    </row>
    <row r="901" spans="1:1" x14ac:dyDescent="0.25">
      <c r="A901" s="55"/>
    </row>
    <row r="902" spans="1:1" x14ac:dyDescent="0.25">
      <c r="A902" s="55"/>
    </row>
    <row r="903" spans="1:1" x14ac:dyDescent="0.25">
      <c r="A903" s="55"/>
    </row>
    <row r="904" spans="1:1" x14ac:dyDescent="0.25">
      <c r="A904" s="55"/>
    </row>
    <row r="905" spans="1:1" x14ac:dyDescent="0.25">
      <c r="A905" s="55"/>
    </row>
    <row r="906" spans="1:1" x14ac:dyDescent="0.25">
      <c r="A906" s="55"/>
    </row>
    <row r="907" spans="1:1" x14ac:dyDescent="0.25">
      <c r="A907" s="55"/>
    </row>
    <row r="908" spans="1:1" x14ac:dyDescent="0.25">
      <c r="A908" s="55"/>
    </row>
    <row r="909" spans="1:1" x14ac:dyDescent="0.25">
      <c r="A909" s="55"/>
    </row>
    <row r="910" spans="1:1" x14ac:dyDescent="0.25">
      <c r="A910" s="55"/>
    </row>
    <row r="911" spans="1:1" x14ac:dyDescent="0.25">
      <c r="A911" s="55"/>
    </row>
    <row r="912" spans="1:1" x14ac:dyDescent="0.25">
      <c r="A912" s="55"/>
    </row>
    <row r="913" spans="1:1" x14ac:dyDescent="0.25">
      <c r="A913" s="55"/>
    </row>
    <row r="914" spans="1:1" x14ac:dyDescent="0.25">
      <c r="A914" s="55"/>
    </row>
    <row r="915" spans="1:1" x14ac:dyDescent="0.25">
      <c r="A915" s="55"/>
    </row>
    <row r="916" spans="1:1" x14ac:dyDescent="0.25">
      <c r="A916" s="55"/>
    </row>
    <row r="917" spans="1:1" x14ac:dyDescent="0.25">
      <c r="A917" s="55"/>
    </row>
    <row r="918" spans="1:1" x14ac:dyDescent="0.25">
      <c r="A918" s="55"/>
    </row>
    <row r="919" spans="1:1" x14ac:dyDescent="0.25">
      <c r="A919" s="55"/>
    </row>
    <row r="920" spans="1:1" x14ac:dyDescent="0.25">
      <c r="A920" s="55"/>
    </row>
    <row r="921" spans="1:1" x14ac:dyDescent="0.25">
      <c r="A921" s="55"/>
    </row>
    <row r="922" spans="1:1" x14ac:dyDescent="0.25">
      <c r="A922" s="55"/>
    </row>
    <row r="923" spans="1:1" x14ac:dyDescent="0.25">
      <c r="A923" s="55"/>
    </row>
    <row r="924" spans="1:1" x14ac:dyDescent="0.25">
      <c r="A924" s="55"/>
    </row>
    <row r="925" spans="1:1" x14ac:dyDescent="0.25">
      <c r="A925" s="55"/>
    </row>
    <row r="926" spans="1:1" x14ac:dyDescent="0.25">
      <c r="A926" s="55"/>
    </row>
    <row r="927" spans="1:1" x14ac:dyDescent="0.25">
      <c r="A927" s="55"/>
    </row>
    <row r="928" spans="1:1" x14ac:dyDescent="0.25">
      <c r="A928" s="55"/>
    </row>
    <row r="929" spans="1:1" x14ac:dyDescent="0.25">
      <c r="A929" s="55"/>
    </row>
    <row r="930" spans="1:1" x14ac:dyDescent="0.25">
      <c r="A930" s="55"/>
    </row>
    <row r="931" spans="1:1" x14ac:dyDescent="0.25">
      <c r="A931" s="55"/>
    </row>
    <row r="932" spans="1:1" x14ac:dyDescent="0.25">
      <c r="A932" s="55"/>
    </row>
    <row r="933" spans="1:1" x14ac:dyDescent="0.25">
      <c r="A933" s="55"/>
    </row>
    <row r="934" spans="1:1" x14ac:dyDescent="0.25">
      <c r="A934" s="55"/>
    </row>
    <row r="935" spans="1:1" x14ac:dyDescent="0.25">
      <c r="A935" s="55"/>
    </row>
    <row r="936" spans="1:1" x14ac:dyDescent="0.25">
      <c r="A936" s="55"/>
    </row>
    <row r="937" spans="1:1" x14ac:dyDescent="0.25">
      <c r="A937" s="55"/>
    </row>
    <row r="938" spans="1:1" x14ac:dyDescent="0.25">
      <c r="A938" s="55"/>
    </row>
    <row r="939" spans="1:1" x14ac:dyDescent="0.25">
      <c r="A939" s="55"/>
    </row>
    <row r="940" spans="1:1" x14ac:dyDescent="0.25">
      <c r="A940" s="55"/>
    </row>
    <row r="941" spans="1:1" x14ac:dyDescent="0.25">
      <c r="A941" s="55"/>
    </row>
    <row r="942" spans="1:1" x14ac:dyDescent="0.25">
      <c r="A942" s="55"/>
    </row>
    <row r="943" spans="1:1" x14ac:dyDescent="0.25">
      <c r="A943" s="55"/>
    </row>
    <row r="944" spans="1:1" x14ac:dyDescent="0.25">
      <c r="A944" s="55"/>
    </row>
    <row r="945" spans="1:1" x14ac:dyDescent="0.25">
      <c r="A945" s="55"/>
    </row>
    <row r="946" spans="1:1" x14ac:dyDescent="0.25">
      <c r="A946" s="55"/>
    </row>
    <row r="947" spans="1:1" x14ac:dyDescent="0.25">
      <c r="A947" s="55"/>
    </row>
    <row r="948" spans="1:1" x14ac:dyDescent="0.25">
      <c r="A948" s="55"/>
    </row>
    <row r="949" spans="1:1" x14ac:dyDescent="0.25">
      <c r="A949" s="55"/>
    </row>
    <row r="950" spans="1:1" x14ac:dyDescent="0.25">
      <c r="A950" s="55"/>
    </row>
    <row r="951" spans="1:1" x14ac:dyDescent="0.25">
      <c r="A951" s="55"/>
    </row>
    <row r="952" spans="1:1" x14ac:dyDescent="0.25">
      <c r="A952" s="55"/>
    </row>
    <row r="953" spans="1:1" x14ac:dyDescent="0.25">
      <c r="A953" s="55"/>
    </row>
    <row r="954" spans="1:1" x14ac:dyDescent="0.25">
      <c r="A954" s="55"/>
    </row>
    <row r="955" spans="1:1" x14ac:dyDescent="0.25">
      <c r="A955" s="55"/>
    </row>
    <row r="956" spans="1:1" x14ac:dyDescent="0.25">
      <c r="A956" s="55"/>
    </row>
    <row r="957" spans="1:1" x14ac:dyDescent="0.25">
      <c r="A957" s="55"/>
    </row>
    <row r="958" spans="1:1" x14ac:dyDescent="0.25">
      <c r="A958" s="55"/>
    </row>
    <row r="959" spans="1:1" x14ac:dyDescent="0.25">
      <c r="A959" s="55"/>
    </row>
    <row r="960" spans="1:1" x14ac:dyDescent="0.25">
      <c r="A960" s="55"/>
    </row>
    <row r="961" spans="1:1" x14ac:dyDescent="0.25">
      <c r="A961" s="55"/>
    </row>
    <row r="962" spans="1:1" x14ac:dyDescent="0.25">
      <c r="A962" s="55"/>
    </row>
    <row r="963" spans="1:1" x14ac:dyDescent="0.25">
      <c r="A963" s="55"/>
    </row>
    <row r="964" spans="1:1" x14ac:dyDescent="0.25">
      <c r="A964" s="55"/>
    </row>
    <row r="965" spans="1:1" x14ac:dyDescent="0.25">
      <c r="A965" s="55"/>
    </row>
    <row r="966" spans="1:1" x14ac:dyDescent="0.25">
      <c r="A966" s="55"/>
    </row>
    <row r="967" spans="1:1" x14ac:dyDescent="0.25">
      <c r="A967" s="55"/>
    </row>
    <row r="968" spans="1:1" x14ac:dyDescent="0.25">
      <c r="A968" s="55"/>
    </row>
    <row r="969" spans="1:1" x14ac:dyDescent="0.25">
      <c r="A969" s="55"/>
    </row>
    <row r="970" spans="1:1" x14ac:dyDescent="0.25">
      <c r="A970" s="55"/>
    </row>
    <row r="971" spans="1:1" x14ac:dyDescent="0.25">
      <c r="A971" s="55"/>
    </row>
    <row r="972" spans="1:1" x14ac:dyDescent="0.25">
      <c r="A972" s="55"/>
    </row>
    <row r="973" spans="1:1" x14ac:dyDescent="0.25">
      <c r="A973" s="55"/>
    </row>
    <row r="974" spans="1:1" x14ac:dyDescent="0.25">
      <c r="A974" s="55"/>
    </row>
    <row r="975" spans="1:1" x14ac:dyDescent="0.25">
      <c r="A975" s="55"/>
    </row>
    <row r="976" spans="1:1" x14ac:dyDescent="0.25">
      <c r="A976" s="55"/>
    </row>
    <row r="977" spans="1:1" x14ac:dyDescent="0.25">
      <c r="A977" s="55"/>
    </row>
    <row r="978" spans="1:1" x14ac:dyDescent="0.25">
      <c r="A978" s="55"/>
    </row>
    <row r="979" spans="1:1" x14ac:dyDescent="0.25">
      <c r="A979" s="55"/>
    </row>
    <row r="980" spans="1:1" x14ac:dyDescent="0.25">
      <c r="A980" s="55"/>
    </row>
    <row r="981" spans="1:1" x14ac:dyDescent="0.25">
      <c r="A981" s="55"/>
    </row>
    <row r="982" spans="1:1" x14ac:dyDescent="0.25">
      <c r="A982" s="55"/>
    </row>
    <row r="983" spans="1:1" x14ac:dyDescent="0.25">
      <c r="A983" s="55"/>
    </row>
    <row r="984" spans="1:1" x14ac:dyDescent="0.25">
      <c r="A984" s="55"/>
    </row>
    <row r="985" spans="1:1" x14ac:dyDescent="0.25">
      <c r="A985" s="55"/>
    </row>
    <row r="986" spans="1:1" x14ac:dyDescent="0.25">
      <c r="A986" s="55"/>
    </row>
    <row r="987" spans="1:1" x14ac:dyDescent="0.25">
      <c r="A987" s="55"/>
    </row>
    <row r="988" spans="1:1" x14ac:dyDescent="0.25">
      <c r="A988" s="55"/>
    </row>
    <row r="989" spans="1:1" x14ac:dyDescent="0.25">
      <c r="A989" s="55"/>
    </row>
    <row r="990" spans="1:1" x14ac:dyDescent="0.25">
      <c r="A990" s="55"/>
    </row>
    <row r="991" spans="1:1" x14ac:dyDescent="0.25">
      <c r="A991" s="55"/>
    </row>
    <row r="992" spans="1:1" x14ac:dyDescent="0.25">
      <c r="A992" s="55"/>
    </row>
    <row r="993" spans="1:1" x14ac:dyDescent="0.25">
      <c r="A993" s="55"/>
    </row>
    <row r="994" spans="1:1" x14ac:dyDescent="0.25">
      <c r="A994" s="55"/>
    </row>
    <row r="995" spans="1:1" x14ac:dyDescent="0.25">
      <c r="A995" s="55"/>
    </row>
    <row r="996" spans="1:1" x14ac:dyDescent="0.25">
      <c r="A996" s="55"/>
    </row>
    <row r="997" spans="1:1" x14ac:dyDescent="0.25">
      <c r="A997" s="55"/>
    </row>
    <row r="998" spans="1:1" x14ac:dyDescent="0.25">
      <c r="A998" s="55"/>
    </row>
    <row r="999" spans="1:1" x14ac:dyDescent="0.25">
      <c r="A999" s="55"/>
    </row>
    <row r="1000" spans="1:1" x14ac:dyDescent="0.25">
      <c r="A1000" s="55"/>
    </row>
    <row r="1001" spans="1:1" x14ac:dyDescent="0.25">
      <c r="A1001" s="55"/>
    </row>
    <row r="1002" spans="1:1" x14ac:dyDescent="0.25">
      <c r="A1002" s="55"/>
    </row>
    <row r="1003" spans="1:1" x14ac:dyDescent="0.25">
      <c r="A1003" s="55"/>
    </row>
    <row r="1004" spans="1:1" x14ac:dyDescent="0.25">
      <c r="A1004" s="55"/>
    </row>
    <row r="1005" spans="1:1" x14ac:dyDescent="0.25">
      <c r="A1005" s="55"/>
    </row>
    <row r="1006" spans="1:1" x14ac:dyDescent="0.25">
      <c r="A1006" s="55"/>
    </row>
    <row r="1007" spans="1:1" x14ac:dyDescent="0.25">
      <c r="A1007" s="55"/>
    </row>
    <row r="1008" spans="1:1" x14ac:dyDescent="0.25">
      <c r="A1008" s="55"/>
    </row>
    <row r="1009" spans="1:1" x14ac:dyDescent="0.25">
      <c r="A1009" s="55"/>
    </row>
    <row r="1010" spans="1:1" x14ac:dyDescent="0.25">
      <c r="A1010" s="55"/>
    </row>
    <row r="1011" spans="1:1" x14ac:dyDescent="0.25">
      <c r="A1011" s="55"/>
    </row>
    <row r="1012" spans="1:1" x14ac:dyDescent="0.25">
      <c r="A1012" s="55"/>
    </row>
    <row r="1013" spans="1:1" x14ac:dyDescent="0.25">
      <c r="A1013" s="55"/>
    </row>
    <row r="1014" spans="1:1" x14ac:dyDescent="0.25">
      <c r="A1014" s="55"/>
    </row>
    <row r="1015" spans="1:1" x14ac:dyDescent="0.25">
      <c r="A1015" s="55"/>
    </row>
    <row r="1016" spans="1:1" x14ac:dyDescent="0.25">
      <c r="A1016" s="55"/>
    </row>
    <row r="1017" spans="1:1" x14ac:dyDescent="0.25">
      <c r="A1017" s="55"/>
    </row>
    <row r="1018" spans="1:1" x14ac:dyDescent="0.25">
      <c r="A1018" s="55"/>
    </row>
    <row r="1019" spans="1:1" x14ac:dyDescent="0.25">
      <c r="A1019" s="55"/>
    </row>
    <row r="1020" spans="1:1" x14ac:dyDescent="0.25">
      <c r="A1020" s="55"/>
    </row>
    <row r="1021" spans="1:1" x14ac:dyDescent="0.25">
      <c r="A1021" s="55"/>
    </row>
    <row r="1022" spans="1:1" x14ac:dyDescent="0.25">
      <c r="A1022" s="55"/>
    </row>
    <row r="1023" spans="1:1" x14ac:dyDescent="0.25">
      <c r="A1023" s="55"/>
    </row>
    <row r="1024" spans="1:1" x14ac:dyDescent="0.25">
      <c r="A1024" s="55"/>
    </row>
    <row r="1025" spans="1:1" x14ac:dyDescent="0.25">
      <c r="A1025" s="55"/>
    </row>
    <row r="1026" spans="1:1" x14ac:dyDescent="0.25">
      <c r="A1026" s="55"/>
    </row>
    <row r="1027" spans="1:1" x14ac:dyDescent="0.25">
      <c r="A1027" s="55"/>
    </row>
    <row r="1028" spans="1:1" x14ac:dyDescent="0.25">
      <c r="A1028" s="55"/>
    </row>
    <row r="1029" spans="1:1" x14ac:dyDescent="0.25">
      <c r="A1029" s="55"/>
    </row>
    <row r="1030" spans="1:1" x14ac:dyDescent="0.25">
      <c r="A1030" s="55"/>
    </row>
    <row r="1031" spans="1:1" x14ac:dyDescent="0.25">
      <c r="A1031" s="55"/>
    </row>
    <row r="1032" spans="1:1" x14ac:dyDescent="0.25">
      <c r="A1032" s="55"/>
    </row>
    <row r="1033" spans="1:1" x14ac:dyDescent="0.25">
      <c r="A1033" s="55"/>
    </row>
    <row r="1034" spans="1:1" x14ac:dyDescent="0.25">
      <c r="A1034" s="55"/>
    </row>
    <row r="1035" spans="1:1" x14ac:dyDescent="0.25">
      <c r="A1035" s="55"/>
    </row>
    <row r="1036" spans="1:1" x14ac:dyDescent="0.25">
      <c r="A1036" s="55"/>
    </row>
    <row r="1037" spans="1:1" x14ac:dyDescent="0.25">
      <c r="A1037" s="55"/>
    </row>
    <row r="1038" spans="1:1" x14ac:dyDescent="0.25">
      <c r="A1038" s="55"/>
    </row>
    <row r="1039" spans="1:1" x14ac:dyDescent="0.25">
      <c r="A1039" s="55"/>
    </row>
    <row r="1040" spans="1:1" x14ac:dyDescent="0.25">
      <c r="A1040" s="55"/>
    </row>
    <row r="1041" spans="1:1" x14ac:dyDescent="0.25">
      <c r="A1041" s="55"/>
    </row>
    <row r="1042" spans="1:1" x14ac:dyDescent="0.25">
      <c r="A1042" s="55"/>
    </row>
    <row r="1043" spans="1:1" x14ac:dyDescent="0.25">
      <c r="A1043" s="55"/>
    </row>
    <row r="1044" spans="1:1" x14ac:dyDescent="0.25">
      <c r="A1044" s="55"/>
    </row>
    <row r="1045" spans="1:1" x14ac:dyDescent="0.25">
      <c r="A1045" s="55"/>
    </row>
    <row r="1046" spans="1:1" x14ac:dyDescent="0.25">
      <c r="A1046" s="55"/>
    </row>
    <row r="1047" spans="1:1" x14ac:dyDescent="0.25">
      <c r="A1047" s="55"/>
    </row>
    <row r="1048" spans="1:1" x14ac:dyDescent="0.25">
      <c r="A1048" s="55"/>
    </row>
    <row r="1049" spans="1:1" x14ac:dyDescent="0.25">
      <c r="A1049" s="55"/>
    </row>
    <row r="1050" spans="1:1" x14ac:dyDescent="0.25">
      <c r="A1050" s="55"/>
    </row>
    <row r="1051" spans="1:1" x14ac:dyDescent="0.25">
      <c r="A1051" s="55"/>
    </row>
    <row r="1052" spans="1:1" x14ac:dyDescent="0.25">
      <c r="A1052" s="55"/>
    </row>
    <row r="1053" spans="1:1" x14ac:dyDescent="0.25">
      <c r="A1053" s="55"/>
    </row>
    <row r="1054" spans="1:1" x14ac:dyDescent="0.25">
      <c r="A1054" s="55"/>
    </row>
    <row r="1055" spans="1:1" x14ac:dyDescent="0.25">
      <c r="A1055" s="55"/>
    </row>
    <row r="1056" spans="1:1" x14ac:dyDescent="0.25">
      <c r="A1056" s="55"/>
    </row>
    <row r="1057" spans="1:1" x14ac:dyDescent="0.25">
      <c r="A1057" s="55"/>
    </row>
    <row r="1058" spans="1:1" x14ac:dyDescent="0.25">
      <c r="A1058" s="55"/>
    </row>
    <row r="1059" spans="1:1" x14ac:dyDescent="0.25">
      <c r="A1059" s="55"/>
    </row>
    <row r="1060" spans="1:1" x14ac:dyDescent="0.25">
      <c r="A1060" s="55"/>
    </row>
    <row r="1061" spans="1:1" x14ac:dyDescent="0.25">
      <c r="A1061" s="55"/>
    </row>
    <row r="1062" spans="1:1" x14ac:dyDescent="0.25">
      <c r="A1062" s="55"/>
    </row>
    <row r="1063" spans="1:1" x14ac:dyDescent="0.25">
      <c r="A1063" s="55"/>
    </row>
    <row r="1064" spans="1:1" x14ac:dyDescent="0.25">
      <c r="A1064" s="55"/>
    </row>
    <row r="1065" spans="1:1" x14ac:dyDescent="0.25">
      <c r="A1065" s="55"/>
    </row>
    <row r="1066" spans="1:1" x14ac:dyDescent="0.25">
      <c r="A1066" s="55"/>
    </row>
    <row r="1067" spans="1:1" x14ac:dyDescent="0.25">
      <c r="A1067" s="55"/>
    </row>
    <row r="1068" spans="1:1" x14ac:dyDescent="0.25">
      <c r="A1068" s="55"/>
    </row>
    <row r="1069" spans="1:1" x14ac:dyDescent="0.25">
      <c r="A1069" s="55"/>
    </row>
    <row r="1070" spans="1:1" x14ac:dyDescent="0.25">
      <c r="A1070" s="55"/>
    </row>
    <row r="1071" spans="1:1" x14ac:dyDescent="0.25">
      <c r="A1071" s="55"/>
    </row>
    <row r="1072" spans="1:1" x14ac:dyDescent="0.25">
      <c r="A1072" s="55"/>
    </row>
    <row r="1073" spans="1:1" x14ac:dyDescent="0.25">
      <c r="A1073" s="55"/>
    </row>
    <row r="1074" spans="1:1" x14ac:dyDescent="0.25">
      <c r="A1074" s="55"/>
    </row>
    <row r="1075" spans="1:1" x14ac:dyDescent="0.25">
      <c r="A1075" s="55"/>
    </row>
    <row r="1076" spans="1:1" x14ac:dyDescent="0.25">
      <c r="A1076" s="55"/>
    </row>
    <row r="1077" spans="1:1" x14ac:dyDescent="0.25">
      <c r="A1077" s="55"/>
    </row>
    <row r="1078" spans="1:1" x14ac:dyDescent="0.25">
      <c r="A1078" s="55"/>
    </row>
    <row r="1079" spans="1:1" x14ac:dyDescent="0.25">
      <c r="A1079" s="55"/>
    </row>
    <row r="1080" spans="1:1" x14ac:dyDescent="0.25">
      <c r="A1080" s="55"/>
    </row>
    <row r="1081" spans="1:1" x14ac:dyDescent="0.25">
      <c r="A1081" s="55"/>
    </row>
    <row r="1082" spans="1:1" x14ac:dyDescent="0.25">
      <c r="A1082" s="55"/>
    </row>
    <row r="1083" spans="1:1" x14ac:dyDescent="0.25">
      <c r="A1083" s="55"/>
    </row>
    <row r="1084" spans="1:1" x14ac:dyDescent="0.25">
      <c r="A1084" s="55"/>
    </row>
    <row r="1085" spans="1:1" x14ac:dyDescent="0.25">
      <c r="A1085" s="55"/>
    </row>
    <row r="1086" spans="1:1" x14ac:dyDescent="0.25">
      <c r="A1086" s="55"/>
    </row>
    <row r="1087" spans="1:1" x14ac:dyDescent="0.25">
      <c r="A1087" s="55"/>
    </row>
    <row r="1088" spans="1:1" x14ac:dyDescent="0.25">
      <c r="A1088" s="55"/>
    </row>
    <row r="1089" spans="1:1" x14ac:dyDescent="0.25">
      <c r="A1089" s="55"/>
    </row>
    <row r="1090" spans="1:1" x14ac:dyDescent="0.25">
      <c r="A1090" s="55"/>
    </row>
    <row r="1091" spans="1:1" x14ac:dyDescent="0.25">
      <c r="A1091" s="55"/>
    </row>
    <row r="1092" spans="1:1" x14ac:dyDescent="0.25">
      <c r="A1092" s="55"/>
    </row>
    <row r="1093" spans="1:1" x14ac:dyDescent="0.25">
      <c r="A1093" s="55"/>
    </row>
    <row r="1094" spans="1:1" x14ac:dyDescent="0.25">
      <c r="A1094" s="55"/>
    </row>
    <row r="1095" spans="1:1" x14ac:dyDescent="0.25">
      <c r="A1095" s="55"/>
    </row>
    <row r="1096" spans="1:1" x14ac:dyDescent="0.25">
      <c r="A1096" s="55"/>
    </row>
    <row r="1097" spans="1:1" x14ac:dyDescent="0.25">
      <c r="A1097" s="55"/>
    </row>
    <row r="1098" spans="1:1" x14ac:dyDescent="0.25">
      <c r="A1098" s="55"/>
    </row>
    <row r="1099" spans="1:1" x14ac:dyDescent="0.25">
      <c r="A1099" s="55"/>
    </row>
    <row r="1100" spans="1:1" x14ac:dyDescent="0.25">
      <c r="A1100" s="55"/>
    </row>
    <row r="1101" spans="1:1" x14ac:dyDescent="0.25">
      <c r="A1101" s="55"/>
    </row>
    <row r="1102" spans="1:1" x14ac:dyDescent="0.25">
      <c r="A1102" s="55"/>
    </row>
    <row r="1103" spans="1:1" x14ac:dyDescent="0.25">
      <c r="A1103" s="55"/>
    </row>
    <row r="1104" spans="1:1" x14ac:dyDescent="0.25">
      <c r="A1104" s="55"/>
    </row>
    <row r="1105" spans="1:1" x14ac:dyDescent="0.25">
      <c r="A1105" s="55"/>
    </row>
    <row r="1106" spans="1:1" x14ac:dyDescent="0.25">
      <c r="A1106" s="55"/>
    </row>
    <row r="1107" spans="1:1" x14ac:dyDescent="0.25">
      <c r="A1107" s="55"/>
    </row>
    <row r="1108" spans="1:1" x14ac:dyDescent="0.25">
      <c r="A1108" s="55"/>
    </row>
    <row r="1109" spans="1:1" x14ac:dyDescent="0.25">
      <c r="A1109" s="55"/>
    </row>
    <row r="1110" spans="1:1" x14ac:dyDescent="0.25">
      <c r="A1110" s="55"/>
    </row>
    <row r="1111" spans="1:1" x14ac:dyDescent="0.25">
      <c r="A1111" s="55"/>
    </row>
    <row r="1112" spans="1:1" x14ac:dyDescent="0.25">
      <c r="A1112" s="55"/>
    </row>
    <row r="1113" spans="1:1" x14ac:dyDescent="0.25">
      <c r="A1113" s="55"/>
    </row>
    <row r="1114" spans="1:1" x14ac:dyDescent="0.25">
      <c r="A1114" s="55"/>
    </row>
    <row r="1115" spans="1:1" x14ac:dyDescent="0.25">
      <c r="A1115" s="55"/>
    </row>
    <row r="1116" spans="1:1" x14ac:dyDescent="0.25">
      <c r="A1116" s="55"/>
    </row>
    <row r="1117" spans="1:1" x14ac:dyDescent="0.25">
      <c r="A1117" s="55"/>
    </row>
    <row r="1118" spans="1:1" x14ac:dyDescent="0.25">
      <c r="A1118" s="55"/>
    </row>
    <row r="1119" spans="1:1" x14ac:dyDescent="0.25">
      <c r="A1119" s="55"/>
    </row>
    <row r="1120" spans="1:1" x14ac:dyDescent="0.25">
      <c r="A1120" s="55"/>
    </row>
    <row r="1121" spans="1:1" x14ac:dyDescent="0.25">
      <c r="A1121" s="55"/>
    </row>
    <row r="1122" spans="1:1" x14ac:dyDescent="0.25">
      <c r="A1122" s="55"/>
    </row>
    <row r="1123" spans="1:1" x14ac:dyDescent="0.25">
      <c r="A1123" s="55"/>
    </row>
    <row r="1124" spans="1:1" x14ac:dyDescent="0.25">
      <c r="A1124" s="55"/>
    </row>
    <row r="1125" spans="1:1" x14ac:dyDescent="0.25">
      <c r="A1125" s="55"/>
    </row>
    <row r="1126" spans="1:1" x14ac:dyDescent="0.25">
      <c r="A1126" s="55"/>
    </row>
    <row r="1127" spans="1:1" x14ac:dyDescent="0.25">
      <c r="A1127" s="55"/>
    </row>
    <row r="1128" spans="1:1" x14ac:dyDescent="0.25">
      <c r="A1128" s="55"/>
    </row>
    <row r="1129" spans="1:1" x14ac:dyDescent="0.25">
      <c r="A1129" s="55"/>
    </row>
    <row r="1130" spans="1:1" x14ac:dyDescent="0.25">
      <c r="A1130" s="55"/>
    </row>
    <row r="1131" spans="1:1" x14ac:dyDescent="0.25">
      <c r="A1131" s="55"/>
    </row>
    <row r="1132" spans="1:1" x14ac:dyDescent="0.25">
      <c r="A1132" s="55"/>
    </row>
    <row r="1133" spans="1:1" x14ac:dyDescent="0.25">
      <c r="A1133" s="55"/>
    </row>
    <row r="1134" spans="1:1" x14ac:dyDescent="0.25">
      <c r="A1134" s="55"/>
    </row>
    <row r="1135" spans="1:1" x14ac:dyDescent="0.25">
      <c r="A1135" s="55"/>
    </row>
    <row r="1136" spans="1:1" x14ac:dyDescent="0.25">
      <c r="A1136" s="55"/>
    </row>
    <row r="1137" spans="1:1" x14ac:dyDescent="0.25">
      <c r="A1137" s="55"/>
    </row>
    <row r="1138" spans="1:1" x14ac:dyDescent="0.25">
      <c r="A1138" s="55"/>
    </row>
    <row r="1139" spans="1:1" x14ac:dyDescent="0.25">
      <c r="A1139" s="55"/>
    </row>
    <row r="1140" spans="1:1" x14ac:dyDescent="0.25">
      <c r="A1140" s="55"/>
    </row>
    <row r="1141" spans="1:1" x14ac:dyDescent="0.25">
      <c r="A1141" s="55"/>
    </row>
    <row r="1142" spans="1:1" x14ac:dyDescent="0.25">
      <c r="A1142" s="55"/>
    </row>
    <row r="1143" spans="1:1" x14ac:dyDescent="0.25">
      <c r="A1143" s="55"/>
    </row>
    <row r="1144" spans="1:1" x14ac:dyDescent="0.25">
      <c r="A1144" s="55"/>
    </row>
    <row r="1145" spans="1:1" x14ac:dyDescent="0.25">
      <c r="A1145" s="55"/>
    </row>
    <row r="1146" spans="1:1" x14ac:dyDescent="0.25">
      <c r="A1146" s="55"/>
    </row>
    <row r="1147" spans="1:1" x14ac:dyDescent="0.25">
      <c r="A1147" s="55"/>
    </row>
    <row r="1148" spans="1:1" x14ac:dyDescent="0.25">
      <c r="A1148" s="55"/>
    </row>
    <row r="1149" spans="1:1" x14ac:dyDescent="0.25">
      <c r="A1149" s="55"/>
    </row>
    <row r="1150" spans="1:1" x14ac:dyDescent="0.25">
      <c r="A1150" s="55"/>
    </row>
    <row r="1151" spans="1:1" x14ac:dyDescent="0.25">
      <c r="A1151" s="55"/>
    </row>
    <row r="1152" spans="1:1" x14ac:dyDescent="0.25">
      <c r="A1152" s="55"/>
    </row>
    <row r="1153" spans="1:1" x14ac:dyDescent="0.25">
      <c r="A1153" s="55"/>
    </row>
    <row r="1154" spans="1:1" x14ac:dyDescent="0.25">
      <c r="A1154" s="55"/>
    </row>
    <row r="1155" spans="1:1" x14ac:dyDescent="0.25">
      <c r="A1155" s="55"/>
    </row>
    <row r="1156" spans="1:1" x14ac:dyDescent="0.25">
      <c r="A1156" s="55"/>
    </row>
    <row r="1157" spans="1:1" x14ac:dyDescent="0.25">
      <c r="A1157" s="55"/>
    </row>
    <row r="1158" spans="1:1" x14ac:dyDescent="0.25">
      <c r="A1158" s="55"/>
    </row>
    <row r="1159" spans="1:1" x14ac:dyDescent="0.25">
      <c r="A1159" s="55"/>
    </row>
    <row r="1160" spans="1:1" x14ac:dyDescent="0.25">
      <c r="A1160" s="55"/>
    </row>
    <row r="1161" spans="1:1" x14ac:dyDescent="0.25">
      <c r="A1161" s="55"/>
    </row>
    <row r="1162" spans="1:1" x14ac:dyDescent="0.25">
      <c r="A1162" s="55"/>
    </row>
    <row r="1163" spans="1:1" x14ac:dyDescent="0.25">
      <c r="A1163" s="55"/>
    </row>
    <row r="1164" spans="1:1" x14ac:dyDescent="0.25">
      <c r="A1164" s="55"/>
    </row>
    <row r="1165" spans="1:1" x14ac:dyDescent="0.25">
      <c r="A1165" s="55"/>
    </row>
    <row r="1166" spans="1:1" x14ac:dyDescent="0.25">
      <c r="A1166" s="55"/>
    </row>
    <row r="1167" spans="1:1" x14ac:dyDescent="0.25">
      <c r="A1167" s="55"/>
    </row>
    <row r="1168" spans="1:1" x14ac:dyDescent="0.25">
      <c r="A1168" s="55"/>
    </row>
    <row r="1169" spans="1:1" x14ac:dyDescent="0.25">
      <c r="A1169" s="55"/>
    </row>
    <row r="1170" spans="1:1" x14ac:dyDescent="0.25">
      <c r="A1170" s="55"/>
    </row>
    <row r="1171" spans="1:1" x14ac:dyDescent="0.25">
      <c r="A1171" s="55"/>
    </row>
    <row r="1172" spans="1:1" x14ac:dyDescent="0.25">
      <c r="A1172" s="55"/>
    </row>
    <row r="1173" spans="1:1" x14ac:dyDescent="0.25">
      <c r="A1173" s="55"/>
    </row>
    <row r="1174" spans="1:1" x14ac:dyDescent="0.25">
      <c r="A1174" s="55"/>
    </row>
    <row r="1175" spans="1:1" x14ac:dyDescent="0.25">
      <c r="A1175" s="55"/>
    </row>
    <row r="1176" spans="1:1" x14ac:dyDescent="0.25">
      <c r="A1176" s="55"/>
    </row>
    <row r="1177" spans="1:1" x14ac:dyDescent="0.25">
      <c r="A1177" s="55"/>
    </row>
    <row r="1178" spans="1:1" x14ac:dyDescent="0.25">
      <c r="A1178" s="55"/>
    </row>
    <row r="1179" spans="1:1" x14ac:dyDescent="0.25">
      <c r="A1179" s="55"/>
    </row>
    <row r="1180" spans="1:1" x14ac:dyDescent="0.25">
      <c r="A1180" s="55"/>
    </row>
    <row r="1181" spans="1:1" x14ac:dyDescent="0.25">
      <c r="A1181" s="55"/>
    </row>
    <row r="1182" spans="1:1" x14ac:dyDescent="0.25">
      <c r="A1182" s="55"/>
    </row>
    <row r="1183" spans="1:1" x14ac:dyDescent="0.25">
      <c r="A1183" s="55"/>
    </row>
    <row r="1184" spans="1:1" x14ac:dyDescent="0.25">
      <c r="A1184" s="55"/>
    </row>
    <row r="1185" spans="1:1" x14ac:dyDescent="0.25">
      <c r="A1185" s="55"/>
    </row>
    <row r="1186" spans="1:1" x14ac:dyDescent="0.25">
      <c r="A1186" s="55"/>
    </row>
    <row r="1187" spans="1:1" x14ac:dyDescent="0.25">
      <c r="A1187" s="55"/>
    </row>
    <row r="1188" spans="1:1" x14ac:dyDescent="0.25">
      <c r="A1188" s="55"/>
    </row>
    <row r="1189" spans="1:1" x14ac:dyDescent="0.25">
      <c r="A1189" s="55"/>
    </row>
    <row r="1190" spans="1:1" x14ac:dyDescent="0.25">
      <c r="A1190" s="55"/>
    </row>
    <row r="1191" spans="1:1" x14ac:dyDescent="0.25">
      <c r="A1191" s="55"/>
    </row>
    <row r="1192" spans="1:1" x14ac:dyDescent="0.25">
      <c r="A1192" s="55"/>
    </row>
    <row r="1193" spans="1:1" x14ac:dyDescent="0.25">
      <c r="A1193" s="55"/>
    </row>
    <row r="1194" spans="1:1" x14ac:dyDescent="0.25">
      <c r="A1194" s="55"/>
    </row>
    <row r="1195" spans="1:1" x14ac:dyDescent="0.25">
      <c r="A1195" s="55"/>
    </row>
    <row r="1196" spans="1:1" x14ac:dyDescent="0.25">
      <c r="A1196" s="55"/>
    </row>
    <row r="1197" spans="1:1" x14ac:dyDescent="0.25">
      <c r="A1197" s="55"/>
    </row>
    <row r="1198" spans="1:1" x14ac:dyDescent="0.25">
      <c r="A1198" s="55"/>
    </row>
    <row r="1199" spans="1:1" x14ac:dyDescent="0.25">
      <c r="A1199" s="55"/>
    </row>
    <row r="1200" spans="1:1" x14ac:dyDescent="0.25">
      <c r="A1200" s="55"/>
    </row>
    <row r="1201" spans="1:1" x14ac:dyDescent="0.25">
      <c r="A1201" s="55"/>
    </row>
    <row r="1202" spans="1:1" x14ac:dyDescent="0.25">
      <c r="A1202" s="55"/>
    </row>
    <row r="1203" spans="1:1" x14ac:dyDescent="0.25">
      <c r="A1203" s="55"/>
    </row>
    <row r="1204" spans="1:1" x14ac:dyDescent="0.25">
      <c r="A1204" s="55"/>
    </row>
    <row r="1205" spans="1:1" x14ac:dyDescent="0.25">
      <c r="A1205" s="55"/>
    </row>
    <row r="1206" spans="1:1" x14ac:dyDescent="0.25">
      <c r="A1206" s="55"/>
    </row>
    <row r="1207" spans="1:1" x14ac:dyDescent="0.25">
      <c r="A1207" s="55"/>
    </row>
    <row r="1208" spans="1:1" x14ac:dyDescent="0.25">
      <c r="A1208" s="55"/>
    </row>
    <row r="1209" spans="1:1" x14ac:dyDescent="0.25">
      <c r="A1209" s="55"/>
    </row>
    <row r="1210" spans="1:1" x14ac:dyDescent="0.25">
      <c r="A1210" s="55"/>
    </row>
    <row r="1211" spans="1:1" x14ac:dyDescent="0.25">
      <c r="A1211" s="55"/>
    </row>
    <row r="1212" spans="1:1" x14ac:dyDescent="0.25">
      <c r="A1212" s="55"/>
    </row>
    <row r="1213" spans="1:1" x14ac:dyDescent="0.25">
      <c r="A1213" s="55"/>
    </row>
    <row r="1214" spans="1:1" x14ac:dyDescent="0.25">
      <c r="A1214" s="55"/>
    </row>
    <row r="1215" spans="1:1" x14ac:dyDescent="0.25">
      <c r="A1215" s="55"/>
    </row>
    <row r="1216" spans="1:1" x14ac:dyDescent="0.25">
      <c r="A1216" s="55"/>
    </row>
    <row r="1217" spans="1:1" x14ac:dyDescent="0.25">
      <c r="A1217" s="55"/>
    </row>
    <row r="1218" spans="1:1" x14ac:dyDescent="0.25">
      <c r="A1218" s="55"/>
    </row>
    <row r="1219" spans="1:1" x14ac:dyDescent="0.25">
      <c r="A1219" s="55"/>
    </row>
    <row r="1220" spans="1:1" x14ac:dyDescent="0.25">
      <c r="A1220" s="55"/>
    </row>
    <row r="1221" spans="1:1" x14ac:dyDescent="0.25">
      <c r="A1221" s="55"/>
    </row>
    <row r="1222" spans="1:1" x14ac:dyDescent="0.25">
      <c r="A1222" s="55"/>
    </row>
    <row r="1223" spans="1:1" x14ac:dyDescent="0.25">
      <c r="A1223" s="55"/>
    </row>
    <row r="1224" spans="1:1" x14ac:dyDescent="0.25">
      <c r="A1224" s="55"/>
    </row>
    <row r="1225" spans="1:1" x14ac:dyDescent="0.25">
      <c r="A1225" s="55"/>
    </row>
    <row r="1226" spans="1:1" x14ac:dyDescent="0.25">
      <c r="A1226" s="55"/>
    </row>
    <row r="1227" spans="1:1" x14ac:dyDescent="0.25">
      <c r="A1227" s="55"/>
    </row>
    <row r="1228" spans="1:1" x14ac:dyDescent="0.25">
      <c r="A1228" s="55"/>
    </row>
    <row r="1229" spans="1:1" x14ac:dyDescent="0.25">
      <c r="A1229" s="55"/>
    </row>
    <row r="1230" spans="1:1" x14ac:dyDescent="0.25">
      <c r="A1230" s="55"/>
    </row>
    <row r="1231" spans="1:1" x14ac:dyDescent="0.25">
      <c r="A1231" s="55"/>
    </row>
    <row r="1232" spans="1:1" x14ac:dyDescent="0.25">
      <c r="A1232" s="55"/>
    </row>
    <row r="1233" spans="1:1" x14ac:dyDescent="0.25">
      <c r="A1233" s="55"/>
    </row>
    <row r="1234" spans="1:1" x14ac:dyDescent="0.25">
      <c r="A1234" s="55"/>
    </row>
    <row r="1235" spans="1:1" x14ac:dyDescent="0.25">
      <c r="A1235" s="55"/>
    </row>
    <row r="1236" spans="1:1" x14ac:dyDescent="0.25">
      <c r="A1236" s="55"/>
    </row>
    <row r="1237" spans="1:1" x14ac:dyDescent="0.25">
      <c r="A1237" s="55"/>
    </row>
    <row r="1238" spans="1:1" x14ac:dyDescent="0.25">
      <c r="A1238" s="55"/>
    </row>
    <row r="1239" spans="1:1" x14ac:dyDescent="0.25">
      <c r="A1239" s="55"/>
    </row>
    <row r="1240" spans="1:1" x14ac:dyDescent="0.25">
      <c r="A1240" s="55"/>
    </row>
    <row r="1241" spans="1:1" x14ac:dyDescent="0.25">
      <c r="A1241" s="55"/>
    </row>
    <row r="1242" spans="1:1" x14ac:dyDescent="0.25">
      <c r="A1242" s="55"/>
    </row>
    <row r="1243" spans="1:1" x14ac:dyDescent="0.25">
      <c r="A1243" s="55"/>
    </row>
    <row r="1244" spans="1:1" x14ac:dyDescent="0.25">
      <c r="A1244" s="55"/>
    </row>
    <row r="1245" spans="1:1" x14ac:dyDescent="0.25">
      <c r="A1245" s="55"/>
    </row>
    <row r="1246" spans="1:1" x14ac:dyDescent="0.25">
      <c r="A1246" s="55"/>
    </row>
    <row r="1247" spans="1:1" x14ac:dyDescent="0.25">
      <c r="A1247" s="55"/>
    </row>
    <row r="1248" spans="1:1" x14ac:dyDescent="0.25">
      <c r="A1248" s="55"/>
    </row>
    <row r="1249" spans="1:1" x14ac:dyDescent="0.25">
      <c r="A1249" s="55"/>
    </row>
    <row r="1250" spans="1:1" x14ac:dyDescent="0.25">
      <c r="A1250" s="55"/>
    </row>
    <row r="1251" spans="1:1" x14ac:dyDescent="0.25">
      <c r="A1251" s="55"/>
    </row>
    <row r="1252" spans="1:1" x14ac:dyDescent="0.25">
      <c r="A1252" s="55"/>
    </row>
    <row r="1253" spans="1:1" x14ac:dyDescent="0.25">
      <c r="A1253" s="55"/>
    </row>
    <row r="1254" spans="1:1" x14ac:dyDescent="0.25">
      <c r="A1254" s="55"/>
    </row>
    <row r="1255" spans="1:1" x14ac:dyDescent="0.25">
      <c r="A1255" s="55"/>
    </row>
    <row r="1256" spans="1:1" x14ac:dyDescent="0.25">
      <c r="A1256" s="55"/>
    </row>
    <row r="1257" spans="1:1" x14ac:dyDescent="0.25">
      <c r="A1257" s="55"/>
    </row>
    <row r="1258" spans="1:1" x14ac:dyDescent="0.25">
      <c r="A1258" s="55"/>
    </row>
    <row r="1259" spans="1:1" x14ac:dyDescent="0.25">
      <c r="A1259" s="55"/>
    </row>
    <row r="1260" spans="1:1" x14ac:dyDescent="0.25">
      <c r="A1260" s="55"/>
    </row>
    <row r="1261" spans="1:1" x14ac:dyDescent="0.25">
      <c r="A1261" s="55"/>
    </row>
    <row r="1262" spans="1:1" x14ac:dyDescent="0.25">
      <c r="A1262" s="55"/>
    </row>
    <row r="1263" spans="1:1" x14ac:dyDescent="0.25">
      <c r="A1263" s="55"/>
    </row>
    <row r="1264" spans="1:1" x14ac:dyDescent="0.25">
      <c r="A1264" s="55"/>
    </row>
    <row r="1265" spans="1:1" x14ac:dyDescent="0.25">
      <c r="A1265" s="55"/>
    </row>
    <row r="1266" spans="1:1" x14ac:dyDescent="0.25">
      <c r="A1266" s="55"/>
    </row>
    <row r="1267" spans="1:1" x14ac:dyDescent="0.25">
      <c r="A1267" s="55"/>
    </row>
    <row r="1268" spans="1:1" x14ac:dyDescent="0.25">
      <c r="A1268" s="55"/>
    </row>
    <row r="1269" spans="1:1" x14ac:dyDescent="0.25">
      <c r="A1269" s="55"/>
    </row>
    <row r="1270" spans="1:1" x14ac:dyDescent="0.25">
      <c r="A1270" s="55"/>
    </row>
    <row r="1271" spans="1:1" x14ac:dyDescent="0.25">
      <c r="A1271" s="55"/>
    </row>
    <row r="1272" spans="1:1" x14ac:dyDescent="0.25">
      <c r="A1272" s="55"/>
    </row>
    <row r="1273" spans="1:1" x14ac:dyDescent="0.25">
      <c r="A1273" s="55"/>
    </row>
    <row r="1274" spans="1:1" x14ac:dyDescent="0.25">
      <c r="A1274" s="55"/>
    </row>
    <row r="1275" spans="1:1" x14ac:dyDescent="0.25">
      <c r="A1275" s="55"/>
    </row>
    <row r="1276" spans="1:1" x14ac:dyDescent="0.25">
      <c r="A1276" s="55"/>
    </row>
    <row r="1277" spans="1:1" x14ac:dyDescent="0.25">
      <c r="A1277" s="55"/>
    </row>
    <row r="1278" spans="1:1" x14ac:dyDescent="0.25">
      <c r="A1278" s="55"/>
    </row>
    <row r="1279" spans="1:1" x14ac:dyDescent="0.25">
      <c r="A1279" s="55"/>
    </row>
    <row r="1280" spans="1:1" x14ac:dyDescent="0.25">
      <c r="A1280" s="55"/>
    </row>
    <row r="1281" spans="1:1" x14ac:dyDescent="0.25">
      <c r="A1281" s="55"/>
    </row>
    <row r="1282" spans="1:1" x14ac:dyDescent="0.25">
      <c r="A1282" s="55"/>
    </row>
    <row r="1283" spans="1:1" x14ac:dyDescent="0.25">
      <c r="A1283" s="55"/>
    </row>
    <row r="1284" spans="1:1" x14ac:dyDescent="0.25">
      <c r="A1284" s="55"/>
    </row>
    <row r="1285" spans="1:1" x14ac:dyDescent="0.25">
      <c r="A1285" s="55"/>
    </row>
    <row r="1286" spans="1:1" x14ac:dyDescent="0.25">
      <c r="A1286" s="55"/>
    </row>
    <row r="1287" spans="1:1" x14ac:dyDescent="0.25">
      <c r="A1287" s="55"/>
    </row>
    <row r="1288" spans="1:1" x14ac:dyDescent="0.25">
      <c r="A1288" s="55"/>
    </row>
    <row r="1289" spans="1:1" x14ac:dyDescent="0.25">
      <c r="A1289" s="55"/>
    </row>
    <row r="1290" spans="1:1" x14ac:dyDescent="0.25">
      <c r="A1290" s="55"/>
    </row>
    <row r="1291" spans="1:1" x14ac:dyDescent="0.25">
      <c r="A1291" s="55"/>
    </row>
    <row r="1292" spans="1:1" x14ac:dyDescent="0.25">
      <c r="A1292" s="55"/>
    </row>
    <row r="1293" spans="1:1" x14ac:dyDescent="0.25">
      <c r="A1293" s="55"/>
    </row>
    <row r="1294" spans="1:1" x14ac:dyDescent="0.25">
      <c r="A1294" s="55"/>
    </row>
    <row r="1295" spans="1:1" x14ac:dyDescent="0.25">
      <c r="A1295" s="55"/>
    </row>
    <row r="1296" spans="1:1" x14ac:dyDescent="0.25">
      <c r="A1296" s="55"/>
    </row>
    <row r="1297" spans="1:1" x14ac:dyDescent="0.25">
      <c r="A1297" s="55"/>
    </row>
    <row r="1298" spans="1:1" x14ac:dyDescent="0.25">
      <c r="A1298" s="55"/>
    </row>
    <row r="1299" spans="1:1" x14ac:dyDescent="0.25">
      <c r="A1299" s="55"/>
    </row>
    <row r="1300" spans="1:1" x14ac:dyDescent="0.25">
      <c r="A1300" s="55"/>
    </row>
    <row r="1301" spans="1:1" x14ac:dyDescent="0.25">
      <c r="A1301" s="55"/>
    </row>
    <row r="1302" spans="1:1" x14ac:dyDescent="0.25">
      <c r="A1302" s="55"/>
    </row>
    <row r="1303" spans="1:1" x14ac:dyDescent="0.25">
      <c r="A1303" s="55"/>
    </row>
    <row r="1304" spans="1:1" x14ac:dyDescent="0.25">
      <c r="A1304" s="55"/>
    </row>
    <row r="1305" spans="1:1" x14ac:dyDescent="0.25">
      <c r="A1305" s="55"/>
    </row>
    <row r="1306" spans="1:1" x14ac:dyDescent="0.25">
      <c r="A1306" s="55"/>
    </row>
    <row r="1307" spans="1:1" x14ac:dyDescent="0.25">
      <c r="A1307" s="55"/>
    </row>
    <row r="1308" spans="1:1" x14ac:dyDescent="0.25">
      <c r="A1308" s="55"/>
    </row>
    <row r="1309" spans="1:1" x14ac:dyDescent="0.25">
      <c r="A1309" s="55"/>
    </row>
    <row r="1310" spans="1:1" x14ac:dyDescent="0.25">
      <c r="A1310" s="55"/>
    </row>
    <row r="1311" spans="1:1" x14ac:dyDescent="0.25">
      <c r="A1311" s="55"/>
    </row>
    <row r="1312" spans="1:1" x14ac:dyDescent="0.25">
      <c r="A1312" s="55"/>
    </row>
    <row r="1313" spans="1:1" x14ac:dyDescent="0.25">
      <c r="A1313" s="55"/>
    </row>
    <row r="1314" spans="1:1" x14ac:dyDescent="0.25">
      <c r="A1314" s="55"/>
    </row>
    <row r="1315" spans="1:1" x14ac:dyDescent="0.25">
      <c r="A1315" s="55"/>
    </row>
    <row r="1316" spans="1:1" x14ac:dyDescent="0.25">
      <c r="A1316" s="55"/>
    </row>
    <row r="1317" spans="1:1" x14ac:dyDescent="0.25">
      <c r="A1317" s="55"/>
    </row>
    <row r="1318" spans="1:1" x14ac:dyDescent="0.25">
      <c r="A1318" s="55"/>
    </row>
    <row r="1319" spans="1:1" x14ac:dyDescent="0.25">
      <c r="A1319" s="55"/>
    </row>
    <row r="1320" spans="1:1" x14ac:dyDescent="0.25">
      <c r="A1320" s="55"/>
    </row>
    <row r="1321" spans="1:1" x14ac:dyDescent="0.25">
      <c r="A1321" s="55"/>
    </row>
    <row r="1322" spans="1:1" x14ac:dyDescent="0.25">
      <c r="A1322" s="55"/>
    </row>
    <row r="1323" spans="1:1" x14ac:dyDescent="0.25">
      <c r="A1323" s="55"/>
    </row>
    <row r="1324" spans="1:1" x14ac:dyDescent="0.25">
      <c r="A1324" s="55"/>
    </row>
    <row r="1325" spans="1:1" x14ac:dyDescent="0.25">
      <c r="A1325" s="55"/>
    </row>
    <row r="1326" spans="1:1" x14ac:dyDescent="0.25">
      <c r="A1326" s="55"/>
    </row>
    <row r="1327" spans="1:1" x14ac:dyDescent="0.25">
      <c r="A1327" s="55"/>
    </row>
    <row r="1328" spans="1:1" x14ac:dyDescent="0.25">
      <c r="A1328" s="55"/>
    </row>
    <row r="1329" spans="1:1" x14ac:dyDescent="0.25">
      <c r="A1329" s="55"/>
    </row>
    <row r="1330" spans="1:1" x14ac:dyDescent="0.25">
      <c r="A1330" s="55"/>
    </row>
    <row r="1331" spans="1:1" x14ac:dyDescent="0.25">
      <c r="A1331" s="55"/>
    </row>
    <row r="1332" spans="1:1" x14ac:dyDescent="0.25">
      <c r="A1332" s="55"/>
    </row>
    <row r="1333" spans="1:1" x14ac:dyDescent="0.25">
      <c r="A1333" s="55"/>
    </row>
    <row r="1334" spans="1:1" x14ac:dyDescent="0.25">
      <c r="A1334" s="55"/>
    </row>
    <row r="1335" spans="1:1" x14ac:dyDescent="0.25">
      <c r="A1335" s="55"/>
    </row>
    <row r="1336" spans="1:1" x14ac:dyDescent="0.25">
      <c r="A1336" s="55"/>
    </row>
    <row r="1337" spans="1:1" x14ac:dyDescent="0.25">
      <c r="A1337" s="55"/>
    </row>
    <row r="1338" spans="1:1" x14ac:dyDescent="0.25">
      <c r="A1338" s="55"/>
    </row>
    <row r="1339" spans="1:1" x14ac:dyDescent="0.25">
      <c r="A1339" s="55"/>
    </row>
    <row r="1340" spans="1:1" x14ac:dyDescent="0.25">
      <c r="A1340" s="55"/>
    </row>
    <row r="1341" spans="1:1" x14ac:dyDescent="0.25">
      <c r="A1341" s="55"/>
    </row>
    <row r="1342" spans="1:1" x14ac:dyDescent="0.25">
      <c r="A1342" s="55"/>
    </row>
    <row r="1343" spans="1:1" x14ac:dyDescent="0.25">
      <c r="A1343" s="55"/>
    </row>
    <row r="1344" spans="1:1" x14ac:dyDescent="0.25">
      <c r="A1344" s="55"/>
    </row>
    <row r="1345" spans="1:1" x14ac:dyDescent="0.25">
      <c r="A1345" s="55"/>
    </row>
    <row r="1346" spans="1:1" x14ac:dyDescent="0.25">
      <c r="A1346" s="55"/>
    </row>
    <row r="1347" spans="1:1" x14ac:dyDescent="0.25">
      <c r="A1347" s="55"/>
    </row>
    <row r="1348" spans="1:1" x14ac:dyDescent="0.25">
      <c r="A1348" s="55"/>
    </row>
    <row r="1349" spans="1:1" x14ac:dyDescent="0.25">
      <c r="A1349" s="55"/>
    </row>
    <row r="1350" spans="1:1" x14ac:dyDescent="0.25">
      <c r="A1350" s="55"/>
    </row>
    <row r="1351" spans="1:1" x14ac:dyDescent="0.25">
      <c r="A1351" s="55"/>
    </row>
    <row r="1352" spans="1:1" x14ac:dyDescent="0.25">
      <c r="A1352" s="55"/>
    </row>
    <row r="1353" spans="1:1" x14ac:dyDescent="0.25">
      <c r="A1353" s="55"/>
    </row>
    <row r="1354" spans="1:1" x14ac:dyDescent="0.25">
      <c r="A1354" s="55"/>
    </row>
    <row r="1355" spans="1:1" x14ac:dyDescent="0.25">
      <c r="A1355" s="55"/>
    </row>
    <row r="1356" spans="1:1" x14ac:dyDescent="0.25">
      <c r="A1356" s="55"/>
    </row>
    <row r="1357" spans="1:1" x14ac:dyDescent="0.25">
      <c r="A1357" s="55"/>
    </row>
    <row r="1358" spans="1:1" x14ac:dyDescent="0.25">
      <c r="A1358" s="55"/>
    </row>
    <row r="1359" spans="1:1" x14ac:dyDescent="0.25">
      <c r="A1359" s="55"/>
    </row>
    <row r="1360" spans="1:1" x14ac:dyDescent="0.25">
      <c r="A1360" s="55"/>
    </row>
    <row r="1361" spans="1:1" x14ac:dyDescent="0.25">
      <c r="A1361" s="55"/>
    </row>
    <row r="1362" spans="1:1" x14ac:dyDescent="0.25">
      <c r="A1362" s="55"/>
    </row>
    <row r="1363" spans="1:1" x14ac:dyDescent="0.25">
      <c r="A1363" s="55"/>
    </row>
    <row r="1364" spans="1:1" x14ac:dyDescent="0.25">
      <c r="A1364" s="55"/>
    </row>
    <row r="1365" spans="1:1" x14ac:dyDescent="0.25">
      <c r="A1365" s="55"/>
    </row>
    <row r="1366" spans="1:1" x14ac:dyDescent="0.25">
      <c r="A1366" s="55"/>
    </row>
    <row r="1367" spans="1:1" x14ac:dyDescent="0.25">
      <c r="A1367" s="55"/>
    </row>
    <row r="1368" spans="1:1" x14ac:dyDescent="0.25">
      <c r="A1368" s="55"/>
    </row>
    <row r="1369" spans="1:1" x14ac:dyDescent="0.25">
      <c r="A1369" s="55"/>
    </row>
    <row r="1370" spans="1:1" x14ac:dyDescent="0.25">
      <c r="A1370" s="55"/>
    </row>
    <row r="1371" spans="1:1" x14ac:dyDescent="0.25">
      <c r="A1371" s="55"/>
    </row>
    <row r="1372" spans="1:1" x14ac:dyDescent="0.25">
      <c r="A1372" s="55"/>
    </row>
    <row r="1373" spans="1:1" x14ac:dyDescent="0.25">
      <c r="A1373" s="55"/>
    </row>
    <row r="1374" spans="1:1" x14ac:dyDescent="0.25">
      <c r="A1374" s="55"/>
    </row>
    <row r="1375" spans="1:1" x14ac:dyDescent="0.25">
      <c r="A1375" s="55"/>
    </row>
    <row r="1376" spans="1:1" x14ac:dyDescent="0.25">
      <c r="A1376" s="55"/>
    </row>
    <row r="1377" spans="1:1" x14ac:dyDescent="0.25">
      <c r="A1377" s="55"/>
    </row>
    <row r="1378" spans="1:1" x14ac:dyDescent="0.25">
      <c r="A1378" s="55"/>
    </row>
    <row r="1379" spans="1:1" x14ac:dyDescent="0.25">
      <c r="A1379" s="55"/>
    </row>
    <row r="1380" spans="1:1" x14ac:dyDescent="0.25">
      <c r="A1380" s="55"/>
    </row>
    <row r="1381" spans="1:1" x14ac:dyDescent="0.25">
      <c r="A1381" s="55"/>
    </row>
    <row r="1382" spans="1:1" x14ac:dyDescent="0.25">
      <c r="A1382" s="55"/>
    </row>
    <row r="1383" spans="1:1" x14ac:dyDescent="0.25">
      <c r="A1383" s="55"/>
    </row>
    <row r="1384" spans="1:1" x14ac:dyDescent="0.25">
      <c r="A1384" s="55"/>
    </row>
    <row r="1385" spans="1:1" x14ac:dyDescent="0.25">
      <c r="A1385" s="55"/>
    </row>
    <row r="1386" spans="1:1" x14ac:dyDescent="0.25">
      <c r="A1386" s="55"/>
    </row>
    <row r="1387" spans="1:1" x14ac:dyDescent="0.25">
      <c r="A1387" s="55"/>
    </row>
    <row r="1388" spans="1:1" x14ac:dyDescent="0.25">
      <c r="A1388" s="55"/>
    </row>
    <row r="1389" spans="1:1" x14ac:dyDescent="0.25">
      <c r="A1389" s="55"/>
    </row>
    <row r="1390" spans="1:1" x14ac:dyDescent="0.25">
      <c r="A1390" s="55"/>
    </row>
    <row r="1391" spans="1:1" x14ac:dyDescent="0.25">
      <c r="A1391" s="55"/>
    </row>
    <row r="1392" spans="1:1" x14ac:dyDescent="0.25">
      <c r="A1392" s="55"/>
    </row>
    <row r="1393" spans="1:1" x14ac:dyDescent="0.25">
      <c r="A1393" s="55"/>
    </row>
    <row r="1394" spans="1:1" x14ac:dyDescent="0.25">
      <c r="A1394" s="55"/>
    </row>
    <row r="1395" spans="1:1" x14ac:dyDescent="0.25">
      <c r="A1395" s="55"/>
    </row>
    <row r="1396" spans="1:1" x14ac:dyDescent="0.25">
      <c r="A1396" s="55"/>
    </row>
    <row r="1397" spans="1:1" x14ac:dyDescent="0.25">
      <c r="A1397" s="55"/>
    </row>
    <row r="1398" spans="1:1" x14ac:dyDescent="0.25">
      <c r="A1398" s="55"/>
    </row>
    <row r="1399" spans="1:1" x14ac:dyDescent="0.25">
      <c r="A1399" s="55"/>
    </row>
    <row r="1400" spans="1:1" x14ac:dyDescent="0.25">
      <c r="A1400" s="55"/>
    </row>
    <row r="1401" spans="1:1" x14ac:dyDescent="0.25">
      <c r="A1401" s="55"/>
    </row>
    <row r="1402" spans="1:1" x14ac:dyDescent="0.25">
      <c r="A1402" s="55"/>
    </row>
    <row r="1403" spans="1:1" x14ac:dyDescent="0.25">
      <c r="A1403" s="55"/>
    </row>
    <row r="1404" spans="1:1" x14ac:dyDescent="0.25">
      <c r="A1404" s="55"/>
    </row>
    <row r="1405" spans="1:1" x14ac:dyDescent="0.25">
      <c r="A1405" s="55"/>
    </row>
    <row r="1406" spans="1:1" x14ac:dyDescent="0.25">
      <c r="A1406" s="55"/>
    </row>
    <row r="1407" spans="1:1" x14ac:dyDescent="0.25">
      <c r="A1407" s="55"/>
    </row>
    <row r="1408" spans="1:1" x14ac:dyDescent="0.25">
      <c r="A1408" s="55"/>
    </row>
    <row r="1409" spans="1:1" x14ac:dyDescent="0.25">
      <c r="A1409" s="55"/>
    </row>
    <row r="1410" spans="1:1" x14ac:dyDescent="0.25">
      <c r="A1410" s="55"/>
    </row>
    <row r="1411" spans="1:1" x14ac:dyDescent="0.25">
      <c r="A1411" s="55"/>
    </row>
    <row r="1412" spans="1:1" x14ac:dyDescent="0.25">
      <c r="A1412" s="55"/>
    </row>
    <row r="1413" spans="1:1" x14ac:dyDescent="0.25">
      <c r="A1413" s="55"/>
    </row>
    <row r="1414" spans="1:1" x14ac:dyDescent="0.25">
      <c r="A1414" s="55"/>
    </row>
    <row r="1415" spans="1:1" x14ac:dyDescent="0.25">
      <c r="A1415" s="55"/>
    </row>
    <row r="1416" spans="1:1" x14ac:dyDescent="0.25">
      <c r="A1416" s="55"/>
    </row>
    <row r="1417" spans="1:1" x14ac:dyDescent="0.25">
      <c r="A1417" s="55"/>
    </row>
    <row r="1418" spans="1:1" x14ac:dyDescent="0.25">
      <c r="A1418" s="55"/>
    </row>
    <row r="1419" spans="1:1" x14ac:dyDescent="0.25">
      <c r="A1419" s="55"/>
    </row>
    <row r="1420" spans="1:1" x14ac:dyDescent="0.25">
      <c r="A1420" s="55"/>
    </row>
    <row r="1421" spans="1:1" x14ac:dyDescent="0.25">
      <c r="A1421" s="55"/>
    </row>
    <row r="1422" spans="1:1" x14ac:dyDescent="0.25">
      <c r="A1422" s="55"/>
    </row>
    <row r="1423" spans="1:1" x14ac:dyDescent="0.25">
      <c r="A1423" s="55"/>
    </row>
    <row r="1424" spans="1:1" x14ac:dyDescent="0.25">
      <c r="A1424" s="55"/>
    </row>
    <row r="1425" spans="1:1" x14ac:dyDescent="0.25">
      <c r="A1425" s="55"/>
    </row>
    <row r="1426" spans="1:1" x14ac:dyDescent="0.25">
      <c r="A1426" s="55"/>
    </row>
    <row r="1427" spans="1:1" x14ac:dyDescent="0.25">
      <c r="A1427" s="55"/>
    </row>
    <row r="1428" spans="1:1" x14ac:dyDescent="0.25">
      <c r="A1428" s="55"/>
    </row>
    <row r="1429" spans="1:1" x14ac:dyDescent="0.25">
      <c r="A1429" s="55"/>
    </row>
    <row r="1430" spans="1:1" x14ac:dyDescent="0.25">
      <c r="A1430" s="55"/>
    </row>
    <row r="1431" spans="1:1" x14ac:dyDescent="0.25">
      <c r="A1431" s="55"/>
    </row>
    <row r="1432" spans="1:1" x14ac:dyDescent="0.25">
      <c r="A1432" s="55"/>
    </row>
    <row r="1433" spans="1:1" x14ac:dyDescent="0.25">
      <c r="A1433" s="55"/>
    </row>
    <row r="1434" spans="1:1" x14ac:dyDescent="0.25">
      <c r="A1434" s="55"/>
    </row>
    <row r="1435" spans="1:1" x14ac:dyDescent="0.25">
      <c r="A1435" s="55"/>
    </row>
    <row r="1436" spans="1:1" x14ac:dyDescent="0.25">
      <c r="A1436" s="55"/>
    </row>
    <row r="1437" spans="1:1" x14ac:dyDescent="0.25">
      <c r="A1437" s="55"/>
    </row>
    <row r="1438" spans="1:1" x14ac:dyDescent="0.25">
      <c r="A1438" s="55"/>
    </row>
    <row r="1439" spans="1:1" x14ac:dyDescent="0.25">
      <c r="A1439" s="55"/>
    </row>
    <row r="1440" spans="1:1" x14ac:dyDescent="0.25">
      <c r="A1440" s="55"/>
    </row>
    <row r="1441" spans="1:1" x14ac:dyDescent="0.25">
      <c r="A1441" s="55"/>
    </row>
    <row r="1442" spans="1:1" x14ac:dyDescent="0.25">
      <c r="A1442" s="55"/>
    </row>
    <row r="1443" spans="1:1" x14ac:dyDescent="0.25">
      <c r="A1443" s="55"/>
    </row>
    <row r="1444" spans="1:1" x14ac:dyDescent="0.25">
      <c r="A1444" s="55"/>
    </row>
    <row r="1445" spans="1:1" x14ac:dyDescent="0.25">
      <c r="A1445" s="55"/>
    </row>
    <row r="1446" spans="1:1" x14ac:dyDescent="0.25">
      <c r="A1446" s="55"/>
    </row>
    <row r="1447" spans="1:1" x14ac:dyDescent="0.25">
      <c r="A1447" s="55"/>
    </row>
    <row r="1448" spans="1:1" x14ac:dyDescent="0.25">
      <c r="A1448" s="55"/>
    </row>
    <row r="1449" spans="1:1" x14ac:dyDescent="0.25">
      <c r="A1449" s="55"/>
    </row>
    <row r="1450" spans="1:1" x14ac:dyDescent="0.25">
      <c r="A1450" s="55"/>
    </row>
    <row r="1451" spans="1:1" x14ac:dyDescent="0.25">
      <c r="A1451" s="55"/>
    </row>
    <row r="1452" spans="1:1" x14ac:dyDescent="0.25">
      <c r="A1452" s="55"/>
    </row>
    <row r="1453" spans="1:1" x14ac:dyDescent="0.25">
      <c r="A1453" s="55"/>
    </row>
    <row r="1454" spans="1:1" x14ac:dyDescent="0.25">
      <c r="A1454" s="55"/>
    </row>
    <row r="1455" spans="1:1" x14ac:dyDescent="0.25">
      <c r="A1455" s="55"/>
    </row>
    <row r="1456" spans="1:1" x14ac:dyDescent="0.25">
      <c r="A1456" s="55"/>
    </row>
    <row r="1457" spans="1:1" x14ac:dyDescent="0.25">
      <c r="A1457" s="55"/>
    </row>
    <row r="1458" spans="1:1" x14ac:dyDescent="0.25">
      <c r="A1458" s="55"/>
    </row>
    <row r="1459" spans="1:1" x14ac:dyDescent="0.25">
      <c r="A1459" s="55"/>
    </row>
    <row r="1460" spans="1:1" x14ac:dyDescent="0.25">
      <c r="A1460" s="55"/>
    </row>
    <row r="1461" spans="1:1" x14ac:dyDescent="0.25">
      <c r="A1461" s="55"/>
    </row>
    <row r="1462" spans="1:1" x14ac:dyDescent="0.25">
      <c r="A1462" s="55"/>
    </row>
    <row r="1463" spans="1:1" x14ac:dyDescent="0.25">
      <c r="A1463" s="55"/>
    </row>
    <row r="1464" spans="1:1" x14ac:dyDescent="0.25">
      <c r="A1464" s="55"/>
    </row>
    <row r="1465" spans="1:1" x14ac:dyDescent="0.25">
      <c r="A1465" s="55"/>
    </row>
    <row r="1466" spans="1:1" x14ac:dyDescent="0.25">
      <c r="A1466" s="55"/>
    </row>
    <row r="1467" spans="1:1" x14ac:dyDescent="0.25">
      <c r="A1467" s="55"/>
    </row>
    <row r="1468" spans="1:1" x14ac:dyDescent="0.25">
      <c r="A1468" s="55"/>
    </row>
    <row r="1469" spans="1:1" x14ac:dyDescent="0.25">
      <c r="A1469" s="55"/>
    </row>
    <row r="1470" spans="1:1" x14ac:dyDescent="0.25">
      <c r="A1470" s="55"/>
    </row>
    <row r="1471" spans="1:1" x14ac:dyDescent="0.25">
      <c r="A1471" s="55"/>
    </row>
    <row r="1472" spans="1:1" x14ac:dyDescent="0.25">
      <c r="A1472" s="55"/>
    </row>
    <row r="1473" spans="1:1" x14ac:dyDescent="0.25">
      <c r="A1473" s="55"/>
    </row>
    <row r="1474" spans="1:1" x14ac:dyDescent="0.25">
      <c r="A1474" s="55"/>
    </row>
    <row r="1475" spans="1:1" x14ac:dyDescent="0.25">
      <c r="A1475" s="55"/>
    </row>
    <row r="1476" spans="1:1" x14ac:dyDescent="0.25">
      <c r="A1476" s="55"/>
    </row>
    <row r="1477" spans="1:1" x14ac:dyDescent="0.25">
      <c r="A1477" s="55"/>
    </row>
    <row r="1478" spans="1:1" x14ac:dyDescent="0.25">
      <c r="A1478" s="55"/>
    </row>
    <row r="1479" spans="1:1" x14ac:dyDescent="0.25">
      <c r="A1479" s="55"/>
    </row>
    <row r="1480" spans="1:1" x14ac:dyDescent="0.25">
      <c r="A1480" s="55"/>
    </row>
    <row r="1481" spans="1:1" x14ac:dyDescent="0.25">
      <c r="A1481" s="55"/>
    </row>
    <row r="1482" spans="1:1" x14ac:dyDescent="0.25">
      <c r="A1482" s="55"/>
    </row>
    <row r="1483" spans="1:1" x14ac:dyDescent="0.25">
      <c r="A1483" s="55"/>
    </row>
    <row r="1484" spans="1:1" x14ac:dyDescent="0.25">
      <c r="A1484" s="55"/>
    </row>
    <row r="1485" spans="1:1" x14ac:dyDescent="0.25">
      <c r="A1485" s="55"/>
    </row>
    <row r="1486" spans="1:1" x14ac:dyDescent="0.25">
      <c r="A1486" s="55"/>
    </row>
    <row r="1487" spans="1:1" x14ac:dyDescent="0.25">
      <c r="A1487" s="55"/>
    </row>
    <row r="1488" spans="1:1" x14ac:dyDescent="0.25">
      <c r="A1488" s="55"/>
    </row>
    <row r="1489" spans="1:1" x14ac:dyDescent="0.25">
      <c r="A1489" s="55"/>
    </row>
    <row r="1490" spans="1:1" x14ac:dyDescent="0.25">
      <c r="A1490" s="55"/>
    </row>
    <row r="1491" spans="1:1" x14ac:dyDescent="0.25">
      <c r="A1491" s="55"/>
    </row>
    <row r="1492" spans="1:1" x14ac:dyDescent="0.25">
      <c r="A1492" s="55"/>
    </row>
    <row r="1493" spans="1:1" x14ac:dyDescent="0.25">
      <c r="A1493" s="55"/>
    </row>
    <row r="1494" spans="1:1" x14ac:dyDescent="0.25">
      <c r="A1494" s="55"/>
    </row>
    <row r="1495" spans="1:1" x14ac:dyDescent="0.25">
      <c r="A1495" s="55"/>
    </row>
    <row r="1496" spans="1:1" x14ac:dyDescent="0.25">
      <c r="A1496" s="55"/>
    </row>
    <row r="1497" spans="1:1" x14ac:dyDescent="0.25">
      <c r="A1497" s="55"/>
    </row>
    <row r="1498" spans="1:1" x14ac:dyDescent="0.25">
      <c r="A1498" s="55"/>
    </row>
    <row r="1499" spans="1:1" x14ac:dyDescent="0.25">
      <c r="A1499" s="55"/>
    </row>
    <row r="1500" spans="1:1" x14ac:dyDescent="0.25">
      <c r="A1500" s="55"/>
    </row>
    <row r="1501" spans="1:1" x14ac:dyDescent="0.25">
      <c r="A1501" s="55"/>
    </row>
    <row r="1502" spans="1:1" x14ac:dyDescent="0.25">
      <c r="A1502" s="55"/>
    </row>
    <row r="1503" spans="1:1" x14ac:dyDescent="0.25">
      <c r="A1503" s="55"/>
    </row>
    <row r="1504" spans="1:1" x14ac:dyDescent="0.25">
      <c r="A1504" s="55"/>
    </row>
    <row r="1505" spans="1:1" x14ac:dyDescent="0.25">
      <c r="A1505" s="55"/>
    </row>
    <row r="1506" spans="1:1" x14ac:dyDescent="0.25">
      <c r="A1506" s="55"/>
    </row>
    <row r="1507" spans="1:1" x14ac:dyDescent="0.25">
      <c r="A1507" s="55"/>
    </row>
    <row r="1508" spans="1:1" x14ac:dyDescent="0.25">
      <c r="A1508" s="55"/>
    </row>
    <row r="1509" spans="1:1" x14ac:dyDescent="0.25">
      <c r="A1509" s="55"/>
    </row>
    <row r="1510" spans="1:1" x14ac:dyDescent="0.25">
      <c r="A1510" s="55"/>
    </row>
    <row r="1511" spans="1:1" x14ac:dyDescent="0.25">
      <c r="A1511" s="55"/>
    </row>
    <row r="1512" spans="1:1" x14ac:dyDescent="0.25">
      <c r="A1512" s="55"/>
    </row>
    <row r="1513" spans="1:1" x14ac:dyDescent="0.25">
      <c r="A1513" s="55"/>
    </row>
    <row r="1514" spans="1:1" x14ac:dyDescent="0.25">
      <c r="A1514" s="55"/>
    </row>
    <row r="1515" spans="1:1" x14ac:dyDescent="0.25">
      <c r="A1515" s="55"/>
    </row>
    <row r="1516" spans="1:1" x14ac:dyDescent="0.25">
      <c r="A1516" s="55"/>
    </row>
    <row r="1517" spans="1:1" x14ac:dyDescent="0.25">
      <c r="A1517" s="55"/>
    </row>
    <row r="1518" spans="1:1" x14ac:dyDescent="0.25">
      <c r="A1518" s="55"/>
    </row>
    <row r="1519" spans="1:1" x14ac:dyDescent="0.25">
      <c r="A1519" s="55"/>
    </row>
    <row r="1520" spans="1:1" x14ac:dyDescent="0.25">
      <c r="A1520" s="55"/>
    </row>
    <row r="1521" spans="1:1" x14ac:dyDescent="0.25">
      <c r="A1521" s="55"/>
    </row>
    <row r="1522" spans="1:1" x14ac:dyDescent="0.25">
      <c r="A1522" s="55"/>
    </row>
    <row r="1523" spans="1:1" x14ac:dyDescent="0.25">
      <c r="A1523" s="55"/>
    </row>
    <row r="1524" spans="1:1" x14ac:dyDescent="0.25">
      <c r="A1524" s="55"/>
    </row>
    <row r="1525" spans="1:1" x14ac:dyDescent="0.25">
      <c r="A1525" s="55"/>
    </row>
    <row r="1526" spans="1:1" x14ac:dyDescent="0.25">
      <c r="A1526" s="55"/>
    </row>
    <row r="1527" spans="1:1" x14ac:dyDescent="0.25">
      <c r="A1527" s="55"/>
    </row>
    <row r="1528" spans="1:1" x14ac:dyDescent="0.25">
      <c r="A1528" s="55"/>
    </row>
    <row r="1529" spans="1:1" x14ac:dyDescent="0.25">
      <c r="A1529" s="55"/>
    </row>
    <row r="1530" spans="1:1" x14ac:dyDescent="0.25">
      <c r="A1530" s="55"/>
    </row>
    <row r="1531" spans="1:1" x14ac:dyDescent="0.25">
      <c r="A1531" s="55"/>
    </row>
    <row r="1532" spans="1:1" x14ac:dyDescent="0.25">
      <c r="A1532" s="55"/>
    </row>
    <row r="1533" spans="1:1" x14ac:dyDescent="0.25">
      <c r="A1533" s="55"/>
    </row>
    <row r="1534" spans="1:1" x14ac:dyDescent="0.25">
      <c r="A1534" s="55"/>
    </row>
    <row r="1535" spans="1:1" x14ac:dyDescent="0.25">
      <c r="A1535" s="55"/>
    </row>
    <row r="1536" spans="1:1" x14ac:dyDescent="0.25">
      <c r="A1536" s="55"/>
    </row>
    <row r="1537" spans="1:1" x14ac:dyDescent="0.25">
      <c r="A1537" s="55"/>
    </row>
    <row r="1538" spans="1:1" x14ac:dyDescent="0.25">
      <c r="A1538" s="55"/>
    </row>
    <row r="1539" spans="1:1" x14ac:dyDescent="0.25">
      <c r="A1539" s="55"/>
    </row>
    <row r="1540" spans="1:1" x14ac:dyDescent="0.25">
      <c r="A1540" s="55"/>
    </row>
    <row r="1541" spans="1:1" x14ac:dyDescent="0.25">
      <c r="A1541" s="55"/>
    </row>
    <row r="1542" spans="1:1" x14ac:dyDescent="0.25">
      <c r="A1542" s="55"/>
    </row>
    <row r="1543" spans="1:1" x14ac:dyDescent="0.25">
      <c r="A1543" s="55"/>
    </row>
    <row r="1544" spans="1:1" x14ac:dyDescent="0.25">
      <c r="A1544" s="55"/>
    </row>
    <row r="1545" spans="1:1" x14ac:dyDescent="0.25">
      <c r="A1545" s="55"/>
    </row>
    <row r="1546" spans="1:1" x14ac:dyDescent="0.25">
      <c r="A1546" s="55"/>
    </row>
    <row r="1547" spans="1:1" x14ac:dyDescent="0.25">
      <c r="A1547" s="55"/>
    </row>
    <row r="1548" spans="1:1" x14ac:dyDescent="0.25">
      <c r="A1548" s="55"/>
    </row>
    <row r="1549" spans="1:1" x14ac:dyDescent="0.25">
      <c r="A1549" s="55"/>
    </row>
    <row r="1550" spans="1:1" x14ac:dyDescent="0.25">
      <c r="A1550" s="55"/>
    </row>
    <row r="1551" spans="1:1" x14ac:dyDescent="0.25">
      <c r="A1551" s="55"/>
    </row>
    <row r="1552" spans="1:1" x14ac:dyDescent="0.25">
      <c r="A1552" s="55"/>
    </row>
    <row r="1553" spans="1:1" x14ac:dyDescent="0.25">
      <c r="A1553" s="55"/>
    </row>
    <row r="1554" spans="1:1" x14ac:dyDescent="0.25">
      <c r="A1554" s="55"/>
    </row>
    <row r="1555" spans="1:1" x14ac:dyDescent="0.25">
      <c r="A1555" s="55"/>
    </row>
    <row r="1556" spans="1:1" x14ac:dyDescent="0.25">
      <c r="A1556" s="55"/>
    </row>
    <row r="1557" spans="1:1" x14ac:dyDescent="0.25">
      <c r="A1557" s="55"/>
    </row>
    <row r="1558" spans="1:1" x14ac:dyDescent="0.25">
      <c r="A1558" s="55"/>
    </row>
    <row r="1559" spans="1:1" x14ac:dyDescent="0.25">
      <c r="A1559" s="55"/>
    </row>
    <row r="1560" spans="1:1" x14ac:dyDescent="0.25">
      <c r="A1560" s="55"/>
    </row>
    <row r="1561" spans="1:1" x14ac:dyDescent="0.25">
      <c r="A1561" s="55"/>
    </row>
    <row r="1562" spans="1:1" x14ac:dyDescent="0.25">
      <c r="A1562" s="55"/>
    </row>
    <row r="1563" spans="1:1" x14ac:dyDescent="0.25">
      <c r="A1563" s="55"/>
    </row>
    <row r="1564" spans="1:1" x14ac:dyDescent="0.25">
      <c r="A1564" s="55"/>
    </row>
    <row r="1565" spans="1:1" x14ac:dyDescent="0.25">
      <c r="A1565" s="55"/>
    </row>
    <row r="1566" spans="1:1" x14ac:dyDescent="0.25">
      <c r="A1566" s="55"/>
    </row>
    <row r="1567" spans="1:1" x14ac:dyDescent="0.25">
      <c r="A1567" s="55"/>
    </row>
    <row r="1568" spans="1:1" x14ac:dyDescent="0.25">
      <c r="A1568" s="55"/>
    </row>
    <row r="1569" spans="1:1" x14ac:dyDescent="0.25">
      <c r="A1569" s="55"/>
    </row>
    <row r="1570" spans="1:1" x14ac:dyDescent="0.25">
      <c r="A1570" s="55"/>
    </row>
    <row r="1571" spans="1:1" x14ac:dyDescent="0.25">
      <c r="A1571" s="55"/>
    </row>
    <row r="1572" spans="1:1" x14ac:dyDescent="0.25">
      <c r="A1572" s="55"/>
    </row>
    <row r="1573" spans="1:1" x14ac:dyDescent="0.25">
      <c r="A1573" s="55"/>
    </row>
    <row r="1574" spans="1:1" x14ac:dyDescent="0.25">
      <c r="A1574" s="55"/>
    </row>
    <row r="1575" spans="1:1" x14ac:dyDescent="0.25">
      <c r="A1575" s="55"/>
    </row>
    <row r="1576" spans="1:1" x14ac:dyDescent="0.25">
      <c r="A1576" s="55"/>
    </row>
    <row r="1577" spans="1:1" x14ac:dyDescent="0.25">
      <c r="A1577" s="55"/>
    </row>
    <row r="1578" spans="1:1" x14ac:dyDescent="0.25">
      <c r="A1578" s="55"/>
    </row>
    <row r="1579" spans="1:1" x14ac:dyDescent="0.25">
      <c r="A1579" s="55"/>
    </row>
    <row r="1580" spans="1:1" x14ac:dyDescent="0.25">
      <c r="A1580" s="55"/>
    </row>
    <row r="1581" spans="1:1" x14ac:dyDescent="0.25">
      <c r="A1581" s="55"/>
    </row>
    <row r="1582" spans="1:1" x14ac:dyDescent="0.25">
      <c r="A1582" s="55"/>
    </row>
    <row r="1583" spans="1:1" x14ac:dyDescent="0.25">
      <c r="A1583" s="55"/>
    </row>
    <row r="1584" spans="1:1" x14ac:dyDescent="0.25">
      <c r="A1584" s="55"/>
    </row>
    <row r="1585" spans="1:1" x14ac:dyDescent="0.25">
      <c r="A1585" s="55"/>
    </row>
    <row r="1586" spans="1:1" x14ac:dyDescent="0.25">
      <c r="A1586" s="55"/>
    </row>
    <row r="1587" spans="1:1" x14ac:dyDescent="0.25">
      <c r="A1587" s="55"/>
    </row>
    <row r="1588" spans="1:1" x14ac:dyDescent="0.25">
      <c r="A1588" s="55"/>
    </row>
    <row r="1589" spans="1:1" x14ac:dyDescent="0.25">
      <c r="A1589" s="55"/>
    </row>
    <row r="1590" spans="1:1" x14ac:dyDescent="0.25">
      <c r="A1590" s="55"/>
    </row>
    <row r="1591" spans="1:1" x14ac:dyDescent="0.25">
      <c r="A1591" s="55"/>
    </row>
    <row r="1592" spans="1:1" x14ac:dyDescent="0.25">
      <c r="A1592" s="55"/>
    </row>
    <row r="1593" spans="1:1" x14ac:dyDescent="0.25">
      <c r="A1593" s="55"/>
    </row>
    <row r="1594" spans="1:1" x14ac:dyDescent="0.25">
      <c r="A1594" s="55"/>
    </row>
    <row r="1595" spans="1:1" x14ac:dyDescent="0.25">
      <c r="A1595" s="55"/>
    </row>
    <row r="1596" spans="1:1" x14ac:dyDescent="0.25">
      <c r="A1596" s="55"/>
    </row>
    <row r="1597" spans="1:1" x14ac:dyDescent="0.25">
      <c r="A1597" s="55"/>
    </row>
    <row r="1598" spans="1:1" x14ac:dyDescent="0.25">
      <c r="A1598" s="55"/>
    </row>
    <row r="1599" spans="1:1" x14ac:dyDescent="0.25">
      <c r="A1599" s="55"/>
    </row>
    <row r="1600" spans="1:1" x14ac:dyDescent="0.25">
      <c r="A1600" s="55"/>
    </row>
    <row r="1601" spans="1:1" x14ac:dyDescent="0.25">
      <c r="A1601" s="55"/>
    </row>
    <row r="1602" spans="1:1" x14ac:dyDescent="0.25">
      <c r="A1602" s="55"/>
    </row>
    <row r="1603" spans="1:1" x14ac:dyDescent="0.25">
      <c r="A1603" s="55"/>
    </row>
    <row r="1604" spans="1:1" x14ac:dyDescent="0.25">
      <c r="A1604" s="55"/>
    </row>
    <row r="1605" spans="1:1" x14ac:dyDescent="0.25">
      <c r="A1605" s="55"/>
    </row>
    <row r="1606" spans="1:1" x14ac:dyDescent="0.25">
      <c r="A1606" s="55"/>
    </row>
    <row r="1607" spans="1:1" x14ac:dyDescent="0.25">
      <c r="A1607" s="55"/>
    </row>
    <row r="1608" spans="1:1" x14ac:dyDescent="0.25">
      <c r="A1608" s="55"/>
    </row>
    <row r="1609" spans="1:1" x14ac:dyDescent="0.25">
      <c r="A1609" s="55"/>
    </row>
    <row r="1610" spans="1:1" x14ac:dyDescent="0.25">
      <c r="A1610" s="55"/>
    </row>
    <row r="1611" spans="1:1" x14ac:dyDescent="0.25">
      <c r="A1611" s="55"/>
    </row>
    <row r="1612" spans="1:1" x14ac:dyDescent="0.25">
      <c r="A1612" s="55"/>
    </row>
    <row r="1613" spans="1:1" x14ac:dyDescent="0.25">
      <c r="A1613" s="55"/>
    </row>
    <row r="1614" spans="1:1" x14ac:dyDescent="0.25">
      <c r="A1614" s="55"/>
    </row>
    <row r="1615" spans="1:1" x14ac:dyDescent="0.25">
      <c r="A1615" s="55"/>
    </row>
    <row r="1616" spans="1:1" x14ac:dyDescent="0.25">
      <c r="A1616" s="55"/>
    </row>
    <row r="1617" spans="1:1" x14ac:dyDescent="0.25">
      <c r="A1617" s="55"/>
    </row>
    <row r="1618" spans="1:1" x14ac:dyDescent="0.25">
      <c r="A1618" s="55"/>
    </row>
    <row r="1619" spans="1:1" x14ac:dyDescent="0.25">
      <c r="A1619" s="55"/>
    </row>
    <row r="1620" spans="1:1" x14ac:dyDescent="0.25">
      <c r="A1620" s="55"/>
    </row>
    <row r="1621" spans="1:1" x14ac:dyDescent="0.25">
      <c r="A1621" s="55"/>
    </row>
    <row r="1622" spans="1:1" x14ac:dyDescent="0.25">
      <c r="A1622" s="55"/>
    </row>
    <row r="1623" spans="1:1" x14ac:dyDescent="0.25">
      <c r="A1623" s="55"/>
    </row>
    <row r="1624" spans="1:1" x14ac:dyDescent="0.25">
      <c r="A1624" s="55"/>
    </row>
    <row r="1625" spans="1:1" x14ac:dyDescent="0.25">
      <c r="A1625" s="55"/>
    </row>
    <row r="1626" spans="1:1" x14ac:dyDescent="0.25">
      <c r="A1626" s="55"/>
    </row>
    <row r="1627" spans="1:1" x14ac:dyDescent="0.25">
      <c r="A1627" s="55"/>
    </row>
    <row r="1628" spans="1:1" x14ac:dyDescent="0.25">
      <c r="A1628" s="55"/>
    </row>
    <row r="1629" spans="1:1" x14ac:dyDescent="0.25">
      <c r="A1629" s="55"/>
    </row>
    <row r="1630" spans="1:1" x14ac:dyDescent="0.25">
      <c r="A1630" s="55"/>
    </row>
    <row r="1631" spans="1:1" x14ac:dyDescent="0.25">
      <c r="A1631" s="55"/>
    </row>
    <row r="1632" spans="1:1" x14ac:dyDescent="0.25">
      <c r="A1632" s="55"/>
    </row>
    <row r="1633" spans="1:1" x14ac:dyDescent="0.25">
      <c r="A1633" s="55"/>
    </row>
    <row r="1634" spans="1:1" x14ac:dyDescent="0.25">
      <c r="A1634" s="55"/>
    </row>
    <row r="1635" spans="1:1" x14ac:dyDescent="0.25">
      <c r="A1635" s="55"/>
    </row>
    <row r="1636" spans="1:1" x14ac:dyDescent="0.25">
      <c r="A1636" s="55"/>
    </row>
    <row r="1637" spans="1:1" x14ac:dyDescent="0.25">
      <c r="A1637" s="55"/>
    </row>
    <row r="1638" spans="1:1" x14ac:dyDescent="0.25">
      <c r="A1638" s="55"/>
    </row>
    <row r="1639" spans="1:1" x14ac:dyDescent="0.25">
      <c r="A1639" s="55"/>
    </row>
    <row r="1640" spans="1:1" x14ac:dyDescent="0.25">
      <c r="A1640" s="55"/>
    </row>
    <row r="1641" spans="1:1" x14ac:dyDescent="0.25">
      <c r="A1641" s="55"/>
    </row>
    <row r="1642" spans="1:1" x14ac:dyDescent="0.25">
      <c r="A1642" s="55"/>
    </row>
    <row r="1643" spans="1:1" x14ac:dyDescent="0.25">
      <c r="A1643" s="55"/>
    </row>
    <row r="1644" spans="1:1" x14ac:dyDescent="0.25">
      <c r="A1644" s="55"/>
    </row>
    <row r="1645" spans="1:1" x14ac:dyDescent="0.25">
      <c r="A1645" s="55"/>
    </row>
    <row r="1646" spans="1:1" x14ac:dyDescent="0.25">
      <c r="A1646" s="55"/>
    </row>
    <row r="1647" spans="1:1" x14ac:dyDescent="0.25">
      <c r="A1647" s="55"/>
    </row>
    <row r="1648" spans="1:1" x14ac:dyDescent="0.25">
      <c r="A1648" s="55"/>
    </row>
    <row r="1649" spans="1:1" x14ac:dyDescent="0.25">
      <c r="A1649" s="55"/>
    </row>
    <row r="1650" spans="1:1" x14ac:dyDescent="0.25">
      <c r="A1650" s="55"/>
    </row>
    <row r="1651" spans="1:1" x14ac:dyDescent="0.25">
      <c r="A1651" s="55"/>
    </row>
    <row r="1652" spans="1:1" x14ac:dyDescent="0.25">
      <c r="A1652" s="55"/>
    </row>
    <row r="1653" spans="1:1" x14ac:dyDescent="0.25">
      <c r="A1653" s="55"/>
    </row>
    <row r="1654" spans="1:1" x14ac:dyDescent="0.25">
      <c r="A1654" s="55"/>
    </row>
    <row r="1655" spans="1:1" x14ac:dyDescent="0.25">
      <c r="A1655" s="55"/>
    </row>
    <row r="1656" spans="1:1" x14ac:dyDescent="0.25">
      <c r="A1656" s="55"/>
    </row>
    <row r="1657" spans="1:1" x14ac:dyDescent="0.25">
      <c r="A1657" s="55"/>
    </row>
    <row r="1658" spans="1:1" x14ac:dyDescent="0.25">
      <c r="A1658" s="55"/>
    </row>
    <row r="1659" spans="1:1" x14ac:dyDescent="0.25">
      <c r="A1659" s="55"/>
    </row>
    <row r="1660" spans="1:1" x14ac:dyDescent="0.25">
      <c r="A1660" s="55"/>
    </row>
    <row r="1661" spans="1:1" x14ac:dyDescent="0.25">
      <c r="A1661" s="55"/>
    </row>
    <row r="1662" spans="1:1" x14ac:dyDescent="0.25">
      <c r="A1662" s="55"/>
    </row>
    <row r="1663" spans="1:1" x14ac:dyDescent="0.25">
      <c r="A1663" s="55"/>
    </row>
    <row r="1664" spans="1:1" x14ac:dyDescent="0.25">
      <c r="A1664" s="55"/>
    </row>
    <row r="1665" spans="1:1" x14ac:dyDescent="0.25">
      <c r="A1665" s="55"/>
    </row>
    <row r="1666" spans="1:1" x14ac:dyDescent="0.25">
      <c r="A1666" s="55"/>
    </row>
    <row r="1667" spans="1:1" x14ac:dyDescent="0.25">
      <c r="A1667" s="55"/>
    </row>
    <row r="1668" spans="1:1" x14ac:dyDescent="0.25">
      <c r="A1668" s="55"/>
    </row>
    <row r="1669" spans="1:1" x14ac:dyDescent="0.25">
      <c r="A1669" s="55"/>
    </row>
    <row r="1670" spans="1:1" x14ac:dyDescent="0.25">
      <c r="A1670" s="55"/>
    </row>
    <row r="1671" spans="1:1" x14ac:dyDescent="0.25">
      <c r="A1671" s="55"/>
    </row>
    <row r="1672" spans="1:1" x14ac:dyDescent="0.25">
      <c r="A1672" s="55"/>
    </row>
    <row r="1673" spans="1:1" x14ac:dyDescent="0.25">
      <c r="A1673" s="55"/>
    </row>
    <row r="1674" spans="1:1" x14ac:dyDescent="0.25">
      <c r="A1674" s="55"/>
    </row>
    <row r="1675" spans="1:1" x14ac:dyDescent="0.25">
      <c r="A1675" s="55"/>
    </row>
    <row r="1676" spans="1:1" x14ac:dyDescent="0.25">
      <c r="A1676" s="55"/>
    </row>
    <row r="1677" spans="1:1" x14ac:dyDescent="0.25">
      <c r="A1677" s="55"/>
    </row>
    <row r="1678" spans="1:1" x14ac:dyDescent="0.25">
      <c r="A1678" s="55"/>
    </row>
    <row r="1679" spans="1:1" x14ac:dyDescent="0.25">
      <c r="A1679" s="55"/>
    </row>
    <row r="1680" spans="1:1" x14ac:dyDescent="0.25">
      <c r="A1680" s="55"/>
    </row>
    <row r="1681" spans="1:1" x14ac:dyDescent="0.25">
      <c r="A1681" s="55"/>
    </row>
    <row r="1682" spans="1:1" x14ac:dyDescent="0.25">
      <c r="A1682" s="55"/>
    </row>
    <row r="1683" spans="1:1" x14ac:dyDescent="0.25">
      <c r="A1683" s="55"/>
    </row>
    <row r="1684" spans="1:1" x14ac:dyDescent="0.25">
      <c r="A1684" s="55"/>
    </row>
    <row r="1685" spans="1:1" x14ac:dyDescent="0.25">
      <c r="A1685" s="55"/>
    </row>
    <row r="1686" spans="1:1" x14ac:dyDescent="0.25">
      <c r="A1686" s="55"/>
    </row>
    <row r="1687" spans="1:1" x14ac:dyDescent="0.25">
      <c r="A1687" s="55"/>
    </row>
    <row r="1688" spans="1:1" x14ac:dyDescent="0.25">
      <c r="A1688" s="55"/>
    </row>
    <row r="1689" spans="1:1" x14ac:dyDescent="0.25">
      <c r="A1689" s="55"/>
    </row>
    <row r="1690" spans="1:1" x14ac:dyDescent="0.25">
      <c r="A1690" s="55"/>
    </row>
    <row r="1691" spans="1:1" x14ac:dyDescent="0.25">
      <c r="A1691" s="55"/>
    </row>
    <row r="1692" spans="1:1" x14ac:dyDescent="0.25">
      <c r="A1692" s="55"/>
    </row>
    <row r="1693" spans="1:1" x14ac:dyDescent="0.25">
      <c r="A1693" s="55"/>
    </row>
    <row r="1694" spans="1:1" x14ac:dyDescent="0.25">
      <c r="A1694" s="55"/>
    </row>
    <row r="1695" spans="1:1" x14ac:dyDescent="0.25">
      <c r="A1695" s="55"/>
    </row>
    <row r="1696" spans="1:1" x14ac:dyDescent="0.25">
      <c r="A1696" s="55"/>
    </row>
    <row r="1697" spans="1:1" x14ac:dyDescent="0.25">
      <c r="A1697" s="55"/>
    </row>
    <row r="1698" spans="1:1" x14ac:dyDescent="0.25">
      <c r="A1698" s="55"/>
    </row>
    <row r="1699" spans="1:1" x14ac:dyDescent="0.25">
      <c r="A1699" s="55"/>
    </row>
    <row r="1700" spans="1:1" x14ac:dyDescent="0.25">
      <c r="A1700" s="55"/>
    </row>
    <row r="1701" spans="1:1" x14ac:dyDescent="0.25">
      <c r="A1701" s="55"/>
    </row>
    <row r="1702" spans="1:1" x14ac:dyDescent="0.25">
      <c r="A1702" s="55"/>
    </row>
    <row r="1703" spans="1:1" x14ac:dyDescent="0.25">
      <c r="A1703" s="55"/>
    </row>
    <row r="1704" spans="1:1" x14ac:dyDescent="0.25">
      <c r="A1704" s="55"/>
    </row>
    <row r="1705" spans="1:1" x14ac:dyDescent="0.25">
      <c r="A1705" s="55"/>
    </row>
    <row r="1706" spans="1:1" x14ac:dyDescent="0.25">
      <c r="A1706" s="55"/>
    </row>
    <row r="1707" spans="1:1" x14ac:dyDescent="0.25">
      <c r="A1707" s="55"/>
    </row>
    <row r="1708" spans="1:1" x14ac:dyDescent="0.25">
      <c r="A1708" s="55"/>
    </row>
    <row r="1709" spans="1:1" x14ac:dyDescent="0.25">
      <c r="A1709" s="55"/>
    </row>
    <row r="1710" spans="1:1" x14ac:dyDescent="0.25">
      <c r="A1710" s="55"/>
    </row>
    <row r="1711" spans="1:1" x14ac:dyDescent="0.25">
      <c r="A1711" s="55"/>
    </row>
    <row r="1712" spans="1:1" x14ac:dyDescent="0.25">
      <c r="A1712" s="55"/>
    </row>
    <row r="1713" spans="1:1" x14ac:dyDescent="0.25">
      <c r="A1713" s="55"/>
    </row>
    <row r="1714" spans="1:1" x14ac:dyDescent="0.25">
      <c r="A1714" s="55"/>
    </row>
    <row r="1715" spans="1:1" x14ac:dyDescent="0.25">
      <c r="A1715" s="55"/>
    </row>
    <row r="1716" spans="1:1" x14ac:dyDescent="0.25">
      <c r="A1716" s="55"/>
    </row>
    <row r="1717" spans="1:1" x14ac:dyDescent="0.25">
      <c r="A1717" s="55"/>
    </row>
    <row r="1718" spans="1:1" x14ac:dyDescent="0.25">
      <c r="A1718" s="55"/>
    </row>
    <row r="1719" spans="1:1" x14ac:dyDescent="0.25">
      <c r="A1719" s="55"/>
    </row>
    <row r="1720" spans="1:1" x14ac:dyDescent="0.25">
      <c r="A1720" s="55"/>
    </row>
    <row r="1721" spans="1:1" x14ac:dyDescent="0.25">
      <c r="A1721" s="55"/>
    </row>
    <row r="1722" spans="1:1" x14ac:dyDescent="0.25">
      <c r="A1722" s="55"/>
    </row>
    <row r="1723" spans="1:1" x14ac:dyDescent="0.25">
      <c r="A1723" s="55"/>
    </row>
    <row r="1724" spans="1:1" x14ac:dyDescent="0.25">
      <c r="A1724" s="55"/>
    </row>
    <row r="1725" spans="1:1" x14ac:dyDescent="0.25">
      <c r="A1725" s="55"/>
    </row>
    <row r="1726" spans="1:1" x14ac:dyDescent="0.25">
      <c r="A1726" s="55"/>
    </row>
    <row r="1727" spans="1:1" x14ac:dyDescent="0.25">
      <c r="A1727" s="55"/>
    </row>
    <row r="1728" spans="1:1" x14ac:dyDescent="0.25">
      <c r="A1728" s="55"/>
    </row>
    <row r="1729" spans="1:1" x14ac:dyDescent="0.25">
      <c r="A1729" s="55"/>
    </row>
    <row r="1730" spans="1:1" x14ac:dyDescent="0.25">
      <c r="A1730" s="55"/>
    </row>
    <row r="1731" spans="1:1" x14ac:dyDescent="0.25">
      <c r="A1731" s="55"/>
    </row>
    <row r="1732" spans="1:1" x14ac:dyDescent="0.25">
      <c r="A1732" s="55"/>
    </row>
    <row r="1733" spans="1:1" x14ac:dyDescent="0.25">
      <c r="A1733" s="55"/>
    </row>
    <row r="1734" spans="1:1" x14ac:dyDescent="0.25">
      <c r="A1734" s="55"/>
    </row>
    <row r="1735" spans="1:1" x14ac:dyDescent="0.25">
      <c r="A1735" s="55"/>
    </row>
    <row r="1736" spans="1:1" x14ac:dyDescent="0.25">
      <c r="A1736" s="55"/>
    </row>
    <row r="1737" spans="1:1" x14ac:dyDescent="0.25">
      <c r="A1737" s="55"/>
    </row>
    <row r="1738" spans="1:1" x14ac:dyDescent="0.25">
      <c r="A1738" s="55"/>
    </row>
    <row r="1739" spans="1:1" x14ac:dyDescent="0.25">
      <c r="A1739" s="55"/>
    </row>
    <row r="1740" spans="1:1" x14ac:dyDescent="0.25">
      <c r="A1740" s="55"/>
    </row>
    <row r="1741" spans="1:1" x14ac:dyDescent="0.25">
      <c r="A1741" s="55"/>
    </row>
    <row r="1742" spans="1:1" x14ac:dyDescent="0.25">
      <c r="A1742" s="55"/>
    </row>
    <row r="1743" spans="1:1" x14ac:dyDescent="0.25">
      <c r="A1743" s="55"/>
    </row>
    <row r="1744" spans="1:1" x14ac:dyDescent="0.25">
      <c r="A1744" s="55"/>
    </row>
    <row r="1745" spans="1:1" x14ac:dyDescent="0.25">
      <c r="A1745" s="55"/>
    </row>
    <row r="1746" spans="1:1" x14ac:dyDescent="0.25">
      <c r="A1746" s="55"/>
    </row>
    <row r="1747" spans="1:1" x14ac:dyDescent="0.25">
      <c r="A1747" s="55"/>
    </row>
    <row r="1748" spans="1:1" x14ac:dyDescent="0.25">
      <c r="A1748" s="55"/>
    </row>
    <row r="1749" spans="1:1" x14ac:dyDescent="0.25">
      <c r="A1749" s="55"/>
    </row>
    <row r="1750" spans="1:1" x14ac:dyDescent="0.25">
      <c r="A1750" s="55"/>
    </row>
    <row r="1751" spans="1:1" x14ac:dyDescent="0.25">
      <c r="A1751" s="55"/>
    </row>
    <row r="1752" spans="1:1" x14ac:dyDescent="0.25">
      <c r="A1752" s="55"/>
    </row>
    <row r="1753" spans="1:1" x14ac:dyDescent="0.25">
      <c r="A1753" s="55"/>
    </row>
    <row r="1754" spans="1:1" x14ac:dyDescent="0.25">
      <c r="A1754" s="55"/>
    </row>
    <row r="1755" spans="1:1" x14ac:dyDescent="0.25">
      <c r="A1755" s="55"/>
    </row>
    <row r="1756" spans="1:1" x14ac:dyDescent="0.25">
      <c r="A1756" s="55"/>
    </row>
    <row r="1757" spans="1:1" x14ac:dyDescent="0.25">
      <c r="A1757" s="55"/>
    </row>
    <row r="1758" spans="1:1" x14ac:dyDescent="0.25">
      <c r="A1758" s="55"/>
    </row>
    <row r="1759" spans="1:1" x14ac:dyDescent="0.25">
      <c r="A1759" s="55"/>
    </row>
    <row r="1760" spans="1:1" x14ac:dyDescent="0.25">
      <c r="A1760" s="55"/>
    </row>
    <row r="1761" spans="1:1" x14ac:dyDescent="0.25">
      <c r="A1761" s="55"/>
    </row>
    <row r="1762" spans="1:1" x14ac:dyDescent="0.25">
      <c r="A1762" s="55"/>
    </row>
    <row r="1763" spans="1:1" x14ac:dyDescent="0.25">
      <c r="A1763" s="55"/>
    </row>
    <row r="1764" spans="1:1" x14ac:dyDescent="0.25">
      <c r="A1764" s="55"/>
    </row>
    <row r="1765" spans="1:1" x14ac:dyDescent="0.25">
      <c r="A1765" s="55"/>
    </row>
    <row r="1766" spans="1:1" x14ac:dyDescent="0.25">
      <c r="A1766" s="55"/>
    </row>
    <row r="1767" spans="1:1" x14ac:dyDescent="0.25">
      <c r="A1767" s="55"/>
    </row>
    <row r="1768" spans="1:1" x14ac:dyDescent="0.25">
      <c r="A1768" s="55"/>
    </row>
    <row r="1769" spans="1:1" x14ac:dyDescent="0.25">
      <c r="A1769" s="55"/>
    </row>
    <row r="1770" spans="1:1" x14ac:dyDescent="0.25">
      <c r="A1770" s="55"/>
    </row>
    <row r="1771" spans="1:1" x14ac:dyDescent="0.25">
      <c r="A1771" s="55"/>
    </row>
    <row r="1772" spans="1:1" x14ac:dyDescent="0.25">
      <c r="A1772" s="55"/>
    </row>
    <row r="1773" spans="1:1" x14ac:dyDescent="0.25">
      <c r="A1773" s="55"/>
    </row>
    <row r="1774" spans="1:1" x14ac:dyDescent="0.25">
      <c r="A1774" s="55"/>
    </row>
    <row r="1775" spans="1:1" x14ac:dyDescent="0.25">
      <c r="A1775" s="55"/>
    </row>
    <row r="1776" spans="1:1" x14ac:dyDescent="0.25">
      <c r="A1776" s="55"/>
    </row>
    <row r="1777" spans="1:1" x14ac:dyDescent="0.25">
      <c r="A1777" s="55"/>
    </row>
    <row r="1778" spans="1:1" x14ac:dyDescent="0.25">
      <c r="A1778" s="55"/>
    </row>
    <row r="1779" spans="1:1" x14ac:dyDescent="0.25">
      <c r="A1779" s="55"/>
    </row>
    <row r="1780" spans="1:1" x14ac:dyDescent="0.25">
      <c r="A1780" s="55"/>
    </row>
    <row r="1781" spans="1:1" x14ac:dyDescent="0.25">
      <c r="A1781" s="55"/>
    </row>
    <row r="1782" spans="1:1" x14ac:dyDescent="0.25">
      <c r="A1782" s="55"/>
    </row>
    <row r="1783" spans="1:1" x14ac:dyDescent="0.25">
      <c r="A1783" s="55"/>
    </row>
    <row r="1784" spans="1:1" x14ac:dyDescent="0.25">
      <c r="A1784" s="55"/>
    </row>
    <row r="1785" spans="1:1" x14ac:dyDescent="0.25">
      <c r="A1785" s="55"/>
    </row>
    <row r="1786" spans="1:1" x14ac:dyDescent="0.25">
      <c r="A1786" s="55"/>
    </row>
    <row r="1787" spans="1:1" x14ac:dyDescent="0.25">
      <c r="A1787" s="55"/>
    </row>
    <row r="1788" spans="1:1" x14ac:dyDescent="0.25">
      <c r="A1788" s="55"/>
    </row>
    <row r="1789" spans="1:1" x14ac:dyDescent="0.25">
      <c r="A1789" s="55"/>
    </row>
    <row r="1790" spans="1:1" x14ac:dyDescent="0.25">
      <c r="A1790" s="55"/>
    </row>
    <row r="1791" spans="1:1" x14ac:dyDescent="0.25">
      <c r="A1791" s="55"/>
    </row>
    <row r="1792" spans="1:1" x14ac:dyDescent="0.25">
      <c r="A1792" s="55"/>
    </row>
    <row r="1793" spans="1:1" x14ac:dyDescent="0.25">
      <c r="A1793" s="55"/>
    </row>
    <row r="1794" spans="1:1" x14ac:dyDescent="0.25">
      <c r="A1794" s="55"/>
    </row>
    <row r="1795" spans="1:1" x14ac:dyDescent="0.25">
      <c r="A1795" s="55"/>
    </row>
    <row r="1796" spans="1:1" x14ac:dyDescent="0.25">
      <c r="A1796" s="55"/>
    </row>
    <row r="1797" spans="1:1" x14ac:dyDescent="0.25">
      <c r="A1797" s="55"/>
    </row>
    <row r="1798" spans="1:1" x14ac:dyDescent="0.25">
      <c r="A1798" s="55"/>
    </row>
    <row r="1799" spans="1:1" x14ac:dyDescent="0.25">
      <c r="A1799" s="55"/>
    </row>
    <row r="1800" spans="1:1" x14ac:dyDescent="0.25">
      <c r="A1800" s="55"/>
    </row>
    <row r="1801" spans="1:1" x14ac:dyDescent="0.25">
      <c r="A1801" s="55"/>
    </row>
    <row r="1802" spans="1:1" x14ac:dyDescent="0.25">
      <c r="A1802" s="55"/>
    </row>
    <row r="1803" spans="1:1" x14ac:dyDescent="0.25">
      <c r="A1803" s="55"/>
    </row>
    <row r="1804" spans="1:1" x14ac:dyDescent="0.25">
      <c r="A1804" s="55"/>
    </row>
    <row r="1805" spans="1:1" x14ac:dyDescent="0.25">
      <c r="A1805" s="55"/>
    </row>
    <row r="1806" spans="1:1" x14ac:dyDescent="0.25">
      <c r="A1806" s="55"/>
    </row>
    <row r="1807" spans="1:1" x14ac:dyDescent="0.25">
      <c r="A1807" s="55"/>
    </row>
    <row r="1808" spans="1:1" x14ac:dyDescent="0.25">
      <c r="A1808" s="55"/>
    </row>
    <row r="1809" spans="1:1" x14ac:dyDescent="0.25">
      <c r="A1809" s="55"/>
    </row>
    <row r="1810" spans="1:1" x14ac:dyDescent="0.25">
      <c r="A1810" s="55"/>
    </row>
    <row r="1811" spans="1:1" x14ac:dyDescent="0.25">
      <c r="A1811" s="55"/>
    </row>
    <row r="1812" spans="1:1" x14ac:dyDescent="0.25">
      <c r="A1812" s="55"/>
    </row>
    <row r="1813" spans="1:1" x14ac:dyDescent="0.25">
      <c r="A1813" s="55"/>
    </row>
    <row r="1814" spans="1:1" x14ac:dyDescent="0.25">
      <c r="A1814" s="55"/>
    </row>
    <row r="1815" spans="1:1" x14ac:dyDescent="0.25">
      <c r="A1815" s="55"/>
    </row>
    <row r="1816" spans="1:1" x14ac:dyDescent="0.25">
      <c r="A1816" s="55"/>
    </row>
    <row r="1817" spans="1:1" x14ac:dyDescent="0.25">
      <c r="A1817" s="55"/>
    </row>
    <row r="1818" spans="1:1" x14ac:dyDescent="0.25">
      <c r="A1818" s="55"/>
    </row>
    <row r="1819" spans="1:1" x14ac:dyDescent="0.25">
      <c r="A1819" s="55"/>
    </row>
    <row r="1820" spans="1:1" x14ac:dyDescent="0.25">
      <c r="A1820" s="55"/>
    </row>
    <row r="1821" spans="1:1" x14ac:dyDescent="0.25">
      <c r="A1821" s="55"/>
    </row>
    <row r="1822" spans="1:1" x14ac:dyDescent="0.25">
      <c r="A1822" s="55"/>
    </row>
    <row r="1823" spans="1:1" x14ac:dyDescent="0.25">
      <c r="A1823" s="55"/>
    </row>
    <row r="1824" spans="1:1" x14ac:dyDescent="0.25">
      <c r="A1824" s="55"/>
    </row>
    <row r="1825" spans="1:1" x14ac:dyDescent="0.25">
      <c r="A1825" s="55"/>
    </row>
    <row r="1826" spans="1:1" x14ac:dyDescent="0.25">
      <c r="A1826" s="55"/>
    </row>
    <row r="1827" spans="1:1" x14ac:dyDescent="0.25">
      <c r="A1827" s="55"/>
    </row>
    <row r="1828" spans="1:1" x14ac:dyDescent="0.25">
      <c r="A1828" s="55"/>
    </row>
    <row r="1829" spans="1:1" x14ac:dyDescent="0.25">
      <c r="A1829" s="55"/>
    </row>
    <row r="1830" spans="1:1" x14ac:dyDescent="0.25">
      <c r="A1830" s="55"/>
    </row>
    <row r="1831" spans="1:1" x14ac:dyDescent="0.25">
      <c r="A1831" s="55"/>
    </row>
    <row r="1832" spans="1:1" x14ac:dyDescent="0.25">
      <c r="A1832" s="55"/>
    </row>
    <row r="1833" spans="1:1" x14ac:dyDescent="0.25">
      <c r="A1833" s="55"/>
    </row>
    <row r="1834" spans="1:1" x14ac:dyDescent="0.25">
      <c r="A1834" s="55"/>
    </row>
    <row r="1835" spans="1:1" x14ac:dyDescent="0.25">
      <c r="A1835" s="55"/>
    </row>
    <row r="1836" spans="1:1" x14ac:dyDescent="0.25">
      <c r="A1836" s="55"/>
    </row>
    <row r="1837" spans="1:1" x14ac:dyDescent="0.25">
      <c r="A1837" s="55"/>
    </row>
    <row r="1838" spans="1:1" x14ac:dyDescent="0.25">
      <c r="A1838" s="55"/>
    </row>
    <row r="1839" spans="1:1" x14ac:dyDescent="0.25">
      <c r="A1839" s="55"/>
    </row>
    <row r="1840" spans="1:1" x14ac:dyDescent="0.25">
      <c r="A1840" s="55"/>
    </row>
    <row r="1841" spans="1:1" x14ac:dyDescent="0.25">
      <c r="A1841" s="55"/>
    </row>
    <row r="1842" spans="1:1" x14ac:dyDescent="0.25">
      <c r="A1842" s="55"/>
    </row>
    <row r="1843" spans="1:1" x14ac:dyDescent="0.25">
      <c r="A1843" s="55"/>
    </row>
    <row r="1844" spans="1:1" x14ac:dyDescent="0.25">
      <c r="A1844" s="55"/>
    </row>
    <row r="1845" spans="1:1" x14ac:dyDescent="0.25">
      <c r="A1845" s="55"/>
    </row>
    <row r="1846" spans="1:1" x14ac:dyDescent="0.25">
      <c r="A1846" s="55"/>
    </row>
    <row r="1847" spans="1:1" x14ac:dyDescent="0.25">
      <c r="A1847" s="55"/>
    </row>
    <row r="1848" spans="1:1" x14ac:dyDescent="0.25">
      <c r="A1848" s="55"/>
    </row>
    <row r="1849" spans="1:1" x14ac:dyDescent="0.25">
      <c r="A1849" s="55"/>
    </row>
    <row r="1850" spans="1:1" x14ac:dyDescent="0.25">
      <c r="A1850" s="55"/>
    </row>
    <row r="1851" spans="1:1" x14ac:dyDescent="0.25">
      <c r="A1851" s="55"/>
    </row>
    <row r="1852" spans="1:1" x14ac:dyDescent="0.25">
      <c r="A1852" s="55"/>
    </row>
    <row r="1853" spans="1:1" x14ac:dyDescent="0.25">
      <c r="A1853" s="55"/>
    </row>
    <row r="1854" spans="1:1" x14ac:dyDescent="0.25">
      <c r="A1854" s="55"/>
    </row>
    <row r="1855" spans="1:1" x14ac:dyDescent="0.25">
      <c r="A1855" s="55"/>
    </row>
    <row r="1856" spans="1:1" x14ac:dyDescent="0.25">
      <c r="A1856" s="55"/>
    </row>
    <row r="1857" spans="1:1" x14ac:dyDescent="0.25">
      <c r="A1857" s="55"/>
    </row>
    <row r="1858" spans="1:1" x14ac:dyDescent="0.25">
      <c r="A1858" s="55"/>
    </row>
    <row r="1859" spans="1:1" x14ac:dyDescent="0.25">
      <c r="A1859" s="55"/>
    </row>
    <row r="1860" spans="1:1" x14ac:dyDescent="0.25">
      <c r="A1860" s="55"/>
    </row>
    <row r="1861" spans="1:1" x14ac:dyDescent="0.25">
      <c r="A1861" s="55"/>
    </row>
    <row r="1862" spans="1:1" x14ac:dyDescent="0.25">
      <c r="A1862" s="55"/>
    </row>
    <row r="1863" spans="1:1" x14ac:dyDescent="0.25">
      <c r="A1863" s="55"/>
    </row>
    <row r="1864" spans="1:1" x14ac:dyDescent="0.25">
      <c r="A1864" s="55"/>
    </row>
    <row r="1865" spans="1:1" x14ac:dyDescent="0.25">
      <c r="A1865" s="55"/>
    </row>
    <row r="1866" spans="1:1" x14ac:dyDescent="0.25">
      <c r="A1866" s="55"/>
    </row>
    <row r="1867" spans="1:1" x14ac:dyDescent="0.25">
      <c r="A1867" s="55"/>
    </row>
    <row r="1868" spans="1:1" x14ac:dyDescent="0.25">
      <c r="A1868" s="55"/>
    </row>
    <row r="1869" spans="1:1" x14ac:dyDescent="0.25">
      <c r="A1869" s="55"/>
    </row>
    <row r="1870" spans="1:1" x14ac:dyDescent="0.25">
      <c r="A1870" s="55"/>
    </row>
    <row r="1871" spans="1:1" x14ac:dyDescent="0.25">
      <c r="A1871" s="55"/>
    </row>
    <row r="1872" spans="1:1" x14ac:dyDescent="0.25">
      <c r="A1872" s="55"/>
    </row>
    <row r="1873" spans="1:1" x14ac:dyDescent="0.25">
      <c r="A1873" s="55"/>
    </row>
    <row r="1874" spans="1:1" x14ac:dyDescent="0.25">
      <c r="A1874" s="55"/>
    </row>
    <row r="1875" spans="1:1" x14ac:dyDescent="0.25">
      <c r="A1875" s="55"/>
    </row>
    <row r="1876" spans="1:1" x14ac:dyDescent="0.25">
      <c r="A1876" s="55"/>
    </row>
    <row r="1877" spans="1:1" x14ac:dyDescent="0.25">
      <c r="A1877" s="55"/>
    </row>
    <row r="1878" spans="1:1" x14ac:dyDescent="0.25">
      <c r="A1878" s="55"/>
    </row>
    <row r="1879" spans="1:1" x14ac:dyDescent="0.25">
      <c r="A1879" s="55"/>
    </row>
    <row r="1880" spans="1:1" x14ac:dyDescent="0.25">
      <c r="A1880" s="55"/>
    </row>
    <row r="1881" spans="1:1" x14ac:dyDescent="0.25">
      <c r="A1881" s="55"/>
    </row>
    <row r="1882" spans="1:1" x14ac:dyDescent="0.25">
      <c r="A1882" s="55"/>
    </row>
    <row r="1883" spans="1:1" x14ac:dyDescent="0.25">
      <c r="A1883" s="55"/>
    </row>
    <row r="1884" spans="1:1" x14ac:dyDescent="0.25">
      <c r="A1884" s="55"/>
    </row>
    <row r="1885" spans="1:1" x14ac:dyDescent="0.25">
      <c r="A1885" s="55"/>
    </row>
    <row r="1886" spans="1:1" x14ac:dyDescent="0.25">
      <c r="A1886" s="55"/>
    </row>
    <row r="1887" spans="1:1" x14ac:dyDescent="0.25">
      <c r="A1887" s="55"/>
    </row>
    <row r="1888" spans="1:1" x14ac:dyDescent="0.25">
      <c r="A1888" s="55"/>
    </row>
    <row r="1889" spans="1:1" x14ac:dyDescent="0.25">
      <c r="A1889" s="55"/>
    </row>
    <row r="1890" spans="1:1" x14ac:dyDescent="0.25">
      <c r="A1890" s="55"/>
    </row>
    <row r="1891" spans="1:1" x14ac:dyDescent="0.25">
      <c r="A1891" s="55"/>
    </row>
    <row r="1892" spans="1:1" x14ac:dyDescent="0.25">
      <c r="A1892" s="55"/>
    </row>
    <row r="1893" spans="1:1" x14ac:dyDescent="0.25">
      <c r="A1893" s="55"/>
    </row>
    <row r="1894" spans="1:1" x14ac:dyDescent="0.25">
      <c r="A1894" s="55"/>
    </row>
    <row r="1895" spans="1:1" x14ac:dyDescent="0.25">
      <c r="A1895" s="55"/>
    </row>
    <row r="1896" spans="1:1" x14ac:dyDescent="0.25">
      <c r="A1896" s="55"/>
    </row>
    <row r="1897" spans="1:1" x14ac:dyDescent="0.25">
      <c r="A1897" s="55"/>
    </row>
    <row r="1898" spans="1:1" x14ac:dyDescent="0.25">
      <c r="A1898" s="55"/>
    </row>
    <row r="1899" spans="1:1" x14ac:dyDescent="0.25">
      <c r="A1899" s="55"/>
    </row>
    <row r="1900" spans="1:1" x14ac:dyDescent="0.25">
      <c r="A1900" s="55"/>
    </row>
    <row r="1901" spans="1:1" x14ac:dyDescent="0.25">
      <c r="A1901" s="55"/>
    </row>
    <row r="1902" spans="1:1" x14ac:dyDescent="0.25">
      <c r="A1902" s="55"/>
    </row>
    <row r="1903" spans="1:1" x14ac:dyDescent="0.25">
      <c r="A1903" s="55"/>
    </row>
    <row r="1904" spans="1:1" x14ac:dyDescent="0.25">
      <c r="A1904" s="55"/>
    </row>
    <row r="1905" spans="1:1" x14ac:dyDescent="0.25">
      <c r="A1905" s="55"/>
    </row>
    <row r="1906" spans="1:1" x14ac:dyDescent="0.25">
      <c r="A1906" s="55"/>
    </row>
    <row r="1907" spans="1:1" x14ac:dyDescent="0.25">
      <c r="A1907" s="55"/>
    </row>
    <row r="1908" spans="1:1" x14ac:dyDescent="0.25">
      <c r="A1908" s="55"/>
    </row>
    <row r="1909" spans="1:1" x14ac:dyDescent="0.25">
      <c r="A1909" s="55"/>
    </row>
    <row r="1910" spans="1:1" x14ac:dyDescent="0.25">
      <c r="A1910" s="55"/>
    </row>
    <row r="1911" spans="1:1" x14ac:dyDescent="0.25">
      <c r="A1911" s="55"/>
    </row>
    <row r="1912" spans="1:1" x14ac:dyDescent="0.25">
      <c r="A1912" s="55"/>
    </row>
    <row r="1913" spans="1:1" x14ac:dyDescent="0.25">
      <c r="A1913" s="55"/>
    </row>
    <row r="1914" spans="1:1" x14ac:dyDescent="0.25">
      <c r="A1914" s="55"/>
    </row>
    <row r="1915" spans="1:1" x14ac:dyDescent="0.25">
      <c r="A1915" s="55"/>
    </row>
    <row r="1916" spans="1:1" x14ac:dyDescent="0.25">
      <c r="A1916" s="55"/>
    </row>
    <row r="1917" spans="1:1" x14ac:dyDescent="0.25">
      <c r="A1917" s="55"/>
    </row>
    <row r="1918" spans="1:1" x14ac:dyDescent="0.25">
      <c r="A1918" s="55"/>
    </row>
    <row r="1919" spans="1:1" x14ac:dyDescent="0.25">
      <c r="A1919" s="55"/>
    </row>
    <row r="1920" spans="1:1" x14ac:dyDescent="0.25">
      <c r="A1920" s="55"/>
    </row>
    <row r="1921" spans="1:1" x14ac:dyDescent="0.25">
      <c r="A1921" s="55"/>
    </row>
    <row r="1922" spans="1:1" x14ac:dyDescent="0.25">
      <c r="A1922" s="55"/>
    </row>
    <row r="1923" spans="1:1" x14ac:dyDescent="0.25">
      <c r="A1923" s="55"/>
    </row>
    <row r="1924" spans="1:1" x14ac:dyDescent="0.25">
      <c r="A1924" s="55"/>
    </row>
    <row r="1925" spans="1:1" x14ac:dyDescent="0.25">
      <c r="A1925" s="55"/>
    </row>
    <row r="1926" spans="1:1" x14ac:dyDescent="0.25">
      <c r="A1926" s="55"/>
    </row>
    <row r="1927" spans="1:1" x14ac:dyDescent="0.25">
      <c r="A1927" s="55"/>
    </row>
    <row r="1928" spans="1:1" x14ac:dyDescent="0.25">
      <c r="A1928" s="55"/>
    </row>
    <row r="1929" spans="1:1" x14ac:dyDescent="0.25">
      <c r="A1929" s="55"/>
    </row>
    <row r="1930" spans="1:1" x14ac:dyDescent="0.25">
      <c r="A1930" s="55"/>
    </row>
    <row r="1931" spans="1:1" x14ac:dyDescent="0.25">
      <c r="A1931" s="55"/>
    </row>
    <row r="1932" spans="1:1" x14ac:dyDescent="0.25">
      <c r="A1932" s="55"/>
    </row>
    <row r="1933" spans="1:1" x14ac:dyDescent="0.25">
      <c r="A1933" s="55"/>
    </row>
    <row r="1934" spans="1:1" x14ac:dyDescent="0.25">
      <c r="A1934" s="55"/>
    </row>
    <row r="1935" spans="1:1" x14ac:dyDescent="0.25">
      <c r="A1935" s="55"/>
    </row>
    <row r="1936" spans="1:1" x14ac:dyDescent="0.25">
      <c r="A1936" s="55"/>
    </row>
    <row r="1937" spans="1:1" x14ac:dyDescent="0.25">
      <c r="A1937" s="55"/>
    </row>
    <row r="1938" spans="1:1" x14ac:dyDescent="0.25">
      <c r="A1938" s="55"/>
    </row>
    <row r="1939" spans="1:1" x14ac:dyDescent="0.25">
      <c r="A1939" s="55"/>
    </row>
    <row r="1940" spans="1:1" x14ac:dyDescent="0.25">
      <c r="A1940" s="55"/>
    </row>
    <row r="1941" spans="1:1" x14ac:dyDescent="0.25">
      <c r="A1941" s="55"/>
    </row>
    <row r="1942" spans="1:1" x14ac:dyDescent="0.25">
      <c r="A1942" s="55"/>
    </row>
    <row r="1943" spans="1:1" x14ac:dyDescent="0.25">
      <c r="A1943" s="55"/>
    </row>
    <row r="1944" spans="1:1" x14ac:dyDescent="0.25">
      <c r="A1944" s="55"/>
    </row>
    <row r="1945" spans="1:1" x14ac:dyDescent="0.25">
      <c r="A1945" s="55"/>
    </row>
    <row r="1946" spans="1:1" x14ac:dyDescent="0.25">
      <c r="A1946" s="55"/>
    </row>
    <row r="1947" spans="1:1" x14ac:dyDescent="0.25">
      <c r="A1947" s="55"/>
    </row>
    <row r="1948" spans="1:1" x14ac:dyDescent="0.25">
      <c r="A1948" s="55"/>
    </row>
    <row r="1949" spans="1:1" x14ac:dyDescent="0.25">
      <c r="A1949" s="55"/>
    </row>
    <row r="1950" spans="1:1" x14ac:dyDescent="0.25">
      <c r="A1950" s="55"/>
    </row>
    <row r="1951" spans="1:1" x14ac:dyDescent="0.25">
      <c r="A1951" s="55"/>
    </row>
    <row r="1952" spans="1:1" x14ac:dyDescent="0.25">
      <c r="A1952" s="55"/>
    </row>
    <row r="1953" spans="1:1" x14ac:dyDescent="0.25">
      <c r="A1953" s="55"/>
    </row>
    <row r="1954" spans="1:1" x14ac:dyDescent="0.25">
      <c r="A1954" s="55"/>
    </row>
    <row r="1955" spans="1:1" x14ac:dyDescent="0.25">
      <c r="A1955" s="55"/>
    </row>
    <row r="1956" spans="1:1" x14ac:dyDescent="0.25">
      <c r="A1956" s="55"/>
    </row>
    <row r="1957" spans="1:1" x14ac:dyDescent="0.25">
      <c r="A1957" s="55"/>
    </row>
    <row r="1958" spans="1:1" x14ac:dyDescent="0.25">
      <c r="A1958" s="55"/>
    </row>
    <row r="1959" spans="1:1" x14ac:dyDescent="0.25">
      <c r="A1959" s="55"/>
    </row>
    <row r="1960" spans="1:1" x14ac:dyDescent="0.25">
      <c r="A1960" s="55"/>
    </row>
    <row r="1961" spans="1:1" x14ac:dyDescent="0.25">
      <c r="A1961" s="55"/>
    </row>
    <row r="1962" spans="1:1" x14ac:dyDescent="0.25">
      <c r="A1962" s="55"/>
    </row>
    <row r="1963" spans="1:1" x14ac:dyDescent="0.25">
      <c r="A1963" s="55"/>
    </row>
    <row r="1964" spans="1:1" x14ac:dyDescent="0.25">
      <c r="A1964" s="55"/>
    </row>
    <row r="1965" spans="1:1" x14ac:dyDescent="0.25">
      <c r="A1965" s="55"/>
    </row>
    <row r="1966" spans="1:1" x14ac:dyDescent="0.25">
      <c r="A1966" s="55"/>
    </row>
    <row r="1967" spans="1:1" x14ac:dyDescent="0.25">
      <c r="A1967" s="55"/>
    </row>
    <row r="1968" spans="1:1" x14ac:dyDescent="0.25">
      <c r="A1968" s="55"/>
    </row>
    <row r="1969" spans="1:1" x14ac:dyDescent="0.25">
      <c r="A1969" s="55"/>
    </row>
    <row r="1970" spans="1:1" x14ac:dyDescent="0.25">
      <c r="A1970" s="55"/>
    </row>
    <row r="1971" spans="1:1" x14ac:dyDescent="0.25">
      <c r="A1971" s="55"/>
    </row>
    <row r="1972" spans="1:1" x14ac:dyDescent="0.25">
      <c r="A1972" s="55"/>
    </row>
    <row r="1973" spans="1:1" x14ac:dyDescent="0.25">
      <c r="A1973" s="55"/>
    </row>
    <row r="1974" spans="1:1" x14ac:dyDescent="0.25">
      <c r="A1974" s="55"/>
    </row>
    <row r="1975" spans="1:1" x14ac:dyDescent="0.25">
      <c r="A1975" s="55"/>
    </row>
    <row r="1976" spans="1:1" x14ac:dyDescent="0.25">
      <c r="A1976" s="55"/>
    </row>
    <row r="1977" spans="1:1" x14ac:dyDescent="0.25">
      <c r="A1977" s="55"/>
    </row>
    <row r="1978" spans="1:1" x14ac:dyDescent="0.25">
      <c r="A1978" s="55"/>
    </row>
    <row r="1979" spans="1:1" x14ac:dyDescent="0.25">
      <c r="A1979" s="55"/>
    </row>
    <row r="1980" spans="1:1" x14ac:dyDescent="0.25">
      <c r="A1980" s="55"/>
    </row>
    <row r="1981" spans="1:1" x14ac:dyDescent="0.25">
      <c r="A1981" s="55"/>
    </row>
    <row r="1982" spans="1:1" x14ac:dyDescent="0.25">
      <c r="A1982" s="55"/>
    </row>
    <row r="1983" spans="1:1" x14ac:dyDescent="0.25">
      <c r="A1983" s="55"/>
    </row>
    <row r="1984" spans="1:1" x14ac:dyDescent="0.25">
      <c r="A1984" s="55"/>
    </row>
    <row r="1985" spans="1:1" x14ac:dyDescent="0.25">
      <c r="A1985" s="55"/>
    </row>
    <row r="1986" spans="1:1" x14ac:dyDescent="0.25">
      <c r="A1986" s="55"/>
    </row>
    <row r="1987" spans="1:1" x14ac:dyDescent="0.25">
      <c r="A1987" s="55"/>
    </row>
    <row r="1988" spans="1:1" x14ac:dyDescent="0.25">
      <c r="A1988" s="55"/>
    </row>
    <row r="1989" spans="1:1" x14ac:dyDescent="0.25">
      <c r="A1989" s="55"/>
    </row>
    <row r="1990" spans="1:1" x14ac:dyDescent="0.25">
      <c r="A1990" s="55"/>
    </row>
    <row r="1991" spans="1:1" x14ac:dyDescent="0.25">
      <c r="A1991" s="55"/>
    </row>
    <row r="1992" spans="1:1" x14ac:dyDescent="0.25">
      <c r="A1992" s="55"/>
    </row>
    <row r="1993" spans="1:1" x14ac:dyDescent="0.25">
      <c r="A1993" s="55"/>
    </row>
    <row r="1994" spans="1:1" x14ac:dyDescent="0.25">
      <c r="A1994" s="55"/>
    </row>
    <row r="1995" spans="1:1" x14ac:dyDescent="0.25">
      <c r="A1995" s="55"/>
    </row>
    <row r="1996" spans="1:1" x14ac:dyDescent="0.25">
      <c r="A1996" s="55"/>
    </row>
    <row r="1997" spans="1:1" x14ac:dyDescent="0.25">
      <c r="A1997" s="55"/>
    </row>
    <row r="1998" spans="1:1" x14ac:dyDescent="0.25">
      <c r="A1998" s="55"/>
    </row>
    <row r="1999" spans="1:1" x14ac:dyDescent="0.25">
      <c r="A1999" s="55"/>
    </row>
    <row r="2000" spans="1:1" x14ac:dyDescent="0.25">
      <c r="A2000" s="55"/>
    </row>
    <row r="2001" spans="1:1" x14ac:dyDescent="0.25">
      <c r="A2001" s="55"/>
    </row>
    <row r="2002" spans="1:1" x14ac:dyDescent="0.25">
      <c r="A2002" s="55"/>
    </row>
    <row r="2003" spans="1:1" x14ac:dyDescent="0.25">
      <c r="A2003" s="55"/>
    </row>
    <row r="2004" spans="1:1" x14ac:dyDescent="0.25">
      <c r="A2004" s="55"/>
    </row>
    <row r="2005" spans="1:1" x14ac:dyDescent="0.25">
      <c r="A2005" s="55"/>
    </row>
    <row r="2006" spans="1:1" x14ac:dyDescent="0.25">
      <c r="A2006" s="55"/>
    </row>
    <row r="2007" spans="1:1" x14ac:dyDescent="0.25">
      <c r="A2007" s="55"/>
    </row>
    <row r="2008" spans="1:1" x14ac:dyDescent="0.25">
      <c r="A2008" s="55"/>
    </row>
    <row r="2009" spans="1:1" x14ac:dyDescent="0.25">
      <c r="A2009" s="55"/>
    </row>
    <row r="2010" spans="1:1" x14ac:dyDescent="0.25">
      <c r="A2010" s="55"/>
    </row>
    <row r="2011" spans="1:1" x14ac:dyDescent="0.25">
      <c r="A2011" s="55"/>
    </row>
    <row r="2012" spans="1:1" x14ac:dyDescent="0.25">
      <c r="A2012" s="55"/>
    </row>
    <row r="2013" spans="1:1" x14ac:dyDescent="0.25">
      <c r="A2013" s="55"/>
    </row>
    <row r="2014" spans="1:1" x14ac:dyDescent="0.25">
      <c r="A2014" s="55"/>
    </row>
    <row r="2015" spans="1:1" x14ac:dyDescent="0.25">
      <c r="A2015" s="55"/>
    </row>
    <row r="2016" spans="1:1" x14ac:dyDescent="0.25">
      <c r="A2016" s="55"/>
    </row>
    <row r="2017" spans="1:1" x14ac:dyDescent="0.25">
      <c r="A2017" s="55"/>
    </row>
    <row r="2018" spans="1:1" x14ac:dyDescent="0.25">
      <c r="A2018" s="55"/>
    </row>
    <row r="2019" spans="1:1" x14ac:dyDescent="0.25">
      <c r="A2019" s="55"/>
    </row>
    <row r="2020" spans="1:1" x14ac:dyDescent="0.25">
      <c r="A2020" s="55"/>
    </row>
    <row r="2021" spans="1:1" x14ac:dyDescent="0.25">
      <c r="A2021" s="55"/>
    </row>
    <row r="2022" spans="1:1" x14ac:dyDescent="0.25">
      <c r="A2022" s="55"/>
    </row>
    <row r="2023" spans="1:1" x14ac:dyDescent="0.25">
      <c r="A2023" s="55"/>
    </row>
    <row r="2024" spans="1:1" x14ac:dyDescent="0.25">
      <c r="A2024" s="55"/>
    </row>
    <row r="2025" spans="1:1" x14ac:dyDescent="0.25">
      <c r="A2025" s="55"/>
    </row>
    <row r="2026" spans="1:1" x14ac:dyDescent="0.25">
      <c r="A2026" s="55"/>
    </row>
    <row r="2027" spans="1:1" x14ac:dyDescent="0.25">
      <c r="A2027" s="55"/>
    </row>
    <row r="2028" spans="1:1" x14ac:dyDescent="0.25">
      <c r="A2028" s="55"/>
    </row>
    <row r="2029" spans="1:1" x14ac:dyDescent="0.25">
      <c r="A2029" s="55"/>
    </row>
    <row r="2030" spans="1:1" x14ac:dyDescent="0.25">
      <c r="A2030" s="55"/>
    </row>
    <row r="2031" spans="1:1" x14ac:dyDescent="0.25">
      <c r="A2031" s="55"/>
    </row>
    <row r="2032" spans="1:1" x14ac:dyDescent="0.25">
      <c r="A2032" s="55"/>
    </row>
    <row r="2033" spans="1:1" x14ac:dyDescent="0.25">
      <c r="A2033" s="55"/>
    </row>
    <row r="2034" spans="1:1" x14ac:dyDescent="0.25">
      <c r="A2034" s="55"/>
    </row>
    <row r="2035" spans="1:1" x14ac:dyDescent="0.25">
      <c r="A2035" s="55"/>
    </row>
    <row r="2036" spans="1:1" x14ac:dyDescent="0.25">
      <c r="A2036" s="55"/>
    </row>
    <row r="2037" spans="1:1" x14ac:dyDescent="0.25">
      <c r="A2037" s="55"/>
    </row>
    <row r="2038" spans="1:1" x14ac:dyDescent="0.25">
      <c r="A2038" s="55"/>
    </row>
    <row r="2039" spans="1:1" x14ac:dyDescent="0.25">
      <c r="A2039" s="55"/>
    </row>
    <row r="2040" spans="1:1" x14ac:dyDescent="0.25">
      <c r="A2040" s="55"/>
    </row>
    <row r="2041" spans="1:1" x14ac:dyDescent="0.25">
      <c r="A2041" s="55"/>
    </row>
    <row r="2042" spans="1:1" x14ac:dyDescent="0.25">
      <c r="A2042" s="55"/>
    </row>
    <row r="2043" spans="1:1" x14ac:dyDescent="0.25">
      <c r="A2043" s="55"/>
    </row>
    <row r="2044" spans="1:1" x14ac:dyDescent="0.25">
      <c r="A2044" s="55"/>
    </row>
    <row r="2045" spans="1:1" x14ac:dyDescent="0.25">
      <c r="A2045" s="55"/>
    </row>
    <row r="2046" spans="1:1" x14ac:dyDescent="0.25">
      <c r="A2046" s="55"/>
    </row>
    <row r="2047" spans="1:1" x14ac:dyDescent="0.25">
      <c r="A2047" s="55"/>
    </row>
    <row r="2048" spans="1:1" x14ac:dyDescent="0.25">
      <c r="A2048" s="55"/>
    </row>
    <row r="2049" spans="1:1" x14ac:dyDescent="0.25">
      <c r="A2049" s="55"/>
    </row>
    <row r="2050" spans="1:1" x14ac:dyDescent="0.25">
      <c r="A2050" s="55"/>
    </row>
    <row r="2051" spans="1:1" x14ac:dyDescent="0.25">
      <c r="A2051" s="55"/>
    </row>
    <row r="2052" spans="1:1" x14ac:dyDescent="0.25">
      <c r="A2052" s="55"/>
    </row>
    <row r="2053" spans="1:1" x14ac:dyDescent="0.25">
      <c r="A2053" s="55"/>
    </row>
    <row r="2054" spans="1:1" x14ac:dyDescent="0.25">
      <c r="A2054" s="55"/>
    </row>
    <row r="2055" spans="1:1" x14ac:dyDescent="0.25">
      <c r="A2055" s="55"/>
    </row>
    <row r="2056" spans="1:1" x14ac:dyDescent="0.25">
      <c r="A2056" s="55"/>
    </row>
    <row r="2057" spans="1:1" x14ac:dyDescent="0.25">
      <c r="A2057" s="55"/>
    </row>
    <row r="2058" spans="1:1" x14ac:dyDescent="0.25">
      <c r="A2058" s="55"/>
    </row>
    <row r="2059" spans="1:1" x14ac:dyDescent="0.25">
      <c r="A2059" s="55"/>
    </row>
    <row r="2060" spans="1:1" x14ac:dyDescent="0.25">
      <c r="A2060" s="55"/>
    </row>
    <row r="2061" spans="1:1" x14ac:dyDescent="0.25">
      <c r="A2061" s="55"/>
    </row>
    <row r="2062" spans="1:1" x14ac:dyDescent="0.25">
      <c r="A2062" s="55"/>
    </row>
    <row r="2063" spans="1:1" x14ac:dyDescent="0.25">
      <c r="A2063" s="55"/>
    </row>
    <row r="2064" spans="1:1" x14ac:dyDescent="0.25">
      <c r="A2064" s="55"/>
    </row>
    <row r="2065" spans="1:1" x14ac:dyDescent="0.25">
      <c r="A2065" s="55"/>
    </row>
    <row r="2066" spans="1:1" x14ac:dyDescent="0.25">
      <c r="A2066" s="55"/>
    </row>
    <row r="2067" spans="1:1" x14ac:dyDescent="0.25">
      <c r="A2067" s="55"/>
    </row>
    <row r="2068" spans="1:1" x14ac:dyDescent="0.25">
      <c r="A2068" s="55"/>
    </row>
    <row r="2069" spans="1:1" x14ac:dyDescent="0.25">
      <c r="A2069" s="55"/>
    </row>
    <row r="2070" spans="1:1" x14ac:dyDescent="0.25">
      <c r="A2070" s="55"/>
    </row>
    <row r="2071" spans="1:1" x14ac:dyDescent="0.25">
      <c r="A2071" s="55"/>
    </row>
    <row r="2072" spans="1:1" x14ac:dyDescent="0.25">
      <c r="A2072" s="55"/>
    </row>
    <row r="2073" spans="1:1" x14ac:dyDescent="0.25">
      <c r="A2073" s="55"/>
    </row>
    <row r="2074" spans="1:1" x14ac:dyDescent="0.25">
      <c r="A2074" s="55"/>
    </row>
    <row r="2075" spans="1:1" x14ac:dyDescent="0.25">
      <c r="A2075" s="55"/>
    </row>
    <row r="2076" spans="1:1" x14ac:dyDescent="0.25">
      <c r="A2076" s="55"/>
    </row>
    <row r="2077" spans="1:1" x14ac:dyDescent="0.25">
      <c r="A2077" s="55"/>
    </row>
    <row r="2078" spans="1:1" x14ac:dyDescent="0.25">
      <c r="A2078" s="55"/>
    </row>
    <row r="2079" spans="1:1" x14ac:dyDescent="0.25">
      <c r="A2079" s="55"/>
    </row>
    <row r="2080" spans="1:1" x14ac:dyDescent="0.25">
      <c r="A2080" s="55"/>
    </row>
    <row r="2081" spans="1:1" x14ac:dyDescent="0.25">
      <c r="A2081" s="55"/>
    </row>
    <row r="2082" spans="1:1" x14ac:dyDescent="0.25">
      <c r="A2082" s="55"/>
    </row>
    <row r="2083" spans="1:1" x14ac:dyDescent="0.25">
      <c r="A2083" s="55"/>
    </row>
    <row r="2084" spans="1:1" x14ac:dyDescent="0.25">
      <c r="A2084" s="55"/>
    </row>
    <row r="2085" spans="1:1" x14ac:dyDescent="0.25">
      <c r="A2085" s="55"/>
    </row>
    <row r="2086" spans="1:1" x14ac:dyDescent="0.25">
      <c r="A2086" s="55"/>
    </row>
    <row r="2087" spans="1:1" x14ac:dyDescent="0.25">
      <c r="A2087" s="55"/>
    </row>
    <row r="2088" spans="1:1" x14ac:dyDescent="0.25">
      <c r="A2088" s="55"/>
    </row>
    <row r="2089" spans="1:1" x14ac:dyDescent="0.25">
      <c r="A2089" s="55"/>
    </row>
    <row r="2090" spans="1:1" x14ac:dyDescent="0.25">
      <c r="A2090" s="55"/>
    </row>
    <row r="2091" spans="1:1" x14ac:dyDescent="0.25">
      <c r="A2091" s="55"/>
    </row>
    <row r="2092" spans="1:1" x14ac:dyDescent="0.25">
      <c r="A2092" s="55"/>
    </row>
    <row r="2093" spans="1:1" x14ac:dyDescent="0.25">
      <c r="A2093" s="55"/>
    </row>
    <row r="2094" spans="1:1" x14ac:dyDescent="0.25">
      <c r="A2094" s="55"/>
    </row>
    <row r="2095" spans="1:1" x14ac:dyDescent="0.25">
      <c r="A2095" s="55"/>
    </row>
    <row r="2096" spans="1:1" x14ac:dyDescent="0.25">
      <c r="A2096" s="55"/>
    </row>
    <row r="2097" spans="1:1" x14ac:dyDescent="0.25">
      <c r="A2097" s="55"/>
    </row>
    <row r="2098" spans="1:1" x14ac:dyDescent="0.25">
      <c r="A2098" s="55"/>
    </row>
    <row r="2099" spans="1:1" x14ac:dyDescent="0.25">
      <c r="A2099" s="55"/>
    </row>
    <row r="2100" spans="1:1" x14ac:dyDescent="0.25">
      <c r="A2100" s="55"/>
    </row>
    <row r="2101" spans="1:1" x14ac:dyDescent="0.25">
      <c r="A2101" s="55"/>
    </row>
    <row r="2102" spans="1:1" x14ac:dyDescent="0.25">
      <c r="A2102" s="55"/>
    </row>
    <row r="2103" spans="1:1" x14ac:dyDescent="0.25">
      <c r="A2103" s="55"/>
    </row>
    <row r="2104" spans="1:1" x14ac:dyDescent="0.25">
      <c r="A2104" s="55"/>
    </row>
    <row r="2105" spans="1:1" x14ac:dyDescent="0.25">
      <c r="A2105" s="55"/>
    </row>
    <row r="2106" spans="1:1" x14ac:dyDescent="0.25">
      <c r="A2106" s="55"/>
    </row>
    <row r="2107" spans="1:1" x14ac:dyDescent="0.25">
      <c r="A2107" s="55"/>
    </row>
    <row r="2108" spans="1:1" x14ac:dyDescent="0.25">
      <c r="A2108" s="55"/>
    </row>
    <row r="2109" spans="1:1" x14ac:dyDescent="0.25">
      <c r="A2109" s="55"/>
    </row>
    <row r="2110" spans="1:1" x14ac:dyDescent="0.25">
      <c r="A2110" s="55"/>
    </row>
    <row r="2111" spans="1:1" x14ac:dyDescent="0.25">
      <c r="A2111" s="55"/>
    </row>
    <row r="2112" spans="1:1" x14ac:dyDescent="0.25">
      <c r="A2112" s="55"/>
    </row>
    <row r="2113" spans="1:1" x14ac:dyDescent="0.25">
      <c r="A2113" s="55"/>
    </row>
    <row r="2114" spans="1:1" x14ac:dyDescent="0.25">
      <c r="A2114" s="55"/>
    </row>
    <row r="2115" spans="1:1" x14ac:dyDescent="0.25">
      <c r="A2115" s="55"/>
    </row>
    <row r="2116" spans="1:1" x14ac:dyDescent="0.25">
      <c r="A2116" s="55"/>
    </row>
    <row r="2117" spans="1:1" x14ac:dyDescent="0.25">
      <c r="A2117" s="55"/>
    </row>
    <row r="2118" spans="1:1" x14ac:dyDescent="0.25">
      <c r="A2118" s="55"/>
    </row>
    <row r="2119" spans="1:1" x14ac:dyDescent="0.25">
      <c r="A2119" s="55"/>
    </row>
    <row r="2120" spans="1:1" x14ac:dyDescent="0.25">
      <c r="A2120" s="55"/>
    </row>
    <row r="2121" spans="1:1" x14ac:dyDescent="0.25">
      <c r="A2121" s="55"/>
    </row>
    <row r="2122" spans="1:1" x14ac:dyDescent="0.25">
      <c r="A2122" s="55"/>
    </row>
    <row r="2123" spans="1:1" x14ac:dyDescent="0.25">
      <c r="A2123" s="55"/>
    </row>
    <row r="2124" spans="1:1" x14ac:dyDescent="0.25">
      <c r="A2124" s="55"/>
    </row>
    <row r="2125" spans="1:1" x14ac:dyDescent="0.25">
      <c r="A2125" s="55"/>
    </row>
    <row r="2126" spans="1:1" x14ac:dyDescent="0.25">
      <c r="A2126" s="55"/>
    </row>
    <row r="2127" spans="1:1" x14ac:dyDescent="0.25">
      <c r="A2127" s="55"/>
    </row>
    <row r="2128" spans="1:1" x14ac:dyDescent="0.25">
      <c r="A2128" s="55"/>
    </row>
    <row r="2129" spans="1:1" x14ac:dyDescent="0.25">
      <c r="A2129" s="55"/>
    </row>
    <row r="2130" spans="1:1" x14ac:dyDescent="0.25">
      <c r="A2130" s="55"/>
    </row>
    <row r="2131" spans="1:1" x14ac:dyDescent="0.25">
      <c r="A2131" s="55"/>
    </row>
    <row r="2132" spans="1:1" x14ac:dyDescent="0.25">
      <c r="A2132" s="55"/>
    </row>
    <row r="2133" spans="1:1" x14ac:dyDescent="0.25">
      <c r="A2133" s="55"/>
    </row>
    <row r="2134" spans="1:1" x14ac:dyDescent="0.25">
      <c r="A2134" s="55"/>
    </row>
    <row r="2135" spans="1:1" x14ac:dyDescent="0.25">
      <c r="A2135" s="55"/>
    </row>
    <row r="2136" spans="1:1" x14ac:dyDescent="0.25">
      <c r="A2136" s="55"/>
    </row>
    <row r="2137" spans="1:1" x14ac:dyDescent="0.25">
      <c r="A2137" s="55"/>
    </row>
    <row r="2138" spans="1:1" x14ac:dyDescent="0.25">
      <c r="A2138" s="55"/>
    </row>
    <row r="2139" spans="1:1" x14ac:dyDescent="0.25">
      <c r="A2139" s="55"/>
    </row>
    <row r="2140" spans="1:1" x14ac:dyDescent="0.25">
      <c r="A2140" s="55"/>
    </row>
    <row r="2141" spans="1:1" x14ac:dyDescent="0.25">
      <c r="A2141" s="55"/>
    </row>
    <row r="2142" spans="1:1" x14ac:dyDescent="0.25">
      <c r="A2142" s="55"/>
    </row>
    <row r="2143" spans="1:1" x14ac:dyDescent="0.25">
      <c r="A2143" s="55"/>
    </row>
    <row r="2144" spans="1:1" x14ac:dyDescent="0.25">
      <c r="A2144" s="55"/>
    </row>
    <row r="2145" spans="1:1" x14ac:dyDescent="0.25">
      <c r="A2145" s="55"/>
    </row>
    <row r="2146" spans="1:1" x14ac:dyDescent="0.25">
      <c r="A2146" s="55"/>
    </row>
    <row r="2147" spans="1:1" x14ac:dyDescent="0.25">
      <c r="A2147" s="55"/>
    </row>
    <row r="2148" spans="1:1" x14ac:dyDescent="0.25">
      <c r="A2148" s="55"/>
    </row>
    <row r="2149" spans="1:1" x14ac:dyDescent="0.25">
      <c r="A2149" s="55"/>
    </row>
    <row r="2150" spans="1:1" x14ac:dyDescent="0.25">
      <c r="A2150" s="55"/>
    </row>
    <row r="2151" spans="1:1" x14ac:dyDescent="0.25">
      <c r="A2151" s="55"/>
    </row>
    <row r="2152" spans="1:1" x14ac:dyDescent="0.25">
      <c r="A2152" s="55"/>
    </row>
    <row r="2153" spans="1:1" x14ac:dyDescent="0.25">
      <c r="A2153" s="55"/>
    </row>
    <row r="2154" spans="1:1" x14ac:dyDescent="0.25">
      <c r="A2154" s="55"/>
    </row>
    <row r="2155" spans="1:1" x14ac:dyDescent="0.25">
      <c r="A2155" s="55"/>
    </row>
    <row r="2156" spans="1:1" x14ac:dyDescent="0.25">
      <c r="A2156" s="55"/>
    </row>
    <row r="2157" spans="1:1" x14ac:dyDescent="0.25">
      <c r="A2157" s="55"/>
    </row>
    <row r="2158" spans="1:1" x14ac:dyDescent="0.25">
      <c r="A2158" s="55"/>
    </row>
    <row r="2159" spans="1:1" x14ac:dyDescent="0.25">
      <c r="A2159" s="55"/>
    </row>
    <row r="2160" spans="1:1" x14ac:dyDescent="0.25">
      <c r="A2160" s="55"/>
    </row>
    <row r="2161" spans="1:1" x14ac:dyDescent="0.25">
      <c r="A2161" s="55"/>
    </row>
    <row r="2162" spans="1:1" x14ac:dyDescent="0.25">
      <c r="A2162" s="55"/>
    </row>
    <row r="2163" spans="1:1" x14ac:dyDescent="0.25">
      <c r="A2163" s="55"/>
    </row>
    <row r="2164" spans="1:1" x14ac:dyDescent="0.25">
      <c r="A2164" s="55"/>
    </row>
    <row r="2165" spans="1:1" x14ac:dyDescent="0.25">
      <c r="A2165" s="55"/>
    </row>
    <row r="2166" spans="1:1" x14ac:dyDescent="0.25">
      <c r="A2166" s="55"/>
    </row>
    <row r="2167" spans="1:1" x14ac:dyDescent="0.25">
      <c r="A2167" s="55"/>
    </row>
    <row r="2168" spans="1:1" x14ac:dyDescent="0.25">
      <c r="A2168" s="55"/>
    </row>
    <row r="2169" spans="1:1" x14ac:dyDescent="0.25">
      <c r="A2169" s="55"/>
    </row>
    <row r="2170" spans="1:1" x14ac:dyDescent="0.25">
      <c r="A2170" s="55"/>
    </row>
    <row r="2171" spans="1:1" x14ac:dyDescent="0.25">
      <c r="A2171" s="55"/>
    </row>
    <row r="2172" spans="1:1" x14ac:dyDescent="0.25">
      <c r="A2172" s="55"/>
    </row>
    <row r="2173" spans="1:1" x14ac:dyDescent="0.25">
      <c r="A2173" s="55"/>
    </row>
    <row r="2174" spans="1:1" x14ac:dyDescent="0.25">
      <c r="A2174" s="55"/>
    </row>
    <row r="2175" spans="1:1" x14ac:dyDescent="0.25">
      <c r="A2175" s="55"/>
    </row>
    <row r="2176" spans="1:1" x14ac:dyDescent="0.25">
      <c r="A2176" s="55"/>
    </row>
    <row r="2177" spans="1:1" x14ac:dyDescent="0.25">
      <c r="A2177" s="55"/>
    </row>
    <row r="2178" spans="1:1" x14ac:dyDescent="0.25">
      <c r="A2178" s="55"/>
    </row>
    <row r="2179" spans="1:1" x14ac:dyDescent="0.25">
      <c r="A2179" s="55"/>
    </row>
    <row r="2180" spans="1:1" x14ac:dyDescent="0.25">
      <c r="A2180" s="55"/>
    </row>
    <row r="2181" spans="1:1" x14ac:dyDescent="0.25">
      <c r="A2181" s="55"/>
    </row>
    <row r="2182" spans="1:1" x14ac:dyDescent="0.25">
      <c r="A2182" s="55"/>
    </row>
    <row r="2183" spans="1:1" x14ac:dyDescent="0.25">
      <c r="A2183" s="55"/>
    </row>
    <row r="2184" spans="1:1" x14ac:dyDescent="0.25">
      <c r="A2184" s="55"/>
    </row>
    <row r="2185" spans="1:1" x14ac:dyDescent="0.25">
      <c r="A2185" s="55"/>
    </row>
    <row r="2186" spans="1:1" x14ac:dyDescent="0.25">
      <c r="A2186" s="55"/>
    </row>
    <row r="2187" spans="1:1" x14ac:dyDescent="0.25">
      <c r="A2187" s="55"/>
    </row>
    <row r="2188" spans="1:1" x14ac:dyDescent="0.25">
      <c r="A2188" s="55"/>
    </row>
    <row r="2189" spans="1:1" x14ac:dyDescent="0.25">
      <c r="A2189" s="55"/>
    </row>
    <row r="2190" spans="1:1" x14ac:dyDescent="0.25">
      <c r="A2190" s="55"/>
    </row>
    <row r="2191" spans="1:1" x14ac:dyDescent="0.25">
      <c r="A2191" s="55"/>
    </row>
    <row r="2192" spans="1:1" x14ac:dyDescent="0.25">
      <c r="A2192" s="55"/>
    </row>
    <row r="2193" spans="1:1" x14ac:dyDescent="0.25">
      <c r="A2193" s="55"/>
    </row>
    <row r="2194" spans="1:1" x14ac:dyDescent="0.25">
      <c r="A2194" s="55"/>
    </row>
    <row r="2195" spans="1:1" x14ac:dyDescent="0.25">
      <c r="A2195" s="55"/>
    </row>
    <row r="2196" spans="1:1" x14ac:dyDescent="0.25">
      <c r="A2196" s="55"/>
    </row>
    <row r="2197" spans="1:1" x14ac:dyDescent="0.25">
      <c r="A2197" s="55"/>
    </row>
    <row r="2198" spans="1:1" x14ac:dyDescent="0.25">
      <c r="A2198" s="55"/>
    </row>
    <row r="2199" spans="1:1" x14ac:dyDescent="0.25">
      <c r="A2199" s="55"/>
    </row>
    <row r="2200" spans="1:1" x14ac:dyDescent="0.25">
      <c r="A2200" s="55"/>
    </row>
    <row r="2201" spans="1:1" x14ac:dyDescent="0.25">
      <c r="A2201" s="55"/>
    </row>
    <row r="2202" spans="1:1" x14ac:dyDescent="0.25">
      <c r="A2202" s="55"/>
    </row>
    <row r="2203" spans="1:1" x14ac:dyDescent="0.25">
      <c r="A2203" s="55"/>
    </row>
    <row r="2204" spans="1:1" x14ac:dyDescent="0.25">
      <c r="A2204" s="55"/>
    </row>
    <row r="2205" spans="1:1" x14ac:dyDescent="0.25">
      <c r="A2205" s="55"/>
    </row>
    <row r="2206" spans="1:1" x14ac:dyDescent="0.25">
      <c r="A2206" s="55"/>
    </row>
    <row r="2207" spans="1:1" x14ac:dyDescent="0.25">
      <c r="A2207" s="55"/>
    </row>
    <row r="2208" spans="1:1" x14ac:dyDescent="0.25">
      <c r="A2208" s="55"/>
    </row>
    <row r="2209" spans="1:1" x14ac:dyDescent="0.25">
      <c r="A2209" s="55"/>
    </row>
    <row r="2210" spans="1:1" x14ac:dyDescent="0.25">
      <c r="A2210" s="55"/>
    </row>
    <row r="2211" spans="1:1" x14ac:dyDescent="0.25">
      <c r="A2211" s="55"/>
    </row>
    <row r="2212" spans="1:1" x14ac:dyDescent="0.25">
      <c r="A2212" s="55"/>
    </row>
    <row r="2213" spans="1:1" x14ac:dyDescent="0.25">
      <c r="A2213" s="55"/>
    </row>
    <row r="2214" spans="1:1" x14ac:dyDescent="0.25">
      <c r="A2214" s="55"/>
    </row>
    <row r="2215" spans="1:1" x14ac:dyDescent="0.25">
      <c r="A2215" s="55"/>
    </row>
    <row r="2216" spans="1:1" x14ac:dyDescent="0.25">
      <c r="A2216" s="55"/>
    </row>
    <row r="2217" spans="1:1" x14ac:dyDescent="0.25">
      <c r="A2217" s="55"/>
    </row>
    <row r="2218" spans="1:1" x14ac:dyDescent="0.25">
      <c r="A2218" s="55"/>
    </row>
    <row r="2219" spans="1:1" x14ac:dyDescent="0.25">
      <c r="A2219" s="55"/>
    </row>
    <row r="2220" spans="1:1" x14ac:dyDescent="0.25">
      <c r="A2220" s="55"/>
    </row>
    <row r="2221" spans="1:1" x14ac:dyDescent="0.25">
      <c r="A2221" s="55"/>
    </row>
    <row r="2222" spans="1:1" x14ac:dyDescent="0.25">
      <c r="A2222" s="55"/>
    </row>
    <row r="2223" spans="1:1" x14ac:dyDescent="0.25">
      <c r="A2223" s="55"/>
    </row>
    <row r="2224" spans="1:1" x14ac:dyDescent="0.25">
      <c r="A2224" s="55"/>
    </row>
    <row r="2225" spans="1:1" x14ac:dyDescent="0.25">
      <c r="A2225" s="55"/>
    </row>
    <row r="2226" spans="1:1" x14ac:dyDescent="0.25">
      <c r="A2226" s="55"/>
    </row>
    <row r="2227" spans="1:1" x14ac:dyDescent="0.25">
      <c r="A2227" s="55"/>
    </row>
    <row r="2228" spans="1:1" x14ac:dyDescent="0.25">
      <c r="A2228" s="55"/>
    </row>
    <row r="2229" spans="1:1" x14ac:dyDescent="0.25">
      <c r="A2229" s="55"/>
    </row>
    <row r="2230" spans="1:1" x14ac:dyDescent="0.25">
      <c r="A2230" s="55"/>
    </row>
    <row r="2231" spans="1:1" x14ac:dyDescent="0.25">
      <c r="A2231" s="55"/>
    </row>
    <row r="2232" spans="1:1" x14ac:dyDescent="0.25">
      <c r="A2232" s="55"/>
    </row>
    <row r="2233" spans="1:1" x14ac:dyDescent="0.25">
      <c r="A2233" s="55"/>
    </row>
    <row r="2234" spans="1:1" x14ac:dyDescent="0.25">
      <c r="A2234" s="55"/>
    </row>
    <row r="2235" spans="1:1" x14ac:dyDescent="0.25">
      <c r="A2235" s="55"/>
    </row>
    <row r="2236" spans="1:1" x14ac:dyDescent="0.25">
      <c r="A2236" s="55"/>
    </row>
    <row r="2237" spans="1:1" x14ac:dyDescent="0.25">
      <c r="A2237" s="55"/>
    </row>
    <row r="2238" spans="1:1" x14ac:dyDescent="0.25">
      <c r="A2238" s="55"/>
    </row>
    <row r="2239" spans="1:1" x14ac:dyDescent="0.25">
      <c r="A2239" s="55"/>
    </row>
    <row r="2240" spans="1:1" x14ac:dyDescent="0.25">
      <c r="A2240" s="55"/>
    </row>
    <row r="2241" spans="1:1" x14ac:dyDescent="0.25">
      <c r="A2241" s="55"/>
    </row>
    <row r="2242" spans="1:1" x14ac:dyDescent="0.25">
      <c r="A2242" s="55"/>
    </row>
    <row r="2243" spans="1:1" x14ac:dyDescent="0.25">
      <c r="A2243" s="55"/>
    </row>
    <row r="2244" spans="1:1" x14ac:dyDescent="0.25">
      <c r="A2244" s="55"/>
    </row>
    <row r="2245" spans="1:1" x14ac:dyDescent="0.25">
      <c r="A2245" s="55"/>
    </row>
    <row r="2246" spans="1:1" x14ac:dyDescent="0.25">
      <c r="A2246" s="55"/>
    </row>
    <row r="2247" spans="1:1" x14ac:dyDescent="0.25">
      <c r="A2247" s="55"/>
    </row>
    <row r="2248" spans="1:1" x14ac:dyDescent="0.25">
      <c r="A2248" s="55"/>
    </row>
    <row r="2249" spans="1:1" x14ac:dyDescent="0.25">
      <c r="A2249" s="55"/>
    </row>
    <row r="2250" spans="1:1" x14ac:dyDescent="0.25">
      <c r="A2250" s="55"/>
    </row>
    <row r="2251" spans="1:1" x14ac:dyDescent="0.25">
      <c r="A2251" s="55"/>
    </row>
    <row r="2252" spans="1:1" x14ac:dyDescent="0.25">
      <c r="A2252" s="55"/>
    </row>
    <row r="2253" spans="1:1" x14ac:dyDescent="0.25">
      <c r="A2253" s="55"/>
    </row>
    <row r="2254" spans="1:1" x14ac:dyDescent="0.25">
      <c r="A2254" s="55"/>
    </row>
    <row r="2255" spans="1:1" x14ac:dyDescent="0.25">
      <c r="A2255" s="55"/>
    </row>
    <row r="2256" spans="1:1" x14ac:dyDescent="0.25">
      <c r="A2256" s="55"/>
    </row>
    <row r="2257" spans="1:1" x14ac:dyDescent="0.25">
      <c r="A2257" s="55"/>
    </row>
    <row r="2258" spans="1:1" x14ac:dyDescent="0.25">
      <c r="A2258" s="55"/>
    </row>
    <row r="2259" spans="1:1" x14ac:dyDescent="0.25">
      <c r="A2259" s="55"/>
    </row>
    <row r="2260" spans="1:1" x14ac:dyDescent="0.25">
      <c r="A2260" s="55"/>
    </row>
    <row r="2261" spans="1:1" x14ac:dyDescent="0.25">
      <c r="A2261" s="55"/>
    </row>
    <row r="2262" spans="1:1" x14ac:dyDescent="0.25">
      <c r="A2262" s="55"/>
    </row>
    <row r="2263" spans="1:1" x14ac:dyDescent="0.25">
      <c r="A2263" s="55"/>
    </row>
    <row r="2264" spans="1:1" x14ac:dyDescent="0.25">
      <c r="A2264" s="55"/>
    </row>
    <row r="2265" spans="1:1" x14ac:dyDescent="0.25">
      <c r="A2265" s="55"/>
    </row>
    <row r="2266" spans="1:1" x14ac:dyDescent="0.25">
      <c r="A2266" s="55"/>
    </row>
    <row r="2267" spans="1:1" x14ac:dyDescent="0.25">
      <c r="A2267" s="55"/>
    </row>
    <row r="2268" spans="1:1" x14ac:dyDescent="0.25">
      <c r="A2268" s="55"/>
    </row>
    <row r="2269" spans="1:1" x14ac:dyDescent="0.25">
      <c r="A2269" s="55"/>
    </row>
    <row r="2270" spans="1:1" x14ac:dyDescent="0.25">
      <c r="A2270" s="55"/>
    </row>
    <row r="2271" spans="1:1" x14ac:dyDescent="0.25">
      <c r="A2271" s="55"/>
    </row>
    <row r="2272" spans="1:1" x14ac:dyDescent="0.25">
      <c r="A2272" s="55"/>
    </row>
    <row r="2273" spans="1:1" x14ac:dyDescent="0.25">
      <c r="A2273" s="55"/>
    </row>
    <row r="2274" spans="1:1" x14ac:dyDescent="0.25">
      <c r="A2274" s="55"/>
    </row>
    <row r="2275" spans="1:1" x14ac:dyDescent="0.25">
      <c r="A2275" s="55"/>
    </row>
    <row r="2276" spans="1:1" x14ac:dyDescent="0.25">
      <c r="A2276" s="55"/>
    </row>
    <row r="2277" spans="1:1" x14ac:dyDescent="0.25">
      <c r="A2277" s="55"/>
    </row>
    <row r="2278" spans="1:1" x14ac:dyDescent="0.25">
      <c r="A2278" s="55"/>
    </row>
    <row r="2279" spans="1:1" x14ac:dyDescent="0.25">
      <c r="A2279" s="55"/>
    </row>
    <row r="2280" spans="1:1" x14ac:dyDescent="0.25">
      <c r="A2280" s="55"/>
    </row>
    <row r="2281" spans="1:1" x14ac:dyDescent="0.25">
      <c r="A2281" s="55"/>
    </row>
    <row r="2282" spans="1:1" x14ac:dyDescent="0.25">
      <c r="A2282" s="55"/>
    </row>
    <row r="2283" spans="1:1" x14ac:dyDescent="0.25">
      <c r="A2283" s="55"/>
    </row>
    <row r="2284" spans="1:1" x14ac:dyDescent="0.25">
      <c r="A2284" s="55"/>
    </row>
    <row r="2285" spans="1:1" x14ac:dyDescent="0.25">
      <c r="A2285" s="55"/>
    </row>
    <row r="2286" spans="1:1" x14ac:dyDescent="0.25">
      <c r="A2286" s="55"/>
    </row>
    <row r="2287" spans="1:1" x14ac:dyDescent="0.25">
      <c r="A2287" s="55"/>
    </row>
    <row r="2288" spans="1:1" x14ac:dyDescent="0.25">
      <c r="A2288" s="55"/>
    </row>
    <row r="2289" spans="1:1" x14ac:dyDescent="0.25">
      <c r="A2289" s="55"/>
    </row>
    <row r="2290" spans="1:1" x14ac:dyDescent="0.25">
      <c r="A2290" s="55"/>
    </row>
    <row r="2291" spans="1:1" x14ac:dyDescent="0.25">
      <c r="A2291" s="55"/>
    </row>
    <row r="2292" spans="1:1" x14ac:dyDescent="0.25">
      <c r="A2292" s="55"/>
    </row>
    <row r="2293" spans="1:1" x14ac:dyDescent="0.25">
      <c r="A2293" s="55"/>
    </row>
    <row r="2294" spans="1:1" x14ac:dyDescent="0.25">
      <c r="A2294" s="55"/>
    </row>
    <row r="2295" spans="1:1" x14ac:dyDescent="0.25">
      <c r="A2295" s="55"/>
    </row>
    <row r="2296" spans="1:1" x14ac:dyDescent="0.25">
      <c r="A2296" s="55"/>
    </row>
    <row r="2297" spans="1:1" x14ac:dyDescent="0.25">
      <c r="A2297" s="55"/>
    </row>
    <row r="2298" spans="1:1" x14ac:dyDescent="0.25">
      <c r="A2298" s="55"/>
    </row>
    <row r="2299" spans="1:1" x14ac:dyDescent="0.25">
      <c r="A2299" s="55"/>
    </row>
    <row r="2300" spans="1:1" x14ac:dyDescent="0.25">
      <c r="A2300" s="55"/>
    </row>
    <row r="2301" spans="1:1" x14ac:dyDescent="0.25">
      <c r="A2301" s="55"/>
    </row>
    <row r="2302" spans="1:1" x14ac:dyDescent="0.25">
      <c r="A2302" s="55"/>
    </row>
    <row r="2303" spans="1:1" x14ac:dyDescent="0.25">
      <c r="A2303" s="55"/>
    </row>
    <row r="2304" spans="1:1" x14ac:dyDescent="0.25">
      <c r="A2304" s="55"/>
    </row>
    <row r="2305" spans="1:1" x14ac:dyDescent="0.25">
      <c r="A2305" s="55"/>
    </row>
    <row r="2306" spans="1:1" x14ac:dyDescent="0.25">
      <c r="A2306" s="55"/>
    </row>
    <row r="2307" spans="1:1" x14ac:dyDescent="0.25">
      <c r="A2307" s="55"/>
    </row>
    <row r="2308" spans="1:1" x14ac:dyDescent="0.25">
      <c r="A2308" s="55"/>
    </row>
    <row r="2309" spans="1:1" x14ac:dyDescent="0.25">
      <c r="A2309" s="55"/>
    </row>
    <row r="2310" spans="1:1" x14ac:dyDescent="0.25">
      <c r="A2310" s="55"/>
    </row>
    <row r="2311" spans="1:1" x14ac:dyDescent="0.25">
      <c r="A2311" s="55"/>
    </row>
    <row r="2312" spans="1:1" x14ac:dyDescent="0.25">
      <c r="A2312" s="55"/>
    </row>
    <row r="2313" spans="1:1" x14ac:dyDescent="0.25">
      <c r="A2313" s="55"/>
    </row>
    <row r="2314" spans="1:1" x14ac:dyDescent="0.25">
      <c r="A2314" s="55"/>
    </row>
    <row r="2315" spans="1:1" x14ac:dyDescent="0.25">
      <c r="A2315" s="55"/>
    </row>
    <row r="2316" spans="1:1" x14ac:dyDescent="0.25">
      <c r="A2316" s="55"/>
    </row>
    <row r="2317" spans="1:1" x14ac:dyDescent="0.25">
      <c r="A2317" s="55"/>
    </row>
    <row r="2318" spans="1:1" x14ac:dyDescent="0.25">
      <c r="A2318" s="55"/>
    </row>
    <row r="2319" spans="1:1" x14ac:dyDescent="0.25">
      <c r="A2319" s="55"/>
    </row>
    <row r="2320" spans="1:1" x14ac:dyDescent="0.25">
      <c r="A2320" s="55"/>
    </row>
    <row r="2321" spans="1:1" x14ac:dyDescent="0.25">
      <c r="A2321" s="55"/>
    </row>
    <row r="2322" spans="1:1" x14ac:dyDescent="0.25">
      <c r="A2322" s="55"/>
    </row>
    <row r="2323" spans="1:1" x14ac:dyDescent="0.25">
      <c r="A2323" s="55"/>
    </row>
    <row r="2324" spans="1:1" x14ac:dyDescent="0.25">
      <c r="A2324" s="55"/>
    </row>
    <row r="2325" spans="1:1" x14ac:dyDescent="0.25">
      <c r="A2325" s="55"/>
    </row>
    <row r="2326" spans="1:1" x14ac:dyDescent="0.25">
      <c r="A2326" s="55"/>
    </row>
    <row r="2327" spans="1:1" x14ac:dyDescent="0.25">
      <c r="A2327" s="55"/>
    </row>
    <row r="2328" spans="1:1" x14ac:dyDescent="0.25">
      <c r="A2328" s="55"/>
    </row>
    <row r="2329" spans="1:1" x14ac:dyDescent="0.25">
      <c r="A2329" s="55"/>
    </row>
    <row r="2330" spans="1:1" x14ac:dyDescent="0.25">
      <c r="A2330" s="55"/>
    </row>
    <row r="2331" spans="1:1" x14ac:dyDescent="0.25">
      <c r="A2331" s="55"/>
    </row>
    <row r="2332" spans="1:1" x14ac:dyDescent="0.25">
      <c r="A2332" s="55"/>
    </row>
    <row r="2333" spans="1:1" x14ac:dyDescent="0.25">
      <c r="A2333" s="55"/>
    </row>
    <row r="2334" spans="1:1" x14ac:dyDescent="0.25">
      <c r="A2334" s="55"/>
    </row>
    <row r="2335" spans="1:1" x14ac:dyDescent="0.25">
      <c r="A2335" s="55"/>
    </row>
    <row r="2336" spans="1:1" x14ac:dyDescent="0.25">
      <c r="A2336" s="55"/>
    </row>
    <row r="2337" spans="1:1" x14ac:dyDescent="0.25">
      <c r="A2337" s="55"/>
    </row>
    <row r="2338" spans="1:1" x14ac:dyDescent="0.25">
      <c r="A2338" s="55"/>
    </row>
    <row r="2339" spans="1:1" x14ac:dyDescent="0.25">
      <c r="A2339" s="55"/>
    </row>
    <row r="2340" spans="1:1" x14ac:dyDescent="0.25">
      <c r="A2340" s="55"/>
    </row>
    <row r="2341" spans="1:1" x14ac:dyDescent="0.25">
      <c r="A2341" s="55"/>
    </row>
    <row r="2342" spans="1:1" x14ac:dyDescent="0.25">
      <c r="A2342" s="55"/>
    </row>
    <row r="2343" spans="1:1" x14ac:dyDescent="0.25">
      <c r="A2343" s="55"/>
    </row>
    <row r="2344" spans="1:1" x14ac:dyDescent="0.25">
      <c r="A2344" s="55"/>
    </row>
    <row r="2345" spans="1:1" x14ac:dyDescent="0.25">
      <c r="A2345" s="55"/>
    </row>
    <row r="2346" spans="1:1" x14ac:dyDescent="0.25">
      <c r="A2346" s="55"/>
    </row>
    <row r="2347" spans="1:1" x14ac:dyDescent="0.25">
      <c r="A2347" s="55"/>
    </row>
    <row r="2348" spans="1:1" x14ac:dyDescent="0.25">
      <c r="A2348" s="55"/>
    </row>
    <row r="2349" spans="1:1" x14ac:dyDescent="0.25">
      <c r="A2349" s="55"/>
    </row>
    <row r="2350" spans="1:1" x14ac:dyDescent="0.25">
      <c r="A2350" s="55"/>
    </row>
    <row r="2351" spans="1:1" x14ac:dyDescent="0.25">
      <c r="A2351" s="55"/>
    </row>
    <row r="2352" spans="1:1" x14ac:dyDescent="0.25">
      <c r="A2352" s="55"/>
    </row>
    <row r="2353" spans="1:1" x14ac:dyDescent="0.25">
      <c r="A2353" s="55"/>
    </row>
    <row r="2354" spans="1:1" x14ac:dyDescent="0.25">
      <c r="A2354" s="55"/>
    </row>
    <row r="2355" spans="1:1" x14ac:dyDescent="0.25">
      <c r="A2355" s="55"/>
    </row>
    <row r="2356" spans="1:1" x14ac:dyDescent="0.25">
      <c r="A2356" s="55"/>
    </row>
    <row r="2357" spans="1:1" x14ac:dyDescent="0.25">
      <c r="A2357" s="55"/>
    </row>
    <row r="2358" spans="1:1" x14ac:dyDescent="0.25">
      <c r="A2358" s="55"/>
    </row>
    <row r="2359" spans="1:1" x14ac:dyDescent="0.25">
      <c r="A2359" s="55"/>
    </row>
    <row r="2360" spans="1:1" x14ac:dyDescent="0.25">
      <c r="A2360" s="55"/>
    </row>
    <row r="2361" spans="1:1" x14ac:dyDescent="0.25">
      <c r="A2361" s="55"/>
    </row>
    <row r="2362" spans="1:1" x14ac:dyDescent="0.25">
      <c r="A2362" s="55"/>
    </row>
    <row r="2363" spans="1:1" x14ac:dyDescent="0.25">
      <c r="A2363" s="55"/>
    </row>
    <row r="2364" spans="1:1" x14ac:dyDescent="0.25">
      <c r="A2364" s="55"/>
    </row>
    <row r="2365" spans="1:1" x14ac:dyDescent="0.25">
      <c r="A2365" s="55"/>
    </row>
    <row r="2366" spans="1:1" x14ac:dyDescent="0.25">
      <c r="A2366" s="55"/>
    </row>
    <row r="2367" spans="1:1" x14ac:dyDescent="0.25">
      <c r="A2367" s="55"/>
    </row>
    <row r="2368" spans="1:1" x14ac:dyDescent="0.25">
      <c r="A2368" s="55"/>
    </row>
    <row r="2369" spans="1:1" x14ac:dyDescent="0.25">
      <c r="A2369" s="55"/>
    </row>
    <row r="2370" spans="1:1" x14ac:dyDescent="0.25">
      <c r="A2370" s="55"/>
    </row>
    <row r="2371" spans="1:1" x14ac:dyDescent="0.25">
      <c r="A2371" s="55"/>
    </row>
    <row r="2372" spans="1:1" x14ac:dyDescent="0.25">
      <c r="A2372" s="55"/>
    </row>
    <row r="2373" spans="1:1" x14ac:dyDescent="0.25">
      <c r="A2373" s="55"/>
    </row>
    <row r="2374" spans="1:1" x14ac:dyDescent="0.25">
      <c r="A2374" s="55"/>
    </row>
    <row r="2375" spans="1:1" x14ac:dyDescent="0.25">
      <c r="A2375" s="55"/>
    </row>
    <row r="2376" spans="1:1" x14ac:dyDescent="0.25">
      <c r="A2376" s="55"/>
    </row>
    <row r="2377" spans="1:1" x14ac:dyDescent="0.25">
      <c r="A2377" s="55"/>
    </row>
    <row r="2378" spans="1:1" x14ac:dyDescent="0.25">
      <c r="A2378" s="55"/>
    </row>
    <row r="2379" spans="1:1" x14ac:dyDescent="0.25">
      <c r="A2379" s="55"/>
    </row>
    <row r="2380" spans="1:1" x14ac:dyDescent="0.25">
      <c r="A2380" s="55"/>
    </row>
    <row r="2381" spans="1:1" x14ac:dyDescent="0.25">
      <c r="A2381" s="55"/>
    </row>
    <row r="2382" spans="1:1" x14ac:dyDescent="0.25">
      <c r="A2382" s="55"/>
    </row>
    <row r="2383" spans="1:1" x14ac:dyDescent="0.25">
      <c r="A2383" s="55"/>
    </row>
    <row r="2384" spans="1:1" x14ac:dyDescent="0.25">
      <c r="A2384" s="55"/>
    </row>
    <row r="2385" spans="1:1" x14ac:dyDescent="0.25">
      <c r="A2385" s="55"/>
    </row>
    <row r="2386" spans="1:1" x14ac:dyDescent="0.25">
      <c r="A2386" s="55"/>
    </row>
    <row r="2387" spans="1:1" x14ac:dyDescent="0.25">
      <c r="A2387" s="55"/>
    </row>
    <row r="2388" spans="1:1" x14ac:dyDescent="0.25">
      <c r="A2388" s="55"/>
    </row>
    <row r="2389" spans="1:1" x14ac:dyDescent="0.25">
      <c r="A2389" s="55"/>
    </row>
    <row r="2390" spans="1:1" x14ac:dyDescent="0.25">
      <c r="A2390" s="55"/>
    </row>
    <row r="2391" spans="1:1" x14ac:dyDescent="0.25">
      <c r="A2391" s="55"/>
    </row>
    <row r="2392" spans="1:1" x14ac:dyDescent="0.25">
      <c r="A2392" s="55"/>
    </row>
    <row r="2393" spans="1:1" x14ac:dyDescent="0.25">
      <c r="A2393" s="55"/>
    </row>
    <row r="2394" spans="1:1" x14ac:dyDescent="0.25">
      <c r="A2394" s="55"/>
    </row>
    <row r="2395" spans="1:1" x14ac:dyDescent="0.25">
      <c r="A2395" s="55"/>
    </row>
    <row r="2396" spans="1:1" x14ac:dyDescent="0.25">
      <c r="A2396" s="55"/>
    </row>
    <row r="2397" spans="1:1" x14ac:dyDescent="0.25">
      <c r="A2397" s="55"/>
    </row>
    <row r="2398" spans="1:1" x14ac:dyDescent="0.25">
      <c r="A2398" s="55"/>
    </row>
    <row r="2399" spans="1:1" x14ac:dyDescent="0.25">
      <c r="A2399" s="55"/>
    </row>
    <row r="2400" spans="1:1" x14ac:dyDescent="0.25">
      <c r="A2400" s="55"/>
    </row>
    <row r="2401" spans="1:1" x14ac:dyDescent="0.25">
      <c r="A2401" s="55"/>
    </row>
    <row r="2402" spans="1:1" x14ac:dyDescent="0.25">
      <c r="A2402" s="55"/>
    </row>
    <row r="2403" spans="1:1" x14ac:dyDescent="0.25">
      <c r="A2403" s="55"/>
    </row>
    <row r="2404" spans="1:1" x14ac:dyDescent="0.25">
      <c r="A2404" s="55"/>
    </row>
    <row r="2405" spans="1:1" x14ac:dyDescent="0.25">
      <c r="A2405" s="55"/>
    </row>
    <row r="2406" spans="1:1" x14ac:dyDescent="0.25">
      <c r="A2406" s="55"/>
    </row>
    <row r="2407" spans="1:1" x14ac:dyDescent="0.25">
      <c r="A2407" s="55"/>
    </row>
    <row r="2408" spans="1:1" x14ac:dyDescent="0.25">
      <c r="A2408" s="55"/>
    </row>
    <row r="2409" spans="1:1" x14ac:dyDescent="0.25">
      <c r="A2409" s="55"/>
    </row>
    <row r="2410" spans="1:1" x14ac:dyDescent="0.25">
      <c r="A2410" s="55"/>
    </row>
    <row r="2411" spans="1:1" x14ac:dyDescent="0.25">
      <c r="A2411" s="55"/>
    </row>
    <row r="2412" spans="1:1" x14ac:dyDescent="0.25">
      <c r="A2412" s="55"/>
    </row>
    <row r="2413" spans="1:1" x14ac:dyDescent="0.25">
      <c r="A2413" s="55"/>
    </row>
    <row r="2414" spans="1:1" x14ac:dyDescent="0.25">
      <c r="A2414" s="55"/>
    </row>
    <row r="2415" spans="1:1" x14ac:dyDescent="0.25">
      <c r="A2415" s="55"/>
    </row>
    <row r="2416" spans="1:1" x14ac:dyDescent="0.25">
      <c r="A2416" s="55"/>
    </row>
    <row r="2417" spans="1:1" x14ac:dyDescent="0.25">
      <c r="A2417" s="55"/>
    </row>
    <row r="2418" spans="1:1" x14ac:dyDescent="0.25">
      <c r="A2418" s="55"/>
    </row>
    <row r="2419" spans="1:1" x14ac:dyDescent="0.25">
      <c r="A2419" s="55"/>
    </row>
    <row r="2420" spans="1:1" x14ac:dyDescent="0.25">
      <c r="A2420" s="55"/>
    </row>
    <row r="2421" spans="1:1" x14ac:dyDescent="0.25">
      <c r="A2421" s="55"/>
    </row>
    <row r="2422" spans="1:1" x14ac:dyDescent="0.25">
      <c r="A2422" s="55"/>
    </row>
    <row r="2423" spans="1:1" x14ac:dyDescent="0.25">
      <c r="A2423" s="55"/>
    </row>
    <row r="2424" spans="1:1" x14ac:dyDescent="0.25">
      <c r="A2424" s="55"/>
    </row>
    <row r="2425" spans="1:1" x14ac:dyDescent="0.25">
      <c r="A2425" s="55"/>
    </row>
    <row r="2426" spans="1:1" x14ac:dyDescent="0.25">
      <c r="A2426" s="55"/>
    </row>
    <row r="2427" spans="1:1" x14ac:dyDescent="0.25">
      <c r="A2427" s="55"/>
    </row>
    <row r="2428" spans="1:1" x14ac:dyDescent="0.25">
      <c r="A2428" s="55"/>
    </row>
    <row r="2429" spans="1:1" x14ac:dyDescent="0.25">
      <c r="A2429" s="55"/>
    </row>
    <row r="2430" spans="1:1" x14ac:dyDescent="0.25">
      <c r="A2430" s="55"/>
    </row>
    <row r="2431" spans="1:1" x14ac:dyDescent="0.25">
      <c r="A2431" s="55"/>
    </row>
    <row r="2432" spans="1:1" x14ac:dyDescent="0.25">
      <c r="A2432" s="55"/>
    </row>
    <row r="2433" spans="1:1" x14ac:dyDescent="0.25">
      <c r="A2433" s="55"/>
    </row>
    <row r="2434" spans="1:1" x14ac:dyDescent="0.25">
      <c r="A2434" s="55"/>
    </row>
    <row r="2435" spans="1:1" x14ac:dyDescent="0.25">
      <c r="A2435" s="55"/>
    </row>
    <row r="2436" spans="1:1" x14ac:dyDescent="0.25">
      <c r="A2436" s="55"/>
    </row>
    <row r="2437" spans="1:1" x14ac:dyDescent="0.25">
      <c r="A2437" s="55"/>
    </row>
    <row r="2438" spans="1:1" x14ac:dyDescent="0.25">
      <c r="A2438" s="55"/>
    </row>
    <row r="2439" spans="1:1" x14ac:dyDescent="0.25">
      <c r="A2439" s="55"/>
    </row>
    <row r="2440" spans="1:1" x14ac:dyDescent="0.25">
      <c r="A2440" s="55"/>
    </row>
    <row r="2441" spans="1:1" x14ac:dyDescent="0.25">
      <c r="A2441" s="55"/>
    </row>
    <row r="2442" spans="1:1" x14ac:dyDescent="0.25">
      <c r="A2442" s="55"/>
    </row>
    <row r="2443" spans="1:1" x14ac:dyDescent="0.25">
      <c r="A2443" s="55"/>
    </row>
    <row r="2444" spans="1:1" x14ac:dyDescent="0.25">
      <c r="A2444" s="55"/>
    </row>
    <row r="2445" spans="1:1" x14ac:dyDescent="0.25">
      <c r="A2445" s="55"/>
    </row>
    <row r="2446" spans="1:1" x14ac:dyDescent="0.25">
      <c r="A2446" s="55"/>
    </row>
    <row r="2447" spans="1:1" x14ac:dyDescent="0.25">
      <c r="A2447" s="55"/>
    </row>
    <row r="2448" spans="1:1" x14ac:dyDescent="0.25">
      <c r="A2448" s="55"/>
    </row>
    <row r="2449" spans="1:1" x14ac:dyDescent="0.25">
      <c r="A2449" s="55"/>
    </row>
    <row r="2450" spans="1:1" x14ac:dyDescent="0.25">
      <c r="A2450" s="55"/>
    </row>
    <row r="2451" spans="1:1" x14ac:dyDescent="0.25">
      <c r="A2451" s="55"/>
    </row>
    <row r="2452" spans="1:1" x14ac:dyDescent="0.25">
      <c r="A2452" s="55"/>
    </row>
    <row r="2453" spans="1:1" x14ac:dyDescent="0.25">
      <c r="A2453" s="55"/>
    </row>
    <row r="2454" spans="1:1" x14ac:dyDescent="0.25">
      <c r="A2454" s="55"/>
    </row>
    <row r="2455" spans="1:1" x14ac:dyDescent="0.25">
      <c r="A2455" s="55"/>
    </row>
    <row r="2456" spans="1:1" x14ac:dyDescent="0.25">
      <c r="A2456" s="55"/>
    </row>
    <row r="2457" spans="1:1" x14ac:dyDescent="0.25">
      <c r="A2457" s="55"/>
    </row>
    <row r="2458" spans="1:1" x14ac:dyDescent="0.25">
      <c r="A2458" s="55"/>
    </row>
    <row r="2459" spans="1:1" x14ac:dyDescent="0.25">
      <c r="A2459" s="55"/>
    </row>
    <row r="2460" spans="1:1" x14ac:dyDescent="0.25">
      <c r="A2460" s="55"/>
    </row>
    <row r="2461" spans="1:1" x14ac:dyDescent="0.25">
      <c r="A2461" s="55"/>
    </row>
    <row r="2462" spans="1:1" x14ac:dyDescent="0.25">
      <c r="A2462" s="55"/>
    </row>
    <row r="2463" spans="1:1" x14ac:dyDescent="0.25">
      <c r="A2463" s="55"/>
    </row>
    <row r="2464" spans="1:1" x14ac:dyDescent="0.25">
      <c r="A2464" s="55"/>
    </row>
    <row r="2465" spans="1:1" x14ac:dyDescent="0.25">
      <c r="A2465" s="55"/>
    </row>
    <row r="2466" spans="1:1" x14ac:dyDescent="0.25">
      <c r="A2466" s="55"/>
    </row>
    <row r="2467" spans="1:1" x14ac:dyDescent="0.25">
      <c r="A2467" s="55"/>
    </row>
    <row r="2468" spans="1:1" x14ac:dyDescent="0.25">
      <c r="A2468" s="55"/>
    </row>
    <row r="2469" spans="1:1" x14ac:dyDescent="0.25">
      <c r="A2469" s="55"/>
    </row>
    <row r="2470" spans="1:1" x14ac:dyDescent="0.25">
      <c r="A2470" s="55"/>
    </row>
    <row r="2471" spans="1:1" x14ac:dyDescent="0.25">
      <c r="A2471" s="55"/>
    </row>
    <row r="2472" spans="1:1" x14ac:dyDescent="0.25">
      <c r="A2472" s="55"/>
    </row>
    <row r="2473" spans="1:1" x14ac:dyDescent="0.25">
      <c r="A2473" s="55"/>
    </row>
    <row r="2474" spans="1:1" x14ac:dyDescent="0.25">
      <c r="A2474" s="55"/>
    </row>
    <row r="2475" spans="1:1" x14ac:dyDescent="0.25">
      <c r="A2475" s="55"/>
    </row>
    <row r="2476" spans="1:1" x14ac:dyDescent="0.25">
      <c r="A2476" s="55"/>
    </row>
    <row r="2477" spans="1:1" x14ac:dyDescent="0.25">
      <c r="A2477" s="55"/>
    </row>
    <row r="2478" spans="1:1" x14ac:dyDescent="0.25">
      <c r="A2478" s="55"/>
    </row>
    <row r="2479" spans="1:1" x14ac:dyDescent="0.25">
      <c r="A2479" s="55"/>
    </row>
    <row r="2480" spans="1:1" x14ac:dyDescent="0.25">
      <c r="A2480" s="55"/>
    </row>
    <row r="2481" spans="1:1" x14ac:dyDescent="0.25">
      <c r="A2481" s="55"/>
    </row>
    <row r="2482" spans="1:1" x14ac:dyDescent="0.25">
      <c r="A2482" s="55"/>
    </row>
    <row r="2483" spans="1:1" x14ac:dyDescent="0.25">
      <c r="A2483" s="55"/>
    </row>
    <row r="2484" spans="1:1" x14ac:dyDescent="0.25">
      <c r="A2484" s="55"/>
    </row>
    <row r="2485" spans="1:1" x14ac:dyDescent="0.25">
      <c r="A2485" s="55"/>
    </row>
    <row r="2486" spans="1:1" x14ac:dyDescent="0.25">
      <c r="A2486" s="55"/>
    </row>
    <row r="2487" spans="1:1" x14ac:dyDescent="0.25">
      <c r="A2487" s="55"/>
    </row>
    <row r="2488" spans="1:1" x14ac:dyDescent="0.25">
      <c r="A2488" s="55"/>
    </row>
    <row r="2489" spans="1:1" x14ac:dyDescent="0.25">
      <c r="A2489" s="55"/>
    </row>
    <row r="2490" spans="1:1" x14ac:dyDescent="0.25">
      <c r="A2490" s="55"/>
    </row>
    <row r="2491" spans="1:1" x14ac:dyDescent="0.25">
      <c r="A2491" s="55"/>
    </row>
    <row r="2492" spans="1:1" x14ac:dyDescent="0.25">
      <c r="A2492" s="55"/>
    </row>
    <row r="2493" spans="1:1" x14ac:dyDescent="0.25">
      <c r="A2493" s="55"/>
    </row>
    <row r="2494" spans="1:1" x14ac:dyDescent="0.25">
      <c r="A2494" s="55"/>
    </row>
    <row r="2495" spans="1:1" x14ac:dyDescent="0.25">
      <c r="A2495" s="55"/>
    </row>
    <row r="2496" spans="1:1" x14ac:dyDescent="0.25">
      <c r="A2496" s="55"/>
    </row>
    <row r="2497" spans="1:1" x14ac:dyDescent="0.25">
      <c r="A2497" s="55"/>
    </row>
    <row r="2498" spans="1:1" x14ac:dyDescent="0.25">
      <c r="A2498" s="55"/>
    </row>
    <row r="2499" spans="1:1" x14ac:dyDescent="0.25">
      <c r="A2499" s="55"/>
    </row>
    <row r="2500" spans="1:1" x14ac:dyDescent="0.25">
      <c r="A2500" s="55"/>
    </row>
    <row r="2501" spans="1:1" x14ac:dyDescent="0.25">
      <c r="A2501" s="55"/>
    </row>
    <row r="2502" spans="1:1" x14ac:dyDescent="0.25">
      <c r="A2502" s="55"/>
    </row>
    <row r="2503" spans="1:1" x14ac:dyDescent="0.25">
      <c r="A2503" s="55"/>
    </row>
    <row r="2504" spans="1:1" x14ac:dyDescent="0.25">
      <c r="A2504" s="55"/>
    </row>
    <row r="2505" spans="1:1" x14ac:dyDescent="0.25">
      <c r="A2505" s="55"/>
    </row>
    <row r="2506" spans="1:1" x14ac:dyDescent="0.25">
      <c r="A2506" s="55"/>
    </row>
    <row r="2507" spans="1:1" x14ac:dyDescent="0.25">
      <c r="A2507" s="55"/>
    </row>
    <row r="2508" spans="1:1" x14ac:dyDescent="0.25">
      <c r="A2508" s="55"/>
    </row>
    <row r="2509" spans="1:1" x14ac:dyDescent="0.25">
      <c r="A2509" s="55"/>
    </row>
    <row r="2510" spans="1:1" x14ac:dyDescent="0.25">
      <c r="A2510" s="55"/>
    </row>
    <row r="2511" spans="1:1" x14ac:dyDescent="0.25">
      <c r="A2511" s="55"/>
    </row>
    <row r="2512" spans="1:1" x14ac:dyDescent="0.25">
      <c r="A2512" s="55"/>
    </row>
    <row r="2513" spans="1:1" x14ac:dyDescent="0.25">
      <c r="A2513" s="55"/>
    </row>
    <row r="2514" spans="1:1" x14ac:dyDescent="0.25">
      <c r="A2514" s="55"/>
    </row>
    <row r="2515" spans="1:1" x14ac:dyDescent="0.25">
      <c r="A2515" s="55"/>
    </row>
    <row r="2516" spans="1:1" x14ac:dyDescent="0.25">
      <c r="A2516" s="55"/>
    </row>
    <row r="2517" spans="1:1" x14ac:dyDescent="0.25">
      <c r="A2517" s="55"/>
    </row>
    <row r="2518" spans="1:1" x14ac:dyDescent="0.25">
      <c r="A2518" s="55"/>
    </row>
    <row r="2519" spans="1:1" x14ac:dyDescent="0.25">
      <c r="A2519" s="55"/>
    </row>
    <row r="2520" spans="1:1" x14ac:dyDescent="0.25">
      <c r="A2520" s="55"/>
    </row>
    <row r="2521" spans="1:1" x14ac:dyDescent="0.25">
      <c r="A2521" s="55"/>
    </row>
    <row r="2522" spans="1:1" x14ac:dyDescent="0.25">
      <c r="A2522" s="55"/>
    </row>
    <row r="2523" spans="1:1" x14ac:dyDescent="0.25">
      <c r="A2523" s="55"/>
    </row>
    <row r="2524" spans="1:1" x14ac:dyDescent="0.25">
      <c r="A2524" s="55"/>
    </row>
    <row r="2525" spans="1:1" x14ac:dyDescent="0.25">
      <c r="A2525" s="55"/>
    </row>
    <row r="2526" spans="1:1" x14ac:dyDescent="0.25">
      <c r="A2526" s="55"/>
    </row>
    <row r="2527" spans="1:1" x14ac:dyDescent="0.25">
      <c r="A2527" s="55"/>
    </row>
    <row r="2528" spans="1:1" x14ac:dyDescent="0.25">
      <c r="A2528" s="55"/>
    </row>
    <row r="2529" spans="1:1" x14ac:dyDescent="0.25">
      <c r="A2529" s="55"/>
    </row>
    <row r="2530" spans="1:1" x14ac:dyDescent="0.25">
      <c r="A2530" s="55"/>
    </row>
    <row r="2531" spans="1:1" x14ac:dyDescent="0.25">
      <c r="A2531" s="55"/>
    </row>
    <row r="2532" spans="1:1" x14ac:dyDescent="0.25">
      <c r="A2532" s="55"/>
    </row>
    <row r="2533" spans="1:1" x14ac:dyDescent="0.25">
      <c r="A2533" s="55"/>
    </row>
    <row r="2534" spans="1:1" x14ac:dyDescent="0.25">
      <c r="A2534" s="55"/>
    </row>
    <row r="2535" spans="1:1" x14ac:dyDescent="0.25">
      <c r="A2535" s="55"/>
    </row>
    <row r="2536" spans="1:1" x14ac:dyDescent="0.25">
      <c r="A2536" s="55"/>
    </row>
    <row r="2537" spans="1:1" x14ac:dyDescent="0.25">
      <c r="A2537" s="55"/>
    </row>
    <row r="2538" spans="1:1" x14ac:dyDescent="0.25">
      <c r="A2538" s="55"/>
    </row>
    <row r="2539" spans="1:1" x14ac:dyDescent="0.25">
      <c r="A2539" s="55"/>
    </row>
    <row r="2540" spans="1:1" x14ac:dyDescent="0.25">
      <c r="A2540" s="55"/>
    </row>
    <row r="2541" spans="1:1" x14ac:dyDescent="0.25">
      <c r="A2541" s="55"/>
    </row>
    <row r="2542" spans="1:1" x14ac:dyDescent="0.25">
      <c r="A2542" s="55"/>
    </row>
    <row r="2543" spans="1:1" x14ac:dyDescent="0.25">
      <c r="A2543" s="55"/>
    </row>
    <row r="2544" spans="1:1" x14ac:dyDescent="0.25">
      <c r="A2544" s="55"/>
    </row>
    <row r="2545" spans="1:1" x14ac:dyDescent="0.25">
      <c r="A2545" s="55"/>
    </row>
    <row r="2546" spans="1:1" x14ac:dyDescent="0.25">
      <c r="A2546" s="55"/>
    </row>
    <row r="2547" spans="1:1" x14ac:dyDescent="0.25">
      <c r="A2547" s="55"/>
    </row>
    <row r="2548" spans="1:1" x14ac:dyDescent="0.25">
      <c r="A2548" s="55"/>
    </row>
    <row r="2549" spans="1:1" x14ac:dyDescent="0.25">
      <c r="A2549" s="55"/>
    </row>
    <row r="2550" spans="1:1" x14ac:dyDescent="0.25">
      <c r="A2550" s="55"/>
    </row>
    <row r="2551" spans="1:1" x14ac:dyDescent="0.25">
      <c r="A2551" s="55"/>
    </row>
    <row r="2552" spans="1:1" x14ac:dyDescent="0.25">
      <c r="A2552" s="55"/>
    </row>
    <row r="2553" spans="1:1" x14ac:dyDescent="0.25">
      <c r="A2553" s="55"/>
    </row>
    <row r="2554" spans="1:1" x14ac:dyDescent="0.25">
      <c r="A2554" s="55"/>
    </row>
    <row r="2555" spans="1:1" x14ac:dyDescent="0.25">
      <c r="A2555" s="55"/>
    </row>
    <row r="2556" spans="1:1" x14ac:dyDescent="0.25">
      <c r="A2556" s="55"/>
    </row>
    <row r="2557" spans="1:1" x14ac:dyDescent="0.25">
      <c r="A2557" s="55"/>
    </row>
    <row r="2558" spans="1:1" x14ac:dyDescent="0.25">
      <c r="A2558" s="55"/>
    </row>
    <row r="2559" spans="1:1" x14ac:dyDescent="0.25">
      <c r="A2559" s="55"/>
    </row>
    <row r="2560" spans="1:1" x14ac:dyDescent="0.25">
      <c r="A2560" s="55"/>
    </row>
    <row r="2561" spans="1:1" x14ac:dyDescent="0.25">
      <c r="A2561" s="55"/>
    </row>
    <row r="2562" spans="1:1" x14ac:dyDescent="0.25">
      <c r="A2562" s="55"/>
    </row>
    <row r="2563" spans="1:1" x14ac:dyDescent="0.25">
      <c r="A2563" s="55"/>
    </row>
    <row r="2564" spans="1:1" x14ac:dyDescent="0.25">
      <c r="A2564" s="55"/>
    </row>
    <row r="2565" spans="1:1" x14ac:dyDescent="0.25">
      <c r="A2565" s="55"/>
    </row>
    <row r="2566" spans="1:1" x14ac:dyDescent="0.25">
      <c r="A2566" s="55"/>
    </row>
    <row r="2567" spans="1:1" x14ac:dyDescent="0.25">
      <c r="A2567" s="55"/>
    </row>
    <row r="2568" spans="1:1" x14ac:dyDescent="0.25">
      <c r="A2568" s="55"/>
    </row>
    <row r="2569" spans="1:1" x14ac:dyDescent="0.25">
      <c r="A2569" s="55"/>
    </row>
    <row r="2570" spans="1:1" x14ac:dyDescent="0.25">
      <c r="A2570" s="55"/>
    </row>
    <row r="2571" spans="1:1" x14ac:dyDescent="0.25">
      <c r="A2571" s="55"/>
    </row>
    <row r="2572" spans="1:1" x14ac:dyDescent="0.25">
      <c r="A2572" s="55"/>
    </row>
    <row r="2573" spans="1:1" x14ac:dyDescent="0.25">
      <c r="A2573" s="55"/>
    </row>
    <row r="2574" spans="1:1" x14ac:dyDescent="0.25">
      <c r="A2574" s="55"/>
    </row>
    <row r="2575" spans="1:1" x14ac:dyDescent="0.25">
      <c r="A2575" s="55"/>
    </row>
    <row r="2576" spans="1:1" x14ac:dyDescent="0.25">
      <c r="A2576" s="55"/>
    </row>
    <row r="2577" spans="1:1" x14ac:dyDescent="0.25">
      <c r="A2577" s="55"/>
    </row>
    <row r="2578" spans="1:1" x14ac:dyDescent="0.25">
      <c r="A2578" s="55"/>
    </row>
    <row r="2579" spans="1:1" x14ac:dyDescent="0.25">
      <c r="A2579" s="55"/>
    </row>
    <row r="2580" spans="1:1" x14ac:dyDescent="0.25">
      <c r="A2580" s="55"/>
    </row>
    <row r="2581" spans="1:1" x14ac:dyDescent="0.25">
      <c r="A2581" s="55"/>
    </row>
    <row r="2582" spans="1:1" x14ac:dyDescent="0.25">
      <c r="A2582" s="55"/>
    </row>
    <row r="2583" spans="1:1" x14ac:dyDescent="0.25">
      <c r="A2583" s="55"/>
    </row>
    <row r="2584" spans="1:1" x14ac:dyDescent="0.25">
      <c r="A2584" s="55"/>
    </row>
    <row r="2585" spans="1:1" x14ac:dyDescent="0.25">
      <c r="A2585" s="55"/>
    </row>
    <row r="2586" spans="1:1" x14ac:dyDescent="0.25">
      <c r="A2586" s="55"/>
    </row>
    <row r="2587" spans="1:1" x14ac:dyDescent="0.25">
      <c r="A2587" s="55"/>
    </row>
    <row r="2588" spans="1:1" x14ac:dyDescent="0.25">
      <c r="A2588" s="55"/>
    </row>
    <row r="2589" spans="1:1" x14ac:dyDescent="0.25">
      <c r="A2589" s="55"/>
    </row>
    <row r="2590" spans="1:1" x14ac:dyDescent="0.25">
      <c r="A2590" s="55"/>
    </row>
    <row r="2591" spans="1:1" x14ac:dyDescent="0.25">
      <c r="A2591" s="55"/>
    </row>
    <row r="2592" spans="1:1" x14ac:dyDescent="0.25">
      <c r="A2592" s="55"/>
    </row>
    <row r="2593" spans="1:1" x14ac:dyDescent="0.25">
      <c r="A2593" s="55"/>
    </row>
    <row r="2594" spans="1:1" x14ac:dyDescent="0.25">
      <c r="A2594" s="55"/>
    </row>
    <row r="2595" spans="1:1" x14ac:dyDescent="0.25">
      <c r="A2595" s="55"/>
    </row>
    <row r="2596" spans="1:1" x14ac:dyDescent="0.25">
      <c r="A2596" s="55"/>
    </row>
    <row r="2597" spans="1:1" x14ac:dyDescent="0.25">
      <c r="A2597" s="55"/>
    </row>
    <row r="2598" spans="1:1" x14ac:dyDescent="0.25">
      <c r="A2598" s="55"/>
    </row>
    <row r="2599" spans="1:1" x14ac:dyDescent="0.25">
      <c r="A2599" s="55"/>
    </row>
    <row r="2600" spans="1:1" x14ac:dyDescent="0.25">
      <c r="A2600" s="55"/>
    </row>
    <row r="2601" spans="1:1" x14ac:dyDescent="0.25">
      <c r="A2601" s="55"/>
    </row>
    <row r="2602" spans="1:1" x14ac:dyDescent="0.25">
      <c r="A2602" s="55"/>
    </row>
    <row r="2603" spans="1:1" x14ac:dyDescent="0.25">
      <c r="A2603" s="55"/>
    </row>
    <row r="2604" spans="1:1" x14ac:dyDescent="0.25">
      <c r="A2604" s="55"/>
    </row>
    <row r="2605" spans="1:1" x14ac:dyDescent="0.25">
      <c r="A2605" s="55"/>
    </row>
    <row r="2606" spans="1:1" x14ac:dyDescent="0.25">
      <c r="A2606" s="55"/>
    </row>
    <row r="2607" spans="1:1" x14ac:dyDescent="0.25">
      <c r="A2607" s="55"/>
    </row>
    <row r="2608" spans="1:1" x14ac:dyDescent="0.25">
      <c r="A2608" s="55"/>
    </row>
    <row r="2609" spans="1:1" x14ac:dyDescent="0.25">
      <c r="A2609" s="55"/>
    </row>
    <row r="2610" spans="1:1" x14ac:dyDescent="0.25">
      <c r="A2610" s="55"/>
    </row>
    <row r="2611" spans="1:1" x14ac:dyDescent="0.25">
      <c r="A2611" s="55"/>
    </row>
    <row r="2612" spans="1:1" x14ac:dyDescent="0.25">
      <c r="A2612" s="55"/>
    </row>
    <row r="2613" spans="1:1" x14ac:dyDescent="0.25">
      <c r="A2613" s="55"/>
    </row>
    <row r="2614" spans="1:1" x14ac:dyDescent="0.25">
      <c r="A2614" s="55"/>
    </row>
    <row r="2615" spans="1:1" x14ac:dyDescent="0.25">
      <c r="A2615" s="55"/>
    </row>
    <row r="2616" spans="1:1" x14ac:dyDescent="0.25">
      <c r="A2616" s="55"/>
    </row>
    <row r="2617" spans="1:1" x14ac:dyDescent="0.25">
      <c r="A2617" s="55"/>
    </row>
    <row r="2618" spans="1:1" x14ac:dyDescent="0.25">
      <c r="A2618" s="55"/>
    </row>
    <row r="2619" spans="1:1" x14ac:dyDescent="0.25">
      <c r="A2619" s="55"/>
    </row>
    <row r="2620" spans="1:1" x14ac:dyDescent="0.25">
      <c r="A2620" s="55"/>
    </row>
    <row r="2621" spans="1:1" x14ac:dyDescent="0.25">
      <c r="A2621" s="55"/>
    </row>
    <row r="2622" spans="1:1" x14ac:dyDescent="0.25">
      <c r="A2622" s="55"/>
    </row>
    <row r="2623" spans="1:1" x14ac:dyDescent="0.25">
      <c r="A2623" s="55"/>
    </row>
    <row r="2624" spans="1:1" x14ac:dyDescent="0.25">
      <c r="A2624" s="55"/>
    </row>
    <row r="2625" spans="1:1" x14ac:dyDescent="0.25">
      <c r="A2625" s="55"/>
    </row>
    <row r="2626" spans="1:1" x14ac:dyDescent="0.25">
      <c r="A2626" s="55"/>
    </row>
    <row r="2627" spans="1:1" x14ac:dyDescent="0.25">
      <c r="A2627" s="55"/>
    </row>
    <row r="2628" spans="1:1" x14ac:dyDescent="0.25">
      <c r="A2628" s="55"/>
    </row>
    <row r="2629" spans="1:1" x14ac:dyDescent="0.25">
      <c r="A2629" s="55"/>
    </row>
    <row r="2630" spans="1:1" x14ac:dyDescent="0.25">
      <c r="A2630" s="55"/>
    </row>
    <row r="2631" spans="1:1" x14ac:dyDescent="0.25">
      <c r="A2631" s="55"/>
    </row>
    <row r="2632" spans="1:1" x14ac:dyDescent="0.25">
      <c r="A2632" s="55"/>
    </row>
    <row r="2633" spans="1:1" x14ac:dyDescent="0.25">
      <c r="A2633" s="55"/>
    </row>
    <row r="2634" spans="1:1" x14ac:dyDescent="0.25">
      <c r="A2634" s="55"/>
    </row>
    <row r="2635" spans="1:1" x14ac:dyDescent="0.25">
      <c r="A2635" s="55"/>
    </row>
    <row r="2636" spans="1:1" x14ac:dyDescent="0.25">
      <c r="A2636" s="55"/>
    </row>
    <row r="2637" spans="1:1" x14ac:dyDescent="0.25">
      <c r="A2637" s="55"/>
    </row>
    <row r="2638" spans="1:1" x14ac:dyDescent="0.25">
      <c r="A2638" s="55"/>
    </row>
    <row r="2639" spans="1:1" x14ac:dyDescent="0.25">
      <c r="A2639" s="55"/>
    </row>
    <row r="2640" spans="1:1" x14ac:dyDescent="0.25">
      <c r="A2640" s="55"/>
    </row>
    <row r="2641" spans="1:1" x14ac:dyDescent="0.25">
      <c r="A2641" s="55"/>
    </row>
    <row r="2642" spans="1:1" x14ac:dyDescent="0.25">
      <c r="A2642" s="55"/>
    </row>
    <row r="2643" spans="1:1" x14ac:dyDescent="0.25">
      <c r="A2643" s="55"/>
    </row>
    <row r="2644" spans="1:1" x14ac:dyDescent="0.25">
      <c r="A2644" s="55"/>
    </row>
    <row r="2645" spans="1:1" x14ac:dyDescent="0.25">
      <c r="A2645" s="55"/>
    </row>
    <row r="2646" spans="1:1" x14ac:dyDescent="0.25">
      <c r="A2646" s="55"/>
    </row>
    <row r="2647" spans="1:1" x14ac:dyDescent="0.25">
      <c r="A2647" s="55"/>
    </row>
    <row r="2648" spans="1:1" x14ac:dyDescent="0.25">
      <c r="A2648" s="55"/>
    </row>
    <row r="2649" spans="1:1" x14ac:dyDescent="0.25">
      <c r="A2649" s="55"/>
    </row>
    <row r="2650" spans="1:1" x14ac:dyDescent="0.25">
      <c r="A2650" s="55"/>
    </row>
    <row r="2651" spans="1:1" x14ac:dyDescent="0.25">
      <c r="A2651" s="55"/>
    </row>
    <row r="2652" spans="1:1" x14ac:dyDescent="0.25">
      <c r="A2652" s="55"/>
    </row>
    <row r="2653" spans="1:1" x14ac:dyDescent="0.25">
      <c r="A2653" s="55"/>
    </row>
    <row r="2654" spans="1:1" x14ac:dyDescent="0.25">
      <c r="A2654" s="55"/>
    </row>
    <row r="2655" spans="1:1" x14ac:dyDescent="0.25">
      <c r="A2655" s="55"/>
    </row>
    <row r="2656" spans="1:1" x14ac:dyDescent="0.25">
      <c r="A2656" s="55"/>
    </row>
    <row r="2657" spans="1:1" x14ac:dyDescent="0.25">
      <c r="A2657" s="55"/>
    </row>
    <row r="2658" spans="1:1" x14ac:dyDescent="0.25">
      <c r="A2658" s="55"/>
    </row>
    <row r="2659" spans="1:1" x14ac:dyDescent="0.25">
      <c r="A2659" s="55"/>
    </row>
    <row r="2660" spans="1:1" x14ac:dyDescent="0.25">
      <c r="A2660" s="55"/>
    </row>
    <row r="2661" spans="1:1" x14ac:dyDescent="0.25">
      <c r="A2661" s="55"/>
    </row>
    <row r="2662" spans="1:1" x14ac:dyDescent="0.25">
      <c r="A2662" s="55"/>
    </row>
    <row r="2663" spans="1:1" x14ac:dyDescent="0.25">
      <c r="A2663" s="55"/>
    </row>
    <row r="2664" spans="1:1" x14ac:dyDescent="0.25">
      <c r="A2664" s="55"/>
    </row>
    <row r="2665" spans="1:1" x14ac:dyDescent="0.25">
      <c r="A2665" s="55"/>
    </row>
    <row r="2666" spans="1:1" x14ac:dyDescent="0.25">
      <c r="A2666" s="55"/>
    </row>
    <row r="2667" spans="1:1" x14ac:dyDescent="0.25">
      <c r="A2667" s="55"/>
    </row>
    <row r="2668" spans="1:1" x14ac:dyDescent="0.25">
      <c r="A2668" s="55"/>
    </row>
    <row r="2669" spans="1:1" x14ac:dyDescent="0.25">
      <c r="A2669" s="55"/>
    </row>
    <row r="2670" spans="1:1" x14ac:dyDescent="0.25">
      <c r="A2670" s="55"/>
    </row>
    <row r="2671" spans="1:1" x14ac:dyDescent="0.25">
      <c r="A2671" s="55"/>
    </row>
    <row r="2672" spans="1:1" x14ac:dyDescent="0.25">
      <c r="A2672" s="55"/>
    </row>
    <row r="2673" spans="1:1" x14ac:dyDescent="0.25">
      <c r="A2673" s="55"/>
    </row>
    <row r="2674" spans="1:1" x14ac:dyDescent="0.25">
      <c r="A2674" s="55"/>
    </row>
    <row r="2675" spans="1:1" x14ac:dyDescent="0.25">
      <c r="A2675" s="55"/>
    </row>
    <row r="2676" spans="1:1" x14ac:dyDescent="0.25">
      <c r="A2676" s="55"/>
    </row>
    <row r="2677" spans="1:1" x14ac:dyDescent="0.25">
      <c r="A2677" s="55"/>
    </row>
    <row r="2678" spans="1:1" x14ac:dyDescent="0.25">
      <c r="A2678" s="55"/>
    </row>
    <row r="2679" spans="1:1" x14ac:dyDescent="0.25">
      <c r="A2679" s="55"/>
    </row>
    <row r="2680" spans="1:1" x14ac:dyDescent="0.25">
      <c r="A2680" s="55"/>
    </row>
    <row r="2681" spans="1:1" x14ac:dyDescent="0.25">
      <c r="A2681" s="55"/>
    </row>
    <row r="2682" spans="1:1" x14ac:dyDescent="0.25">
      <c r="A2682" s="55"/>
    </row>
    <row r="2683" spans="1:1" x14ac:dyDescent="0.25">
      <c r="A2683" s="55"/>
    </row>
    <row r="2684" spans="1:1" x14ac:dyDescent="0.25">
      <c r="A2684" s="55"/>
    </row>
    <row r="2685" spans="1:1" x14ac:dyDescent="0.25">
      <c r="A2685" s="55"/>
    </row>
    <row r="2686" spans="1:1" x14ac:dyDescent="0.25">
      <c r="A2686" s="55"/>
    </row>
    <row r="2687" spans="1:1" x14ac:dyDescent="0.25">
      <c r="A2687" s="55"/>
    </row>
    <row r="2688" spans="1:1" x14ac:dyDescent="0.25">
      <c r="A2688" s="55"/>
    </row>
    <row r="2689" spans="1:1" x14ac:dyDescent="0.25">
      <c r="A2689" s="55"/>
    </row>
    <row r="2690" spans="1:1" x14ac:dyDescent="0.25">
      <c r="A2690" s="55"/>
    </row>
    <row r="2691" spans="1:1" x14ac:dyDescent="0.25">
      <c r="A2691" s="55"/>
    </row>
    <row r="2692" spans="1:1" x14ac:dyDescent="0.25">
      <c r="A2692" s="55"/>
    </row>
    <row r="2693" spans="1:1" x14ac:dyDescent="0.25">
      <c r="A2693" s="55"/>
    </row>
    <row r="2694" spans="1:1" x14ac:dyDescent="0.25">
      <c r="A2694" s="55"/>
    </row>
    <row r="2695" spans="1:1" x14ac:dyDescent="0.25">
      <c r="A2695" s="55"/>
    </row>
    <row r="2696" spans="1:1" x14ac:dyDescent="0.25">
      <c r="A2696" s="55"/>
    </row>
    <row r="2697" spans="1:1" x14ac:dyDescent="0.25">
      <c r="A2697" s="55"/>
    </row>
    <row r="2698" spans="1:1" x14ac:dyDescent="0.25">
      <c r="A2698" s="55"/>
    </row>
    <row r="2699" spans="1:1" x14ac:dyDescent="0.25">
      <c r="A2699" s="55"/>
    </row>
    <row r="2700" spans="1:1" x14ac:dyDescent="0.25">
      <c r="A2700" s="55"/>
    </row>
    <row r="2701" spans="1:1" x14ac:dyDescent="0.25">
      <c r="A2701" s="55"/>
    </row>
    <row r="2702" spans="1:1" x14ac:dyDescent="0.25">
      <c r="A2702" s="55"/>
    </row>
    <row r="2703" spans="1:1" x14ac:dyDescent="0.25">
      <c r="A2703" s="55"/>
    </row>
    <row r="2704" spans="1:1" x14ac:dyDescent="0.25">
      <c r="A2704" s="55"/>
    </row>
    <row r="2705" spans="1:1" x14ac:dyDescent="0.25">
      <c r="A2705" s="55"/>
    </row>
    <row r="2706" spans="1:1" x14ac:dyDescent="0.25">
      <c r="A2706" s="55"/>
    </row>
    <row r="2707" spans="1:1" x14ac:dyDescent="0.25">
      <c r="A2707" s="55"/>
    </row>
    <row r="2708" spans="1:1" x14ac:dyDescent="0.25">
      <c r="A2708" s="55"/>
    </row>
    <row r="2709" spans="1:1" x14ac:dyDescent="0.25">
      <c r="A2709" s="55"/>
    </row>
    <row r="2710" spans="1:1" x14ac:dyDescent="0.25">
      <c r="A2710" s="55"/>
    </row>
    <row r="2711" spans="1:1" x14ac:dyDescent="0.25">
      <c r="A2711" s="55"/>
    </row>
    <row r="2712" spans="1:1" x14ac:dyDescent="0.25">
      <c r="A2712" s="55"/>
    </row>
    <row r="2713" spans="1:1" x14ac:dyDescent="0.25">
      <c r="A2713" s="55"/>
    </row>
    <row r="2714" spans="1:1" x14ac:dyDescent="0.25">
      <c r="A2714" s="55"/>
    </row>
    <row r="2715" spans="1:1" x14ac:dyDescent="0.25">
      <c r="A2715" s="55"/>
    </row>
    <row r="2716" spans="1:1" x14ac:dyDescent="0.25">
      <c r="A2716" s="55"/>
    </row>
    <row r="2717" spans="1:1" x14ac:dyDescent="0.25">
      <c r="A2717" s="55"/>
    </row>
    <row r="2718" spans="1:1" x14ac:dyDescent="0.25">
      <c r="A2718" s="55"/>
    </row>
    <row r="2719" spans="1:1" x14ac:dyDescent="0.25">
      <c r="A2719" s="55"/>
    </row>
    <row r="2720" spans="1:1" x14ac:dyDescent="0.25">
      <c r="A2720" s="55"/>
    </row>
    <row r="2721" spans="1:1" x14ac:dyDescent="0.25">
      <c r="A2721" s="55"/>
    </row>
    <row r="2722" spans="1:1" x14ac:dyDescent="0.25">
      <c r="A2722" s="55"/>
    </row>
    <row r="2723" spans="1:1" x14ac:dyDescent="0.25">
      <c r="A2723" s="55"/>
    </row>
    <row r="2724" spans="1:1" x14ac:dyDescent="0.25">
      <c r="A2724" s="55"/>
    </row>
    <row r="2725" spans="1:1" x14ac:dyDescent="0.25">
      <c r="A2725" s="55"/>
    </row>
    <row r="2726" spans="1:1" x14ac:dyDescent="0.25">
      <c r="A2726" s="55"/>
    </row>
    <row r="2727" spans="1:1" x14ac:dyDescent="0.25">
      <c r="A2727" s="55"/>
    </row>
    <row r="2728" spans="1:1" x14ac:dyDescent="0.25">
      <c r="A2728" s="55"/>
    </row>
    <row r="2729" spans="1:1" x14ac:dyDescent="0.25">
      <c r="A2729" s="55"/>
    </row>
    <row r="2730" spans="1:1" x14ac:dyDescent="0.25">
      <c r="A2730" s="55"/>
    </row>
    <row r="2731" spans="1:1" x14ac:dyDescent="0.25">
      <c r="A2731" s="55"/>
    </row>
    <row r="2732" spans="1:1" x14ac:dyDescent="0.25">
      <c r="A2732" s="55"/>
    </row>
    <row r="2733" spans="1:1" x14ac:dyDescent="0.25">
      <c r="A2733" s="55"/>
    </row>
    <row r="2734" spans="1:1" x14ac:dyDescent="0.25">
      <c r="A2734" s="55"/>
    </row>
    <row r="2735" spans="1:1" x14ac:dyDescent="0.25">
      <c r="A2735" s="55"/>
    </row>
    <row r="2736" spans="1:1" x14ac:dyDescent="0.25">
      <c r="A2736" s="55"/>
    </row>
    <row r="2737" spans="1:1" x14ac:dyDescent="0.25">
      <c r="A2737" s="55"/>
    </row>
    <row r="2738" spans="1:1" x14ac:dyDescent="0.25">
      <c r="A2738" s="55"/>
    </row>
    <row r="2739" spans="1:1" x14ac:dyDescent="0.25">
      <c r="A2739" s="55"/>
    </row>
    <row r="2740" spans="1:1" x14ac:dyDescent="0.25">
      <c r="A2740" s="55"/>
    </row>
    <row r="2741" spans="1:1" x14ac:dyDescent="0.25">
      <c r="A2741" s="55"/>
    </row>
    <row r="2742" spans="1:1" x14ac:dyDescent="0.25">
      <c r="A2742" s="55"/>
    </row>
    <row r="2743" spans="1:1" x14ac:dyDescent="0.25">
      <c r="A2743" s="55"/>
    </row>
    <row r="2744" spans="1:1" x14ac:dyDescent="0.25">
      <c r="A2744" s="55"/>
    </row>
    <row r="2745" spans="1:1" x14ac:dyDescent="0.25">
      <c r="A2745" s="55"/>
    </row>
    <row r="2746" spans="1:1" x14ac:dyDescent="0.25">
      <c r="A2746" s="55"/>
    </row>
    <row r="2747" spans="1:1" x14ac:dyDescent="0.25">
      <c r="A2747" s="55"/>
    </row>
    <row r="2748" spans="1:1" x14ac:dyDescent="0.25">
      <c r="A2748" s="55"/>
    </row>
    <row r="2749" spans="1:1" x14ac:dyDescent="0.25">
      <c r="A2749" s="55"/>
    </row>
    <row r="2750" spans="1:1" x14ac:dyDescent="0.25">
      <c r="A2750" s="55"/>
    </row>
    <row r="2751" spans="1:1" x14ac:dyDescent="0.25">
      <c r="A2751" s="55"/>
    </row>
    <row r="2752" spans="1:1" x14ac:dyDescent="0.25">
      <c r="A2752" s="55"/>
    </row>
    <row r="2753" spans="1:1" x14ac:dyDescent="0.25">
      <c r="A2753" s="55"/>
    </row>
    <row r="2754" spans="1:1" x14ac:dyDescent="0.25">
      <c r="A2754" s="55"/>
    </row>
    <row r="2755" spans="1:1" x14ac:dyDescent="0.25">
      <c r="A2755" s="55"/>
    </row>
    <row r="2756" spans="1:1" x14ac:dyDescent="0.25">
      <c r="A2756" s="55"/>
    </row>
    <row r="2757" spans="1:1" x14ac:dyDescent="0.25">
      <c r="A2757" s="55"/>
    </row>
    <row r="2758" spans="1:1" x14ac:dyDescent="0.25">
      <c r="A2758" s="55"/>
    </row>
    <row r="2759" spans="1:1" x14ac:dyDescent="0.25">
      <c r="A2759" s="55"/>
    </row>
    <row r="2760" spans="1:1" x14ac:dyDescent="0.25">
      <c r="A2760" s="55"/>
    </row>
    <row r="2761" spans="1:1" x14ac:dyDescent="0.25">
      <c r="A2761" s="55"/>
    </row>
    <row r="2762" spans="1:1" x14ac:dyDescent="0.25">
      <c r="A2762" s="55"/>
    </row>
    <row r="2763" spans="1:1" x14ac:dyDescent="0.25">
      <c r="A2763" s="55"/>
    </row>
    <row r="2764" spans="1:1" x14ac:dyDescent="0.25">
      <c r="A2764" s="55"/>
    </row>
    <row r="2765" spans="1:1" x14ac:dyDescent="0.25">
      <c r="A2765" s="55"/>
    </row>
    <row r="2766" spans="1:1" x14ac:dyDescent="0.25">
      <c r="A2766" s="55"/>
    </row>
    <row r="2767" spans="1:1" x14ac:dyDescent="0.25">
      <c r="A2767" s="55"/>
    </row>
    <row r="2768" spans="1:1" x14ac:dyDescent="0.25">
      <c r="A2768" s="55"/>
    </row>
    <row r="2769" spans="1:1" x14ac:dyDescent="0.25">
      <c r="A2769" s="55"/>
    </row>
    <row r="2770" spans="1:1" x14ac:dyDescent="0.25">
      <c r="A2770" s="55"/>
    </row>
    <row r="2771" spans="1:1" x14ac:dyDescent="0.25">
      <c r="A2771" s="55"/>
    </row>
    <row r="2772" spans="1:1" x14ac:dyDescent="0.25">
      <c r="A2772" s="55"/>
    </row>
    <row r="2773" spans="1:1" x14ac:dyDescent="0.25">
      <c r="A2773" s="55"/>
    </row>
    <row r="2774" spans="1:1" x14ac:dyDescent="0.25">
      <c r="A2774" s="55"/>
    </row>
    <row r="2775" spans="1:1" x14ac:dyDescent="0.25">
      <c r="A2775" s="55"/>
    </row>
    <row r="2776" spans="1:1" x14ac:dyDescent="0.25">
      <c r="A2776" s="55"/>
    </row>
    <row r="2777" spans="1:1" x14ac:dyDescent="0.25">
      <c r="A2777" s="55"/>
    </row>
    <row r="2778" spans="1:1" x14ac:dyDescent="0.25">
      <c r="A2778" s="55"/>
    </row>
    <row r="2779" spans="1:1" x14ac:dyDescent="0.25">
      <c r="A2779" s="55"/>
    </row>
    <row r="2780" spans="1:1" x14ac:dyDescent="0.25">
      <c r="A2780" s="55"/>
    </row>
    <row r="2781" spans="1:1" x14ac:dyDescent="0.25">
      <c r="A2781" s="55"/>
    </row>
    <row r="2782" spans="1:1" x14ac:dyDescent="0.25">
      <c r="A2782" s="55"/>
    </row>
    <row r="2783" spans="1:1" x14ac:dyDescent="0.25">
      <c r="A2783" s="55"/>
    </row>
    <row r="2784" spans="1:1" x14ac:dyDescent="0.25">
      <c r="A2784" s="55"/>
    </row>
    <row r="2785" spans="1:1" x14ac:dyDescent="0.25">
      <c r="A2785" s="55"/>
    </row>
    <row r="2786" spans="1:1" x14ac:dyDescent="0.25">
      <c r="A2786" s="55"/>
    </row>
    <row r="2787" spans="1:1" x14ac:dyDescent="0.25">
      <c r="A2787" s="55"/>
    </row>
    <row r="2788" spans="1:1" x14ac:dyDescent="0.25">
      <c r="A2788" s="55"/>
    </row>
    <row r="2789" spans="1:1" x14ac:dyDescent="0.25">
      <c r="A2789" s="55"/>
    </row>
    <row r="2790" spans="1:1" x14ac:dyDescent="0.25">
      <c r="A2790" s="55"/>
    </row>
    <row r="2791" spans="1:1" x14ac:dyDescent="0.25">
      <c r="A2791" s="55"/>
    </row>
    <row r="2792" spans="1:1" x14ac:dyDescent="0.25">
      <c r="A2792" s="55"/>
    </row>
    <row r="2793" spans="1:1" x14ac:dyDescent="0.25">
      <c r="A2793" s="55"/>
    </row>
    <row r="2794" spans="1:1" x14ac:dyDescent="0.25">
      <c r="A2794" s="55"/>
    </row>
    <row r="2795" spans="1:1" x14ac:dyDescent="0.25">
      <c r="A2795" s="55"/>
    </row>
    <row r="2796" spans="1:1" x14ac:dyDescent="0.25">
      <c r="A2796" s="55"/>
    </row>
    <row r="2797" spans="1:1" x14ac:dyDescent="0.25">
      <c r="A2797" s="55"/>
    </row>
    <row r="2798" spans="1:1" x14ac:dyDescent="0.25">
      <c r="A2798" s="55"/>
    </row>
    <row r="2799" spans="1:1" x14ac:dyDescent="0.25">
      <c r="A2799" s="55"/>
    </row>
    <row r="2800" spans="1:1" x14ac:dyDescent="0.25">
      <c r="A2800" s="55"/>
    </row>
    <row r="2801" spans="1:1" x14ac:dyDescent="0.25">
      <c r="A2801" s="55"/>
    </row>
    <row r="2802" spans="1:1" x14ac:dyDescent="0.25">
      <c r="A2802" s="55"/>
    </row>
    <row r="2803" spans="1:1" x14ac:dyDescent="0.25">
      <c r="A2803" s="55"/>
    </row>
    <row r="2804" spans="1:1" x14ac:dyDescent="0.25">
      <c r="A2804" s="55"/>
    </row>
    <row r="2805" spans="1:1" x14ac:dyDescent="0.25">
      <c r="A2805" s="55"/>
    </row>
    <row r="2806" spans="1:1" x14ac:dyDescent="0.25">
      <c r="A2806" s="55"/>
    </row>
    <row r="2807" spans="1:1" x14ac:dyDescent="0.25">
      <c r="A2807" s="55"/>
    </row>
    <row r="2808" spans="1:1" x14ac:dyDescent="0.25">
      <c r="A2808" s="55"/>
    </row>
    <row r="2809" spans="1:1" x14ac:dyDescent="0.25">
      <c r="A2809" s="55"/>
    </row>
    <row r="2810" spans="1:1" x14ac:dyDescent="0.25">
      <c r="A2810" s="55"/>
    </row>
    <row r="2811" spans="1:1" x14ac:dyDescent="0.25">
      <c r="A2811" s="55"/>
    </row>
    <row r="2812" spans="1:1" x14ac:dyDescent="0.25">
      <c r="A2812" s="55"/>
    </row>
    <row r="2813" spans="1:1" x14ac:dyDescent="0.25">
      <c r="A2813" s="55"/>
    </row>
    <row r="2814" spans="1:1" x14ac:dyDescent="0.25">
      <c r="A2814" s="55"/>
    </row>
    <row r="2815" spans="1:1" x14ac:dyDescent="0.25">
      <c r="A2815" s="55"/>
    </row>
    <row r="2816" spans="1:1" x14ac:dyDescent="0.25">
      <c r="A2816" s="55"/>
    </row>
    <row r="2817" spans="1:1" x14ac:dyDescent="0.25">
      <c r="A2817" s="55"/>
    </row>
    <row r="2818" spans="1:1" x14ac:dyDescent="0.25">
      <c r="A2818" s="55"/>
    </row>
    <row r="2819" spans="1:1" x14ac:dyDescent="0.25">
      <c r="A2819" s="55"/>
    </row>
    <row r="2820" spans="1:1" x14ac:dyDescent="0.25">
      <c r="A2820" s="55"/>
    </row>
    <row r="2821" spans="1:1" x14ac:dyDescent="0.25">
      <c r="A2821" s="55"/>
    </row>
    <row r="2822" spans="1:1" x14ac:dyDescent="0.25">
      <c r="A2822" s="55"/>
    </row>
    <row r="2823" spans="1:1" x14ac:dyDescent="0.25">
      <c r="A2823" s="55"/>
    </row>
    <row r="2824" spans="1:1" x14ac:dyDescent="0.25">
      <c r="A2824" s="55"/>
    </row>
    <row r="2825" spans="1:1" x14ac:dyDescent="0.25">
      <c r="A2825" s="55"/>
    </row>
    <row r="2826" spans="1:1" x14ac:dyDescent="0.25">
      <c r="A2826" s="55"/>
    </row>
    <row r="2827" spans="1:1" x14ac:dyDescent="0.25">
      <c r="A2827" s="55"/>
    </row>
    <row r="2828" spans="1:1" x14ac:dyDescent="0.25">
      <c r="A2828" s="55"/>
    </row>
    <row r="2829" spans="1:1" x14ac:dyDescent="0.25">
      <c r="A2829" s="55"/>
    </row>
    <row r="2830" spans="1:1" x14ac:dyDescent="0.25">
      <c r="A2830" s="55"/>
    </row>
    <row r="2831" spans="1:1" x14ac:dyDescent="0.25">
      <c r="A2831" s="55"/>
    </row>
    <row r="2832" spans="1:1" x14ac:dyDescent="0.25">
      <c r="A2832" s="55"/>
    </row>
    <row r="2833" spans="1:1" x14ac:dyDescent="0.25">
      <c r="A2833" s="55"/>
    </row>
    <row r="2834" spans="1:1" x14ac:dyDescent="0.25">
      <c r="A2834" s="55"/>
    </row>
    <row r="2835" spans="1:1" x14ac:dyDescent="0.25">
      <c r="A2835" s="55"/>
    </row>
    <row r="2836" spans="1:1" x14ac:dyDescent="0.25">
      <c r="A2836" s="55"/>
    </row>
    <row r="2837" spans="1:1" x14ac:dyDescent="0.25">
      <c r="A2837" s="55"/>
    </row>
    <row r="2838" spans="1:1" x14ac:dyDescent="0.25">
      <c r="A2838" s="55"/>
    </row>
    <row r="2839" spans="1:1" x14ac:dyDescent="0.25">
      <c r="A2839" s="55"/>
    </row>
    <row r="2840" spans="1:1" x14ac:dyDescent="0.25">
      <c r="A2840" s="55"/>
    </row>
    <row r="2841" spans="1:1" x14ac:dyDescent="0.25">
      <c r="A2841" s="55"/>
    </row>
    <row r="2842" spans="1:1" x14ac:dyDescent="0.25">
      <c r="A2842" s="55"/>
    </row>
    <row r="2843" spans="1:1" x14ac:dyDescent="0.25">
      <c r="A2843" s="55"/>
    </row>
    <row r="2844" spans="1:1" x14ac:dyDescent="0.25">
      <c r="A2844" s="55"/>
    </row>
    <row r="2845" spans="1:1" x14ac:dyDescent="0.25">
      <c r="A2845" s="55"/>
    </row>
    <row r="2846" spans="1:1" x14ac:dyDescent="0.25">
      <c r="A2846" s="55"/>
    </row>
    <row r="2847" spans="1:1" x14ac:dyDescent="0.25">
      <c r="A2847" s="55"/>
    </row>
    <row r="2848" spans="1:1" x14ac:dyDescent="0.25">
      <c r="A2848" s="55"/>
    </row>
    <row r="2849" spans="1:1" x14ac:dyDescent="0.25">
      <c r="A2849" s="55"/>
    </row>
    <row r="2850" spans="1:1" x14ac:dyDescent="0.25">
      <c r="A2850" s="55"/>
    </row>
    <row r="2851" spans="1:1" x14ac:dyDescent="0.25">
      <c r="A2851" s="55"/>
    </row>
    <row r="2852" spans="1:1" x14ac:dyDescent="0.25">
      <c r="A2852" s="55"/>
    </row>
    <row r="2853" spans="1:1" x14ac:dyDescent="0.25">
      <c r="A2853" s="55"/>
    </row>
    <row r="2854" spans="1:1" x14ac:dyDescent="0.25">
      <c r="A2854" s="55"/>
    </row>
    <row r="2855" spans="1:1" x14ac:dyDescent="0.25">
      <c r="A2855" s="55"/>
    </row>
    <row r="2856" spans="1:1" x14ac:dyDescent="0.25">
      <c r="A2856" s="55"/>
    </row>
    <row r="2857" spans="1:1" x14ac:dyDescent="0.25">
      <c r="A2857" s="55"/>
    </row>
    <row r="2858" spans="1:1" x14ac:dyDescent="0.25">
      <c r="A2858" s="55"/>
    </row>
    <row r="2859" spans="1:1" x14ac:dyDescent="0.25">
      <c r="A2859" s="55"/>
    </row>
    <row r="2860" spans="1:1" x14ac:dyDescent="0.25">
      <c r="A2860" s="55"/>
    </row>
    <row r="2861" spans="1:1" x14ac:dyDescent="0.25">
      <c r="A2861" s="55"/>
    </row>
    <row r="2862" spans="1:1" x14ac:dyDescent="0.25">
      <c r="A2862" s="55"/>
    </row>
    <row r="2863" spans="1:1" x14ac:dyDescent="0.25">
      <c r="A2863" s="55"/>
    </row>
    <row r="2864" spans="1:1" x14ac:dyDescent="0.25">
      <c r="A2864" s="55"/>
    </row>
    <row r="2865" spans="1:1" x14ac:dyDescent="0.25">
      <c r="A2865" s="55"/>
    </row>
    <row r="2866" spans="1:1" x14ac:dyDescent="0.25">
      <c r="A2866" s="55"/>
    </row>
    <row r="2867" spans="1:1" x14ac:dyDescent="0.25">
      <c r="A2867" s="55"/>
    </row>
    <row r="2868" spans="1:1" x14ac:dyDescent="0.25">
      <c r="A2868" s="55"/>
    </row>
    <row r="2869" spans="1:1" x14ac:dyDescent="0.25">
      <c r="A2869" s="55"/>
    </row>
    <row r="2870" spans="1:1" x14ac:dyDescent="0.25">
      <c r="A2870" s="55"/>
    </row>
    <row r="2871" spans="1:1" x14ac:dyDescent="0.25">
      <c r="A2871" s="55"/>
    </row>
    <row r="2872" spans="1:1" x14ac:dyDescent="0.25">
      <c r="A2872" s="55"/>
    </row>
    <row r="2873" spans="1:1" x14ac:dyDescent="0.25">
      <c r="A2873" s="55"/>
    </row>
    <row r="2874" spans="1:1" x14ac:dyDescent="0.25">
      <c r="A2874" s="55"/>
    </row>
    <row r="2875" spans="1:1" x14ac:dyDescent="0.25">
      <c r="A2875" s="55"/>
    </row>
    <row r="2876" spans="1:1" x14ac:dyDescent="0.25">
      <c r="A2876" s="55"/>
    </row>
    <row r="2877" spans="1:1" x14ac:dyDescent="0.25">
      <c r="A2877" s="55"/>
    </row>
    <row r="2878" spans="1:1" x14ac:dyDescent="0.25">
      <c r="A2878" s="55"/>
    </row>
    <row r="2879" spans="1:1" x14ac:dyDescent="0.25">
      <c r="A2879" s="55"/>
    </row>
    <row r="2880" spans="1:1" x14ac:dyDescent="0.25">
      <c r="A2880" s="55"/>
    </row>
    <row r="2881" spans="1:1" x14ac:dyDescent="0.25">
      <c r="A2881" s="55"/>
    </row>
    <row r="2882" spans="1:1" x14ac:dyDescent="0.25">
      <c r="A2882" s="55"/>
    </row>
    <row r="2883" spans="1:1" x14ac:dyDescent="0.25">
      <c r="A2883" s="55"/>
    </row>
    <row r="2884" spans="1:1" x14ac:dyDescent="0.25">
      <c r="A2884" s="55"/>
    </row>
    <row r="2885" spans="1:1" x14ac:dyDescent="0.25">
      <c r="A2885" s="55"/>
    </row>
    <row r="2886" spans="1:1" x14ac:dyDescent="0.25">
      <c r="A2886" s="55"/>
    </row>
    <row r="2887" spans="1:1" x14ac:dyDescent="0.25">
      <c r="A2887" s="55"/>
    </row>
    <row r="2888" spans="1:1" x14ac:dyDescent="0.25">
      <c r="A2888" s="55"/>
    </row>
    <row r="2889" spans="1:1" x14ac:dyDescent="0.25">
      <c r="A2889" s="55"/>
    </row>
    <row r="2890" spans="1:1" x14ac:dyDescent="0.25">
      <c r="A2890" s="55"/>
    </row>
    <row r="2891" spans="1:1" x14ac:dyDescent="0.25">
      <c r="A2891" s="55"/>
    </row>
    <row r="2892" spans="1:1" x14ac:dyDescent="0.25">
      <c r="A2892" s="55"/>
    </row>
    <row r="2893" spans="1:1" x14ac:dyDescent="0.25">
      <c r="A2893" s="55"/>
    </row>
    <row r="2894" spans="1:1" x14ac:dyDescent="0.25">
      <c r="A2894" s="55"/>
    </row>
    <row r="2895" spans="1:1" x14ac:dyDescent="0.25">
      <c r="A2895" s="55"/>
    </row>
    <row r="2896" spans="1:1" x14ac:dyDescent="0.25">
      <c r="A2896" s="55"/>
    </row>
    <row r="2897" spans="1:1" x14ac:dyDescent="0.25">
      <c r="A2897" s="55"/>
    </row>
    <row r="2898" spans="1:1" x14ac:dyDescent="0.25">
      <c r="A2898" s="55"/>
    </row>
    <row r="2899" spans="1:1" x14ac:dyDescent="0.25">
      <c r="A2899" s="55"/>
    </row>
    <row r="2900" spans="1:1" x14ac:dyDescent="0.25">
      <c r="A2900" s="55"/>
    </row>
    <row r="2901" spans="1:1" x14ac:dyDescent="0.25">
      <c r="A2901" s="55"/>
    </row>
    <row r="2902" spans="1:1" x14ac:dyDescent="0.25">
      <c r="A2902" s="55"/>
    </row>
    <row r="2903" spans="1:1" x14ac:dyDescent="0.25">
      <c r="A2903" s="55"/>
    </row>
    <row r="2904" spans="1:1" x14ac:dyDescent="0.25">
      <c r="A2904" s="55"/>
    </row>
    <row r="2905" spans="1:1" x14ac:dyDescent="0.25">
      <c r="A2905" s="55"/>
    </row>
    <row r="2906" spans="1:1" x14ac:dyDescent="0.25">
      <c r="A2906" s="55"/>
    </row>
    <row r="2907" spans="1:1" x14ac:dyDescent="0.25">
      <c r="A2907" s="55"/>
    </row>
    <row r="2908" spans="1:1" x14ac:dyDescent="0.25">
      <c r="A2908" s="55"/>
    </row>
    <row r="2909" spans="1:1" x14ac:dyDescent="0.25">
      <c r="A2909" s="55"/>
    </row>
    <row r="2910" spans="1:1" x14ac:dyDescent="0.25">
      <c r="A2910" s="55"/>
    </row>
    <row r="2911" spans="1:1" x14ac:dyDescent="0.25">
      <c r="A2911" s="55"/>
    </row>
    <row r="2912" spans="1:1" x14ac:dyDescent="0.25">
      <c r="A2912" s="55"/>
    </row>
    <row r="2913" spans="1:1" x14ac:dyDescent="0.25">
      <c r="A2913" s="55"/>
    </row>
    <row r="2914" spans="1:1" x14ac:dyDescent="0.25">
      <c r="A2914" s="55"/>
    </row>
    <row r="2915" spans="1:1" x14ac:dyDescent="0.25">
      <c r="A2915" s="55"/>
    </row>
    <row r="2916" spans="1:1" x14ac:dyDescent="0.25">
      <c r="A2916" s="55"/>
    </row>
    <row r="2917" spans="1:1" x14ac:dyDescent="0.25">
      <c r="A2917" s="55"/>
    </row>
    <row r="2918" spans="1:1" x14ac:dyDescent="0.25">
      <c r="A2918" s="55"/>
    </row>
    <row r="2919" spans="1:1" x14ac:dyDescent="0.25">
      <c r="A2919" s="55"/>
    </row>
    <row r="2920" spans="1:1" x14ac:dyDescent="0.25">
      <c r="A2920" s="55"/>
    </row>
    <row r="2921" spans="1:1" x14ac:dyDescent="0.25">
      <c r="A2921" s="55"/>
    </row>
    <row r="2922" spans="1:1" x14ac:dyDescent="0.25">
      <c r="A2922" s="55"/>
    </row>
    <row r="2923" spans="1:1" x14ac:dyDescent="0.25">
      <c r="A2923" s="55"/>
    </row>
    <row r="2924" spans="1:1" x14ac:dyDescent="0.25">
      <c r="A2924" s="55"/>
    </row>
    <row r="2925" spans="1:1" x14ac:dyDescent="0.25">
      <c r="A2925" s="55"/>
    </row>
    <row r="2926" spans="1:1" x14ac:dyDescent="0.25">
      <c r="A2926" s="55"/>
    </row>
    <row r="2927" spans="1:1" x14ac:dyDescent="0.25">
      <c r="A2927" s="55"/>
    </row>
    <row r="2928" spans="1:1" x14ac:dyDescent="0.25">
      <c r="A2928" s="55"/>
    </row>
    <row r="2929" spans="1:1" x14ac:dyDescent="0.25">
      <c r="A2929" s="55"/>
    </row>
    <row r="2930" spans="1:1" x14ac:dyDescent="0.25">
      <c r="A2930" s="55"/>
    </row>
    <row r="2931" spans="1:1" x14ac:dyDescent="0.25">
      <c r="A2931" s="55"/>
    </row>
    <row r="2932" spans="1:1" x14ac:dyDescent="0.25">
      <c r="A2932" s="55"/>
    </row>
    <row r="2933" spans="1:1" x14ac:dyDescent="0.25">
      <c r="A2933" s="55"/>
    </row>
    <row r="2934" spans="1:1" x14ac:dyDescent="0.25">
      <c r="A2934" s="55"/>
    </row>
    <row r="2935" spans="1:1" x14ac:dyDescent="0.25">
      <c r="A2935" s="55"/>
    </row>
    <row r="2936" spans="1:1" x14ac:dyDescent="0.25">
      <c r="A2936" s="55"/>
    </row>
    <row r="2937" spans="1:1" x14ac:dyDescent="0.25">
      <c r="A2937" s="55"/>
    </row>
    <row r="2938" spans="1:1" x14ac:dyDescent="0.25">
      <c r="A2938" s="55"/>
    </row>
    <row r="2939" spans="1:1" x14ac:dyDescent="0.25">
      <c r="A2939" s="55"/>
    </row>
    <row r="2940" spans="1:1" x14ac:dyDescent="0.25">
      <c r="A2940" s="55"/>
    </row>
    <row r="2941" spans="1:1" x14ac:dyDescent="0.25">
      <c r="A2941" s="55"/>
    </row>
    <row r="2942" spans="1:1" x14ac:dyDescent="0.25">
      <c r="A2942" s="55"/>
    </row>
    <row r="2943" spans="1:1" x14ac:dyDescent="0.25">
      <c r="A2943" s="55"/>
    </row>
    <row r="2944" spans="1:1" x14ac:dyDescent="0.25">
      <c r="A2944" s="55"/>
    </row>
    <row r="2945" spans="1:1" x14ac:dyDescent="0.25">
      <c r="A2945" s="55"/>
    </row>
    <row r="2946" spans="1:1" x14ac:dyDescent="0.25">
      <c r="A2946" s="55"/>
    </row>
    <row r="2947" spans="1:1" x14ac:dyDescent="0.25">
      <c r="A2947" s="55"/>
    </row>
    <row r="2948" spans="1:1" x14ac:dyDescent="0.25">
      <c r="A2948" s="55"/>
    </row>
    <row r="2949" spans="1:1" x14ac:dyDescent="0.25">
      <c r="A2949" s="55"/>
    </row>
    <row r="2950" spans="1:1" x14ac:dyDescent="0.25">
      <c r="A2950" s="55"/>
    </row>
    <row r="2951" spans="1:1" x14ac:dyDescent="0.25">
      <c r="A2951" s="55"/>
    </row>
    <row r="2952" spans="1:1" x14ac:dyDescent="0.25">
      <c r="A2952" s="55"/>
    </row>
    <row r="2953" spans="1:1" x14ac:dyDescent="0.25">
      <c r="A2953" s="55"/>
    </row>
    <row r="2954" spans="1:1" x14ac:dyDescent="0.25">
      <c r="A2954" s="55"/>
    </row>
    <row r="2955" spans="1:1" x14ac:dyDescent="0.25">
      <c r="A2955" s="55"/>
    </row>
    <row r="2956" spans="1:1" x14ac:dyDescent="0.25">
      <c r="A2956" s="55"/>
    </row>
    <row r="2957" spans="1:1" x14ac:dyDescent="0.25">
      <c r="A2957" s="55"/>
    </row>
    <row r="2958" spans="1:1" x14ac:dyDescent="0.25">
      <c r="A2958" s="55"/>
    </row>
    <row r="2959" spans="1:1" x14ac:dyDescent="0.25">
      <c r="A2959" s="55"/>
    </row>
    <row r="2960" spans="1:1" x14ac:dyDescent="0.25">
      <c r="A2960" s="55"/>
    </row>
    <row r="2961" spans="1:1" x14ac:dyDescent="0.25">
      <c r="A2961" s="55"/>
    </row>
    <row r="2962" spans="1:1" x14ac:dyDescent="0.25">
      <c r="A2962" s="55"/>
    </row>
    <row r="2963" spans="1:1" x14ac:dyDescent="0.25">
      <c r="A2963" s="55"/>
    </row>
    <row r="2964" spans="1:1" x14ac:dyDescent="0.25">
      <c r="A2964" s="55"/>
    </row>
    <row r="2965" spans="1:1" x14ac:dyDescent="0.25">
      <c r="A2965" s="55"/>
    </row>
    <row r="2966" spans="1:1" x14ac:dyDescent="0.25">
      <c r="A2966" s="55"/>
    </row>
    <row r="2967" spans="1:1" x14ac:dyDescent="0.25">
      <c r="A2967" s="55"/>
    </row>
    <row r="2968" spans="1:1" x14ac:dyDescent="0.25">
      <c r="A2968" s="55"/>
    </row>
    <row r="2969" spans="1:1" x14ac:dyDescent="0.25">
      <c r="A2969" s="55"/>
    </row>
    <row r="2970" spans="1:1" x14ac:dyDescent="0.25">
      <c r="A2970" s="55"/>
    </row>
    <row r="2971" spans="1:1" x14ac:dyDescent="0.25">
      <c r="A2971" s="55"/>
    </row>
    <row r="2972" spans="1:1" x14ac:dyDescent="0.25">
      <c r="A2972" s="55"/>
    </row>
    <row r="2973" spans="1:1" x14ac:dyDescent="0.25">
      <c r="A2973" s="55"/>
    </row>
    <row r="2974" spans="1:1" x14ac:dyDescent="0.25">
      <c r="A2974" s="55"/>
    </row>
    <row r="2975" spans="1:1" x14ac:dyDescent="0.25">
      <c r="A2975" s="55"/>
    </row>
    <row r="2976" spans="1:1" x14ac:dyDescent="0.25">
      <c r="A2976" s="55"/>
    </row>
    <row r="2977" spans="1:1" x14ac:dyDescent="0.25">
      <c r="A2977" s="55"/>
    </row>
    <row r="2978" spans="1:1" x14ac:dyDescent="0.25">
      <c r="A2978" s="55"/>
    </row>
    <row r="2979" spans="1:1" x14ac:dyDescent="0.25">
      <c r="A2979" s="55"/>
    </row>
    <row r="2980" spans="1:1" x14ac:dyDescent="0.25">
      <c r="A2980" s="55"/>
    </row>
    <row r="2981" spans="1:1" x14ac:dyDescent="0.25">
      <c r="A2981" s="55"/>
    </row>
    <row r="2982" spans="1:1" x14ac:dyDescent="0.25">
      <c r="A2982" s="55"/>
    </row>
    <row r="2983" spans="1:1" x14ac:dyDescent="0.25">
      <c r="A2983" s="55"/>
    </row>
    <row r="2984" spans="1:1" x14ac:dyDescent="0.25">
      <c r="A2984" s="55"/>
    </row>
    <row r="2985" spans="1:1" x14ac:dyDescent="0.25">
      <c r="A2985" s="55"/>
    </row>
    <row r="2986" spans="1:1" x14ac:dyDescent="0.25">
      <c r="A2986" s="55"/>
    </row>
    <row r="2987" spans="1:1" x14ac:dyDescent="0.25">
      <c r="A2987" s="55"/>
    </row>
    <row r="2988" spans="1:1" x14ac:dyDescent="0.25">
      <c r="A2988" s="55"/>
    </row>
    <row r="2989" spans="1:1" x14ac:dyDescent="0.25">
      <c r="A2989" s="55"/>
    </row>
    <row r="2990" spans="1:1" x14ac:dyDescent="0.25">
      <c r="A2990" s="55"/>
    </row>
    <row r="2991" spans="1:1" x14ac:dyDescent="0.25">
      <c r="A2991" s="55"/>
    </row>
    <row r="2992" spans="1:1" x14ac:dyDescent="0.25">
      <c r="A2992" s="55"/>
    </row>
    <row r="2993" spans="1:1" x14ac:dyDescent="0.25">
      <c r="A2993" s="55"/>
    </row>
    <row r="2994" spans="1:1" x14ac:dyDescent="0.25">
      <c r="A2994" s="55"/>
    </row>
    <row r="2995" spans="1:1" x14ac:dyDescent="0.25">
      <c r="A2995" s="55"/>
    </row>
    <row r="2996" spans="1:1" x14ac:dyDescent="0.25">
      <c r="A2996" s="55"/>
    </row>
    <row r="2997" spans="1:1" x14ac:dyDescent="0.25">
      <c r="A2997" s="55"/>
    </row>
    <row r="2998" spans="1:1" x14ac:dyDescent="0.25">
      <c r="A2998" s="55"/>
    </row>
    <row r="2999" spans="1:1" x14ac:dyDescent="0.25">
      <c r="A2999" s="55"/>
    </row>
    <row r="3000" spans="1:1" x14ac:dyDescent="0.25">
      <c r="A3000" s="55"/>
    </row>
    <row r="3001" spans="1:1" x14ac:dyDescent="0.25">
      <c r="A3001" s="55"/>
    </row>
    <row r="3002" spans="1:1" x14ac:dyDescent="0.25">
      <c r="A3002" s="55"/>
    </row>
    <row r="3003" spans="1:1" x14ac:dyDescent="0.25">
      <c r="A3003" s="55"/>
    </row>
    <row r="3004" spans="1:1" x14ac:dyDescent="0.25">
      <c r="A3004" s="55"/>
    </row>
    <row r="3005" spans="1:1" x14ac:dyDescent="0.25">
      <c r="A3005" s="55"/>
    </row>
    <row r="3006" spans="1:1" x14ac:dyDescent="0.25">
      <c r="A3006" s="55"/>
    </row>
    <row r="3007" spans="1:1" x14ac:dyDescent="0.25">
      <c r="A3007" s="55"/>
    </row>
    <row r="3008" spans="1:1" x14ac:dyDescent="0.25">
      <c r="A3008" s="55"/>
    </row>
    <row r="3009" spans="1:1" x14ac:dyDescent="0.25">
      <c r="A3009" s="55"/>
    </row>
    <row r="3010" spans="1:1" x14ac:dyDescent="0.25">
      <c r="A3010" s="55"/>
    </row>
    <row r="3011" spans="1:1" x14ac:dyDescent="0.25">
      <c r="A3011" s="55"/>
    </row>
    <row r="3012" spans="1:1" x14ac:dyDescent="0.25">
      <c r="A3012" s="55"/>
    </row>
    <row r="3013" spans="1:1" x14ac:dyDescent="0.25">
      <c r="A3013" s="55"/>
    </row>
    <row r="3014" spans="1:1" x14ac:dyDescent="0.25">
      <c r="A3014" s="55"/>
    </row>
    <row r="3015" spans="1:1" x14ac:dyDescent="0.25">
      <c r="A3015" s="55"/>
    </row>
    <row r="3016" spans="1:1" x14ac:dyDescent="0.25">
      <c r="A3016" s="55"/>
    </row>
    <row r="3017" spans="1:1" x14ac:dyDescent="0.25">
      <c r="A3017" s="55"/>
    </row>
    <row r="3018" spans="1:1" x14ac:dyDescent="0.25">
      <c r="A3018" s="55"/>
    </row>
    <row r="3019" spans="1:1" x14ac:dyDescent="0.25">
      <c r="A3019" s="55"/>
    </row>
    <row r="3020" spans="1:1" x14ac:dyDescent="0.25">
      <c r="A3020" s="55"/>
    </row>
    <row r="3021" spans="1:1" x14ac:dyDescent="0.25">
      <c r="A3021" s="55"/>
    </row>
    <row r="3022" spans="1:1" x14ac:dyDescent="0.25">
      <c r="A3022" s="55"/>
    </row>
    <row r="3023" spans="1:1" x14ac:dyDescent="0.25">
      <c r="A3023" s="55"/>
    </row>
    <row r="3024" spans="1:1" x14ac:dyDescent="0.25">
      <c r="A3024" s="55"/>
    </row>
    <row r="3025" spans="1:1" x14ac:dyDescent="0.25">
      <c r="A3025" s="55"/>
    </row>
    <row r="3026" spans="1:1" x14ac:dyDescent="0.25">
      <c r="A3026" s="55"/>
    </row>
    <row r="3027" spans="1:1" x14ac:dyDescent="0.25">
      <c r="A3027" s="55"/>
    </row>
    <row r="3028" spans="1:1" x14ac:dyDescent="0.25">
      <c r="A3028" s="55"/>
    </row>
    <row r="3029" spans="1:1" x14ac:dyDescent="0.25">
      <c r="A3029" s="55"/>
    </row>
    <row r="3030" spans="1:1" x14ac:dyDescent="0.25">
      <c r="A3030" s="55"/>
    </row>
    <row r="3031" spans="1:1" x14ac:dyDescent="0.25">
      <c r="A3031" s="55"/>
    </row>
    <row r="3032" spans="1:1" x14ac:dyDescent="0.25">
      <c r="A3032" s="55"/>
    </row>
    <row r="3033" spans="1:1" x14ac:dyDescent="0.25">
      <c r="A3033" s="55"/>
    </row>
    <row r="3034" spans="1:1" x14ac:dyDescent="0.25">
      <c r="A3034" s="55"/>
    </row>
    <row r="3035" spans="1:1" x14ac:dyDescent="0.25">
      <c r="A3035" s="55"/>
    </row>
    <row r="3036" spans="1:1" x14ac:dyDescent="0.25">
      <c r="A3036" s="55"/>
    </row>
    <row r="3037" spans="1:1" x14ac:dyDescent="0.25">
      <c r="A3037" s="55"/>
    </row>
    <row r="3038" spans="1:1" x14ac:dyDescent="0.25">
      <c r="A3038" s="55"/>
    </row>
    <row r="3039" spans="1:1" x14ac:dyDescent="0.25">
      <c r="A3039" s="55"/>
    </row>
    <row r="3040" spans="1:1" x14ac:dyDescent="0.25">
      <c r="A3040" s="55"/>
    </row>
    <row r="3041" spans="1:1" x14ac:dyDescent="0.25">
      <c r="A3041" s="55"/>
    </row>
    <row r="3042" spans="1:1" x14ac:dyDescent="0.25">
      <c r="A3042" s="55"/>
    </row>
    <row r="3043" spans="1:1" x14ac:dyDescent="0.25">
      <c r="A3043" s="55"/>
    </row>
    <row r="3044" spans="1:1" x14ac:dyDescent="0.25">
      <c r="A3044" s="55"/>
    </row>
    <row r="3045" spans="1:1" x14ac:dyDescent="0.25">
      <c r="A3045" s="55"/>
    </row>
    <row r="3046" spans="1:1" x14ac:dyDescent="0.25">
      <c r="A3046" s="55"/>
    </row>
    <row r="3047" spans="1:1" x14ac:dyDescent="0.25">
      <c r="A3047" s="55"/>
    </row>
    <row r="3048" spans="1:1" x14ac:dyDescent="0.25">
      <c r="A3048" s="55"/>
    </row>
    <row r="3049" spans="1:1" x14ac:dyDescent="0.25">
      <c r="A3049" s="55"/>
    </row>
    <row r="3050" spans="1:1" x14ac:dyDescent="0.25">
      <c r="A3050" s="55"/>
    </row>
    <row r="3051" spans="1:1" x14ac:dyDescent="0.25">
      <c r="A3051" s="55"/>
    </row>
    <row r="3052" spans="1:1" x14ac:dyDescent="0.25">
      <c r="A3052" s="55"/>
    </row>
    <row r="3053" spans="1:1" x14ac:dyDescent="0.25">
      <c r="A3053" s="55"/>
    </row>
    <row r="3054" spans="1:1" x14ac:dyDescent="0.25">
      <c r="A3054" s="55"/>
    </row>
    <row r="3055" spans="1:1" x14ac:dyDescent="0.25">
      <c r="A3055" s="55"/>
    </row>
    <row r="3056" spans="1:1" x14ac:dyDescent="0.25">
      <c r="A3056" s="55"/>
    </row>
    <row r="3057" spans="1:1" x14ac:dyDescent="0.25">
      <c r="A3057" s="55"/>
    </row>
    <row r="3058" spans="1:1" x14ac:dyDescent="0.25">
      <c r="A3058" s="55"/>
    </row>
    <row r="3059" spans="1:1" x14ac:dyDescent="0.25">
      <c r="A3059" s="55"/>
    </row>
    <row r="3060" spans="1:1" x14ac:dyDescent="0.25">
      <c r="A3060" s="55"/>
    </row>
    <row r="3061" spans="1:1" x14ac:dyDescent="0.25">
      <c r="A3061" s="55"/>
    </row>
    <row r="3062" spans="1:1" x14ac:dyDescent="0.25">
      <c r="A3062" s="55"/>
    </row>
    <row r="3063" spans="1:1" x14ac:dyDescent="0.25">
      <c r="A3063" s="55"/>
    </row>
    <row r="3064" spans="1:1" x14ac:dyDescent="0.25">
      <c r="A3064" s="55"/>
    </row>
    <row r="3065" spans="1:1" x14ac:dyDescent="0.25">
      <c r="A3065" s="55"/>
    </row>
    <row r="3066" spans="1:1" x14ac:dyDescent="0.25">
      <c r="A3066" s="55"/>
    </row>
    <row r="3067" spans="1:1" x14ac:dyDescent="0.25">
      <c r="A3067" s="55"/>
    </row>
    <row r="3068" spans="1:1" x14ac:dyDescent="0.25">
      <c r="A3068" s="55"/>
    </row>
    <row r="3069" spans="1:1" x14ac:dyDescent="0.25">
      <c r="A3069" s="55"/>
    </row>
    <row r="3070" spans="1:1" x14ac:dyDescent="0.25">
      <c r="A3070" s="55"/>
    </row>
    <row r="3071" spans="1:1" x14ac:dyDescent="0.25">
      <c r="A3071" s="55"/>
    </row>
    <row r="3072" spans="1:1" x14ac:dyDescent="0.25">
      <c r="A3072" s="55"/>
    </row>
    <row r="3073" spans="1:1" x14ac:dyDescent="0.25">
      <c r="A3073" s="55"/>
    </row>
    <row r="3074" spans="1:1" x14ac:dyDescent="0.25">
      <c r="A3074" s="55"/>
    </row>
    <row r="3075" spans="1:1" x14ac:dyDescent="0.25">
      <c r="A3075" s="55"/>
    </row>
    <row r="3076" spans="1:1" x14ac:dyDescent="0.25">
      <c r="A3076" s="55"/>
    </row>
    <row r="3077" spans="1:1" x14ac:dyDescent="0.25">
      <c r="A3077" s="55"/>
    </row>
    <row r="3078" spans="1:1" x14ac:dyDescent="0.25">
      <c r="A3078" s="55"/>
    </row>
    <row r="3079" spans="1:1" x14ac:dyDescent="0.25">
      <c r="A3079" s="55"/>
    </row>
    <row r="3080" spans="1:1" x14ac:dyDescent="0.25">
      <c r="A3080" s="55"/>
    </row>
    <row r="3081" spans="1:1" x14ac:dyDescent="0.25">
      <c r="A3081" s="55"/>
    </row>
    <row r="3082" spans="1:1" x14ac:dyDescent="0.25">
      <c r="A3082" s="55"/>
    </row>
    <row r="3083" spans="1:1" x14ac:dyDescent="0.25">
      <c r="A3083" s="55"/>
    </row>
    <row r="3084" spans="1:1" x14ac:dyDescent="0.25">
      <c r="A3084" s="55"/>
    </row>
    <row r="3085" spans="1:1" x14ac:dyDescent="0.25">
      <c r="A3085" s="55"/>
    </row>
    <row r="3086" spans="1:1" x14ac:dyDescent="0.25">
      <c r="A3086" s="55"/>
    </row>
    <row r="3087" spans="1:1" x14ac:dyDescent="0.25">
      <c r="A3087" s="55"/>
    </row>
    <row r="3088" spans="1:1" x14ac:dyDescent="0.25">
      <c r="A3088" s="55"/>
    </row>
    <row r="3089" spans="1:1" x14ac:dyDescent="0.25">
      <c r="A3089" s="55"/>
    </row>
    <row r="3090" spans="1:1" x14ac:dyDescent="0.25">
      <c r="A3090" s="55"/>
    </row>
    <row r="3091" spans="1:1" x14ac:dyDescent="0.25">
      <c r="A3091" s="55"/>
    </row>
    <row r="3092" spans="1:1" x14ac:dyDescent="0.25">
      <c r="A3092" s="55"/>
    </row>
    <row r="3093" spans="1:1" x14ac:dyDescent="0.25">
      <c r="A3093" s="55"/>
    </row>
    <row r="3094" spans="1:1" x14ac:dyDescent="0.25">
      <c r="A3094" s="55"/>
    </row>
    <row r="3095" spans="1:1" x14ac:dyDescent="0.25">
      <c r="A3095" s="55"/>
    </row>
    <row r="3096" spans="1:1" x14ac:dyDescent="0.25">
      <c r="A3096" s="55"/>
    </row>
    <row r="3097" spans="1:1" x14ac:dyDescent="0.25">
      <c r="A3097" s="55"/>
    </row>
    <row r="3098" spans="1:1" x14ac:dyDescent="0.25">
      <c r="A3098" s="55"/>
    </row>
    <row r="3099" spans="1:1" x14ac:dyDescent="0.25">
      <c r="A3099" s="55"/>
    </row>
    <row r="3100" spans="1:1" x14ac:dyDescent="0.25">
      <c r="A3100" s="55"/>
    </row>
    <row r="3101" spans="1:1" x14ac:dyDescent="0.25">
      <c r="A3101" s="55"/>
    </row>
    <row r="3102" spans="1:1" x14ac:dyDescent="0.25">
      <c r="A3102" s="55"/>
    </row>
    <row r="3103" spans="1:1" x14ac:dyDescent="0.25">
      <c r="A3103" s="55"/>
    </row>
    <row r="3104" spans="1:1" x14ac:dyDescent="0.25">
      <c r="A3104" s="55"/>
    </row>
    <row r="3105" spans="1:1" x14ac:dyDescent="0.25">
      <c r="A3105" s="55"/>
    </row>
    <row r="3106" spans="1:1" x14ac:dyDescent="0.25">
      <c r="A3106" s="55"/>
    </row>
    <row r="3107" spans="1:1" x14ac:dyDescent="0.25">
      <c r="A3107" s="55"/>
    </row>
    <row r="3108" spans="1:1" x14ac:dyDescent="0.25">
      <c r="A3108" s="55"/>
    </row>
    <row r="3109" spans="1:1" x14ac:dyDescent="0.25">
      <c r="A3109" s="55"/>
    </row>
    <row r="3110" spans="1:1" x14ac:dyDescent="0.25">
      <c r="A3110" s="55"/>
    </row>
    <row r="3111" spans="1:1" x14ac:dyDescent="0.25">
      <c r="A3111" s="55"/>
    </row>
    <row r="3112" spans="1:1" x14ac:dyDescent="0.25">
      <c r="A3112" s="55"/>
    </row>
    <row r="3113" spans="1:1" x14ac:dyDescent="0.25">
      <c r="A3113" s="55"/>
    </row>
    <row r="3114" spans="1:1" x14ac:dyDescent="0.25">
      <c r="A3114" s="55"/>
    </row>
    <row r="3115" spans="1:1" x14ac:dyDescent="0.25">
      <c r="A3115" s="55"/>
    </row>
    <row r="3116" spans="1:1" x14ac:dyDescent="0.25">
      <c r="A3116" s="55"/>
    </row>
    <row r="3117" spans="1:1" x14ac:dyDescent="0.25">
      <c r="A3117" s="55"/>
    </row>
    <row r="3118" spans="1:1" x14ac:dyDescent="0.25">
      <c r="A3118" s="55"/>
    </row>
    <row r="3119" spans="1:1" x14ac:dyDescent="0.25">
      <c r="A3119" s="55"/>
    </row>
    <row r="3120" spans="1:1" x14ac:dyDescent="0.25">
      <c r="A3120" s="55"/>
    </row>
    <row r="3121" spans="1:1" x14ac:dyDescent="0.25">
      <c r="A3121" s="55"/>
    </row>
    <row r="3122" spans="1:1" x14ac:dyDescent="0.25">
      <c r="A3122" s="55"/>
    </row>
    <row r="3123" spans="1:1" x14ac:dyDescent="0.25">
      <c r="A3123" s="55"/>
    </row>
    <row r="3124" spans="1:1" x14ac:dyDescent="0.25">
      <c r="A3124" s="55"/>
    </row>
    <row r="3125" spans="1:1" x14ac:dyDescent="0.25">
      <c r="A3125" s="55"/>
    </row>
    <row r="3126" spans="1:1" x14ac:dyDescent="0.25">
      <c r="A3126" s="55"/>
    </row>
    <row r="3127" spans="1:1" x14ac:dyDescent="0.25">
      <c r="A3127" s="55"/>
    </row>
    <row r="3128" spans="1:1" x14ac:dyDescent="0.25">
      <c r="A3128" s="55"/>
    </row>
    <row r="3129" spans="1:1" x14ac:dyDescent="0.25">
      <c r="A3129" s="55"/>
    </row>
    <row r="3130" spans="1:1" x14ac:dyDescent="0.25">
      <c r="A3130" s="55"/>
    </row>
    <row r="3131" spans="1:1" x14ac:dyDescent="0.25">
      <c r="A3131" s="55"/>
    </row>
    <row r="3132" spans="1:1" x14ac:dyDescent="0.25">
      <c r="A3132" s="55"/>
    </row>
    <row r="3133" spans="1:1" x14ac:dyDescent="0.25">
      <c r="A3133" s="55"/>
    </row>
    <row r="3134" spans="1:1" x14ac:dyDescent="0.25">
      <c r="A3134" s="55"/>
    </row>
    <row r="3135" spans="1:1" x14ac:dyDescent="0.25">
      <c r="A3135" s="55"/>
    </row>
    <row r="3136" spans="1:1" x14ac:dyDescent="0.25">
      <c r="A3136" s="55"/>
    </row>
    <row r="3137" spans="1:1" x14ac:dyDescent="0.25">
      <c r="A3137" s="55"/>
    </row>
    <row r="3138" spans="1:1" x14ac:dyDescent="0.25">
      <c r="A3138" s="55"/>
    </row>
    <row r="3139" spans="1:1" x14ac:dyDescent="0.25">
      <c r="A3139" s="55"/>
    </row>
    <row r="3140" spans="1:1" x14ac:dyDescent="0.25">
      <c r="A3140" s="55"/>
    </row>
    <row r="3141" spans="1:1" x14ac:dyDescent="0.25">
      <c r="A3141" s="55"/>
    </row>
    <row r="3142" spans="1:1" x14ac:dyDescent="0.25">
      <c r="A3142" s="55"/>
    </row>
    <row r="3143" spans="1:1" x14ac:dyDescent="0.25">
      <c r="A3143" s="55"/>
    </row>
    <row r="3144" spans="1:1" x14ac:dyDescent="0.25">
      <c r="A3144" s="55"/>
    </row>
    <row r="3145" spans="1:1" x14ac:dyDescent="0.25">
      <c r="A3145" s="55"/>
    </row>
    <row r="3146" spans="1:1" x14ac:dyDescent="0.25">
      <c r="A3146" s="55"/>
    </row>
    <row r="3147" spans="1:1" x14ac:dyDescent="0.25">
      <c r="A3147" s="55"/>
    </row>
    <row r="3148" spans="1:1" x14ac:dyDescent="0.25">
      <c r="A3148" s="55"/>
    </row>
    <row r="3149" spans="1:1" x14ac:dyDescent="0.25">
      <c r="A3149" s="55"/>
    </row>
    <row r="3150" spans="1:1" x14ac:dyDescent="0.25">
      <c r="A3150" s="55"/>
    </row>
    <row r="3151" spans="1:1" x14ac:dyDescent="0.25">
      <c r="A3151" s="55"/>
    </row>
    <row r="3152" spans="1:1" x14ac:dyDescent="0.25">
      <c r="A3152" s="55"/>
    </row>
    <row r="3153" spans="1:1" x14ac:dyDescent="0.25">
      <c r="A3153" s="55"/>
    </row>
    <row r="3154" spans="1:1" x14ac:dyDescent="0.25">
      <c r="A3154" s="55"/>
    </row>
    <row r="3155" spans="1:1" x14ac:dyDescent="0.25">
      <c r="A3155" s="55"/>
    </row>
    <row r="3156" spans="1:1" x14ac:dyDescent="0.25">
      <c r="A3156" s="55"/>
    </row>
    <row r="3157" spans="1:1" x14ac:dyDescent="0.25">
      <c r="A3157" s="55"/>
    </row>
    <row r="3158" spans="1:1" x14ac:dyDescent="0.25">
      <c r="A3158" s="55"/>
    </row>
    <row r="3159" spans="1:1" x14ac:dyDescent="0.25">
      <c r="A3159" s="55"/>
    </row>
    <row r="3160" spans="1:1" x14ac:dyDescent="0.25">
      <c r="A3160" s="55"/>
    </row>
    <row r="3161" spans="1:1" x14ac:dyDescent="0.25">
      <c r="A3161" s="55"/>
    </row>
    <row r="3162" spans="1:1" x14ac:dyDescent="0.25">
      <c r="A3162" s="55"/>
    </row>
    <row r="3163" spans="1:1" x14ac:dyDescent="0.25">
      <c r="A3163" s="55"/>
    </row>
    <row r="3164" spans="1:1" x14ac:dyDescent="0.25">
      <c r="A3164" s="55"/>
    </row>
    <row r="3165" spans="1:1" x14ac:dyDescent="0.25">
      <c r="A3165" s="55"/>
    </row>
    <row r="3166" spans="1:1" x14ac:dyDescent="0.25">
      <c r="A3166" s="55"/>
    </row>
    <row r="3167" spans="1:1" x14ac:dyDescent="0.25">
      <c r="A3167" s="55"/>
    </row>
    <row r="3168" spans="1:1" x14ac:dyDescent="0.25">
      <c r="A3168" s="55"/>
    </row>
    <row r="3169" spans="1:1" x14ac:dyDescent="0.25">
      <c r="A3169" s="55"/>
    </row>
    <row r="3170" spans="1:1" x14ac:dyDescent="0.25">
      <c r="A3170" s="55"/>
    </row>
    <row r="3171" spans="1:1" x14ac:dyDescent="0.25">
      <c r="A3171" s="55"/>
    </row>
    <row r="3172" spans="1:1" x14ac:dyDescent="0.25">
      <c r="A3172" s="55"/>
    </row>
    <row r="3173" spans="1:1" x14ac:dyDescent="0.25">
      <c r="A3173" s="55"/>
    </row>
    <row r="3174" spans="1:1" x14ac:dyDescent="0.25">
      <c r="A3174" s="55"/>
    </row>
    <row r="3175" spans="1:1" x14ac:dyDescent="0.25">
      <c r="A3175" s="55"/>
    </row>
    <row r="3176" spans="1:1" x14ac:dyDescent="0.25">
      <c r="A3176" s="55"/>
    </row>
    <row r="3177" spans="1:1" x14ac:dyDescent="0.25">
      <c r="A3177" s="55"/>
    </row>
    <row r="3178" spans="1:1" x14ac:dyDescent="0.25">
      <c r="A3178" s="55"/>
    </row>
    <row r="3179" spans="1:1" x14ac:dyDescent="0.25">
      <c r="A3179" s="55"/>
    </row>
    <row r="3180" spans="1:1" x14ac:dyDescent="0.25">
      <c r="A3180" s="55"/>
    </row>
    <row r="3181" spans="1:1" x14ac:dyDescent="0.25">
      <c r="A3181" s="55"/>
    </row>
    <row r="3182" spans="1:1" x14ac:dyDescent="0.25">
      <c r="A3182" s="55"/>
    </row>
    <row r="3183" spans="1:1" x14ac:dyDescent="0.25">
      <c r="A3183" s="55"/>
    </row>
    <row r="3184" spans="1:1" x14ac:dyDescent="0.25">
      <c r="A3184" s="55"/>
    </row>
    <row r="3185" spans="1:1" x14ac:dyDescent="0.25">
      <c r="A3185" s="55"/>
    </row>
    <row r="3186" spans="1:1" x14ac:dyDescent="0.25">
      <c r="A3186" s="55"/>
    </row>
    <row r="3187" spans="1:1" x14ac:dyDescent="0.25">
      <c r="A3187" s="55"/>
    </row>
    <row r="3188" spans="1:1" x14ac:dyDescent="0.25">
      <c r="A3188" s="55"/>
    </row>
    <row r="3189" spans="1:1" x14ac:dyDescent="0.25">
      <c r="A3189" s="55"/>
    </row>
    <row r="3190" spans="1:1" x14ac:dyDescent="0.25">
      <c r="A3190" s="55"/>
    </row>
    <row r="3191" spans="1:1" x14ac:dyDescent="0.25">
      <c r="A3191" s="55"/>
    </row>
    <row r="3192" spans="1:1" x14ac:dyDescent="0.25">
      <c r="A3192" s="55"/>
    </row>
    <row r="3193" spans="1:1" x14ac:dyDescent="0.25">
      <c r="A3193" s="55"/>
    </row>
    <row r="3194" spans="1:1" x14ac:dyDescent="0.25">
      <c r="A3194" s="55"/>
    </row>
    <row r="3195" spans="1:1" x14ac:dyDescent="0.25">
      <c r="A3195" s="55"/>
    </row>
    <row r="3196" spans="1:1" x14ac:dyDescent="0.25">
      <c r="A3196" s="55"/>
    </row>
    <row r="3197" spans="1:1" x14ac:dyDescent="0.25">
      <c r="A3197" s="55"/>
    </row>
    <row r="3198" spans="1:1" x14ac:dyDescent="0.25">
      <c r="A3198" s="55"/>
    </row>
    <row r="3199" spans="1:1" x14ac:dyDescent="0.25">
      <c r="A3199" s="55"/>
    </row>
    <row r="3200" spans="1:1" x14ac:dyDescent="0.25">
      <c r="A3200" s="55"/>
    </row>
    <row r="3201" spans="1:1" x14ac:dyDescent="0.25">
      <c r="A3201" s="55"/>
    </row>
    <row r="3202" spans="1:1" x14ac:dyDescent="0.25">
      <c r="A3202" s="55"/>
    </row>
    <row r="3203" spans="1:1" x14ac:dyDescent="0.25">
      <c r="A3203" s="55"/>
    </row>
    <row r="3204" spans="1:1" x14ac:dyDescent="0.25">
      <c r="A3204" s="55"/>
    </row>
    <row r="3205" spans="1:1" x14ac:dyDescent="0.25">
      <c r="A3205" s="55"/>
    </row>
    <row r="3206" spans="1:1" x14ac:dyDescent="0.25">
      <c r="A3206" s="55"/>
    </row>
    <row r="3207" spans="1:1" x14ac:dyDescent="0.25">
      <c r="A3207" s="55"/>
    </row>
    <row r="3208" spans="1:1" x14ac:dyDescent="0.25">
      <c r="A3208" s="55"/>
    </row>
    <row r="3209" spans="1:1" x14ac:dyDescent="0.25">
      <c r="A3209" s="55"/>
    </row>
    <row r="3210" spans="1:1" x14ac:dyDescent="0.25">
      <c r="A3210" s="55"/>
    </row>
    <row r="3211" spans="1:1" x14ac:dyDescent="0.25">
      <c r="A3211" s="55"/>
    </row>
    <row r="3212" spans="1:1" x14ac:dyDescent="0.25">
      <c r="A3212" s="55"/>
    </row>
    <row r="3213" spans="1:1" x14ac:dyDescent="0.25">
      <c r="A3213" s="55"/>
    </row>
    <row r="3214" spans="1:1" x14ac:dyDescent="0.25">
      <c r="A3214" s="55"/>
    </row>
    <row r="3215" spans="1:1" x14ac:dyDescent="0.25">
      <c r="A3215" s="55"/>
    </row>
    <row r="3216" spans="1:1" x14ac:dyDescent="0.25">
      <c r="A3216" s="55"/>
    </row>
    <row r="3217" spans="1:1" x14ac:dyDescent="0.25">
      <c r="A3217" s="55"/>
    </row>
    <row r="3218" spans="1:1" x14ac:dyDescent="0.25">
      <c r="A3218" s="55"/>
    </row>
    <row r="3219" spans="1:1" x14ac:dyDescent="0.25">
      <c r="A3219" s="55"/>
    </row>
    <row r="3220" spans="1:1" x14ac:dyDescent="0.25">
      <c r="A3220" s="55"/>
    </row>
    <row r="3221" spans="1:1" x14ac:dyDescent="0.25">
      <c r="A3221" s="55"/>
    </row>
    <row r="3222" spans="1:1" x14ac:dyDescent="0.25">
      <c r="A3222" s="55"/>
    </row>
    <row r="3223" spans="1:1" x14ac:dyDescent="0.25">
      <c r="A3223" s="55"/>
    </row>
    <row r="3224" spans="1:1" x14ac:dyDescent="0.25">
      <c r="A3224" s="55"/>
    </row>
    <row r="3225" spans="1:1" x14ac:dyDescent="0.25">
      <c r="A3225" s="55"/>
    </row>
    <row r="3226" spans="1:1" x14ac:dyDescent="0.25">
      <c r="A3226" s="55"/>
    </row>
    <row r="3227" spans="1:1" x14ac:dyDescent="0.25">
      <c r="A3227" s="55"/>
    </row>
    <row r="3228" spans="1:1" x14ac:dyDescent="0.25">
      <c r="A3228" s="55"/>
    </row>
    <row r="3229" spans="1:1" x14ac:dyDescent="0.25">
      <c r="A3229" s="55"/>
    </row>
    <row r="3230" spans="1:1" x14ac:dyDescent="0.25">
      <c r="A3230" s="55"/>
    </row>
    <row r="3231" spans="1:1" x14ac:dyDescent="0.25">
      <c r="A3231" s="55"/>
    </row>
    <row r="3232" spans="1:1" x14ac:dyDescent="0.25">
      <c r="A3232" s="55"/>
    </row>
    <row r="3233" spans="1:1" x14ac:dyDescent="0.25">
      <c r="A3233" s="55"/>
    </row>
    <row r="3234" spans="1:1" x14ac:dyDescent="0.25">
      <c r="A3234" s="55"/>
    </row>
    <row r="3235" spans="1:1" x14ac:dyDescent="0.25">
      <c r="A3235" s="55"/>
    </row>
    <row r="3236" spans="1:1" x14ac:dyDescent="0.25">
      <c r="A3236" s="55"/>
    </row>
    <row r="3237" spans="1:1" x14ac:dyDescent="0.25">
      <c r="A3237" s="55"/>
    </row>
    <row r="3238" spans="1:1" x14ac:dyDescent="0.25">
      <c r="A3238" s="55"/>
    </row>
    <row r="3239" spans="1:1" x14ac:dyDescent="0.25">
      <c r="A3239" s="55"/>
    </row>
    <row r="3240" spans="1:1" x14ac:dyDescent="0.25">
      <c r="A3240" s="55"/>
    </row>
    <row r="3241" spans="1:1" x14ac:dyDescent="0.25">
      <c r="A3241" s="55"/>
    </row>
    <row r="3242" spans="1:1" x14ac:dyDescent="0.25">
      <c r="A3242" s="55"/>
    </row>
    <row r="3243" spans="1:1" x14ac:dyDescent="0.25">
      <c r="A3243" s="55"/>
    </row>
    <row r="3244" spans="1:1" x14ac:dyDescent="0.25">
      <c r="A3244" s="55"/>
    </row>
    <row r="3245" spans="1:1" x14ac:dyDescent="0.25">
      <c r="A3245" s="55"/>
    </row>
    <row r="3246" spans="1:1" x14ac:dyDescent="0.25">
      <c r="A3246" s="55"/>
    </row>
    <row r="3247" spans="1:1" x14ac:dyDescent="0.25">
      <c r="A3247" s="55"/>
    </row>
    <row r="3248" spans="1:1" x14ac:dyDescent="0.25">
      <c r="A3248" s="55"/>
    </row>
    <row r="3249" spans="1:1" x14ac:dyDescent="0.25">
      <c r="A3249" s="55"/>
    </row>
    <row r="3250" spans="1:1" x14ac:dyDescent="0.25">
      <c r="A3250" s="55"/>
    </row>
    <row r="3251" spans="1:1" x14ac:dyDescent="0.25">
      <c r="A3251" s="55"/>
    </row>
    <row r="3252" spans="1:1" x14ac:dyDescent="0.25">
      <c r="A3252" s="55"/>
    </row>
    <row r="3253" spans="1:1" x14ac:dyDescent="0.25">
      <c r="A3253" s="55"/>
    </row>
    <row r="3254" spans="1:1" x14ac:dyDescent="0.25">
      <c r="A3254" s="55"/>
    </row>
    <row r="3255" spans="1:1" x14ac:dyDescent="0.25">
      <c r="A3255" s="55"/>
    </row>
    <row r="3256" spans="1:1" x14ac:dyDescent="0.25">
      <c r="A3256" s="55"/>
    </row>
    <row r="3257" spans="1:1" x14ac:dyDescent="0.25">
      <c r="A3257" s="55"/>
    </row>
    <row r="3258" spans="1:1" x14ac:dyDescent="0.25">
      <c r="A3258" s="55"/>
    </row>
    <row r="3259" spans="1:1" x14ac:dyDescent="0.25">
      <c r="A3259" s="55"/>
    </row>
    <row r="3260" spans="1:1" x14ac:dyDescent="0.25">
      <c r="A3260" s="55"/>
    </row>
    <row r="3261" spans="1:1" x14ac:dyDescent="0.25">
      <c r="A3261" s="55"/>
    </row>
    <row r="3262" spans="1:1" x14ac:dyDescent="0.25">
      <c r="A3262" s="55"/>
    </row>
    <row r="3263" spans="1:1" x14ac:dyDescent="0.25">
      <c r="A3263" s="55"/>
    </row>
    <row r="3264" spans="1:1" x14ac:dyDescent="0.25">
      <c r="A3264" s="55"/>
    </row>
    <row r="3265" spans="1:1" x14ac:dyDescent="0.25">
      <c r="A3265" s="55"/>
    </row>
    <row r="3266" spans="1:1" x14ac:dyDescent="0.25">
      <c r="A3266" s="55"/>
    </row>
    <row r="3267" spans="1:1" x14ac:dyDescent="0.25">
      <c r="A3267" s="55"/>
    </row>
    <row r="3268" spans="1:1" x14ac:dyDescent="0.25">
      <c r="A3268" s="55"/>
    </row>
    <row r="3269" spans="1:1" x14ac:dyDescent="0.25">
      <c r="A3269" s="55"/>
    </row>
    <row r="3270" spans="1:1" x14ac:dyDescent="0.25">
      <c r="A3270" s="55"/>
    </row>
    <row r="3271" spans="1:1" x14ac:dyDescent="0.25">
      <c r="A3271" s="55"/>
    </row>
    <row r="3272" spans="1:1" x14ac:dyDescent="0.25">
      <c r="A3272" s="55"/>
    </row>
    <row r="3273" spans="1:1" x14ac:dyDescent="0.25">
      <c r="A3273" s="55"/>
    </row>
    <row r="3274" spans="1:1" x14ac:dyDescent="0.25">
      <c r="A3274" s="55"/>
    </row>
    <row r="3275" spans="1:1" x14ac:dyDescent="0.25">
      <c r="A3275" s="55"/>
    </row>
    <row r="3276" spans="1:1" x14ac:dyDescent="0.25">
      <c r="A3276" s="55"/>
    </row>
    <row r="3277" spans="1:1" x14ac:dyDescent="0.25">
      <c r="A3277" s="55"/>
    </row>
    <row r="3278" spans="1:1" x14ac:dyDescent="0.25">
      <c r="A3278" s="55"/>
    </row>
    <row r="3279" spans="1:1" x14ac:dyDescent="0.25">
      <c r="A3279" s="55"/>
    </row>
    <row r="3280" spans="1:1" x14ac:dyDescent="0.25">
      <c r="A3280" s="55"/>
    </row>
    <row r="3281" spans="1:1" x14ac:dyDescent="0.25">
      <c r="A3281" s="55"/>
    </row>
    <row r="3282" spans="1:1" x14ac:dyDescent="0.25">
      <c r="A3282" s="55"/>
    </row>
    <row r="3283" spans="1:1" x14ac:dyDescent="0.25">
      <c r="A3283" s="55"/>
    </row>
    <row r="3284" spans="1:1" x14ac:dyDescent="0.25">
      <c r="A3284" s="55"/>
    </row>
    <row r="3285" spans="1:1" x14ac:dyDescent="0.25">
      <c r="A3285" s="55"/>
    </row>
    <row r="3286" spans="1:1" x14ac:dyDescent="0.25">
      <c r="A3286" s="55"/>
    </row>
    <row r="3287" spans="1:1" x14ac:dyDescent="0.25">
      <c r="A3287" s="55"/>
    </row>
    <row r="3288" spans="1:1" x14ac:dyDescent="0.25">
      <c r="A3288" s="55"/>
    </row>
    <row r="3289" spans="1:1" x14ac:dyDescent="0.25">
      <c r="A3289" s="55"/>
    </row>
    <row r="3290" spans="1:1" x14ac:dyDescent="0.25">
      <c r="A3290" s="55"/>
    </row>
    <row r="3291" spans="1:1" x14ac:dyDescent="0.25">
      <c r="A3291" s="55"/>
    </row>
    <row r="3292" spans="1:1" x14ac:dyDescent="0.25">
      <c r="A3292" s="55"/>
    </row>
    <row r="3293" spans="1:1" x14ac:dyDescent="0.25">
      <c r="A3293" s="55"/>
    </row>
    <row r="3294" spans="1:1" x14ac:dyDescent="0.25">
      <c r="A3294" s="55"/>
    </row>
    <row r="3295" spans="1:1" x14ac:dyDescent="0.25">
      <c r="A3295" s="55"/>
    </row>
    <row r="3296" spans="1:1" x14ac:dyDescent="0.25">
      <c r="A3296" s="55"/>
    </row>
    <row r="3297" spans="1:1" x14ac:dyDescent="0.25">
      <c r="A3297" s="55"/>
    </row>
    <row r="3298" spans="1:1" x14ac:dyDescent="0.25">
      <c r="A3298" s="55"/>
    </row>
    <row r="3299" spans="1:1" x14ac:dyDescent="0.25">
      <c r="A3299" s="55"/>
    </row>
    <row r="3300" spans="1:1" x14ac:dyDescent="0.25">
      <c r="A3300" s="55"/>
    </row>
    <row r="3301" spans="1:1" x14ac:dyDescent="0.25">
      <c r="A3301" s="55"/>
    </row>
    <row r="3302" spans="1:1" x14ac:dyDescent="0.25">
      <c r="A3302" s="55"/>
    </row>
    <row r="3303" spans="1:1" x14ac:dyDescent="0.25">
      <c r="A3303" s="55"/>
    </row>
    <row r="3304" spans="1:1" x14ac:dyDescent="0.25">
      <c r="A3304" s="55"/>
    </row>
    <row r="3305" spans="1:1" x14ac:dyDescent="0.25">
      <c r="A3305" s="55"/>
    </row>
    <row r="3306" spans="1:1" x14ac:dyDescent="0.25">
      <c r="A3306" s="55"/>
    </row>
    <row r="3307" spans="1:1" x14ac:dyDescent="0.25">
      <c r="A3307" s="55"/>
    </row>
    <row r="3308" spans="1:1" x14ac:dyDescent="0.25">
      <c r="A3308" s="55"/>
    </row>
    <row r="3309" spans="1:1" x14ac:dyDescent="0.25">
      <c r="A3309" s="55"/>
    </row>
    <row r="3310" spans="1:1" x14ac:dyDescent="0.25">
      <c r="A3310" s="55"/>
    </row>
    <row r="3311" spans="1:1" x14ac:dyDescent="0.25">
      <c r="A3311" s="55"/>
    </row>
    <row r="3312" spans="1:1" x14ac:dyDescent="0.25">
      <c r="A3312" s="55"/>
    </row>
    <row r="3313" spans="1:1" x14ac:dyDescent="0.25">
      <c r="A3313" s="55"/>
    </row>
    <row r="3314" spans="1:1" x14ac:dyDescent="0.25">
      <c r="A3314" s="55"/>
    </row>
    <row r="3315" spans="1:1" x14ac:dyDescent="0.25">
      <c r="A3315" s="55"/>
    </row>
    <row r="3316" spans="1:1" x14ac:dyDescent="0.25">
      <c r="A3316" s="55"/>
    </row>
    <row r="3317" spans="1:1" x14ac:dyDescent="0.25">
      <c r="A3317" s="55"/>
    </row>
    <row r="3318" spans="1:1" x14ac:dyDescent="0.25">
      <c r="A3318" s="55"/>
    </row>
    <row r="3319" spans="1:1" x14ac:dyDescent="0.25">
      <c r="A3319" s="55"/>
    </row>
    <row r="3320" spans="1:1" x14ac:dyDescent="0.25">
      <c r="A3320" s="55"/>
    </row>
    <row r="3321" spans="1:1" x14ac:dyDescent="0.25">
      <c r="A3321" s="55"/>
    </row>
    <row r="3322" spans="1:1" x14ac:dyDescent="0.25">
      <c r="A3322" s="55"/>
    </row>
    <row r="3323" spans="1:1" x14ac:dyDescent="0.25">
      <c r="A3323" s="55"/>
    </row>
    <row r="3324" spans="1:1" x14ac:dyDescent="0.25">
      <c r="A3324" s="55"/>
    </row>
    <row r="3325" spans="1:1" x14ac:dyDescent="0.25">
      <c r="A3325" s="55"/>
    </row>
    <row r="3326" spans="1:1" x14ac:dyDescent="0.25">
      <c r="A3326" s="55"/>
    </row>
    <row r="3327" spans="1:1" x14ac:dyDescent="0.25">
      <c r="A3327" s="55"/>
    </row>
    <row r="3328" spans="1:1" x14ac:dyDescent="0.25">
      <c r="A3328" s="55"/>
    </row>
    <row r="3329" spans="1:1" x14ac:dyDescent="0.25">
      <c r="A3329" s="55"/>
    </row>
    <row r="3330" spans="1:1" x14ac:dyDescent="0.25">
      <c r="A3330" s="55"/>
    </row>
    <row r="3331" spans="1:1" x14ac:dyDescent="0.25">
      <c r="A3331" s="55"/>
    </row>
    <row r="3332" spans="1:1" x14ac:dyDescent="0.25">
      <c r="A3332" s="55"/>
    </row>
    <row r="3333" spans="1:1" x14ac:dyDescent="0.25">
      <c r="A3333" s="55"/>
    </row>
    <row r="3334" spans="1:1" x14ac:dyDescent="0.25">
      <c r="A3334" s="55"/>
    </row>
    <row r="3335" spans="1:1" x14ac:dyDescent="0.25">
      <c r="A3335" s="55"/>
    </row>
    <row r="3336" spans="1:1" x14ac:dyDescent="0.25">
      <c r="A3336" s="55"/>
    </row>
    <row r="3337" spans="1:1" x14ac:dyDescent="0.25">
      <c r="A3337" s="55"/>
    </row>
    <row r="3338" spans="1:1" x14ac:dyDescent="0.25">
      <c r="A3338" s="55"/>
    </row>
    <row r="3339" spans="1:1" x14ac:dyDescent="0.25">
      <c r="A3339" s="55"/>
    </row>
    <row r="3340" spans="1:1" x14ac:dyDescent="0.25">
      <c r="A3340" s="55"/>
    </row>
    <row r="3341" spans="1:1" x14ac:dyDescent="0.25">
      <c r="A3341" s="55"/>
    </row>
    <row r="3342" spans="1:1" x14ac:dyDescent="0.25">
      <c r="A3342" s="55"/>
    </row>
    <row r="3343" spans="1:1" x14ac:dyDescent="0.25">
      <c r="A3343" s="55"/>
    </row>
    <row r="3344" spans="1:1" x14ac:dyDescent="0.25">
      <c r="A3344" s="55"/>
    </row>
    <row r="3345" spans="1:1" x14ac:dyDescent="0.25">
      <c r="A3345" s="55"/>
    </row>
    <row r="3346" spans="1:1" x14ac:dyDescent="0.25">
      <c r="A3346" s="55"/>
    </row>
    <row r="3347" spans="1:1" x14ac:dyDescent="0.25">
      <c r="A3347" s="55"/>
    </row>
    <row r="3348" spans="1:1" x14ac:dyDescent="0.25">
      <c r="A3348" s="55"/>
    </row>
    <row r="3349" spans="1:1" x14ac:dyDescent="0.25">
      <c r="A3349" s="55"/>
    </row>
    <row r="3350" spans="1:1" x14ac:dyDescent="0.25">
      <c r="A3350" s="55"/>
    </row>
    <row r="3351" spans="1:1" x14ac:dyDescent="0.25">
      <c r="A3351" s="55"/>
    </row>
    <row r="3352" spans="1:1" x14ac:dyDescent="0.25">
      <c r="A3352" s="55"/>
    </row>
    <row r="3353" spans="1:1" x14ac:dyDescent="0.25">
      <c r="A3353" s="55"/>
    </row>
    <row r="3354" spans="1:1" x14ac:dyDescent="0.25">
      <c r="A3354" s="55"/>
    </row>
    <row r="3355" spans="1:1" x14ac:dyDescent="0.25">
      <c r="A3355" s="55"/>
    </row>
    <row r="3356" spans="1:1" x14ac:dyDescent="0.25">
      <c r="A3356" s="55"/>
    </row>
    <row r="3357" spans="1:1" x14ac:dyDescent="0.25">
      <c r="A3357" s="55"/>
    </row>
    <row r="3358" spans="1:1" x14ac:dyDescent="0.25">
      <c r="A3358" s="55"/>
    </row>
    <row r="3359" spans="1:1" x14ac:dyDescent="0.25">
      <c r="A3359" s="55"/>
    </row>
    <row r="3360" spans="1:1" x14ac:dyDescent="0.25">
      <c r="A3360" s="55"/>
    </row>
    <row r="3361" spans="1:1" x14ac:dyDescent="0.25">
      <c r="A3361" s="55"/>
    </row>
    <row r="3362" spans="1:1" x14ac:dyDescent="0.25">
      <c r="A3362" s="55"/>
    </row>
    <row r="3363" spans="1:1" x14ac:dyDescent="0.25">
      <c r="A3363" s="55"/>
    </row>
    <row r="3364" spans="1:1" x14ac:dyDescent="0.25">
      <c r="A3364" s="55"/>
    </row>
    <row r="3365" spans="1:1" x14ac:dyDescent="0.25">
      <c r="A3365" s="55"/>
    </row>
    <row r="3366" spans="1:1" x14ac:dyDescent="0.25">
      <c r="A3366" s="55"/>
    </row>
    <row r="3367" spans="1:1" x14ac:dyDescent="0.25">
      <c r="A3367" s="55"/>
    </row>
    <row r="3368" spans="1:1" x14ac:dyDescent="0.25">
      <c r="A3368" s="55"/>
    </row>
    <row r="3369" spans="1:1" x14ac:dyDescent="0.25">
      <c r="A3369" s="55"/>
    </row>
    <row r="3370" spans="1:1" x14ac:dyDescent="0.25">
      <c r="A3370" s="55"/>
    </row>
    <row r="3371" spans="1:1" x14ac:dyDescent="0.25">
      <c r="A3371" s="55"/>
    </row>
    <row r="3372" spans="1:1" x14ac:dyDescent="0.25">
      <c r="A3372" s="55"/>
    </row>
    <row r="3373" spans="1:1" x14ac:dyDescent="0.25">
      <c r="A3373" s="55"/>
    </row>
    <row r="3374" spans="1:1" x14ac:dyDescent="0.25">
      <c r="A3374" s="55"/>
    </row>
    <row r="3375" spans="1:1" x14ac:dyDescent="0.25">
      <c r="A3375" s="55"/>
    </row>
    <row r="3376" spans="1:1" x14ac:dyDescent="0.25">
      <c r="A3376" s="55"/>
    </row>
    <row r="3377" spans="1:1" x14ac:dyDescent="0.25">
      <c r="A3377" s="55"/>
    </row>
    <row r="3378" spans="1:1" x14ac:dyDescent="0.25">
      <c r="A3378" s="55"/>
    </row>
    <row r="3379" spans="1:1" x14ac:dyDescent="0.25">
      <c r="A3379" s="55"/>
    </row>
    <row r="3380" spans="1:1" x14ac:dyDescent="0.25">
      <c r="A3380" s="55"/>
    </row>
    <row r="3381" spans="1:1" x14ac:dyDescent="0.25">
      <c r="A3381" s="55"/>
    </row>
    <row r="3382" spans="1:1" x14ac:dyDescent="0.25">
      <c r="A3382" s="55"/>
    </row>
    <row r="3383" spans="1:1" x14ac:dyDescent="0.25">
      <c r="A3383" s="55"/>
    </row>
    <row r="3384" spans="1:1" x14ac:dyDescent="0.25">
      <c r="A3384" s="55"/>
    </row>
    <row r="3385" spans="1:1" x14ac:dyDescent="0.25">
      <c r="A3385" s="55"/>
    </row>
    <row r="3386" spans="1:1" x14ac:dyDescent="0.25">
      <c r="A3386" s="55"/>
    </row>
    <row r="3387" spans="1:1" x14ac:dyDescent="0.25">
      <c r="A3387" s="55"/>
    </row>
    <row r="3388" spans="1:1" x14ac:dyDescent="0.25">
      <c r="A3388" s="55"/>
    </row>
    <row r="3389" spans="1:1" x14ac:dyDescent="0.25">
      <c r="A3389" s="55"/>
    </row>
    <row r="3390" spans="1:1" x14ac:dyDescent="0.25">
      <c r="A3390" s="55"/>
    </row>
    <row r="3391" spans="1:1" x14ac:dyDescent="0.25">
      <c r="A3391" s="55"/>
    </row>
    <row r="3392" spans="1:1" x14ac:dyDescent="0.25">
      <c r="A3392" s="55"/>
    </row>
    <row r="3393" spans="1:1" x14ac:dyDescent="0.25">
      <c r="A3393" s="55"/>
    </row>
    <row r="3394" spans="1:1" x14ac:dyDescent="0.25">
      <c r="A3394" s="55"/>
    </row>
    <row r="3395" spans="1:1" x14ac:dyDescent="0.25">
      <c r="A3395" s="55"/>
    </row>
    <row r="3396" spans="1:1" x14ac:dyDescent="0.25">
      <c r="A3396" s="55"/>
    </row>
    <row r="3397" spans="1:1" x14ac:dyDescent="0.25">
      <c r="A3397" s="55"/>
    </row>
    <row r="3398" spans="1:1" x14ac:dyDescent="0.25">
      <c r="A3398" s="55"/>
    </row>
    <row r="3399" spans="1:1" x14ac:dyDescent="0.25">
      <c r="A3399" s="55"/>
    </row>
    <row r="3400" spans="1:1" x14ac:dyDescent="0.25">
      <c r="A3400" s="55"/>
    </row>
    <row r="3401" spans="1:1" x14ac:dyDescent="0.25">
      <c r="A3401" s="55"/>
    </row>
    <row r="3402" spans="1:1" x14ac:dyDescent="0.25">
      <c r="A3402" s="55"/>
    </row>
    <row r="3403" spans="1:1" x14ac:dyDescent="0.25">
      <c r="A3403" s="55"/>
    </row>
    <row r="3404" spans="1:1" x14ac:dyDescent="0.25">
      <c r="A3404" s="55"/>
    </row>
    <row r="3405" spans="1:1" x14ac:dyDescent="0.25">
      <c r="A3405" s="55"/>
    </row>
    <row r="3406" spans="1:1" x14ac:dyDescent="0.25">
      <c r="A3406" s="55"/>
    </row>
    <row r="3407" spans="1:1" x14ac:dyDescent="0.25">
      <c r="A3407" s="55"/>
    </row>
    <row r="3408" spans="1:1" x14ac:dyDescent="0.25">
      <c r="A3408" s="55"/>
    </row>
    <row r="3409" spans="1:1" x14ac:dyDescent="0.25">
      <c r="A3409" s="55"/>
    </row>
    <row r="3410" spans="1:1" x14ac:dyDescent="0.25">
      <c r="A3410" s="55"/>
    </row>
    <row r="3411" spans="1:1" x14ac:dyDescent="0.25">
      <c r="A3411" s="55"/>
    </row>
    <row r="3412" spans="1:1" x14ac:dyDescent="0.25">
      <c r="A3412" s="55"/>
    </row>
    <row r="3413" spans="1:1" x14ac:dyDescent="0.25">
      <c r="A3413" s="55"/>
    </row>
    <row r="3414" spans="1:1" x14ac:dyDescent="0.25">
      <c r="A3414" s="55"/>
    </row>
    <row r="3415" spans="1:1" x14ac:dyDescent="0.25">
      <c r="A3415" s="55"/>
    </row>
    <row r="3416" spans="1:1" x14ac:dyDescent="0.25">
      <c r="A3416" s="55"/>
    </row>
    <row r="3417" spans="1:1" x14ac:dyDescent="0.25">
      <c r="A3417" s="55"/>
    </row>
    <row r="3418" spans="1:1" x14ac:dyDescent="0.25">
      <c r="A3418" s="55"/>
    </row>
    <row r="3419" spans="1:1" x14ac:dyDescent="0.25">
      <c r="A3419" s="55"/>
    </row>
    <row r="3420" spans="1:1" x14ac:dyDescent="0.25">
      <c r="A3420" s="55"/>
    </row>
    <row r="3421" spans="1:1" x14ac:dyDescent="0.25">
      <c r="A3421" s="55"/>
    </row>
    <row r="3422" spans="1:1" x14ac:dyDescent="0.25">
      <c r="A3422" s="55"/>
    </row>
    <row r="3423" spans="1:1" x14ac:dyDescent="0.25">
      <c r="A3423" s="55"/>
    </row>
    <row r="3424" spans="1:1" x14ac:dyDescent="0.25">
      <c r="A3424" s="55"/>
    </row>
    <row r="3425" spans="1:1" x14ac:dyDescent="0.25">
      <c r="A3425" s="55"/>
    </row>
    <row r="3426" spans="1:1" x14ac:dyDescent="0.25">
      <c r="A3426" s="55"/>
    </row>
    <row r="3427" spans="1:1" x14ac:dyDescent="0.25">
      <c r="A3427" s="55"/>
    </row>
    <row r="3428" spans="1:1" x14ac:dyDescent="0.25">
      <c r="A3428" s="55"/>
    </row>
    <row r="3429" spans="1:1" x14ac:dyDescent="0.25">
      <c r="A3429" s="55"/>
    </row>
    <row r="3430" spans="1:1" x14ac:dyDescent="0.25">
      <c r="A3430" s="55"/>
    </row>
    <row r="3431" spans="1:1" x14ac:dyDescent="0.25">
      <c r="A3431" s="55"/>
    </row>
    <row r="3432" spans="1:1" x14ac:dyDescent="0.25">
      <c r="A3432" s="55"/>
    </row>
    <row r="3433" spans="1:1" x14ac:dyDescent="0.25">
      <c r="A3433" s="55"/>
    </row>
    <row r="3434" spans="1:1" x14ac:dyDescent="0.25">
      <c r="A3434" s="55"/>
    </row>
    <row r="3435" spans="1:1" x14ac:dyDescent="0.25">
      <c r="A3435" s="55"/>
    </row>
    <row r="3436" spans="1:1" x14ac:dyDescent="0.25">
      <c r="A3436" s="55"/>
    </row>
    <row r="3437" spans="1:1" x14ac:dyDescent="0.25">
      <c r="A3437" s="55"/>
    </row>
    <row r="3438" spans="1:1" x14ac:dyDescent="0.25">
      <c r="A3438" s="55"/>
    </row>
    <row r="3439" spans="1:1" x14ac:dyDescent="0.25">
      <c r="A3439" s="55"/>
    </row>
    <row r="3440" spans="1:1" x14ac:dyDescent="0.25">
      <c r="A3440" s="55"/>
    </row>
    <row r="3441" spans="1:1" x14ac:dyDescent="0.25">
      <c r="A3441" s="55"/>
    </row>
    <row r="3442" spans="1:1" x14ac:dyDescent="0.25">
      <c r="A3442" s="55"/>
    </row>
    <row r="3443" spans="1:1" x14ac:dyDescent="0.25">
      <c r="A3443" s="55"/>
    </row>
    <row r="3444" spans="1:1" x14ac:dyDescent="0.25">
      <c r="A3444" s="55"/>
    </row>
    <row r="3445" spans="1:1" x14ac:dyDescent="0.25">
      <c r="A3445" s="55"/>
    </row>
    <row r="3446" spans="1:1" x14ac:dyDescent="0.25">
      <c r="A3446" s="55"/>
    </row>
    <row r="3447" spans="1:1" x14ac:dyDescent="0.25">
      <c r="A3447" s="55"/>
    </row>
    <row r="3448" spans="1:1" x14ac:dyDescent="0.25">
      <c r="A3448" s="55"/>
    </row>
    <row r="3449" spans="1:1" x14ac:dyDescent="0.25">
      <c r="A3449" s="55"/>
    </row>
    <row r="3450" spans="1:1" x14ac:dyDescent="0.25">
      <c r="A3450" s="55"/>
    </row>
    <row r="3451" spans="1:1" x14ac:dyDescent="0.25">
      <c r="A3451" s="55"/>
    </row>
    <row r="3452" spans="1:1" x14ac:dyDescent="0.25">
      <c r="A3452" s="55"/>
    </row>
    <row r="3453" spans="1:1" x14ac:dyDescent="0.25">
      <c r="A3453" s="55"/>
    </row>
    <row r="3454" spans="1:1" x14ac:dyDescent="0.25">
      <c r="A3454" s="55"/>
    </row>
    <row r="3455" spans="1:1" x14ac:dyDescent="0.25">
      <c r="A3455" s="55"/>
    </row>
    <row r="3456" spans="1:1" x14ac:dyDescent="0.25">
      <c r="A3456" s="55"/>
    </row>
    <row r="3457" spans="1:1" x14ac:dyDescent="0.25">
      <c r="A3457" s="55"/>
    </row>
    <row r="3458" spans="1:1" x14ac:dyDescent="0.25">
      <c r="A3458" s="55"/>
    </row>
    <row r="3459" spans="1:1" x14ac:dyDescent="0.25">
      <c r="A3459" s="55"/>
    </row>
    <row r="3460" spans="1:1" x14ac:dyDescent="0.25">
      <c r="A3460" s="55"/>
    </row>
    <row r="3461" spans="1:1" x14ac:dyDescent="0.25">
      <c r="A3461" s="55"/>
    </row>
    <row r="3462" spans="1:1" x14ac:dyDescent="0.25">
      <c r="A3462" s="55"/>
    </row>
    <row r="3463" spans="1:1" x14ac:dyDescent="0.25">
      <c r="A3463" s="55"/>
    </row>
    <row r="3464" spans="1:1" x14ac:dyDescent="0.25">
      <c r="A3464" s="55"/>
    </row>
    <row r="3465" spans="1:1" x14ac:dyDescent="0.25">
      <c r="A3465" s="55"/>
    </row>
    <row r="3466" spans="1:1" x14ac:dyDescent="0.25">
      <c r="A3466" s="55"/>
    </row>
    <row r="3467" spans="1:1" x14ac:dyDescent="0.25">
      <c r="A3467" s="55"/>
    </row>
    <row r="3468" spans="1:1" x14ac:dyDescent="0.25">
      <c r="A3468" s="55"/>
    </row>
    <row r="3469" spans="1:1" x14ac:dyDescent="0.25">
      <c r="A3469" s="55"/>
    </row>
    <row r="3470" spans="1:1" x14ac:dyDescent="0.25">
      <c r="A3470" s="55"/>
    </row>
    <row r="3471" spans="1:1" x14ac:dyDescent="0.25">
      <c r="A3471" s="55"/>
    </row>
    <row r="3472" spans="1:1" x14ac:dyDescent="0.25">
      <c r="A3472" s="55"/>
    </row>
    <row r="3473" spans="1:1" x14ac:dyDescent="0.25">
      <c r="A3473" s="55"/>
    </row>
    <row r="3474" spans="1:1" x14ac:dyDescent="0.25">
      <c r="A3474" s="55"/>
    </row>
    <row r="3475" spans="1:1" x14ac:dyDescent="0.25">
      <c r="A3475" s="55"/>
    </row>
    <row r="3476" spans="1:1" x14ac:dyDescent="0.25">
      <c r="A3476" s="55"/>
    </row>
    <row r="3477" spans="1:1" x14ac:dyDescent="0.25">
      <c r="A3477" s="55"/>
    </row>
    <row r="3478" spans="1:1" x14ac:dyDescent="0.25">
      <c r="A3478" s="55"/>
    </row>
    <row r="3479" spans="1:1" x14ac:dyDescent="0.25">
      <c r="A3479" s="55"/>
    </row>
    <row r="3480" spans="1:1" x14ac:dyDescent="0.25">
      <c r="A3480" s="55"/>
    </row>
    <row r="3481" spans="1:1" x14ac:dyDescent="0.25">
      <c r="A3481" s="55"/>
    </row>
    <row r="3482" spans="1:1" x14ac:dyDescent="0.25">
      <c r="A3482" s="55"/>
    </row>
    <row r="3483" spans="1:1" x14ac:dyDescent="0.25">
      <c r="A3483" s="55"/>
    </row>
    <row r="3484" spans="1:1" x14ac:dyDescent="0.25">
      <c r="A3484" s="55"/>
    </row>
    <row r="3485" spans="1:1" x14ac:dyDescent="0.25">
      <c r="A3485" s="55"/>
    </row>
    <row r="3486" spans="1:1" x14ac:dyDescent="0.25">
      <c r="A3486" s="55"/>
    </row>
    <row r="3487" spans="1:1" x14ac:dyDescent="0.25">
      <c r="A3487" s="55"/>
    </row>
    <row r="3488" spans="1:1" x14ac:dyDescent="0.25">
      <c r="A3488" s="55"/>
    </row>
    <row r="3489" spans="1:1" x14ac:dyDescent="0.25">
      <c r="A3489" s="55"/>
    </row>
    <row r="3490" spans="1:1" x14ac:dyDescent="0.25">
      <c r="A3490" s="55"/>
    </row>
    <row r="3491" spans="1:1" x14ac:dyDescent="0.25">
      <c r="A3491" s="55"/>
    </row>
    <row r="3492" spans="1:1" x14ac:dyDescent="0.25">
      <c r="A3492" s="55"/>
    </row>
    <row r="3493" spans="1:1" x14ac:dyDescent="0.25">
      <c r="A3493" s="55"/>
    </row>
    <row r="3494" spans="1:1" x14ac:dyDescent="0.25">
      <c r="A3494" s="55"/>
    </row>
    <row r="3495" spans="1:1" x14ac:dyDescent="0.25">
      <c r="A3495" s="55"/>
    </row>
    <row r="3496" spans="1:1" x14ac:dyDescent="0.25">
      <c r="A3496" s="55"/>
    </row>
    <row r="3497" spans="1:1" x14ac:dyDescent="0.25">
      <c r="A3497" s="55"/>
    </row>
    <row r="3498" spans="1:1" x14ac:dyDescent="0.25">
      <c r="A3498" s="55"/>
    </row>
    <row r="3499" spans="1:1" x14ac:dyDescent="0.25">
      <c r="A3499" s="55"/>
    </row>
    <row r="3500" spans="1:1" x14ac:dyDescent="0.25">
      <c r="A3500" s="55"/>
    </row>
    <row r="3501" spans="1:1" x14ac:dyDescent="0.25">
      <c r="A3501" s="55"/>
    </row>
    <row r="3502" spans="1:1" x14ac:dyDescent="0.25">
      <c r="A3502" s="55"/>
    </row>
    <row r="3503" spans="1:1" x14ac:dyDescent="0.25">
      <c r="A3503" s="55"/>
    </row>
    <row r="3504" spans="1:1" x14ac:dyDescent="0.25">
      <c r="A3504" s="55"/>
    </row>
    <row r="3505" spans="1:1" x14ac:dyDescent="0.25">
      <c r="A3505" s="55"/>
    </row>
    <row r="3506" spans="1:1" x14ac:dyDescent="0.25">
      <c r="A3506" s="55"/>
    </row>
    <row r="3507" spans="1:1" x14ac:dyDescent="0.25">
      <c r="A3507" s="55"/>
    </row>
    <row r="3508" spans="1:1" x14ac:dyDescent="0.25">
      <c r="A3508" s="55"/>
    </row>
    <row r="3509" spans="1:1" x14ac:dyDescent="0.25">
      <c r="A3509" s="55"/>
    </row>
    <row r="3510" spans="1:1" x14ac:dyDescent="0.25">
      <c r="A3510" s="55"/>
    </row>
    <row r="3511" spans="1:1" x14ac:dyDescent="0.25">
      <c r="A3511" s="55"/>
    </row>
    <row r="3512" spans="1:1" x14ac:dyDescent="0.25">
      <c r="A3512" s="55"/>
    </row>
    <row r="3513" spans="1:1" x14ac:dyDescent="0.25">
      <c r="A3513" s="55"/>
    </row>
    <row r="3514" spans="1:1" x14ac:dyDescent="0.25">
      <c r="A3514" s="55"/>
    </row>
    <row r="3515" spans="1:1" x14ac:dyDescent="0.25">
      <c r="A3515" s="55"/>
    </row>
    <row r="3516" spans="1:1" x14ac:dyDescent="0.25">
      <c r="A3516" s="55"/>
    </row>
    <row r="3517" spans="1:1" x14ac:dyDescent="0.25">
      <c r="A3517" s="55"/>
    </row>
    <row r="3518" spans="1:1" x14ac:dyDescent="0.25">
      <c r="A3518" s="55"/>
    </row>
    <row r="3519" spans="1:1" x14ac:dyDescent="0.25">
      <c r="A3519" s="55"/>
    </row>
    <row r="3520" spans="1:1" x14ac:dyDescent="0.25">
      <c r="A3520" s="55"/>
    </row>
    <row r="3521" spans="1:1" x14ac:dyDescent="0.25">
      <c r="A3521" s="55"/>
    </row>
    <row r="3522" spans="1:1" x14ac:dyDescent="0.25">
      <c r="A3522" s="55"/>
    </row>
    <row r="3523" spans="1:1" x14ac:dyDescent="0.25">
      <c r="A3523" s="55"/>
    </row>
    <row r="3524" spans="1:1" x14ac:dyDescent="0.25">
      <c r="A3524" s="55"/>
    </row>
    <row r="3525" spans="1:1" x14ac:dyDescent="0.25">
      <c r="A3525" s="55"/>
    </row>
    <row r="3526" spans="1:1" x14ac:dyDescent="0.25">
      <c r="A3526" s="55"/>
    </row>
    <row r="3527" spans="1:1" x14ac:dyDescent="0.25">
      <c r="A3527" s="55"/>
    </row>
    <row r="3528" spans="1:1" x14ac:dyDescent="0.25">
      <c r="A3528" s="55"/>
    </row>
    <row r="3529" spans="1:1" x14ac:dyDescent="0.25">
      <c r="A3529" s="55"/>
    </row>
    <row r="3530" spans="1:1" x14ac:dyDescent="0.25">
      <c r="A3530" s="55"/>
    </row>
    <row r="3531" spans="1:1" x14ac:dyDescent="0.25">
      <c r="A3531" s="55"/>
    </row>
    <row r="3532" spans="1:1" x14ac:dyDescent="0.25">
      <c r="A3532" s="55"/>
    </row>
    <row r="3533" spans="1:1" x14ac:dyDescent="0.25">
      <c r="A3533" s="55"/>
    </row>
    <row r="3534" spans="1:1" x14ac:dyDescent="0.25">
      <c r="A3534" s="55"/>
    </row>
    <row r="3535" spans="1:1" x14ac:dyDescent="0.25">
      <c r="A3535" s="55"/>
    </row>
    <row r="3536" spans="1:1" x14ac:dyDescent="0.25">
      <c r="A3536" s="55"/>
    </row>
    <row r="3537" spans="1:1" x14ac:dyDescent="0.25">
      <c r="A3537" s="55"/>
    </row>
    <row r="3538" spans="1:1" x14ac:dyDescent="0.25">
      <c r="A3538" s="55"/>
    </row>
    <row r="3539" spans="1:1" x14ac:dyDescent="0.25">
      <c r="A3539" s="55"/>
    </row>
    <row r="3540" spans="1:1" x14ac:dyDescent="0.25">
      <c r="A3540" s="55"/>
    </row>
    <row r="3541" spans="1:1" x14ac:dyDescent="0.25">
      <c r="A3541" s="55"/>
    </row>
    <row r="3542" spans="1:1" x14ac:dyDescent="0.25">
      <c r="A3542" s="55"/>
    </row>
    <row r="3543" spans="1:1" x14ac:dyDescent="0.25">
      <c r="A3543" s="55"/>
    </row>
    <row r="3544" spans="1:1" x14ac:dyDescent="0.25">
      <c r="A3544" s="55"/>
    </row>
    <row r="3545" spans="1:1" x14ac:dyDescent="0.25">
      <c r="A3545" s="55"/>
    </row>
    <row r="3546" spans="1:1" x14ac:dyDescent="0.25">
      <c r="A3546" s="55"/>
    </row>
    <row r="3547" spans="1:1" x14ac:dyDescent="0.25">
      <c r="A3547" s="55"/>
    </row>
    <row r="3548" spans="1:1" x14ac:dyDescent="0.25">
      <c r="A3548" s="55"/>
    </row>
    <row r="3549" spans="1:1" x14ac:dyDescent="0.25">
      <c r="A3549" s="55"/>
    </row>
    <row r="3550" spans="1:1" x14ac:dyDescent="0.25">
      <c r="A3550" s="55"/>
    </row>
    <row r="3551" spans="1:1" x14ac:dyDescent="0.25">
      <c r="A3551" s="55"/>
    </row>
    <row r="3552" spans="1:1" x14ac:dyDescent="0.25">
      <c r="A3552" s="55"/>
    </row>
    <row r="3553" spans="1:1" x14ac:dyDescent="0.25">
      <c r="A3553" s="55"/>
    </row>
    <row r="3554" spans="1:1" x14ac:dyDescent="0.25">
      <c r="A3554" s="55"/>
    </row>
    <row r="3555" spans="1:1" x14ac:dyDescent="0.25">
      <c r="A3555" s="55"/>
    </row>
    <row r="3556" spans="1:1" x14ac:dyDescent="0.25">
      <c r="A3556" s="55"/>
    </row>
    <row r="3557" spans="1:1" x14ac:dyDescent="0.25">
      <c r="A3557" s="55"/>
    </row>
    <row r="3558" spans="1:1" x14ac:dyDescent="0.25">
      <c r="A3558" s="55"/>
    </row>
    <row r="3559" spans="1:1" x14ac:dyDescent="0.25">
      <c r="A3559" s="55"/>
    </row>
    <row r="3560" spans="1:1" x14ac:dyDescent="0.25">
      <c r="A3560" s="55"/>
    </row>
    <row r="3561" spans="1:1" x14ac:dyDescent="0.25">
      <c r="A3561" s="55"/>
    </row>
    <row r="3562" spans="1:1" x14ac:dyDescent="0.25">
      <c r="A3562" s="55"/>
    </row>
    <row r="3563" spans="1:1" x14ac:dyDescent="0.25">
      <c r="A3563" s="55"/>
    </row>
    <row r="3564" spans="1:1" x14ac:dyDescent="0.25">
      <c r="A3564" s="55"/>
    </row>
    <row r="3565" spans="1:1" x14ac:dyDescent="0.25">
      <c r="A3565" s="55"/>
    </row>
    <row r="3566" spans="1:1" x14ac:dyDescent="0.25">
      <c r="A3566" s="55"/>
    </row>
    <row r="3567" spans="1:1" x14ac:dyDescent="0.25">
      <c r="A3567" s="55"/>
    </row>
    <row r="3568" spans="1:1" x14ac:dyDescent="0.25">
      <c r="A3568" s="55"/>
    </row>
    <row r="3569" spans="1:1" x14ac:dyDescent="0.25">
      <c r="A3569" s="55"/>
    </row>
    <row r="3570" spans="1:1" x14ac:dyDescent="0.25">
      <c r="A3570" s="55"/>
    </row>
    <row r="3571" spans="1:1" x14ac:dyDescent="0.25">
      <c r="A3571" s="55"/>
    </row>
    <row r="3572" spans="1:1" x14ac:dyDescent="0.25">
      <c r="A3572" s="55"/>
    </row>
    <row r="3573" spans="1:1" x14ac:dyDescent="0.25">
      <c r="A3573" s="55"/>
    </row>
    <row r="3574" spans="1:1" x14ac:dyDescent="0.25">
      <c r="A3574" s="55"/>
    </row>
    <row r="3575" spans="1:1" x14ac:dyDescent="0.25">
      <c r="A3575" s="55"/>
    </row>
    <row r="3576" spans="1:1" x14ac:dyDescent="0.25">
      <c r="A3576" s="55"/>
    </row>
    <row r="3577" spans="1:1" x14ac:dyDescent="0.25">
      <c r="A3577" s="55"/>
    </row>
    <row r="3578" spans="1:1" x14ac:dyDescent="0.25">
      <c r="A3578" s="55"/>
    </row>
    <row r="3579" spans="1:1" x14ac:dyDescent="0.25">
      <c r="A3579" s="55"/>
    </row>
    <row r="3580" spans="1:1" x14ac:dyDescent="0.25">
      <c r="A3580" s="55"/>
    </row>
    <row r="3581" spans="1:1" x14ac:dyDescent="0.25">
      <c r="A3581" s="55"/>
    </row>
    <row r="3582" spans="1:1" x14ac:dyDescent="0.25">
      <c r="A3582" s="55"/>
    </row>
    <row r="3583" spans="1:1" x14ac:dyDescent="0.25">
      <c r="A3583" s="55"/>
    </row>
    <row r="3584" spans="1:1" x14ac:dyDescent="0.25">
      <c r="A3584" s="55"/>
    </row>
    <row r="3585" spans="1:1" x14ac:dyDescent="0.25">
      <c r="A3585" s="55"/>
    </row>
    <row r="3586" spans="1:1" x14ac:dyDescent="0.25">
      <c r="A3586" s="55"/>
    </row>
    <row r="3587" spans="1:1" x14ac:dyDescent="0.25">
      <c r="A3587" s="55"/>
    </row>
    <row r="3588" spans="1:1" x14ac:dyDescent="0.25">
      <c r="A3588" s="55"/>
    </row>
    <row r="3589" spans="1:1" x14ac:dyDescent="0.25">
      <c r="A3589" s="55"/>
    </row>
    <row r="3590" spans="1:1" x14ac:dyDescent="0.25">
      <c r="A3590" s="55"/>
    </row>
    <row r="3591" spans="1:1" x14ac:dyDescent="0.25">
      <c r="A3591" s="55"/>
    </row>
    <row r="3592" spans="1:1" x14ac:dyDescent="0.25">
      <c r="A3592" s="55"/>
    </row>
    <row r="3593" spans="1:1" x14ac:dyDescent="0.25">
      <c r="A3593" s="55"/>
    </row>
    <row r="3594" spans="1:1" x14ac:dyDescent="0.25">
      <c r="A3594" s="55"/>
    </row>
    <row r="3595" spans="1:1" x14ac:dyDescent="0.25">
      <c r="A3595" s="55"/>
    </row>
    <row r="3596" spans="1:1" x14ac:dyDescent="0.25">
      <c r="A3596" s="55"/>
    </row>
    <row r="3597" spans="1:1" x14ac:dyDescent="0.25">
      <c r="A3597" s="55"/>
    </row>
    <row r="3598" spans="1:1" x14ac:dyDescent="0.25">
      <c r="A3598" s="55"/>
    </row>
    <row r="3599" spans="1:1" x14ac:dyDescent="0.25">
      <c r="A3599" s="55"/>
    </row>
    <row r="3600" spans="1:1" x14ac:dyDescent="0.25">
      <c r="A3600" s="55"/>
    </row>
    <row r="3601" spans="1:1" x14ac:dyDescent="0.25">
      <c r="A3601" s="55"/>
    </row>
    <row r="3602" spans="1:1" x14ac:dyDescent="0.25">
      <c r="A3602" s="55"/>
    </row>
    <row r="3603" spans="1:1" x14ac:dyDescent="0.25">
      <c r="A3603" s="55"/>
    </row>
    <row r="3604" spans="1:1" x14ac:dyDescent="0.25">
      <c r="A3604" s="55"/>
    </row>
    <row r="3605" spans="1:1" x14ac:dyDescent="0.25">
      <c r="A3605" s="55"/>
    </row>
    <row r="3606" spans="1:1" x14ac:dyDescent="0.25">
      <c r="A3606" s="55"/>
    </row>
    <row r="3607" spans="1:1" x14ac:dyDescent="0.25">
      <c r="A3607" s="55"/>
    </row>
    <row r="3608" spans="1:1" x14ac:dyDescent="0.25">
      <c r="A3608" s="55"/>
    </row>
    <row r="3609" spans="1:1" x14ac:dyDescent="0.25">
      <c r="A3609" s="55"/>
    </row>
    <row r="3610" spans="1:1" x14ac:dyDescent="0.25">
      <c r="A3610" s="55"/>
    </row>
    <row r="3611" spans="1:1" x14ac:dyDescent="0.25">
      <c r="A3611" s="55"/>
    </row>
    <row r="3612" spans="1:1" x14ac:dyDescent="0.25">
      <c r="A3612" s="55"/>
    </row>
    <row r="3613" spans="1:1" x14ac:dyDescent="0.25">
      <c r="A3613" s="55"/>
    </row>
    <row r="3614" spans="1:1" x14ac:dyDescent="0.25">
      <c r="A3614" s="55"/>
    </row>
    <row r="3615" spans="1:1" x14ac:dyDescent="0.25">
      <c r="A3615" s="55"/>
    </row>
    <row r="3616" spans="1:1" x14ac:dyDescent="0.25">
      <c r="A3616" s="55"/>
    </row>
    <row r="3617" spans="1:1" x14ac:dyDescent="0.25">
      <c r="A3617" s="55"/>
    </row>
    <row r="3618" spans="1:1" x14ac:dyDescent="0.25">
      <c r="A3618" s="55"/>
    </row>
    <row r="3619" spans="1:1" x14ac:dyDescent="0.25">
      <c r="A3619" s="55"/>
    </row>
    <row r="3620" spans="1:1" x14ac:dyDescent="0.25">
      <c r="A3620" s="55"/>
    </row>
    <row r="3621" spans="1:1" x14ac:dyDescent="0.25">
      <c r="A3621" s="55"/>
    </row>
    <row r="3622" spans="1:1" x14ac:dyDescent="0.25">
      <c r="A3622" s="55"/>
    </row>
    <row r="3623" spans="1:1" x14ac:dyDescent="0.25">
      <c r="A3623" s="55"/>
    </row>
    <row r="3624" spans="1:1" x14ac:dyDescent="0.25">
      <c r="A3624" s="55"/>
    </row>
    <row r="3625" spans="1:1" x14ac:dyDescent="0.25">
      <c r="A3625" s="55"/>
    </row>
    <row r="3626" spans="1:1" x14ac:dyDescent="0.25">
      <c r="A3626" s="55"/>
    </row>
    <row r="3627" spans="1:1" x14ac:dyDescent="0.25">
      <c r="A3627" s="55"/>
    </row>
    <row r="3628" spans="1:1" x14ac:dyDescent="0.25">
      <c r="A3628" s="55"/>
    </row>
    <row r="3629" spans="1:1" x14ac:dyDescent="0.25">
      <c r="A3629" s="55"/>
    </row>
    <row r="3630" spans="1:1" x14ac:dyDescent="0.25">
      <c r="A3630" s="55"/>
    </row>
    <row r="3631" spans="1:1" x14ac:dyDescent="0.25">
      <c r="A3631" s="55"/>
    </row>
    <row r="3632" spans="1:1" x14ac:dyDescent="0.25">
      <c r="A3632" s="55"/>
    </row>
    <row r="3633" spans="1:1" x14ac:dyDescent="0.25">
      <c r="A3633" s="55"/>
    </row>
    <row r="3634" spans="1:1" x14ac:dyDescent="0.25">
      <c r="A3634" s="55"/>
    </row>
    <row r="3635" spans="1:1" x14ac:dyDescent="0.25">
      <c r="A3635" s="55"/>
    </row>
    <row r="3636" spans="1:1" x14ac:dyDescent="0.25">
      <c r="A3636" s="55"/>
    </row>
    <row r="3637" spans="1:1" x14ac:dyDescent="0.25">
      <c r="A3637" s="55"/>
    </row>
    <row r="3638" spans="1:1" x14ac:dyDescent="0.25">
      <c r="A3638" s="55"/>
    </row>
    <row r="3639" spans="1:1" x14ac:dyDescent="0.25">
      <c r="A3639" s="55"/>
    </row>
    <row r="3640" spans="1:1" x14ac:dyDescent="0.25">
      <c r="A3640" s="55"/>
    </row>
    <row r="3641" spans="1:1" x14ac:dyDescent="0.25">
      <c r="A3641" s="55"/>
    </row>
    <row r="3642" spans="1:1" x14ac:dyDescent="0.25">
      <c r="A3642" s="55"/>
    </row>
    <row r="3643" spans="1:1" x14ac:dyDescent="0.25">
      <c r="A3643" s="55"/>
    </row>
    <row r="3644" spans="1:1" x14ac:dyDescent="0.25">
      <c r="A3644" s="55"/>
    </row>
    <row r="3645" spans="1:1" x14ac:dyDescent="0.25">
      <c r="A3645" s="55"/>
    </row>
    <row r="3646" spans="1:1" x14ac:dyDescent="0.25">
      <c r="A3646" s="55"/>
    </row>
    <row r="3647" spans="1:1" x14ac:dyDescent="0.25">
      <c r="A3647" s="55"/>
    </row>
    <row r="3648" spans="1:1" x14ac:dyDescent="0.25">
      <c r="A3648" s="55"/>
    </row>
    <row r="3649" spans="1:1" x14ac:dyDescent="0.25">
      <c r="A3649" s="55"/>
    </row>
    <row r="3650" spans="1:1" x14ac:dyDescent="0.25">
      <c r="A3650" s="55"/>
    </row>
    <row r="3651" spans="1:1" x14ac:dyDescent="0.25">
      <c r="A3651" s="55"/>
    </row>
    <row r="3652" spans="1:1" x14ac:dyDescent="0.25">
      <c r="A3652" s="55"/>
    </row>
    <row r="3653" spans="1:1" x14ac:dyDescent="0.25">
      <c r="A3653" s="55"/>
    </row>
    <row r="3654" spans="1:1" x14ac:dyDescent="0.25">
      <c r="A3654" s="55"/>
    </row>
    <row r="3655" spans="1:1" x14ac:dyDescent="0.25">
      <c r="A3655" s="55"/>
    </row>
    <row r="3656" spans="1:1" x14ac:dyDescent="0.25">
      <c r="A3656" s="55"/>
    </row>
    <row r="3657" spans="1:1" x14ac:dyDescent="0.25">
      <c r="A3657" s="55"/>
    </row>
    <row r="3658" spans="1:1" x14ac:dyDescent="0.25">
      <c r="A3658" s="55"/>
    </row>
    <row r="3659" spans="1:1" x14ac:dyDescent="0.25">
      <c r="A3659" s="55"/>
    </row>
    <row r="3660" spans="1:1" x14ac:dyDescent="0.25">
      <c r="A3660" s="55"/>
    </row>
    <row r="3661" spans="1:1" x14ac:dyDescent="0.25">
      <c r="A3661" s="55"/>
    </row>
    <row r="3662" spans="1:1" x14ac:dyDescent="0.25">
      <c r="A3662" s="55"/>
    </row>
    <row r="3663" spans="1:1" x14ac:dyDescent="0.25">
      <c r="A3663" s="55"/>
    </row>
    <row r="3664" spans="1:1" x14ac:dyDescent="0.25">
      <c r="A3664" s="55"/>
    </row>
    <row r="3665" spans="1:1" x14ac:dyDescent="0.25">
      <c r="A3665" s="55"/>
    </row>
    <row r="3666" spans="1:1" x14ac:dyDescent="0.25">
      <c r="A3666" s="55"/>
    </row>
    <row r="3667" spans="1:1" x14ac:dyDescent="0.25">
      <c r="A3667" s="55"/>
    </row>
    <row r="3668" spans="1:1" x14ac:dyDescent="0.25">
      <c r="A3668" s="55"/>
    </row>
    <row r="3669" spans="1:1" x14ac:dyDescent="0.25">
      <c r="A3669" s="55"/>
    </row>
    <row r="3670" spans="1:1" x14ac:dyDescent="0.25">
      <c r="A3670" s="55"/>
    </row>
    <row r="3671" spans="1:1" x14ac:dyDescent="0.25">
      <c r="A3671" s="55"/>
    </row>
    <row r="3672" spans="1:1" x14ac:dyDescent="0.25">
      <c r="A3672" s="55"/>
    </row>
    <row r="3673" spans="1:1" x14ac:dyDescent="0.25">
      <c r="A3673" s="55"/>
    </row>
    <row r="3674" spans="1:1" x14ac:dyDescent="0.25">
      <c r="A3674" s="55"/>
    </row>
    <row r="3675" spans="1:1" x14ac:dyDescent="0.25">
      <c r="A3675" s="55"/>
    </row>
    <row r="3676" spans="1:1" x14ac:dyDescent="0.25">
      <c r="A3676" s="55"/>
    </row>
    <row r="3677" spans="1:1" x14ac:dyDescent="0.25">
      <c r="A3677" s="55"/>
    </row>
    <row r="3678" spans="1:1" x14ac:dyDescent="0.25">
      <c r="A3678" s="55"/>
    </row>
    <row r="3679" spans="1:1" x14ac:dyDescent="0.25">
      <c r="A3679" s="55"/>
    </row>
    <row r="3680" spans="1:1" x14ac:dyDescent="0.25">
      <c r="A3680" s="55"/>
    </row>
    <row r="3681" spans="1:1" x14ac:dyDescent="0.25">
      <c r="A3681" s="55"/>
    </row>
    <row r="3682" spans="1:1" x14ac:dyDescent="0.25">
      <c r="A3682" s="55"/>
    </row>
    <row r="3683" spans="1:1" x14ac:dyDescent="0.25">
      <c r="A3683" s="55"/>
    </row>
    <row r="3684" spans="1:1" x14ac:dyDescent="0.25">
      <c r="A3684" s="55"/>
    </row>
    <row r="3685" spans="1:1" x14ac:dyDescent="0.25">
      <c r="A3685" s="55"/>
    </row>
    <row r="3686" spans="1:1" x14ac:dyDescent="0.25">
      <c r="A3686" s="55"/>
    </row>
    <row r="3687" spans="1:1" x14ac:dyDescent="0.25">
      <c r="A3687" s="55"/>
    </row>
    <row r="3688" spans="1:1" x14ac:dyDescent="0.25">
      <c r="A3688" s="55"/>
    </row>
    <row r="3689" spans="1:1" x14ac:dyDescent="0.25">
      <c r="A3689" s="55"/>
    </row>
    <row r="3690" spans="1:1" x14ac:dyDescent="0.25">
      <c r="A3690" s="55"/>
    </row>
    <row r="3691" spans="1:1" x14ac:dyDescent="0.25">
      <c r="A3691" s="55"/>
    </row>
    <row r="3692" spans="1:1" x14ac:dyDescent="0.25">
      <c r="A3692" s="55"/>
    </row>
    <row r="3693" spans="1:1" x14ac:dyDescent="0.25">
      <c r="A3693" s="55"/>
    </row>
    <row r="3694" spans="1:1" x14ac:dyDescent="0.25">
      <c r="A3694" s="55"/>
    </row>
    <row r="3695" spans="1:1" x14ac:dyDescent="0.25">
      <c r="A3695" s="55"/>
    </row>
    <row r="3696" spans="1:1" x14ac:dyDescent="0.25">
      <c r="A3696" s="55"/>
    </row>
    <row r="3697" spans="1:1" x14ac:dyDescent="0.25">
      <c r="A3697" s="55"/>
    </row>
    <row r="3698" spans="1:1" x14ac:dyDescent="0.25">
      <c r="A3698" s="55"/>
    </row>
    <row r="3699" spans="1:1" x14ac:dyDescent="0.25">
      <c r="A3699" s="55"/>
    </row>
    <row r="3700" spans="1:1" x14ac:dyDescent="0.25">
      <c r="A3700" s="55"/>
    </row>
    <row r="3701" spans="1:1" x14ac:dyDescent="0.25">
      <c r="A3701" s="55"/>
    </row>
    <row r="3702" spans="1:1" x14ac:dyDescent="0.25">
      <c r="A3702" s="55"/>
    </row>
    <row r="3703" spans="1:1" x14ac:dyDescent="0.25">
      <c r="A3703" s="55"/>
    </row>
    <row r="3704" spans="1:1" x14ac:dyDescent="0.25">
      <c r="A3704" s="55"/>
    </row>
    <row r="3705" spans="1:1" x14ac:dyDescent="0.25">
      <c r="A3705" s="55"/>
    </row>
    <row r="3706" spans="1:1" x14ac:dyDescent="0.25">
      <c r="A3706" s="55"/>
    </row>
    <row r="3707" spans="1:1" x14ac:dyDescent="0.25">
      <c r="A3707" s="55"/>
    </row>
    <row r="3708" spans="1:1" x14ac:dyDescent="0.25">
      <c r="A3708" s="55"/>
    </row>
    <row r="3709" spans="1:1" x14ac:dyDescent="0.25">
      <c r="A3709" s="55"/>
    </row>
    <row r="3710" spans="1:1" x14ac:dyDescent="0.25">
      <c r="A3710" s="55"/>
    </row>
    <row r="3711" spans="1:1" x14ac:dyDescent="0.25">
      <c r="A3711" s="55"/>
    </row>
    <row r="3712" spans="1:1" x14ac:dyDescent="0.25">
      <c r="A3712" s="55"/>
    </row>
    <row r="3713" spans="1:1" x14ac:dyDescent="0.25">
      <c r="A3713" s="55"/>
    </row>
    <row r="3714" spans="1:1" x14ac:dyDescent="0.25">
      <c r="A3714" s="55"/>
    </row>
    <row r="3715" spans="1:1" x14ac:dyDescent="0.25">
      <c r="A3715" s="55"/>
    </row>
    <row r="3716" spans="1:1" x14ac:dyDescent="0.25">
      <c r="A3716" s="55"/>
    </row>
    <row r="3717" spans="1:1" x14ac:dyDescent="0.25">
      <c r="A3717" s="55"/>
    </row>
    <row r="3718" spans="1:1" x14ac:dyDescent="0.25">
      <c r="A3718" s="55"/>
    </row>
    <row r="3719" spans="1:1" x14ac:dyDescent="0.25">
      <c r="A3719" s="55"/>
    </row>
    <row r="3720" spans="1:1" x14ac:dyDescent="0.25">
      <c r="A3720" s="55"/>
    </row>
    <row r="3721" spans="1:1" x14ac:dyDescent="0.25">
      <c r="A3721" s="55"/>
    </row>
    <row r="3722" spans="1:1" x14ac:dyDescent="0.25">
      <c r="A3722" s="55"/>
    </row>
    <row r="3723" spans="1:1" x14ac:dyDescent="0.25">
      <c r="A3723" s="55"/>
    </row>
    <row r="3724" spans="1:1" x14ac:dyDescent="0.25">
      <c r="A3724" s="55"/>
    </row>
    <row r="3725" spans="1:1" x14ac:dyDescent="0.25">
      <c r="A3725" s="55"/>
    </row>
    <row r="3726" spans="1:1" x14ac:dyDescent="0.25">
      <c r="A3726" s="55"/>
    </row>
    <row r="3727" spans="1:1" x14ac:dyDescent="0.25">
      <c r="A3727" s="55"/>
    </row>
    <row r="3728" spans="1:1" x14ac:dyDescent="0.25">
      <c r="A3728" s="55"/>
    </row>
    <row r="3729" spans="1:1" x14ac:dyDescent="0.25">
      <c r="A3729" s="55"/>
    </row>
    <row r="3730" spans="1:1" x14ac:dyDescent="0.25">
      <c r="A3730" s="55"/>
    </row>
    <row r="3731" spans="1:1" x14ac:dyDescent="0.25">
      <c r="A3731" s="55"/>
    </row>
    <row r="3732" spans="1:1" x14ac:dyDescent="0.25">
      <c r="A3732" s="55"/>
    </row>
    <row r="3733" spans="1:1" x14ac:dyDescent="0.25">
      <c r="A3733" s="55"/>
    </row>
    <row r="3734" spans="1:1" x14ac:dyDescent="0.25">
      <c r="A3734" s="55"/>
    </row>
    <row r="3735" spans="1:1" x14ac:dyDescent="0.25">
      <c r="A3735" s="55"/>
    </row>
    <row r="3736" spans="1:1" x14ac:dyDescent="0.25">
      <c r="A3736" s="55"/>
    </row>
    <row r="3737" spans="1:1" x14ac:dyDescent="0.25">
      <c r="A3737" s="55"/>
    </row>
    <row r="3738" spans="1:1" x14ac:dyDescent="0.25">
      <c r="A3738" s="55"/>
    </row>
    <row r="3739" spans="1:1" x14ac:dyDescent="0.25">
      <c r="A3739" s="55"/>
    </row>
    <row r="3740" spans="1:1" x14ac:dyDescent="0.25">
      <c r="A3740" s="55"/>
    </row>
    <row r="3741" spans="1:1" x14ac:dyDescent="0.25">
      <c r="A3741" s="55"/>
    </row>
    <row r="3742" spans="1:1" x14ac:dyDescent="0.25">
      <c r="A3742" s="55"/>
    </row>
    <row r="3743" spans="1:1" x14ac:dyDescent="0.25">
      <c r="A3743" s="55"/>
    </row>
    <row r="3744" spans="1:1" x14ac:dyDescent="0.25">
      <c r="A3744" s="55"/>
    </row>
    <row r="3745" spans="1:1" x14ac:dyDescent="0.25">
      <c r="A3745" s="55"/>
    </row>
    <row r="3746" spans="1:1" x14ac:dyDescent="0.25">
      <c r="A3746" s="55"/>
    </row>
    <row r="3747" spans="1:1" x14ac:dyDescent="0.25">
      <c r="A3747" s="55"/>
    </row>
    <row r="3748" spans="1:1" x14ac:dyDescent="0.25">
      <c r="A3748" s="55"/>
    </row>
    <row r="3749" spans="1:1" x14ac:dyDescent="0.25">
      <c r="A3749" s="55"/>
    </row>
    <row r="3750" spans="1:1" x14ac:dyDescent="0.25">
      <c r="A3750" s="55"/>
    </row>
    <row r="3751" spans="1:1" x14ac:dyDescent="0.25">
      <c r="A3751" s="55"/>
    </row>
    <row r="3752" spans="1:1" x14ac:dyDescent="0.25">
      <c r="A3752" s="55"/>
    </row>
    <row r="3753" spans="1:1" x14ac:dyDescent="0.25">
      <c r="A3753" s="55"/>
    </row>
    <row r="3754" spans="1:1" x14ac:dyDescent="0.25">
      <c r="A3754" s="55"/>
    </row>
    <row r="3755" spans="1:1" x14ac:dyDescent="0.25">
      <c r="A3755" s="55"/>
    </row>
    <row r="3756" spans="1:1" x14ac:dyDescent="0.25">
      <c r="A3756" s="55"/>
    </row>
    <row r="3757" spans="1:1" x14ac:dyDescent="0.25">
      <c r="A3757" s="55"/>
    </row>
    <row r="3758" spans="1:1" x14ac:dyDescent="0.25">
      <c r="A3758" s="55"/>
    </row>
    <row r="3759" spans="1:1" x14ac:dyDescent="0.25">
      <c r="A3759" s="55"/>
    </row>
    <row r="3760" spans="1:1" x14ac:dyDescent="0.25">
      <c r="A3760" s="55"/>
    </row>
    <row r="3761" spans="1:1" x14ac:dyDescent="0.25">
      <c r="A3761" s="55"/>
    </row>
    <row r="3762" spans="1:1" x14ac:dyDescent="0.25">
      <c r="A3762" s="55"/>
    </row>
    <row r="3763" spans="1:1" x14ac:dyDescent="0.25">
      <c r="A3763" s="55"/>
    </row>
    <row r="3764" spans="1:1" x14ac:dyDescent="0.25">
      <c r="A3764" s="55"/>
    </row>
    <row r="3765" spans="1:1" x14ac:dyDescent="0.25">
      <c r="A3765" s="55"/>
    </row>
    <row r="3766" spans="1:1" x14ac:dyDescent="0.25">
      <c r="A3766" s="55"/>
    </row>
    <row r="3767" spans="1:1" x14ac:dyDescent="0.25">
      <c r="A3767" s="55"/>
    </row>
    <row r="3768" spans="1:1" x14ac:dyDescent="0.25">
      <c r="A3768" s="55"/>
    </row>
    <row r="3769" spans="1:1" x14ac:dyDescent="0.25">
      <c r="A3769" s="55"/>
    </row>
    <row r="3770" spans="1:1" x14ac:dyDescent="0.25">
      <c r="A3770" s="55"/>
    </row>
    <row r="3771" spans="1:1" x14ac:dyDescent="0.25">
      <c r="A3771" s="55"/>
    </row>
    <row r="3772" spans="1:1" x14ac:dyDescent="0.25">
      <c r="A3772" s="55"/>
    </row>
    <row r="3773" spans="1:1" x14ac:dyDescent="0.25">
      <c r="A3773" s="55"/>
    </row>
    <row r="3774" spans="1:1" x14ac:dyDescent="0.25">
      <c r="A3774" s="55"/>
    </row>
    <row r="3775" spans="1:1" x14ac:dyDescent="0.25">
      <c r="A3775" s="55"/>
    </row>
    <row r="3776" spans="1:1" x14ac:dyDescent="0.25">
      <c r="A3776" s="55"/>
    </row>
    <row r="3777" spans="1:1" x14ac:dyDescent="0.25">
      <c r="A3777" s="55"/>
    </row>
    <row r="3778" spans="1:1" x14ac:dyDescent="0.25">
      <c r="A3778" s="55"/>
    </row>
    <row r="3779" spans="1:1" x14ac:dyDescent="0.25">
      <c r="A3779" s="55"/>
    </row>
    <row r="3780" spans="1:1" x14ac:dyDescent="0.25">
      <c r="A3780" s="55"/>
    </row>
    <row r="3781" spans="1:1" x14ac:dyDescent="0.25">
      <c r="A3781" s="55"/>
    </row>
    <row r="3782" spans="1:1" x14ac:dyDescent="0.25">
      <c r="A3782" s="55"/>
    </row>
    <row r="3783" spans="1:1" x14ac:dyDescent="0.25">
      <c r="A3783" s="55"/>
    </row>
    <row r="3784" spans="1:1" x14ac:dyDescent="0.25">
      <c r="A3784" s="55"/>
    </row>
    <row r="3785" spans="1:1" x14ac:dyDescent="0.25">
      <c r="A3785" s="55"/>
    </row>
    <row r="3786" spans="1:1" x14ac:dyDescent="0.25">
      <c r="A3786" s="55"/>
    </row>
    <row r="3787" spans="1:1" x14ac:dyDescent="0.25">
      <c r="A3787" s="55"/>
    </row>
    <row r="3788" spans="1:1" x14ac:dyDescent="0.25">
      <c r="A3788" s="55"/>
    </row>
    <row r="3789" spans="1:1" x14ac:dyDescent="0.25">
      <c r="A3789" s="55"/>
    </row>
    <row r="3790" spans="1:1" x14ac:dyDescent="0.25">
      <c r="A3790" s="55"/>
    </row>
    <row r="3791" spans="1:1" x14ac:dyDescent="0.25">
      <c r="A3791" s="55"/>
    </row>
    <row r="3792" spans="1:1" x14ac:dyDescent="0.25">
      <c r="A3792" s="55"/>
    </row>
    <row r="3793" spans="1:1" x14ac:dyDescent="0.25">
      <c r="A3793" s="55"/>
    </row>
    <row r="3794" spans="1:1" x14ac:dyDescent="0.25">
      <c r="A3794" s="55"/>
    </row>
    <row r="3795" spans="1:1" x14ac:dyDescent="0.25">
      <c r="A3795" s="55"/>
    </row>
    <row r="3796" spans="1:1" x14ac:dyDescent="0.25">
      <c r="A3796" s="55"/>
    </row>
    <row r="3797" spans="1:1" x14ac:dyDescent="0.25">
      <c r="A3797" s="55"/>
    </row>
    <row r="3798" spans="1:1" x14ac:dyDescent="0.25">
      <c r="A3798" s="55"/>
    </row>
    <row r="3799" spans="1:1" x14ac:dyDescent="0.25">
      <c r="A3799" s="55"/>
    </row>
    <row r="3800" spans="1:1" x14ac:dyDescent="0.25">
      <c r="A3800" s="55"/>
    </row>
    <row r="3801" spans="1:1" x14ac:dyDescent="0.25">
      <c r="A3801" s="55"/>
    </row>
    <row r="3802" spans="1:1" x14ac:dyDescent="0.25">
      <c r="A3802" s="55"/>
    </row>
    <row r="3803" spans="1:1" x14ac:dyDescent="0.25">
      <c r="A3803" s="55"/>
    </row>
    <row r="3804" spans="1:1" x14ac:dyDescent="0.25">
      <c r="A3804" s="55"/>
    </row>
    <row r="3805" spans="1:1" x14ac:dyDescent="0.25">
      <c r="A3805" s="55"/>
    </row>
    <row r="3806" spans="1:1" x14ac:dyDescent="0.25">
      <c r="A3806" s="55"/>
    </row>
    <row r="3807" spans="1:1" x14ac:dyDescent="0.25">
      <c r="A3807" s="55"/>
    </row>
    <row r="3808" spans="1:1" x14ac:dyDescent="0.25">
      <c r="A3808" s="55"/>
    </row>
    <row r="3809" spans="1:1" x14ac:dyDescent="0.25">
      <c r="A3809" s="55"/>
    </row>
    <row r="3810" spans="1:1" x14ac:dyDescent="0.25">
      <c r="A3810" s="55"/>
    </row>
    <row r="3811" spans="1:1" x14ac:dyDescent="0.25">
      <c r="A3811" s="55"/>
    </row>
    <row r="3812" spans="1:1" x14ac:dyDescent="0.25">
      <c r="A3812" s="55"/>
    </row>
    <row r="3813" spans="1:1" x14ac:dyDescent="0.25">
      <c r="A3813" s="55"/>
    </row>
    <row r="3814" spans="1:1" x14ac:dyDescent="0.25">
      <c r="A3814" s="55"/>
    </row>
    <row r="3815" spans="1:1" x14ac:dyDescent="0.25">
      <c r="A3815" s="55"/>
    </row>
    <row r="3816" spans="1:1" x14ac:dyDescent="0.25">
      <c r="A3816" s="55"/>
    </row>
    <row r="3817" spans="1:1" x14ac:dyDescent="0.25">
      <c r="A3817" s="55"/>
    </row>
    <row r="3818" spans="1:1" x14ac:dyDescent="0.25">
      <c r="A3818" s="55"/>
    </row>
    <row r="3819" spans="1:1" x14ac:dyDescent="0.25">
      <c r="A3819" s="55"/>
    </row>
    <row r="3820" spans="1:1" x14ac:dyDescent="0.25">
      <c r="A3820" s="55"/>
    </row>
    <row r="3821" spans="1:1" x14ac:dyDescent="0.25">
      <c r="A3821" s="55"/>
    </row>
    <row r="3822" spans="1:1" x14ac:dyDescent="0.25">
      <c r="A3822" s="55"/>
    </row>
    <row r="3823" spans="1:1" x14ac:dyDescent="0.25">
      <c r="A3823" s="55"/>
    </row>
    <row r="3824" spans="1:1" x14ac:dyDescent="0.25">
      <c r="A3824" s="55"/>
    </row>
    <row r="3825" spans="1:1" x14ac:dyDescent="0.25">
      <c r="A3825" s="55"/>
    </row>
    <row r="3826" spans="1:1" x14ac:dyDescent="0.25">
      <c r="A3826" s="55"/>
    </row>
    <row r="3827" spans="1:1" x14ac:dyDescent="0.25">
      <c r="A3827" s="55"/>
    </row>
    <row r="3828" spans="1:1" x14ac:dyDescent="0.25">
      <c r="A3828" s="55"/>
    </row>
    <row r="3829" spans="1:1" x14ac:dyDescent="0.25">
      <c r="A3829" s="55"/>
    </row>
    <row r="3830" spans="1:1" x14ac:dyDescent="0.25">
      <c r="A3830" s="55"/>
    </row>
    <row r="3831" spans="1:1" x14ac:dyDescent="0.25">
      <c r="A3831" s="55"/>
    </row>
    <row r="3832" spans="1:1" x14ac:dyDescent="0.25">
      <c r="A3832" s="55"/>
    </row>
    <row r="3833" spans="1:1" x14ac:dyDescent="0.25">
      <c r="A3833" s="55"/>
    </row>
    <row r="3834" spans="1:1" x14ac:dyDescent="0.25">
      <c r="A3834" s="55"/>
    </row>
    <row r="3835" spans="1:1" x14ac:dyDescent="0.25">
      <c r="A3835" s="55"/>
    </row>
    <row r="3836" spans="1:1" x14ac:dyDescent="0.25">
      <c r="A3836" s="55"/>
    </row>
    <row r="3837" spans="1:1" x14ac:dyDescent="0.25">
      <c r="A3837" s="55"/>
    </row>
    <row r="3838" spans="1:1" x14ac:dyDescent="0.25">
      <c r="A3838" s="55"/>
    </row>
    <row r="3839" spans="1:1" x14ac:dyDescent="0.25">
      <c r="A3839" s="55"/>
    </row>
    <row r="3840" spans="1:1" x14ac:dyDescent="0.25">
      <c r="A3840" s="55"/>
    </row>
    <row r="3841" spans="1:1" x14ac:dyDescent="0.25">
      <c r="A3841" s="55"/>
    </row>
    <row r="3842" spans="1:1" x14ac:dyDescent="0.25">
      <c r="A3842" s="55"/>
    </row>
    <row r="3843" spans="1:1" x14ac:dyDescent="0.25">
      <c r="A3843" s="55"/>
    </row>
    <row r="3844" spans="1:1" x14ac:dyDescent="0.25">
      <c r="A3844" s="55"/>
    </row>
    <row r="3845" spans="1:1" x14ac:dyDescent="0.25">
      <c r="A3845" s="55"/>
    </row>
    <row r="3846" spans="1:1" x14ac:dyDescent="0.25">
      <c r="A3846" s="55"/>
    </row>
    <row r="3847" spans="1:1" x14ac:dyDescent="0.25">
      <c r="A3847" s="55"/>
    </row>
    <row r="3848" spans="1:1" x14ac:dyDescent="0.25">
      <c r="A3848" s="55"/>
    </row>
    <row r="3849" spans="1:1" x14ac:dyDescent="0.25">
      <c r="A3849" s="55"/>
    </row>
    <row r="3850" spans="1:1" x14ac:dyDescent="0.25">
      <c r="A3850" s="55"/>
    </row>
    <row r="3851" spans="1:1" x14ac:dyDescent="0.25">
      <c r="A3851" s="55"/>
    </row>
    <row r="3852" spans="1:1" x14ac:dyDescent="0.25">
      <c r="A3852" s="55"/>
    </row>
    <row r="3853" spans="1:1" x14ac:dyDescent="0.25">
      <c r="A3853" s="55"/>
    </row>
    <row r="3854" spans="1:1" x14ac:dyDescent="0.25">
      <c r="A3854" s="55"/>
    </row>
    <row r="3855" spans="1:1" x14ac:dyDescent="0.25">
      <c r="A3855" s="55"/>
    </row>
    <row r="3856" spans="1:1" x14ac:dyDescent="0.25">
      <c r="A3856" s="55"/>
    </row>
    <row r="3857" spans="1:1" x14ac:dyDescent="0.25">
      <c r="A3857" s="55"/>
    </row>
    <row r="3858" spans="1:1" x14ac:dyDescent="0.25">
      <c r="A3858" s="55"/>
    </row>
    <row r="3859" spans="1:1" x14ac:dyDescent="0.25">
      <c r="A3859" s="55"/>
    </row>
    <row r="3860" spans="1:1" x14ac:dyDescent="0.25">
      <c r="A3860" s="55"/>
    </row>
    <row r="3861" spans="1:1" x14ac:dyDescent="0.25">
      <c r="A3861" s="55"/>
    </row>
    <row r="3862" spans="1:1" x14ac:dyDescent="0.25">
      <c r="A3862" s="55"/>
    </row>
    <row r="3863" spans="1:1" x14ac:dyDescent="0.25">
      <c r="A3863" s="55"/>
    </row>
    <row r="3864" spans="1:1" x14ac:dyDescent="0.25">
      <c r="A3864" s="55"/>
    </row>
    <row r="3865" spans="1:1" x14ac:dyDescent="0.25">
      <c r="A3865" s="55"/>
    </row>
    <row r="3866" spans="1:1" x14ac:dyDescent="0.25">
      <c r="A3866" s="55"/>
    </row>
    <row r="3867" spans="1:1" x14ac:dyDescent="0.25">
      <c r="A3867" s="55"/>
    </row>
    <row r="3868" spans="1:1" x14ac:dyDescent="0.25">
      <c r="A3868" s="55"/>
    </row>
    <row r="3869" spans="1:1" x14ac:dyDescent="0.25">
      <c r="A3869" s="55"/>
    </row>
    <row r="3870" spans="1:1" x14ac:dyDescent="0.25">
      <c r="A3870" s="55"/>
    </row>
    <row r="3871" spans="1:1" x14ac:dyDescent="0.25">
      <c r="A3871" s="55"/>
    </row>
    <row r="3872" spans="1:1" x14ac:dyDescent="0.25">
      <c r="A3872" s="55"/>
    </row>
    <row r="3873" spans="1:1" x14ac:dyDescent="0.25">
      <c r="A3873" s="55"/>
    </row>
    <row r="3874" spans="1:1" x14ac:dyDescent="0.25">
      <c r="A3874" s="55"/>
    </row>
    <row r="3875" spans="1:1" x14ac:dyDescent="0.25">
      <c r="A3875" s="55"/>
    </row>
    <row r="3876" spans="1:1" x14ac:dyDescent="0.25">
      <c r="A3876" s="55"/>
    </row>
    <row r="3877" spans="1:1" x14ac:dyDescent="0.25">
      <c r="A3877" s="55"/>
    </row>
    <row r="3878" spans="1:1" x14ac:dyDescent="0.25">
      <c r="A3878" s="55"/>
    </row>
    <row r="3879" spans="1:1" x14ac:dyDescent="0.25">
      <c r="A3879" s="55"/>
    </row>
    <row r="3880" spans="1:1" x14ac:dyDescent="0.25">
      <c r="A3880" s="55"/>
    </row>
    <row r="3881" spans="1:1" x14ac:dyDescent="0.25">
      <c r="A3881" s="55"/>
    </row>
    <row r="3882" spans="1:1" x14ac:dyDescent="0.25">
      <c r="A3882" s="55"/>
    </row>
    <row r="3883" spans="1:1" x14ac:dyDescent="0.25">
      <c r="A3883" s="55"/>
    </row>
    <row r="3884" spans="1:1" x14ac:dyDescent="0.25">
      <c r="A3884" s="55"/>
    </row>
    <row r="3885" spans="1:1" x14ac:dyDescent="0.25">
      <c r="A3885" s="55"/>
    </row>
    <row r="3886" spans="1:1" x14ac:dyDescent="0.25">
      <c r="A3886" s="55"/>
    </row>
    <row r="3887" spans="1:1" x14ac:dyDescent="0.25">
      <c r="A3887" s="55"/>
    </row>
    <row r="3888" spans="1:1" x14ac:dyDescent="0.25">
      <c r="A3888" s="55"/>
    </row>
    <row r="3889" spans="1:1" x14ac:dyDescent="0.25">
      <c r="A3889" s="55"/>
    </row>
    <row r="3890" spans="1:1" x14ac:dyDescent="0.25">
      <c r="A3890" s="55"/>
    </row>
    <row r="3891" spans="1:1" x14ac:dyDescent="0.25">
      <c r="A3891" s="55"/>
    </row>
    <row r="3892" spans="1:1" x14ac:dyDescent="0.25">
      <c r="A3892" s="55"/>
    </row>
    <row r="3893" spans="1:1" x14ac:dyDescent="0.25">
      <c r="A3893" s="55"/>
    </row>
    <row r="3894" spans="1:1" x14ac:dyDescent="0.25">
      <c r="A3894" s="55"/>
    </row>
    <row r="3895" spans="1:1" x14ac:dyDescent="0.25">
      <c r="A3895" s="55"/>
    </row>
    <row r="3896" spans="1:1" x14ac:dyDescent="0.25">
      <c r="A3896" s="55"/>
    </row>
    <row r="3897" spans="1:1" x14ac:dyDescent="0.25">
      <c r="A3897" s="55"/>
    </row>
    <row r="3898" spans="1:1" x14ac:dyDescent="0.25">
      <c r="A3898" s="55"/>
    </row>
    <row r="3899" spans="1:1" x14ac:dyDescent="0.25">
      <c r="A3899" s="55"/>
    </row>
    <row r="3900" spans="1:1" x14ac:dyDescent="0.25">
      <c r="A3900" s="55"/>
    </row>
    <row r="3901" spans="1:1" x14ac:dyDescent="0.25">
      <c r="A3901" s="55"/>
    </row>
    <row r="3902" spans="1:1" x14ac:dyDescent="0.25">
      <c r="A3902" s="55"/>
    </row>
    <row r="3903" spans="1:1" x14ac:dyDescent="0.25">
      <c r="A3903" s="55"/>
    </row>
    <row r="3904" spans="1:1" x14ac:dyDescent="0.25">
      <c r="A3904" s="55"/>
    </row>
    <row r="3905" spans="1:1" x14ac:dyDescent="0.25">
      <c r="A3905" s="55"/>
    </row>
    <row r="3906" spans="1:1" x14ac:dyDescent="0.25">
      <c r="A3906" s="55"/>
    </row>
    <row r="3907" spans="1:1" x14ac:dyDescent="0.25">
      <c r="A3907" s="55"/>
    </row>
    <row r="3908" spans="1:1" x14ac:dyDescent="0.25">
      <c r="A3908" s="55"/>
    </row>
    <row r="3909" spans="1:1" x14ac:dyDescent="0.25">
      <c r="A3909" s="55"/>
    </row>
    <row r="3910" spans="1:1" x14ac:dyDescent="0.25">
      <c r="A3910" s="55"/>
    </row>
    <row r="3911" spans="1:1" x14ac:dyDescent="0.25">
      <c r="A3911" s="55"/>
    </row>
    <row r="3912" spans="1:1" x14ac:dyDescent="0.25">
      <c r="A3912" s="55"/>
    </row>
    <row r="3913" spans="1:1" x14ac:dyDescent="0.25">
      <c r="A3913" s="55"/>
    </row>
    <row r="3914" spans="1:1" x14ac:dyDescent="0.25">
      <c r="A3914" s="55"/>
    </row>
    <row r="3915" spans="1:1" x14ac:dyDescent="0.25">
      <c r="A3915" s="55"/>
    </row>
    <row r="3916" spans="1:1" x14ac:dyDescent="0.25">
      <c r="A3916" s="55"/>
    </row>
    <row r="3917" spans="1:1" x14ac:dyDescent="0.25">
      <c r="A3917" s="55"/>
    </row>
    <row r="3918" spans="1:1" x14ac:dyDescent="0.25">
      <c r="A3918" s="55"/>
    </row>
    <row r="3919" spans="1:1" x14ac:dyDescent="0.25">
      <c r="A3919" s="55"/>
    </row>
    <row r="3920" spans="1:1" x14ac:dyDescent="0.25">
      <c r="A3920" s="55"/>
    </row>
    <row r="3921" spans="1:1" x14ac:dyDescent="0.25">
      <c r="A3921" s="55"/>
    </row>
    <row r="3922" spans="1:1" x14ac:dyDescent="0.25">
      <c r="A3922" s="55"/>
    </row>
    <row r="3923" spans="1:1" x14ac:dyDescent="0.25">
      <c r="A3923" s="55"/>
    </row>
    <row r="3924" spans="1:1" x14ac:dyDescent="0.25">
      <c r="A3924" s="55"/>
    </row>
    <row r="3925" spans="1:1" x14ac:dyDescent="0.25">
      <c r="A3925" s="55"/>
    </row>
    <row r="3926" spans="1:1" x14ac:dyDescent="0.25">
      <c r="A3926" s="55"/>
    </row>
    <row r="3927" spans="1:1" x14ac:dyDescent="0.25">
      <c r="A3927" s="55"/>
    </row>
    <row r="3928" spans="1:1" x14ac:dyDescent="0.25">
      <c r="A3928" s="55"/>
    </row>
    <row r="3929" spans="1:1" x14ac:dyDescent="0.25">
      <c r="A3929" s="55"/>
    </row>
    <row r="3930" spans="1:1" x14ac:dyDescent="0.25">
      <c r="A3930" s="55"/>
    </row>
    <row r="3931" spans="1:1" x14ac:dyDescent="0.25">
      <c r="A3931" s="55"/>
    </row>
    <row r="3932" spans="1:1" x14ac:dyDescent="0.25">
      <c r="A3932" s="55"/>
    </row>
    <row r="3933" spans="1:1" x14ac:dyDescent="0.25">
      <c r="A3933" s="55"/>
    </row>
    <row r="3934" spans="1:1" x14ac:dyDescent="0.25">
      <c r="A3934" s="55"/>
    </row>
    <row r="3935" spans="1:1" x14ac:dyDescent="0.25">
      <c r="A3935" s="55"/>
    </row>
    <row r="3936" spans="1:1" x14ac:dyDescent="0.25">
      <c r="A3936" s="55"/>
    </row>
    <row r="3937" spans="1:1" x14ac:dyDescent="0.25">
      <c r="A3937" s="55"/>
    </row>
    <row r="3938" spans="1:1" x14ac:dyDescent="0.25">
      <c r="A3938" s="55"/>
    </row>
    <row r="3939" spans="1:1" x14ac:dyDescent="0.25">
      <c r="A3939" s="55"/>
    </row>
    <row r="3940" spans="1:1" x14ac:dyDescent="0.25">
      <c r="A3940" s="55"/>
    </row>
    <row r="3941" spans="1:1" x14ac:dyDescent="0.25">
      <c r="A3941" s="55"/>
    </row>
    <row r="3942" spans="1:1" x14ac:dyDescent="0.25">
      <c r="A3942" s="55"/>
    </row>
    <row r="3943" spans="1:1" x14ac:dyDescent="0.25">
      <c r="A3943" s="55"/>
    </row>
    <row r="3944" spans="1:1" x14ac:dyDescent="0.25">
      <c r="A3944" s="55"/>
    </row>
    <row r="3945" spans="1:1" x14ac:dyDescent="0.25">
      <c r="A3945" s="55"/>
    </row>
    <row r="3946" spans="1:1" x14ac:dyDescent="0.25">
      <c r="A3946" s="55"/>
    </row>
    <row r="3947" spans="1:1" x14ac:dyDescent="0.25">
      <c r="A3947" s="55"/>
    </row>
    <row r="3948" spans="1:1" x14ac:dyDescent="0.25">
      <c r="A3948" s="55"/>
    </row>
    <row r="3949" spans="1:1" x14ac:dyDescent="0.25">
      <c r="A3949" s="55"/>
    </row>
    <row r="3950" spans="1:1" x14ac:dyDescent="0.25">
      <c r="A3950" s="55"/>
    </row>
    <row r="3951" spans="1:1" x14ac:dyDescent="0.25">
      <c r="A3951" s="55"/>
    </row>
    <row r="3952" spans="1:1" x14ac:dyDescent="0.25">
      <c r="A3952" s="55"/>
    </row>
    <row r="3953" spans="1:1" x14ac:dyDescent="0.25">
      <c r="A3953" s="55"/>
    </row>
    <row r="3954" spans="1:1" x14ac:dyDescent="0.25">
      <c r="A3954" s="55"/>
    </row>
    <row r="3955" spans="1:1" x14ac:dyDescent="0.25">
      <c r="A3955" s="55"/>
    </row>
    <row r="3956" spans="1:1" x14ac:dyDescent="0.25">
      <c r="A3956" s="55"/>
    </row>
    <row r="3957" spans="1:1" x14ac:dyDescent="0.25">
      <c r="A3957" s="55"/>
    </row>
    <row r="3958" spans="1:1" x14ac:dyDescent="0.25">
      <c r="A3958" s="55"/>
    </row>
    <row r="3959" spans="1:1" x14ac:dyDescent="0.25">
      <c r="A3959" s="55"/>
    </row>
    <row r="3960" spans="1:1" x14ac:dyDescent="0.25">
      <c r="A3960" s="55"/>
    </row>
    <row r="3961" spans="1:1" x14ac:dyDescent="0.25">
      <c r="A3961" s="55"/>
    </row>
    <row r="3962" spans="1:1" x14ac:dyDescent="0.25">
      <c r="A3962" s="55"/>
    </row>
    <row r="3963" spans="1:1" x14ac:dyDescent="0.25">
      <c r="A3963" s="55"/>
    </row>
    <row r="3964" spans="1:1" x14ac:dyDescent="0.25">
      <c r="A3964" s="55"/>
    </row>
    <row r="3965" spans="1:1" x14ac:dyDescent="0.25">
      <c r="A3965" s="55"/>
    </row>
    <row r="3966" spans="1:1" x14ac:dyDescent="0.25">
      <c r="A3966" s="55"/>
    </row>
    <row r="3967" spans="1:1" x14ac:dyDescent="0.25">
      <c r="A3967" s="55"/>
    </row>
    <row r="3968" spans="1:1" x14ac:dyDescent="0.25">
      <c r="A3968" s="55"/>
    </row>
    <row r="3969" spans="1:1" x14ac:dyDescent="0.25">
      <c r="A3969" s="55"/>
    </row>
    <row r="3970" spans="1:1" x14ac:dyDescent="0.25">
      <c r="A3970" s="55"/>
    </row>
    <row r="3971" spans="1:1" x14ac:dyDescent="0.25">
      <c r="A3971" s="55"/>
    </row>
    <row r="3972" spans="1:1" x14ac:dyDescent="0.25">
      <c r="A3972" s="55"/>
    </row>
    <row r="3973" spans="1:1" x14ac:dyDescent="0.25">
      <c r="A3973" s="55"/>
    </row>
    <row r="3974" spans="1:1" x14ac:dyDescent="0.25">
      <c r="A3974" s="55"/>
    </row>
    <row r="3975" spans="1:1" x14ac:dyDescent="0.25">
      <c r="A3975" s="55"/>
    </row>
    <row r="3976" spans="1:1" x14ac:dyDescent="0.25">
      <c r="A3976" s="55"/>
    </row>
    <row r="3977" spans="1:1" x14ac:dyDescent="0.25">
      <c r="A3977" s="55"/>
    </row>
    <row r="3978" spans="1:1" x14ac:dyDescent="0.25">
      <c r="A3978" s="55"/>
    </row>
    <row r="3979" spans="1:1" x14ac:dyDescent="0.25">
      <c r="A3979" s="55"/>
    </row>
    <row r="3980" spans="1:1" x14ac:dyDescent="0.25">
      <c r="A3980" s="55"/>
    </row>
    <row r="3981" spans="1:1" x14ac:dyDescent="0.25">
      <c r="A3981" s="55"/>
    </row>
    <row r="3982" spans="1:1" x14ac:dyDescent="0.25">
      <c r="A3982" s="55"/>
    </row>
    <row r="3983" spans="1:1" x14ac:dyDescent="0.25">
      <c r="A3983" s="55"/>
    </row>
    <row r="3984" spans="1:1" x14ac:dyDescent="0.25">
      <c r="A3984" s="55"/>
    </row>
    <row r="3985" spans="1:1" x14ac:dyDescent="0.25">
      <c r="A3985" s="55"/>
    </row>
    <row r="3986" spans="1:1" x14ac:dyDescent="0.25">
      <c r="A3986" s="55"/>
    </row>
    <row r="3987" spans="1:1" x14ac:dyDescent="0.25">
      <c r="A3987" s="55"/>
    </row>
    <row r="3988" spans="1:1" x14ac:dyDescent="0.25">
      <c r="A3988" s="55"/>
    </row>
    <row r="3989" spans="1:1" x14ac:dyDescent="0.25">
      <c r="A3989" s="55"/>
    </row>
    <row r="3990" spans="1:1" x14ac:dyDescent="0.25">
      <c r="A3990" s="55"/>
    </row>
    <row r="3991" spans="1:1" x14ac:dyDescent="0.25">
      <c r="A3991" s="55"/>
    </row>
    <row r="3992" spans="1:1" x14ac:dyDescent="0.25">
      <c r="A3992" s="55"/>
    </row>
    <row r="3993" spans="1:1" x14ac:dyDescent="0.25">
      <c r="A3993" s="55"/>
    </row>
    <row r="3994" spans="1:1" x14ac:dyDescent="0.25">
      <c r="A3994" s="55"/>
    </row>
    <row r="3995" spans="1:1" x14ac:dyDescent="0.25">
      <c r="A3995" s="55"/>
    </row>
    <row r="3996" spans="1:1" x14ac:dyDescent="0.25">
      <c r="A3996" s="55"/>
    </row>
    <row r="3997" spans="1:1" x14ac:dyDescent="0.25">
      <c r="A3997" s="55"/>
    </row>
    <row r="3998" spans="1:1" x14ac:dyDescent="0.25">
      <c r="A3998" s="55"/>
    </row>
    <row r="3999" spans="1:1" x14ac:dyDescent="0.25">
      <c r="A3999" s="55"/>
    </row>
    <row r="4000" spans="1:1" x14ac:dyDescent="0.25">
      <c r="A4000" s="55"/>
    </row>
    <row r="4001" spans="1:1" x14ac:dyDescent="0.25">
      <c r="A4001" s="55"/>
    </row>
    <row r="4002" spans="1:1" x14ac:dyDescent="0.25">
      <c r="A4002" s="55"/>
    </row>
    <row r="4003" spans="1:1" x14ac:dyDescent="0.25">
      <c r="A4003" s="55"/>
    </row>
    <row r="4004" spans="1:1" x14ac:dyDescent="0.25">
      <c r="A4004" s="55"/>
    </row>
    <row r="4005" spans="1:1" x14ac:dyDescent="0.25">
      <c r="A4005" s="55"/>
    </row>
    <row r="4006" spans="1:1" x14ac:dyDescent="0.25">
      <c r="A4006" s="55"/>
    </row>
    <row r="4007" spans="1:1" x14ac:dyDescent="0.25">
      <c r="A4007" s="55"/>
    </row>
    <row r="4008" spans="1:1" x14ac:dyDescent="0.25">
      <c r="A4008" s="55"/>
    </row>
    <row r="4009" spans="1:1" x14ac:dyDescent="0.25">
      <c r="A4009" s="55"/>
    </row>
    <row r="4010" spans="1:1" x14ac:dyDescent="0.25">
      <c r="A4010" s="55"/>
    </row>
    <row r="4011" spans="1:1" x14ac:dyDescent="0.25">
      <c r="A4011" s="55"/>
    </row>
    <row r="4012" spans="1:1" x14ac:dyDescent="0.25">
      <c r="A4012" s="55"/>
    </row>
    <row r="4013" spans="1:1" x14ac:dyDescent="0.25">
      <c r="A4013" s="55"/>
    </row>
    <row r="4014" spans="1:1" x14ac:dyDescent="0.25">
      <c r="A4014" s="55"/>
    </row>
    <row r="4015" spans="1:1" x14ac:dyDescent="0.25">
      <c r="A4015" s="55"/>
    </row>
    <row r="4016" spans="1:1" x14ac:dyDescent="0.25">
      <c r="A4016" s="55"/>
    </row>
    <row r="4017" spans="1:1" x14ac:dyDescent="0.25">
      <c r="A4017" s="55"/>
    </row>
    <row r="4018" spans="1:1" x14ac:dyDescent="0.25">
      <c r="A4018" s="55"/>
    </row>
    <row r="4019" spans="1:1" x14ac:dyDescent="0.25">
      <c r="A4019" s="55"/>
    </row>
    <row r="4020" spans="1:1" x14ac:dyDescent="0.25">
      <c r="A4020" s="55"/>
    </row>
    <row r="4021" spans="1:1" x14ac:dyDescent="0.25">
      <c r="A4021" s="55"/>
    </row>
    <row r="4022" spans="1:1" x14ac:dyDescent="0.25">
      <c r="A4022" s="55"/>
    </row>
    <row r="4023" spans="1:1" x14ac:dyDescent="0.25">
      <c r="A4023" s="55"/>
    </row>
    <row r="4024" spans="1:1" x14ac:dyDescent="0.25">
      <c r="A4024" s="55"/>
    </row>
    <row r="4025" spans="1:1" x14ac:dyDescent="0.25">
      <c r="A4025" s="55"/>
    </row>
    <row r="4026" spans="1:1" x14ac:dyDescent="0.25">
      <c r="A4026" s="55"/>
    </row>
    <row r="4027" spans="1:1" x14ac:dyDescent="0.25">
      <c r="A4027" s="55"/>
    </row>
    <row r="4028" spans="1:1" x14ac:dyDescent="0.25">
      <c r="A4028" s="55"/>
    </row>
    <row r="4029" spans="1:1" x14ac:dyDescent="0.25">
      <c r="A4029" s="55"/>
    </row>
    <row r="4030" spans="1:1" x14ac:dyDescent="0.25">
      <c r="A4030" s="55"/>
    </row>
    <row r="4031" spans="1:1" x14ac:dyDescent="0.25">
      <c r="A4031" s="55"/>
    </row>
    <row r="4032" spans="1:1" x14ac:dyDescent="0.25">
      <c r="A4032" s="55"/>
    </row>
    <row r="4033" spans="1:1" x14ac:dyDescent="0.25">
      <c r="A4033" s="55"/>
    </row>
    <row r="4034" spans="1:1" x14ac:dyDescent="0.25">
      <c r="A4034" s="55"/>
    </row>
    <row r="4035" spans="1:1" x14ac:dyDescent="0.25">
      <c r="A4035" s="55"/>
    </row>
    <row r="4036" spans="1:1" x14ac:dyDescent="0.25">
      <c r="A4036" s="55"/>
    </row>
    <row r="4037" spans="1:1" x14ac:dyDescent="0.25">
      <c r="A4037" s="55"/>
    </row>
    <row r="4038" spans="1:1" x14ac:dyDescent="0.25">
      <c r="A4038" s="55"/>
    </row>
    <row r="4039" spans="1:1" x14ac:dyDescent="0.25">
      <c r="A4039" s="55"/>
    </row>
    <row r="4040" spans="1:1" x14ac:dyDescent="0.25">
      <c r="A4040" s="55"/>
    </row>
    <row r="4041" spans="1:1" x14ac:dyDescent="0.25">
      <c r="A4041" s="55"/>
    </row>
    <row r="4042" spans="1:1" x14ac:dyDescent="0.25">
      <c r="A4042" s="55"/>
    </row>
    <row r="4043" spans="1:1" x14ac:dyDescent="0.25">
      <c r="A4043" s="55"/>
    </row>
    <row r="4044" spans="1:1" x14ac:dyDescent="0.25">
      <c r="A4044" s="55"/>
    </row>
    <row r="4045" spans="1:1" x14ac:dyDescent="0.25">
      <c r="A4045" s="55"/>
    </row>
    <row r="4046" spans="1:1" x14ac:dyDescent="0.25">
      <c r="A4046" s="55"/>
    </row>
    <row r="4047" spans="1:1" x14ac:dyDescent="0.25">
      <c r="A4047" s="55"/>
    </row>
    <row r="4048" spans="1:1" x14ac:dyDescent="0.25">
      <c r="A4048" s="55"/>
    </row>
    <row r="4049" spans="1:1" x14ac:dyDescent="0.25">
      <c r="A4049" s="55"/>
    </row>
    <row r="4050" spans="1:1" x14ac:dyDescent="0.25">
      <c r="A4050" s="55"/>
    </row>
    <row r="4051" spans="1:1" x14ac:dyDescent="0.25">
      <c r="A4051" s="55"/>
    </row>
    <row r="4052" spans="1:1" x14ac:dyDescent="0.25">
      <c r="A4052" s="55"/>
    </row>
    <row r="4053" spans="1:1" x14ac:dyDescent="0.25">
      <c r="A4053" s="55"/>
    </row>
    <row r="4054" spans="1:1" x14ac:dyDescent="0.25">
      <c r="A4054" s="55"/>
    </row>
    <row r="4055" spans="1:1" x14ac:dyDescent="0.25">
      <c r="A4055" s="55"/>
    </row>
    <row r="4056" spans="1:1" x14ac:dyDescent="0.25">
      <c r="A4056" s="55"/>
    </row>
    <row r="4057" spans="1:1" x14ac:dyDescent="0.25">
      <c r="A4057" s="55"/>
    </row>
    <row r="4058" spans="1:1" x14ac:dyDescent="0.25">
      <c r="A4058" s="55"/>
    </row>
    <row r="4059" spans="1:1" x14ac:dyDescent="0.25">
      <c r="A4059" s="55"/>
    </row>
    <row r="4060" spans="1:1" x14ac:dyDescent="0.25">
      <c r="A4060" s="55"/>
    </row>
    <row r="4061" spans="1:1" x14ac:dyDescent="0.25">
      <c r="A4061" s="55"/>
    </row>
    <row r="4062" spans="1:1" x14ac:dyDescent="0.25">
      <c r="A4062" s="55"/>
    </row>
    <row r="4063" spans="1:1" x14ac:dyDescent="0.25">
      <c r="A4063" s="55"/>
    </row>
    <row r="4064" spans="1:1" x14ac:dyDescent="0.25">
      <c r="A4064" s="55"/>
    </row>
    <row r="4065" spans="1:1" x14ac:dyDescent="0.25">
      <c r="A4065" s="55"/>
    </row>
    <row r="4066" spans="1:1" x14ac:dyDescent="0.25">
      <c r="A4066" s="55"/>
    </row>
    <row r="4067" spans="1:1" x14ac:dyDescent="0.25">
      <c r="A4067" s="55"/>
    </row>
    <row r="4068" spans="1:1" x14ac:dyDescent="0.25">
      <c r="A4068" s="55"/>
    </row>
    <row r="4069" spans="1:1" x14ac:dyDescent="0.25">
      <c r="A4069" s="55"/>
    </row>
    <row r="4070" spans="1:1" x14ac:dyDescent="0.25">
      <c r="A4070" s="55"/>
    </row>
    <row r="4071" spans="1:1" x14ac:dyDescent="0.25">
      <c r="A4071" s="55"/>
    </row>
    <row r="4072" spans="1:1" x14ac:dyDescent="0.25">
      <c r="A4072" s="55"/>
    </row>
    <row r="4073" spans="1:1" x14ac:dyDescent="0.25">
      <c r="A4073" s="55"/>
    </row>
    <row r="4074" spans="1:1" x14ac:dyDescent="0.25">
      <c r="A4074" s="55"/>
    </row>
    <row r="4075" spans="1:1" x14ac:dyDescent="0.25">
      <c r="A4075" s="55"/>
    </row>
    <row r="4076" spans="1:1" x14ac:dyDescent="0.25">
      <c r="A4076" s="55"/>
    </row>
    <row r="4077" spans="1:1" x14ac:dyDescent="0.25">
      <c r="A4077" s="55"/>
    </row>
    <row r="4078" spans="1:1" x14ac:dyDescent="0.25">
      <c r="A4078" s="55"/>
    </row>
    <row r="4079" spans="1:1" x14ac:dyDescent="0.25">
      <c r="A4079" s="55"/>
    </row>
    <row r="4080" spans="1:1" x14ac:dyDescent="0.25">
      <c r="A4080" s="55"/>
    </row>
    <row r="4081" spans="1:1" x14ac:dyDescent="0.25">
      <c r="A4081" s="55"/>
    </row>
    <row r="4082" spans="1:1" x14ac:dyDescent="0.25">
      <c r="A4082" s="55"/>
    </row>
    <row r="4083" spans="1:1" x14ac:dyDescent="0.25">
      <c r="A4083" s="55"/>
    </row>
    <row r="4084" spans="1:1" x14ac:dyDescent="0.25">
      <c r="A4084" s="55"/>
    </row>
    <row r="4085" spans="1:1" x14ac:dyDescent="0.25">
      <c r="A4085" s="55"/>
    </row>
    <row r="4086" spans="1:1" x14ac:dyDescent="0.25">
      <c r="A4086" s="55"/>
    </row>
    <row r="4087" spans="1:1" x14ac:dyDescent="0.25">
      <c r="A4087" s="55"/>
    </row>
    <row r="4088" spans="1:1" x14ac:dyDescent="0.25">
      <c r="A4088" s="55"/>
    </row>
    <row r="4089" spans="1:1" x14ac:dyDescent="0.25">
      <c r="A4089" s="55"/>
    </row>
    <row r="4090" spans="1:1" x14ac:dyDescent="0.25">
      <c r="A4090" s="55"/>
    </row>
    <row r="4091" spans="1:1" x14ac:dyDescent="0.25">
      <c r="A4091" s="55"/>
    </row>
    <row r="4092" spans="1:1" x14ac:dyDescent="0.25">
      <c r="A4092" s="55"/>
    </row>
    <row r="4093" spans="1:1" x14ac:dyDescent="0.25">
      <c r="A4093" s="55"/>
    </row>
    <row r="4094" spans="1:1" x14ac:dyDescent="0.25">
      <c r="A4094" s="55"/>
    </row>
    <row r="4095" spans="1:1" x14ac:dyDescent="0.25">
      <c r="A4095" s="55"/>
    </row>
    <row r="4096" spans="1:1" x14ac:dyDescent="0.25">
      <c r="A4096" s="55"/>
    </row>
    <row r="4097" spans="1:1" x14ac:dyDescent="0.25">
      <c r="A4097" s="55"/>
    </row>
    <row r="4098" spans="1:1" x14ac:dyDescent="0.25">
      <c r="A4098" s="55"/>
    </row>
    <row r="4099" spans="1:1" x14ac:dyDescent="0.25">
      <c r="A4099" s="55"/>
    </row>
    <row r="4100" spans="1:1" x14ac:dyDescent="0.25">
      <c r="A4100" s="55"/>
    </row>
    <row r="4101" spans="1:1" x14ac:dyDescent="0.25">
      <c r="A4101" s="55"/>
    </row>
    <row r="4102" spans="1:1" x14ac:dyDescent="0.25">
      <c r="A4102" s="55"/>
    </row>
    <row r="4103" spans="1:1" x14ac:dyDescent="0.25">
      <c r="A4103" s="55"/>
    </row>
    <row r="4104" spans="1:1" x14ac:dyDescent="0.25">
      <c r="A4104" s="55"/>
    </row>
    <row r="4105" spans="1:1" x14ac:dyDescent="0.25">
      <c r="A4105" s="55"/>
    </row>
    <row r="4106" spans="1:1" x14ac:dyDescent="0.25">
      <c r="A4106" s="55"/>
    </row>
    <row r="4107" spans="1:1" x14ac:dyDescent="0.25">
      <c r="A4107" s="55"/>
    </row>
    <row r="4108" spans="1:1" x14ac:dyDescent="0.25">
      <c r="A4108" s="55"/>
    </row>
    <row r="4109" spans="1:1" x14ac:dyDescent="0.25">
      <c r="A4109" s="55"/>
    </row>
    <row r="4110" spans="1:1" x14ac:dyDescent="0.25">
      <c r="A4110" s="55"/>
    </row>
    <row r="4111" spans="1:1" x14ac:dyDescent="0.25">
      <c r="A4111" s="55"/>
    </row>
    <row r="4112" spans="1:1" x14ac:dyDescent="0.25">
      <c r="A4112" s="55"/>
    </row>
    <row r="4113" spans="1:1" x14ac:dyDescent="0.25">
      <c r="A4113" s="55"/>
    </row>
    <row r="4114" spans="1:1" x14ac:dyDescent="0.25">
      <c r="A4114" s="55"/>
    </row>
    <row r="4115" spans="1:1" x14ac:dyDescent="0.25">
      <c r="A4115" s="55"/>
    </row>
    <row r="4116" spans="1:1" x14ac:dyDescent="0.25">
      <c r="A4116" s="55"/>
    </row>
    <row r="4117" spans="1:1" x14ac:dyDescent="0.25">
      <c r="A4117" s="55"/>
    </row>
    <row r="4118" spans="1:1" x14ac:dyDescent="0.25">
      <c r="A4118" s="55"/>
    </row>
    <row r="4119" spans="1:1" x14ac:dyDescent="0.25">
      <c r="A4119" s="55"/>
    </row>
    <row r="4120" spans="1:1" x14ac:dyDescent="0.25">
      <c r="A4120" s="55"/>
    </row>
    <row r="4121" spans="1:1" x14ac:dyDescent="0.25">
      <c r="A4121" s="55"/>
    </row>
    <row r="4122" spans="1:1" x14ac:dyDescent="0.25">
      <c r="A4122" s="55"/>
    </row>
    <row r="4123" spans="1:1" x14ac:dyDescent="0.25">
      <c r="A4123" s="55"/>
    </row>
    <row r="4124" spans="1:1" x14ac:dyDescent="0.25">
      <c r="A4124" s="55"/>
    </row>
    <row r="4125" spans="1:1" x14ac:dyDescent="0.25">
      <c r="A4125" s="55"/>
    </row>
    <row r="4126" spans="1:1" x14ac:dyDescent="0.25">
      <c r="A4126" s="55"/>
    </row>
    <row r="4127" spans="1:1" x14ac:dyDescent="0.25">
      <c r="A4127" s="55"/>
    </row>
    <row r="4128" spans="1:1" x14ac:dyDescent="0.25">
      <c r="A4128" s="55"/>
    </row>
    <row r="4129" spans="1:1" x14ac:dyDescent="0.25">
      <c r="A4129" s="55"/>
    </row>
    <row r="4130" spans="1:1" x14ac:dyDescent="0.25">
      <c r="A4130" s="55"/>
    </row>
    <row r="4131" spans="1:1" x14ac:dyDescent="0.25">
      <c r="A4131" s="55"/>
    </row>
    <row r="4132" spans="1:1" x14ac:dyDescent="0.25">
      <c r="A4132" s="55"/>
    </row>
    <row r="4133" spans="1:1" x14ac:dyDescent="0.25">
      <c r="A4133" s="55"/>
    </row>
    <row r="4134" spans="1:1" x14ac:dyDescent="0.25">
      <c r="A4134" s="55"/>
    </row>
    <row r="4135" spans="1:1" x14ac:dyDescent="0.25">
      <c r="A4135" s="55"/>
    </row>
    <row r="4136" spans="1:1" x14ac:dyDescent="0.25">
      <c r="A4136" s="55"/>
    </row>
    <row r="4137" spans="1:1" x14ac:dyDescent="0.25">
      <c r="A4137" s="55"/>
    </row>
    <row r="4138" spans="1:1" x14ac:dyDescent="0.25">
      <c r="A4138" s="55"/>
    </row>
    <row r="4139" spans="1:1" x14ac:dyDescent="0.25">
      <c r="A4139" s="55"/>
    </row>
    <row r="4140" spans="1:1" x14ac:dyDescent="0.25">
      <c r="A4140" s="55"/>
    </row>
    <row r="4141" spans="1:1" x14ac:dyDescent="0.25">
      <c r="A4141" s="55"/>
    </row>
    <row r="4142" spans="1:1" x14ac:dyDescent="0.25">
      <c r="A4142" s="55"/>
    </row>
    <row r="4143" spans="1:1" x14ac:dyDescent="0.25">
      <c r="A4143" s="55"/>
    </row>
    <row r="4144" spans="1:1" x14ac:dyDescent="0.25">
      <c r="A4144" s="55"/>
    </row>
    <row r="4145" spans="1:1" x14ac:dyDescent="0.25">
      <c r="A4145" s="55"/>
    </row>
    <row r="4146" spans="1:1" x14ac:dyDescent="0.25">
      <c r="A4146" s="55"/>
    </row>
    <row r="4147" spans="1:1" x14ac:dyDescent="0.25">
      <c r="A4147" s="55"/>
    </row>
    <row r="4148" spans="1:1" x14ac:dyDescent="0.25">
      <c r="A4148" s="55"/>
    </row>
    <row r="4149" spans="1:1" x14ac:dyDescent="0.25">
      <c r="A4149" s="55"/>
    </row>
    <row r="4150" spans="1:1" x14ac:dyDescent="0.25">
      <c r="A4150" s="55"/>
    </row>
    <row r="4151" spans="1:1" x14ac:dyDescent="0.25">
      <c r="A4151" s="55"/>
    </row>
    <row r="4152" spans="1:1" x14ac:dyDescent="0.25">
      <c r="A4152" s="55"/>
    </row>
    <row r="4153" spans="1:1" x14ac:dyDescent="0.25">
      <c r="A4153" s="55"/>
    </row>
    <row r="4154" spans="1:1" x14ac:dyDescent="0.25">
      <c r="A4154" s="55"/>
    </row>
    <row r="4155" spans="1:1" x14ac:dyDescent="0.25">
      <c r="A4155" s="55"/>
    </row>
    <row r="4156" spans="1:1" x14ac:dyDescent="0.25">
      <c r="A4156" s="55"/>
    </row>
    <row r="4157" spans="1:1" x14ac:dyDescent="0.25">
      <c r="A4157" s="55"/>
    </row>
    <row r="4158" spans="1:1" x14ac:dyDescent="0.25">
      <c r="A4158" s="55"/>
    </row>
    <row r="4159" spans="1:1" x14ac:dyDescent="0.25">
      <c r="A4159" s="55"/>
    </row>
    <row r="4160" spans="1:1" x14ac:dyDescent="0.25">
      <c r="A4160" s="55"/>
    </row>
    <row r="4161" spans="1:1" x14ac:dyDescent="0.25">
      <c r="A4161" s="55"/>
    </row>
    <row r="4162" spans="1:1" x14ac:dyDescent="0.25">
      <c r="A4162" s="55"/>
    </row>
    <row r="4163" spans="1:1" x14ac:dyDescent="0.25">
      <c r="A4163" s="55"/>
    </row>
    <row r="4164" spans="1:1" x14ac:dyDescent="0.25">
      <c r="A4164" s="55"/>
    </row>
    <row r="4165" spans="1:1" x14ac:dyDescent="0.25">
      <c r="A4165" s="55"/>
    </row>
    <row r="4166" spans="1:1" x14ac:dyDescent="0.25">
      <c r="A4166" s="55"/>
    </row>
    <row r="4167" spans="1:1" x14ac:dyDescent="0.25">
      <c r="A4167" s="55"/>
    </row>
    <row r="4168" spans="1:1" x14ac:dyDescent="0.25">
      <c r="A4168" s="55"/>
    </row>
    <row r="4169" spans="1:1" x14ac:dyDescent="0.25">
      <c r="A4169" s="55"/>
    </row>
    <row r="4170" spans="1:1" x14ac:dyDescent="0.25">
      <c r="A4170" s="55"/>
    </row>
    <row r="4171" spans="1:1" x14ac:dyDescent="0.25">
      <c r="A4171" s="55"/>
    </row>
    <row r="4172" spans="1:1" x14ac:dyDescent="0.25">
      <c r="A4172" s="55"/>
    </row>
    <row r="4173" spans="1:1" x14ac:dyDescent="0.25">
      <c r="A4173" s="55"/>
    </row>
    <row r="4174" spans="1:1" x14ac:dyDescent="0.25">
      <c r="A4174" s="55"/>
    </row>
    <row r="4175" spans="1:1" x14ac:dyDescent="0.25">
      <c r="A4175" s="55"/>
    </row>
    <row r="4176" spans="1:1" x14ac:dyDescent="0.25">
      <c r="A4176" s="55"/>
    </row>
    <row r="4177" spans="1:1" x14ac:dyDescent="0.25">
      <c r="A4177" s="55"/>
    </row>
    <row r="4178" spans="1:1" x14ac:dyDescent="0.25">
      <c r="A4178" s="55"/>
    </row>
    <row r="4179" spans="1:1" x14ac:dyDescent="0.25">
      <c r="A4179" s="55"/>
    </row>
    <row r="4180" spans="1:1" x14ac:dyDescent="0.25">
      <c r="A4180" s="55"/>
    </row>
    <row r="4181" spans="1:1" x14ac:dyDescent="0.25">
      <c r="A4181" s="55"/>
    </row>
    <row r="4182" spans="1:1" x14ac:dyDescent="0.25">
      <c r="A4182" s="55"/>
    </row>
    <row r="4183" spans="1:1" x14ac:dyDescent="0.25">
      <c r="A4183" s="55"/>
    </row>
    <row r="4184" spans="1:1" x14ac:dyDescent="0.25">
      <c r="A4184" s="55"/>
    </row>
    <row r="4185" spans="1:1" x14ac:dyDescent="0.25">
      <c r="A4185" s="55"/>
    </row>
    <row r="4186" spans="1:1" x14ac:dyDescent="0.25">
      <c r="A4186" s="55"/>
    </row>
    <row r="4187" spans="1:1" x14ac:dyDescent="0.25">
      <c r="A4187" s="55"/>
    </row>
    <row r="4188" spans="1:1" x14ac:dyDescent="0.25">
      <c r="A4188" s="55"/>
    </row>
    <row r="4189" spans="1:1" x14ac:dyDescent="0.25">
      <c r="A4189" s="55"/>
    </row>
    <row r="4190" spans="1:1" x14ac:dyDescent="0.25">
      <c r="A4190" s="55"/>
    </row>
    <row r="4191" spans="1:1" x14ac:dyDescent="0.25">
      <c r="A4191" s="55"/>
    </row>
    <row r="4192" spans="1:1" x14ac:dyDescent="0.25">
      <c r="A4192" s="55"/>
    </row>
    <row r="4193" spans="1:1" x14ac:dyDescent="0.25">
      <c r="A4193" s="55"/>
    </row>
    <row r="4194" spans="1:1" x14ac:dyDescent="0.25">
      <c r="A4194" s="55"/>
    </row>
    <row r="4195" spans="1:1" x14ac:dyDescent="0.25">
      <c r="A4195" s="55"/>
    </row>
    <row r="4196" spans="1:1" x14ac:dyDescent="0.25">
      <c r="A4196" s="55"/>
    </row>
    <row r="4197" spans="1:1" x14ac:dyDescent="0.25">
      <c r="A4197" s="55"/>
    </row>
    <row r="4198" spans="1:1" x14ac:dyDescent="0.25">
      <c r="A4198" s="55"/>
    </row>
    <row r="4199" spans="1:1" x14ac:dyDescent="0.25">
      <c r="A4199" s="55"/>
    </row>
    <row r="4200" spans="1:1" x14ac:dyDescent="0.25">
      <c r="A4200" s="55"/>
    </row>
    <row r="4201" spans="1:1" x14ac:dyDescent="0.25">
      <c r="A4201" s="55"/>
    </row>
    <row r="4202" spans="1:1" x14ac:dyDescent="0.25">
      <c r="A4202" s="55"/>
    </row>
    <row r="4203" spans="1:1" x14ac:dyDescent="0.25">
      <c r="A4203" s="55"/>
    </row>
    <row r="4204" spans="1:1" x14ac:dyDescent="0.25">
      <c r="A4204" s="55"/>
    </row>
    <row r="4205" spans="1:1" x14ac:dyDescent="0.25">
      <c r="A4205" s="55"/>
    </row>
    <row r="4206" spans="1:1" x14ac:dyDescent="0.25">
      <c r="A4206" s="55"/>
    </row>
    <row r="4207" spans="1:1" x14ac:dyDescent="0.25">
      <c r="A4207" s="55"/>
    </row>
    <row r="4208" spans="1:1" x14ac:dyDescent="0.25">
      <c r="A4208" s="55"/>
    </row>
    <row r="4209" spans="1:1" x14ac:dyDescent="0.25">
      <c r="A4209" s="55"/>
    </row>
    <row r="4210" spans="1:1" x14ac:dyDescent="0.25">
      <c r="A4210" s="55"/>
    </row>
    <row r="4211" spans="1:1" x14ac:dyDescent="0.25">
      <c r="A4211" s="55"/>
    </row>
    <row r="4212" spans="1:1" x14ac:dyDescent="0.25">
      <c r="A4212" s="55"/>
    </row>
    <row r="4213" spans="1:1" x14ac:dyDescent="0.25">
      <c r="A4213" s="55"/>
    </row>
    <row r="4214" spans="1:1" x14ac:dyDescent="0.25">
      <c r="A4214" s="55"/>
    </row>
    <row r="4215" spans="1:1" x14ac:dyDescent="0.25">
      <c r="A4215" s="55"/>
    </row>
    <row r="4216" spans="1:1" x14ac:dyDescent="0.25">
      <c r="A4216" s="55"/>
    </row>
    <row r="4217" spans="1:1" x14ac:dyDescent="0.25">
      <c r="A4217" s="55"/>
    </row>
    <row r="4218" spans="1:1" x14ac:dyDescent="0.25">
      <c r="A4218" s="55"/>
    </row>
    <row r="4219" spans="1:1" x14ac:dyDescent="0.25">
      <c r="A4219" s="55"/>
    </row>
    <row r="4220" spans="1:1" x14ac:dyDescent="0.25">
      <c r="A4220" s="55"/>
    </row>
    <row r="4221" spans="1:1" x14ac:dyDescent="0.25">
      <c r="A4221" s="55"/>
    </row>
    <row r="4222" spans="1:1" x14ac:dyDescent="0.25">
      <c r="A4222" s="55"/>
    </row>
    <row r="4223" spans="1:1" x14ac:dyDescent="0.25">
      <c r="A4223" s="55"/>
    </row>
    <row r="4224" spans="1:1" x14ac:dyDescent="0.25">
      <c r="A4224" s="55"/>
    </row>
    <row r="4225" spans="1:1" x14ac:dyDescent="0.25">
      <c r="A4225" s="55"/>
    </row>
    <row r="4226" spans="1:1" x14ac:dyDescent="0.25">
      <c r="A4226" s="55"/>
    </row>
    <row r="4227" spans="1:1" x14ac:dyDescent="0.25">
      <c r="A4227" s="55"/>
    </row>
    <row r="4228" spans="1:1" x14ac:dyDescent="0.25">
      <c r="A4228" s="55"/>
    </row>
    <row r="4229" spans="1:1" x14ac:dyDescent="0.25">
      <c r="A4229" s="55"/>
    </row>
    <row r="4230" spans="1:1" x14ac:dyDescent="0.25">
      <c r="A4230" s="55"/>
    </row>
    <row r="4231" spans="1:1" x14ac:dyDescent="0.25">
      <c r="A4231" s="55"/>
    </row>
    <row r="4232" spans="1:1" x14ac:dyDescent="0.25">
      <c r="A4232" s="55"/>
    </row>
    <row r="4233" spans="1:1" x14ac:dyDescent="0.25">
      <c r="A4233" s="55"/>
    </row>
    <row r="4234" spans="1:1" x14ac:dyDescent="0.25">
      <c r="A4234" s="55"/>
    </row>
    <row r="4235" spans="1:1" x14ac:dyDescent="0.25">
      <c r="A4235" s="55"/>
    </row>
    <row r="4236" spans="1:1" x14ac:dyDescent="0.25">
      <c r="A4236" s="55"/>
    </row>
    <row r="4237" spans="1:1" x14ac:dyDescent="0.25">
      <c r="A4237" s="55"/>
    </row>
    <row r="4238" spans="1:1" x14ac:dyDescent="0.25">
      <c r="A4238" s="55"/>
    </row>
    <row r="4239" spans="1:1" x14ac:dyDescent="0.25">
      <c r="A4239" s="55"/>
    </row>
    <row r="4240" spans="1:1" x14ac:dyDescent="0.25">
      <c r="A4240" s="55"/>
    </row>
    <row r="4241" spans="1:1" x14ac:dyDescent="0.25">
      <c r="A4241" s="55"/>
    </row>
    <row r="4242" spans="1:1" x14ac:dyDescent="0.25">
      <c r="A4242" s="55"/>
    </row>
    <row r="4243" spans="1:1" x14ac:dyDescent="0.25">
      <c r="A4243" s="55"/>
    </row>
    <row r="4244" spans="1:1" x14ac:dyDescent="0.25">
      <c r="A4244" s="55"/>
    </row>
    <row r="4245" spans="1:1" x14ac:dyDescent="0.25">
      <c r="A4245" s="55"/>
    </row>
    <row r="4246" spans="1:1" x14ac:dyDescent="0.25">
      <c r="A4246" s="55"/>
    </row>
    <row r="4247" spans="1:1" x14ac:dyDescent="0.25">
      <c r="A4247" s="55"/>
    </row>
    <row r="4248" spans="1:1" x14ac:dyDescent="0.25">
      <c r="A4248" s="55"/>
    </row>
    <row r="4249" spans="1:1" x14ac:dyDescent="0.25">
      <c r="A4249" s="55"/>
    </row>
    <row r="4250" spans="1:1" x14ac:dyDescent="0.25">
      <c r="A4250" s="55"/>
    </row>
    <row r="4251" spans="1:1" x14ac:dyDescent="0.25">
      <c r="A4251" s="55"/>
    </row>
    <row r="4252" spans="1:1" x14ac:dyDescent="0.25">
      <c r="A4252" s="55"/>
    </row>
    <row r="4253" spans="1:1" x14ac:dyDescent="0.25">
      <c r="A4253" s="55"/>
    </row>
    <row r="4254" spans="1:1" x14ac:dyDescent="0.25">
      <c r="A4254" s="55"/>
    </row>
    <row r="4255" spans="1:1" x14ac:dyDescent="0.25">
      <c r="A4255" s="55"/>
    </row>
    <row r="4256" spans="1:1" x14ac:dyDescent="0.25">
      <c r="A4256" s="55"/>
    </row>
    <row r="4257" spans="1:1" x14ac:dyDescent="0.25">
      <c r="A4257" s="55"/>
    </row>
    <row r="4258" spans="1:1" x14ac:dyDescent="0.25">
      <c r="A4258" s="55"/>
    </row>
    <row r="4259" spans="1:1" x14ac:dyDescent="0.25">
      <c r="A4259" s="55"/>
    </row>
    <row r="4260" spans="1:1" x14ac:dyDescent="0.25">
      <c r="A4260" s="55"/>
    </row>
    <row r="4261" spans="1:1" x14ac:dyDescent="0.25">
      <c r="A4261" s="55"/>
    </row>
    <row r="4262" spans="1:1" x14ac:dyDescent="0.25">
      <c r="A4262" s="55"/>
    </row>
    <row r="4263" spans="1:1" x14ac:dyDescent="0.25">
      <c r="A4263" s="55"/>
    </row>
    <row r="4264" spans="1:1" x14ac:dyDescent="0.25">
      <c r="A4264" s="55"/>
    </row>
    <row r="4265" spans="1:1" x14ac:dyDescent="0.25">
      <c r="A4265" s="55"/>
    </row>
    <row r="4266" spans="1:1" x14ac:dyDescent="0.25">
      <c r="A4266" s="55"/>
    </row>
    <row r="4267" spans="1:1" x14ac:dyDescent="0.25">
      <c r="A4267" s="55"/>
    </row>
    <row r="4268" spans="1:1" x14ac:dyDescent="0.25">
      <c r="A4268" s="55"/>
    </row>
    <row r="4269" spans="1:1" x14ac:dyDescent="0.25">
      <c r="A4269" s="55"/>
    </row>
    <row r="4270" spans="1:1" x14ac:dyDescent="0.25">
      <c r="A4270" s="55"/>
    </row>
    <row r="4271" spans="1:1" x14ac:dyDescent="0.25">
      <c r="A4271" s="55"/>
    </row>
    <row r="4272" spans="1:1" x14ac:dyDescent="0.25">
      <c r="A4272" s="55"/>
    </row>
    <row r="4273" spans="1:1" x14ac:dyDescent="0.25">
      <c r="A4273" s="55"/>
    </row>
    <row r="4274" spans="1:1" x14ac:dyDescent="0.25">
      <c r="A4274" s="55"/>
    </row>
    <row r="4275" spans="1:1" x14ac:dyDescent="0.25">
      <c r="A4275" s="55"/>
    </row>
    <row r="4276" spans="1:1" x14ac:dyDescent="0.25">
      <c r="A4276" s="55"/>
    </row>
    <row r="4277" spans="1:1" x14ac:dyDescent="0.25">
      <c r="A4277" s="55"/>
    </row>
    <row r="4278" spans="1:1" x14ac:dyDescent="0.25">
      <c r="A4278" s="55"/>
    </row>
    <row r="4279" spans="1:1" x14ac:dyDescent="0.25">
      <c r="A4279" s="55"/>
    </row>
    <row r="4280" spans="1:1" x14ac:dyDescent="0.25">
      <c r="A4280" s="55"/>
    </row>
    <row r="4281" spans="1:1" x14ac:dyDescent="0.25">
      <c r="A4281" s="55"/>
    </row>
    <row r="4282" spans="1:1" x14ac:dyDescent="0.25">
      <c r="A4282" s="55"/>
    </row>
    <row r="4283" spans="1:1" x14ac:dyDescent="0.25">
      <c r="A4283" s="55"/>
    </row>
    <row r="4284" spans="1:1" x14ac:dyDescent="0.25">
      <c r="A4284" s="55"/>
    </row>
    <row r="4285" spans="1:1" x14ac:dyDescent="0.25">
      <c r="A4285" s="55"/>
    </row>
    <row r="4286" spans="1:1" x14ac:dyDescent="0.25">
      <c r="A4286" s="55"/>
    </row>
    <row r="4287" spans="1:1" x14ac:dyDescent="0.25">
      <c r="A4287" s="55"/>
    </row>
    <row r="4288" spans="1:1" x14ac:dyDescent="0.25">
      <c r="A4288" s="55"/>
    </row>
    <row r="4289" spans="1:1" x14ac:dyDescent="0.25">
      <c r="A4289" s="55"/>
    </row>
    <row r="4290" spans="1:1" x14ac:dyDescent="0.25">
      <c r="A4290" s="55"/>
    </row>
    <row r="4291" spans="1:1" x14ac:dyDescent="0.25">
      <c r="A4291" s="55"/>
    </row>
    <row r="4292" spans="1:1" x14ac:dyDescent="0.25">
      <c r="A4292" s="55"/>
    </row>
    <row r="4293" spans="1:1" x14ac:dyDescent="0.25">
      <c r="A4293" s="55"/>
    </row>
    <row r="4294" spans="1:1" x14ac:dyDescent="0.25">
      <c r="A4294" s="55"/>
    </row>
    <row r="4295" spans="1:1" x14ac:dyDescent="0.25">
      <c r="A4295" s="55"/>
    </row>
    <row r="4296" spans="1:1" x14ac:dyDescent="0.25">
      <c r="A4296" s="55"/>
    </row>
    <row r="4297" spans="1:1" x14ac:dyDescent="0.25">
      <c r="A4297" s="55"/>
    </row>
    <row r="4298" spans="1:1" x14ac:dyDescent="0.25">
      <c r="A4298" s="55"/>
    </row>
    <row r="4299" spans="1:1" x14ac:dyDescent="0.25">
      <c r="A4299" s="55"/>
    </row>
    <row r="4300" spans="1:1" x14ac:dyDescent="0.25">
      <c r="A4300" s="55"/>
    </row>
    <row r="4301" spans="1:1" x14ac:dyDescent="0.25">
      <c r="A4301" s="55"/>
    </row>
    <row r="4302" spans="1:1" x14ac:dyDescent="0.25">
      <c r="A4302" s="55"/>
    </row>
    <row r="4303" spans="1:1" x14ac:dyDescent="0.25">
      <c r="A4303" s="55"/>
    </row>
    <row r="4304" spans="1:1" x14ac:dyDescent="0.25">
      <c r="A4304" s="55"/>
    </row>
    <row r="4305" spans="1:1" x14ac:dyDescent="0.25">
      <c r="A4305" s="55"/>
    </row>
    <row r="4306" spans="1:1" x14ac:dyDescent="0.25">
      <c r="A4306" s="55"/>
    </row>
    <row r="4307" spans="1:1" x14ac:dyDescent="0.25">
      <c r="A4307" s="55"/>
    </row>
    <row r="4308" spans="1:1" x14ac:dyDescent="0.25">
      <c r="A4308" s="55"/>
    </row>
    <row r="4309" spans="1:1" x14ac:dyDescent="0.25">
      <c r="A4309" s="55"/>
    </row>
    <row r="4310" spans="1:1" x14ac:dyDescent="0.25">
      <c r="A4310" s="55"/>
    </row>
    <row r="4311" spans="1:1" x14ac:dyDescent="0.25">
      <c r="A4311" s="55"/>
    </row>
    <row r="4312" spans="1:1" x14ac:dyDescent="0.25">
      <c r="A4312" s="55"/>
    </row>
    <row r="4313" spans="1:1" x14ac:dyDescent="0.25">
      <c r="A4313" s="55"/>
    </row>
    <row r="4314" spans="1:1" x14ac:dyDescent="0.25">
      <c r="A4314" s="55"/>
    </row>
    <row r="4315" spans="1:1" x14ac:dyDescent="0.25">
      <c r="A4315" s="55"/>
    </row>
    <row r="4316" spans="1:1" x14ac:dyDescent="0.25">
      <c r="A4316" s="55"/>
    </row>
    <row r="4317" spans="1:1" x14ac:dyDescent="0.25">
      <c r="A4317" s="55"/>
    </row>
    <row r="4318" spans="1:1" x14ac:dyDescent="0.25">
      <c r="A4318" s="55"/>
    </row>
    <row r="4319" spans="1:1" x14ac:dyDescent="0.25">
      <c r="A4319" s="55"/>
    </row>
    <row r="4320" spans="1:1" x14ac:dyDescent="0.25">
      <c r="A4320" s="55"/>
    </row>
    <row r="4321" spans="1:1" x14ac:dyDescent="0.25">
      <c r="A4321" s="55"/>
    </row>
    <row r="4322" spans="1:1" x14ac:dyDescent="0.25">
      <c r="A4322" s="55"/>
    </row>
    <row r="4323" spans="1:1" x14ac:dyDescent="0.25">
      <c r="A4323" s="55"/>
    </row>
    <row r="4324" spans="1:1" x14ac:dyDescent="0.25">
      <c r="A4324" s="55"/>
    </row>
    <row r="4325" spans="1:1" x14ac:dyDescent="0.25">
      <c r="A4325" s="55"/>
    </row>
    <row r="4326" spans="1:1" x14ac:dyDescent="0.25">
      <c r="A4326" s="55"/>
    </row>
    <row r="4327" spans="1:1" x14ac:dyDescent="0.25">
      <c r="A4327" s="55"/>
    </row>
    <row r="4328" spans="1:1" x14ac:dyDescent="0.25">
      <c r="A4328" s="55"/>
    </row>
    <row r="4329" spans="1:1" x14ac:dyDescent="0.25">
      <c r="A4329" s="55"/>
    </row>
    <row r="4330" spans="1:1" x14ac:dyDescent="0.25">
      <c r="A4330" s="55"/>
    </row>
    <row r="4331" spans="1:1" x14ac:dyDescent="0.25">
      <c r="A4331" s="55"/>
    </row>
    <row r="4332" spans="1:1" x14ac:dyDescent="0.25">
      <c r="A4332" s="55"/>
    </row>
    <row r="4333" spans="1:1" x14ac:dyDescent="0.25">
      <c r="A4333" s="55"/>
    </row>
    <row r="4334" spans="1:1" x14ac:dyDescent="0.25">
      <c r="A4334" s="55"/>
    </row>
    <row r="4335" spans="1:1" x14ac:dyDescent="0.25">
      <c r="A4335" s="55"/>
    </row>
    <row r="4336" spans="1:1" x14ac:dyDescent="0.25">
      <c r="A4336" s="55"/>
    </row>
    <row r="4337" spans="1:1" x14ac:dyDescent="0.25">
      <c r="A4337" s="55"/>
    </row>
    <row r="4338" spans="1:1" x14ac:dyDescent="0.25">
      <c r="A4338" s="55"/>
    </row>
    <row r="4339" spans="1:1" x14ac:dyDescent="0.25">
      <c r="A4339" s="55"/>
    </row>
    <row r="4340" spans="1:1" x14ac:dyDescent="0.25">
      <c r="A4340" s="55"/>
    </row>
    <row r="4341" spans="1:1" x14ac:dyDescent="0.25">
      <c r="A4341" s="55"/>
    </row>
    <row r="4342" spans="1:1" x14ac:dyDescent="0.25">
      <c r="A4342" s="55"/>
    </row>
    <row r="4343" spans="1:1" x14ac:dyDescent="0.25">
      <c r="A4343" s="55"/>
    </row>
    <row r="4344" spans="1:1" x14ac:dyDescent="0.25">
      <c r="A4344" s="55"/>
    </row>
    <row r="4345" spans="1:1" x14ac:dyDescent="0.25">
      <c r="A4345" s="55"/>
    </row>
    <row r="4346" spans="1:1" x14ac:dyDescent="0.25">
      <c r="A4346" s="55"/>
    </row>
    <row r="4347" spans="1:1" x14ac:dyDescent="0.25">
      <c r="A4347" s="55"/>
    </row>
    <row r="4348" spans="1:1" x14ac:dyDescent="0.25">
      <c r="A4348" s="55"/>
    </row>
    <row r="4349" spans="1:1" x14ac:dyDescent="0.25">
      <c r="A4349" s="55"/>
    </row>
    <row r="4350" spans="1:1" x14ac:dyDescent="0.25">
      <c r="A4350" s="55"/>
    </row>
    <row r="4351" spans="1:1" x14ac:dyDescent="0.25">
      <c r="A4351" s="55"/>
    </row>
    <row r="4352" spans="1:1" x14ac:dyDescent="0.25">
      <c r="A4352" s="55"/>
    </row>
    <row r="4353" spans="1:1" x14ac:dyDescent="0.25">
      <c r="A4353" s="55"/>
    </row>
    <row r="4354" spans="1:1" x14ac:dyDescent="0.25">
      <c r="A4354" s="55"/>
    </row>
    <row r="4355" spans="1:1" x14ac:dyDescent="0.25">
      <c r="A4355" s="55"/>
    </row>
    <row r="4356" spans="1:1" x14ac:dyDescent="0.25">
      <c r="A4356" s="55"/>
    </row>
    <row r="4357" spans="1:1" x14ac:dyDescent="0.25">
      <c r="A4357" s="55"/>
    </row>
    <row r="4358" spans="1:1" x14ac:dyDescent="0.25">
      <c r="A4358" s="55"/>
    </row>
    <row r="4359" spans="1:1" x14ac:dyDescent="0.25">
      <c r="A4359" s="55"/>
    </row>
    <row r="4360" spans="1:1" x14ac:dyDescent="0.25">
      <c r="A4360" s="55"/>
    </row>
    <row r="4361" spans="1:1" x14ac:dyDescent="0.25">
      <c r="A4361" s="55"/>
    </row>
    <row r="4362" spans="1:1" x14ac:dyDescent="0.25">
      <c r="A4362" s="55"/>
    </row>
    <row r="4363" spans="1:1" x14ac:dyDescent="0.25">
      <c r="A4363" s="55"/>
    </row>
    <row r="4364" spans="1:1" x14ac:dyDescent="0.25">
      <c r="A4364" s="55"/>
    </row>
    <row r="4365" spans="1:1" x14ac:dyDescent="0.25">
      <c r="A4365" s="55"/>
    </row>
    <row r="4366" spans="1:1" x14ac:dyDescent="0.25">
      <c r="A4366" s="55"/>
    </row>
    <row r="4367" spans="1:1" x14ac:dyDescent="0.25">
      <c r="A4367" s="55"/>
    </row>
    <row r="4368" spans="1:1" x14ac:dyDescent="0.25">
      <c r="A4368" s="55"/>
    </row>
    <row r="4369" spans="1:1" x14ac:dyDescent="0.25">
      <c r="A4369" s="55"/>
    </row>
    <row r="4370" spans="1:1" x14ac:dyDescent="0.25">
      <c r="A4370" s="55"/>
    </row>
    <row r="4371" spans="1:1" x14ac:dyDescent="0.25">
      <c r="A4371" s="55"/>
    </row>
    <row r="4372" spans="1:1" x14ac:dyDescent="0.25">
      <c r="A4372" s="55"/>
    </row>
    <row r="4373" spans="1:1" x14ac:dyDescent="0.25">
      <c r="A4373" s="55"/>
    </row>
    <row r="4374" spans="1:1" x14ac:dyDescent="0.25">
      <c r="A4374" s="55"/>
    </row>
    <row r="4375" spans="1:1" x14ac:dyDescent="0.25">
      <c r="A4375" s="55"/>
    </row>
    <row r="4376" spans="1:1" x14ac:dyDescent="0.25">
      <c r="A4376" s="55"/>
    </row>
    <row r="4377" spans="1:1" x14ac:dyDescent="0.25">
      <c r="A4377" s="55"/>
    </row>
    <row r="4378" spans="1:1" x14ac:dyDescent="0.25">
      <c r="A4378" s="55"/>
    </row>
    <row r="4379" spans="1:1" x14ac:dyDescent="0.25">
      <c r="A4379" s="55"/>
    </row>
    <row r="4380" spans="1:1" x14ac:dyDescent="0.25">
      <c r="A4380" s="55"/>
    </row>
    <row r="4381" spans="1:1" x14ac:dyDescent="0.25">
      <c r="A4381" s="55"/>
    </row>
    <row r="4382" spans="1:1" x14ac:dyDescent="0.25">
      <c r="A4382" s="55"/>
    </row>
    <row r="4383" spans="1:1" x14ac:dyDescent="0.25">
      <c r="A4383" s="55"/>
    </row>
    <row r="4384" spans="1:1" x14ac:dyDescent="0.25">
      <c r="A4384" s="55"/>
    </row>
    <row r="4385" spans="1:1" x14ac:dyDescent="0.25">
      <c r="A4385" s="55"/>
    </row>
    <row r="4386" spans="1:1" x14ac:dyDescent="0.25">
      <c r="A4386" s="55"/>
    </row>
    <row r="4387" spans="1:1" x14ac:dyDescent="0.25">
      <c r="A4387" s="55"/>
    </row>
    <row r="4388" spans="1:1" x14ac:dyDescent="0.25">
      <c r="A4388" s="55"/>
    </row>
    <row r="4389" spans="1:1" x14ac:dyDescent="0.25">
      <c r="A4389" s="55"/>
    </row>
    <row r="4390" spans="1:1" x14ac:dyDescent="0.25">
      <c r="A4390" s="55"/>
    </row>
    <row r="4391" spans="1:1" x14ac:dyDescent="0.25">
      <c r="A4391" s="55"/>
    </row>
    <row r="4392" spans="1:1" x14ac:dyDescent="0.25">
      <c r="A4392" s="55"/>
    </row>
    <row r="4393" spans="1:1" x14ac:dyDescent="0.25">
      <c r="A4393" s="55"/>
    </row>
    <row r="4394" spans="1:1" x14ac:dyDescent="0.25">
      <c r="A4394" s="55"/>
    </row>
    <row r="4395" spans="1:1" x14ac:dyDescent="0.25">
      <c r="A4395" s="55"/>
    </row>
    <row r="4396" spans="1:1" x14ac:dyDescent="0.25">
      <c r="A4396" s="55"/>
    </row>
    <row r="4397" spans="1:1" x14ac:dyDescent="0.25">
      <c r="A4397" s="55"/>
    </row>
    <row r="4398" spans="1:1" x14ac:dyDescent="0.25">
      <c r="A4398" s="55"/>
    </row>
    <row r="4399" spans="1:1" x14ac:dyDescent="0.25">
      <c r="A4399" s="55"/>
    </row>
    <row r="4400" spans="1:1" x14ac:dyDescent="0.25">
      <c r="A4400" s="55"/>
    </row>
    <row r="4401" spans="1:1" x14ac:dyDescent="0.25">
      <c r="A4401" s="55"/>
    </row>
    <row r="4402" spans="1:1" x14ac:dyDescent="0.25">
      <c r="A4402" s="55"/>
    </row>
    <row r="4403" spans="1:1" x14ac:dyDescent="0.25">
      <c r="A4403" s="55"/>
    </row>
    <row r="4404" spans="1:1" x14ac:dyDescent="0.25">
      <c r="A4404" s="55"/>
    </row>
    <row r="4405" spans="1:1" x14ac:dyDescent="0.25">
      <c r="A4405" s="55"/>
    </row>
    <row r="4406" spans="1:1" x14ac:dyDescent="0.25">
      <c r="A4406" s="55"/>
    </row>
    <row r="4407" spans="1:1" x14ac:dyDescent="0.25">
      <c r="A4407" s="55"/>
    </row>
    <row r="4408" spans="1:1" x14ac:dyDescent="0.25">
      <c r="A4408" s="55"/>
    </row>
    <row r="4409" spans="1:1" x14ac:dyDescent="0.25">
      <c r="A4409" s="55"/>
    </row>
    <row r="4410" spans="1:1" x14ac:dyDescent="0.25">
      <c r="A4410" s="55"/>
    </row>
    <row r="4411" spans="1:1" x14ac:dyDescent="0.25">
      <c r="A4411" s="55"/>
    </row>
    <row r="4412" spans="1:1" x14ac:dyDescent="0.25">
      <c r="A4412" s="55"/>
    </row>
    <row r="4413" spans="1:1" x14ac:dyDescent="0.25">
      <c r="A4413" s="55"/>
    </row>
    <row r="4414" spans="1:1" x14ac:dyDescent="0.25">
      <c r="A4414" s="55"/>
    </row>
    <row r="4415" spans="1:1" x14ac:dyDescent="0.25">
      <c r="A4415" s="55"/>
    </row>
    <row r="4416" spans="1:1" x14ac:dyDescent="0.25">
      <c r="A4416" s="55"/>
    </row>
    <row r="4417" spans="1:1" x14ac:dyDescent="0.25">
      <c r="A4417" s="55"/>
    </row>
    <row r="4418" spans="1:1" x14ac:dyDescent="0.25">
      <c r="A4418" s="55"/>
    </row>
    <row r="4419" spans="1:1" x14ac:dyDescent="0.25">
      <c r="A4419" s="55"/>
    </row>
    <row r="4420" spans="1:1" x14ac:dyDescent="0.25">
      <c r="A4420" s="55"/>
    </row>
    <row r="4421" spans="1:1" x14ac:dyDescent="0.25">
      <c r="A4421" s="55"/>
    </row>
    <row r="4422" spans="1:1" x14ac:dyDescent="0.25">
      <c r="A4422" s="55"/>
    </row>
    <row r="4423" spans="1:1" x14ac:dyDescent="0.25">
      <c r="A4423" s="55"/>
    </row>
    <row r="4424" spans="1:1" x14ac:dyDescent="0.25">
      <c r="A4424" s="55"/>
    </row>
    <row r="4425" spans="1:1" x14ac:dyDescent="0.25">
      <c r="A4425" s="55"/>
    </row>
    <row r="4426" spans="1:1" x14ac:dyDescent="0.25">
      <c r="A4426" s="55"/>
    </row>
    <row r="4427" spans="1:1" x14ac:dyDescent="0.25">
      <c r="A4427" s="55"/>
    </row>
    <row r="4428" spans="1:1" x14ac:dyDescent="0.25">
      <c r="A4428" s="55"/>
    </row>
    <row r="4429" spans="1:1" x14ac:dyDescent="0.25">
      <c r="A4429" s="55"/>
    </row>
    <row r="4430" spans="1:1" x14ac:dyDescent="0.25">
      <c r="A4430" s="55"/>
    </row>
    <row r="4431" spans="1:1" x14ac:dyDescent="0.25">
      <c r="A4431" s="55"/>
    </row>
    <row r="4432" spans="1:1" x14ac:dyDescent="0.25">
      <c r="A4432" s="55"/>
    </row>
    <row r="4433" spans="1:1" x14ac:dyDescent="0.25">
      <c r="A4433" s="55"/>
    </row>
    <row r="4434" spans="1:1" x14ac:dyDescent="0.25">
      <c r="A4434" s="55"/>
    </row>
    <row r="4435" spans="1:1" x14ac:dyDescent="0.25">
      <c r="A4435" s="55"/>
    </row>
    <row r="4436" spans="1:1" x14ac:dyDescent="0.25">
      <c r="A4436" s="55"/>
    </row>
    <row r="4437" spans="1:1" x14ac:dyDescent="0.25">
      <c r="A4437" s="55"/>
    </row>
    <row r="4438" spans="1:1" x14ac:dyDescent="0.25">
      <c r="A4438" s="55"/>
    </row>
    <row r="4439" spans="1:1" x14ac:dyDescent="0.25">
      <c r="A4439" s="55"/>
    </row>
    <row r="4440" spans="1:1" x14ac:dyDescent="0.25">
      <c r="A4440" s="55"/>
    </row>
    <row r="4441" spans="1:1" x14ac:dyDescent="0.25">
      <c r="A4441" s="55"/>
    </row>
    <row r="4442" spans="1:1" x14ac:dyDescent="0.25">
      <c r="A4442" s="55"/>
    </row>
    <row r="4443" spans="1:1" x14ac:dyDescent="0.25">
      <c r="A4443" s="55"/>
    </row>
    <row r="4444" spans="1:1" x14ac:dyDescent="0.25">
      <c r="A4444" s="55"/>
    </row>
    <row r="4445" spans="1:1" x14ac:dyDescent="0.25">
      <c r="A4445" s="55"/>
    </row>
    <row r="4446" spans="1:1" x14ac:dyDescent="0.25">
      <c r="A4446" s="55"/>
    </row>
    <row r="4447" spans="1:1" x14ac:dyDescent="0.25">
      <c r="A4447" s="55"/>
    </row>
    <row r="4448" spans="1:1" x14ac:dyDescent="0.25">
      <c r="A4448" s="55"/>
    </row>
    <row r="4449" spans="1:1" x14ac:dyDescent="0.25">
      <c r="A4449" s="55"/>
    </row>
    <row r="4450" spans="1:1" x14ac:dyDescent="0.25">
      <c r="A4450" s="55"/>
    </row>
    <row r="4451" spans="1:1" x14ac:dyDescent="0.25">
      <c r="A4451" s="55"/>
    </row>
    <row r="4452" spans="1:1" x14ac:dyDescent="0.25">
      <c r="A4452" s="55"/>
    </row>
    <row r="4453" spans="1:1" x14ac:dyDescent="0.25">
      <c r="A4453" s="55"/>
    </row>
    <row r="4454" spans="1:1" x14ac:dyDescent="0.25">
      <c r="A4454" s="55"/>
    </row>
    <row r="4455" spans="1:1" x14ac:dyDescent="0.25">
      <c r="A4455" s="55"/>
    </row>
    <row r="4456" spans="1:1" x14ac:dyDescent="0.25">
      <c r="A4456" s="55"/>
    </row>
    <row r="4457" spans="1:1" x14ac:dyDescent="0.25">
      <c r="A4457" s="55"/>
    </row>
    <row r="4458" spans="1:1" x14ac:dyDescent="0.25">
      <c r="A4458" s="55"/>
    </row>
    <row r="4459" spans="1:1" x14ac:dyDescent="0.25">
      <c r="A4459" s="55"/>
    </row>
    <row r="4460" spans="1:1" x14ac:dyDescent="0.25">
      <c r="A4460" s="55"/>
    </row>
    <row r="4461" spans="1:1" x14ac:dyDescent="0.25">
      <c r="A4461" s="55"/>
    </row>
    <row r="4462" spans="1:1" x14ac:dyDescent="0.25">
      <c r="A4462" s="55"/>
    </row>
    <row r="4463" spans="1:1" x14ac:dyDescent="0.25">
      <c r="A4463" s="55"/>
    </row>
    <row r="4464" spans="1:1" x14ac:dyDescent="0.25">
      <c r="A4464" s="55"/>
    </row>
    <row r="4465" spans="1:1" x14ac:dyDescent="0.25">
      <c r="A4465" s="55"/>
    </row>
    <row r="4466" spans="1:1" x14ac:dyDescent="0.25">
      <c r="A4466" s="55"/>
    </row>
    <row r="4467" spans="1:1" x14ac:dyDescent="0.25">
      <c r="A4467" s="55"/>
    </row>
    <row r="4468" spans="1:1" x14ac:dyDescent="0.25">
      <c r="A4468" s="55"/>
    </row>
    <row r="4469" spans="1:1" x14ac:dyDescent="0.25">
      <c r="A4469" s="55"/>
    </row>
    <row r="4470" spans="1:1" x14ac:dyDescent="0.25">
      <c r="A4470" s="55"/>
    </row>
    <row r="4471" spans="1:1" x14ac:dyDescent="0.25">
      <c r="A4471" s="55"/>
    </row>
    <row r="4472" spans="1:1" x14ac:dyDescent="0.25">
      <c r="A4472" s="55"/>
    </row>
    <row r="4473" spans="1:1" x14ac:dyDescent="0.25">
      <c r="A4473" s="55"/>
    </row>
    <row r="4474" spans="1:1" x14ac:dyDescent="0.25">
      <c r="A4474" s="55"/>
    </row>
    <row r="4475" spans="1:1" x14ac:dyDescent="0.25">
      <c r="A4475" s="55"/>
    </row>
    <row r="4476" spans="1:1" x14ac:dyDescent="0.25">
      <c r="A4476" s="55"/>
    </row>
    <row r="4477" spans="1:1" x14ac:dyDescent="0.25">
      <c r="A4477" s="55"/>
    </row>
    <row r="4478" spans="1:1" x14ac:dyDescent="0.25">
      <c r="A4478" s="55"/>
    </row>
    <row r="4479" spans="1:1" x14ac:dyDescent="0.25">
      <c r="A4479" s="55"/>
    </row>
    <row r="4480" spans="1:1" x14ac:dyDescent="0.25">
      <c r="A4480" s="55"/>
    </row>
  </sheetData>
  <sheetProtection sheet="1"/>
  <mergeCells count="3">
    <mergeCell ref="A6:I6"/>
    <mergeCell ref="D9:H9"/>
    <mergeCell ref="C9:C10"/>
  </mergeCells>
  <phoneticPr fontId="0" type="noConversion"/>
  <pageMargins left="0.4" right="0.4" top="0.83" bottom="0.85" header="0.3" footer="0.6"/>
  <pageSetup scale="73" orientation="landscape" blackAndWhite="1" horizontalDpi="4294967292" verticalDpi="300"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pageSetUpPr fitToPage="1"/>
  </sheetPr>
  <dimension ref="A1:F29"/>
  <sheetViews>
    <sheetView workbookViewId="0">
      <selection activeCell="C10" sqref="C10:E12"/>
    </sheetView>
  </sheetViews>
  <sheetFormatPr defaultRowHeight="15.75" x14ac:dyDescent="0.25"/>
  <cols>
    <col min="1" max="2" width="16" style="4" customWidth="1"/>
    <col min="3" max="6" width="11.5" style="4" customWidth="1"/>
    <col min="7" max="16384" width="8.796875" style="4"/>
  </cols>
  <sheetData>
    <row r="1" spans="1:6" x14ac:dyDescent="0.25">
      <c r="A1" s="2"/>
      <c r="B1" s="3"/>
      <c r="C1" s="3"/>
      <c r="D1" s="3"/>
      <c r="E1" s="35"/>
      <c r="F1" s="3">
        <f>inputPrYr!D6</f>
        <v>2025</v>
      </c>
    </row>
    <row r="2" spans="1:6" x14ac:dyDescent="0.25">
      <c r="A2" s="2">
        <f>inputPrYr!D3</f>
        <v>0</v>
      </c>
      <c r="B2" s="2"/>
      <c r="C2" s="3"/>
      <c r="D2" s="3"/>
      <c r="E2" s="35"/>
      <c r="F2" s="3"/>
    </row>
    <row r="3" spans="1:6" x14ac:dyDescent="0.25">
      <c r="A3" s="2"/>
      <c r="B3" s="2"/>
      <c r="C3" s="3"/>
      <c r="D3" s="3"/>
      <c r="E3" s="35"/>
      <c r="F3" s="3"/>
    </row>
    <row r="4" spans="1:6" x14ac:dyDescent="0.25">
      <c r="A4" s="2"/>
      <c r="B4" s="3"/>
      <c r="C4" s="3"/>
      <c r="D4" s="3"/>
      <c r="E4" s="35"/>
      <c r="F4" s="3"/>
    </row>
    <row r="5" spans="1:6" ht="15" customHeight="1" x14ac:dyDescent="0.25">
      <c r="A5" s="668" t="s">
        <v>160</v>
      </c>
      <c r="B5" s="668"/>
      <c r="C5" s="668"/>
      <c r="D5" s="668"/>
      <c r="E5" s="668"/>
      <c r="F5" s="668"/>
    </row>
    <row r="6" spans="1:6" ht="14.25" customHeight="1" x14ac:dyDescent="0.25">
      <c r="A6" s="600"/>
      <c r="B6" s="166"/>
      <c r="C6" s="166"/>
      <c r="D6" s="166"/>
      <c r="E6" s="166"/>
      <c r="F6" s="166"/>
    </row>
    <row r="7" spans="1:6" ht="15" customHeight="1" x14ac:dyDescent="0.25">
      <c r="A7" s="167" t="s">
        <v>199</v>
      </c>
      <c r="B7" s="167" t="s">
        <v>200</v>
      </c>
      <c r="C7" s="168" t="s">
        <v>201</v>
      </c>
      <c r="D7" s="168" t="s">
        <v>202</v>
      </c>
      <c r="E7" s="167" t="s">
        <v>203</v>
      </c>
      <c r="F7" s="167" t="s">
        <v>204</v>
      </c>
    </row>
    <row r="8" spans="1:6" ht="15" customHeight="1" x14ac:dyDescent="0.25">
      <c r="A8" s="169" t="s">
        <v>205</v>
      </c>
      <c r="B8" s="169" t="s">
        <v>206</v>
      </c>
      <c r="C8" s="170" t="s">
        <v>207</v>
      </c>
      <c r="D8" s="170" t="s">
        <v>207</v>
      </c>
      <c r="E8" s="170" t="s">
        <v>207</v>
      </c>
      <c r="F8" s="170" t="s">
        <v>208</v>
      </c>
    </row>
    <row r="9" spans="1:6" s="173" customFormat="1" ht="15" customHeight="1" thickBot="1" x14ac:dyDescent="0.3">
      <c r="A9" s="171" t="s">
        <v>209</v>
      </c>
      <c r="B9" s="172" t="s">
        <v>210</v>
      </c>
      <c r="C9" s="172">
        <f>F1-2</f>
        <v>2023</v>
      </c>
      <c r="D9" s="172">
        <f>F1-1</f>
        <v>2024</v>
      </c>
      <c r="E9" s="172">
        <f>F1</f>
        <v>2025</v>
      </c>
      <c r="F9" s="172" t="s">
        <v>91</v>
      </c>
    </row>
    <row r="10" spans="1:6" ht="15" customHeight="1" thickTop="1" x14ac:dyDescent="0.25">
      <c r="A10" s="582" t="s">
        <v>211</v>
      </c>
      <c r="B10" s="582" t="s">
        <v>163</v>
      </c>
      <c r="C10" s="584">
        <f>General!C43</f>
        <v>0</v>
      </c>
      <c r="D10" s="584">
        <f>General!D43</f>
        <v>0</v>
      </c>
      <c r="E10" s="584">
        <f>General!E43</f>
        <v>0</v>
      </c>
      <c r="F10" s="583" t="str">
        <f>IF(C10+D10+E10&gt;0,"KSA 80-1406b", " ")</f>
        <v xml:space="preserve"> </v>
      </c>
    </row>
    <row r="11" spans="1:6" ht="15" customHeight="1" x14ac:dyDescent="0.25">
      <c r="A11" s="581" t="s">
        <v>211</v>
      </c>
      <c r="B11" s="581" t="s">
        <v>163</v>
      </c>
      <c r="C11" s="585">
        <f>General!C45</f>
        <v>0</v>
      </c>
      <c r="D11" s="585">
        <f>General!D45</f>
        <v>0</v>
      </c>
      <c r="E11" s="585">
        <f>General!E45</f>
        <v>0</v>
      </c>
      <c r="F11" s="50" t="str">
        <f>IF(C11+D11+E11&gt;0, "KSA 80-122"," ")</f>
        <v xml:space="preserve"> </v>
      </c>
    </row>
    <row r="12" spans="1:6" ht="15" customHeight="1" x14ac:dyDescent="0.25">
      <c r="A12" s="581" t="s">
        <v>100</v>
      </c>
      <c r="B12" s="581" t="s">
        <v>163</v>
      </c>
      <c r="C12" s="585">
        <f>Road!C39</f>
        <v>0</v>
      </c>
      <c r="D12" s="585">
        <f>Road!D39</f>
        <v>0</v>
      </c>
      <c r="E12" s="585">
        <f>Road!E39</f>
        <v>0</v>
      </c>
      <c r="F12" s="50" t="str">
        <f>IF(C12+D12+E12&gt;0,"KSA 68-141g", "")</f>
        <v/>
      </c>
    </row>
    <row r="13" spans="1:6" ht="15" customHeight="1" x14ac:dyDescent="0.25">
      <c r="A13" s="174"/>
      <c r="B13" s="174"/>
      <c r="C13" s="175"/>
      <c r="D13" s="175"/>
      <c r="E13" s="175"/>
      <c r="F13" s="174"/>
    </row>
    <row r="14" spans="1:6" ht="15" customHeight="1" x14ac:dyDescent="0.25">
      <c r="A14" s="174"/>
      <c r="B14" s="174"/>
      <c r="C14" s="175"/>
      <c r="D14" s="175"/>
      <c r="E14" s="175"/>
      <c r="F14" s="174"/>
    </row>
    <row r="15" spans="1:6" ht="15" customHeight="1" x14ac:dyDescent="0.25">
      <c r="A15" s="174"/>
      <c r="B15" s="174"/>
      <c r="C15" s="175"/>
      <c r="D15" s="175"/>
      <c r="E15" s="175"/>
      <c r="F15" s="174"/>
    </row>
    <row r="16" spans="1:6" ht="15" customHeight="1" x14ac:dyDescent="0.25">
      <c r="A16" s="174"/>
      <c r="B16" s="176"/>
      <c r="C16" s="175"/>
      <c r="D16" s="175"/>
      <c r="E16" s="175"/>
      <c r="F16" s="174"/>
    </row>
    <row r="17" spans="1:6" ht="15" customHeight="1" x14ac:dyDescent="0.25">
      <c r="A17" s="174"/>
      <c r="B17" s="174"/>
      <c r="C17" s="175"/>
      <c r="D17" s="175"/>
      <c r="E17" s="175"/>
      <c r="F17" s="174"/>
    </row>
    <row r="18" spans="1:6" ht="15" customHeight="1" x14ac:dyDescent="0.25">
      <c r="A18" s="174"/>
      <c r="B18" s="174"/>
      <c r="C18" s="175"/>
      <c r="D18" s="175"/>
      <c r="E18" s="175"/>
      <c r="F18" s="174"/>
    </row>
    <row r="19" spans="1:6" ht="15" customHeight="1" x14ac:dyDescent="0.25">
      <c r="A19" s="174"/>
      <c r="B19" s="174"/>
      <c r="C19" s="175"/>
      <c r="D19" s="175"/>
      <c r="E19" s="175"/>
      <c r="F19" s="174"/>
    </row>
    <row r="20" spans="1:6" ht="15" customHeight="1" x14ac:dyDescent="0.25">
      <c r="A20" s="174"/>
      <c r="B20" s="174"/>
      <c r="C20" s="175"/>
      <c r="D20" s="175"/>
      <c r="E20" s="175"/>
      <c r="F20" s="174"/>
    </row>
    <row r="21" spans="1:6" ht="15" customHeight="1" x14ac:dyDescent="0.25">
      <c r="A21" s="174"/>
      <c r="B21" s="174"/>
      <c r="C21" s="175"/>
      <c r="D21" s="175"/>
      <c r="E21" s="175"/>
      <c r="F21" s="174"/>
    </row>
    <row r="22" spans="1:6" ht="15" customHeight="1" x14ac:dyDescent="0.25">
      <c r="A22" s="174"/>
      <c r="B22" s="174"/>
      <c r="C22" s="175"/>
      <c r="D22" s="175"/>
      <c r="E22" s="175"/>
      <c r="F22" s="174"/>
    </row>
    <row r="23" spans="1:6" ht="15" customHeight="1" x14ac:dyDescent="0.25">
      <c r="A23" s="174"/>
      <c r="B23" s="174"/>
      <c r="C23" s="175"/>
      <c r="D23" s="175"/>
      <c r="E23" s="175"/>
      <c r="F23" s="174"/>
    </row>
    <row r="24" spans="1:6" ht="15" customHeight="1" x14ac:dyDescent="0.25">
      <c r="A24" s="90"/>
      <c r="B24" s="177" t="s">
        <v>111</v>
      </c>
      <c r="C24" s="18">
        <f>SUM(C10:C23)</f>
        <v>0</v>
      </c>
      <c r="D24" s="18">
        <f>SUM(D10:D23)</f>
        <v>0</v>
      </c>
      <c r="E24" s="18">
        <f>SUM(E10:E23)</f>
        <v>0</v>
      </c>
      <c r="F24" s="90"/>
    </row>
    <row r="25" spans="1:6" ht="15" customHeight="1" x14ac:dyDescent="0.25">
      <c r="A25" s="90"/>
      <c r="B25" s="177" t="s">
        <v>212</v>
      </c>
      <c r="C25" s="90"/>
      <c r="D25" s="174"/>
      <c r="E25" s="174"/>
      <c r="F25" s="90"/>
    </row>
    <row r="26" spans="1:6" ht="15" customHeight="1" x14ac:dyDescent="0.25">
      <c r="A26" s="90"/>
      <c r="B26" s="611" t="s">
        <v>213</v>
      </c>
      <c r="C26" s="178">
        <f>C24</f>
        <v>0</v>
      </c>
      <c r="D26" s="178">
        <f>SUM(D24-D25)</f>
        <v>0</v>
      </c>
      <c r="E26" s="178">
        <f>SUM(E24-E25)</f>
        <v>0</v>
      </c>
      <c r="F26" s="90"/>
    </row>
    <row r="27" spans="1:6" x14ac:dyDescent="0.25">
      <c r="A27" s="90"/>
      <c r="B27" s="3"/>
      <c r="C27" s="3"/>
      <c r="D27" s="3"/>
      <c r="E27" s="3"/>
      <c r="F27" s="90"/>
    </row>
    <row r="28" spans="1:6" x14ac:dyDescent="0.25">
      <c r="A28" s="90"/>
      <c r="B28" s="3"/>
      <c r="C28" s="3"/>
      <c r="D28" s="3"/>
      <c r="E28" s="3"/>
      <c r="F28" s="90"/>
    </row>
    <row r="29" spans="1:6" x14ac:dyDescent="0.25">
      <c r="A29" s="251" t="s">
        <v>214</v>
      </c>
      <c r="B29" s="252" t="str">
        <f>CONCATENATE("Adjustments are required only if the transfer is being made in ",D9," and/or ",E9," from a non-budgeted fund.")</f>
        <v>Adjustments are required only if the transfer is being made in 2024 and/or 2025 from a non-budgeted fund.</v>
      </c>
      <c r="C29" s="3"/>
      <c r="D29" s="3"/>
      <c r="E29" s="3"/>
      <c r="F29" s="90"/>
    </row>
  </sheetData>
  <sheetProtection sheet="1"/>
  <mergeCells count="1">
    <mergeCell ref="A5:F5"/>
  </mergeCells>
  <phoneticPr fontId="9" type="noConversion"/>
  <pageMargins left="0.75" right="0.75" top="1" bottom="1" header="0.5" footer="0.5"/>
  <pageSetup scale="80" orientation="portrait" blackAndWhite="1" r:id="rId1"/>
  <headerFooter alignWithMargins="0">
    <oddHeader>&amp;RState of Kansas
Township</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35"/>
  <sheetViews>
    <sheetView zoomScaleNormal="100" workbookViewId="0">
      <selection activeCell="B1" sqref="B1"/>
    </sheetView>
  </sheetViews>
  <sheetFormatPr defaultColWidth="62.3984375" defaultRowHeight="15.75" x14ac:dyDescent="0.25"/>
  <cols>
    <col min="1" max="16384" width="62.3984375" style="1"/>
  </cols>
  <sheetData>
    <row r="1" spans="1:1" ht="18.75" x14ac:dyDescent="0.25">
      <c r="A1" s="165" t="s">
        <v>215</v>
      </c>
    </row>
    <row r="2" spans="1:1" x14ac:dyDescent="0.25">
      <c r="A2" s="55"/>
    </row>
    <row r="3" spans="1:1" ht="51" customHeight="1" x14ac:dyDescent="0.25">
      <c r="A3" s="265" t="s">
        <v>216</v>
      </c>
    </row>
    <row r="4" spans="1:1" ht="17.25" customHeight="1" x14ac:dyDescent="0.2">
      <c r="A4" s="265"/>
    </row>
    <row r="5" spans="1:1" x14ac:dyDescent="0.25">
      <c r="A5" s="55"/>
    </row>
    <row r="6" spans="1:1" ht="52.5" customHeight="1" x14ac:dyDescent="0.25">
      <c r="A6" s="122" t="s">
        <v>217</v>
      </c>
    </row>
    <row r="7" spans="1:1" x14ac:dyDescent="0.25">
      <c r="A7" s="55"/>
    </row>
    <row r="8" spans="1:1" x14ac:dyDescent="0.25">
      <c r="A8" s="55"/>
    </row>
    <row r="9" spans="1:1" ht="70.5" customHeight="1" x14ac:dyDescent="0.25">
      <c r="A9" s="122" t="s">
        <v>218</v>
      </c>
    </row>
    <row r="10" spans="1:1" x14ac:dyDescent="0.25">
      <c r="A10" s="615"/>
    </row>
    <row r="11" spans="1:1" x14ac:dyDescent="0.25">
      <c r="A11" s="615"/>
    </row>
    <row r="12" spans="1:1" ht="63" x14ac:dyDescent="0.25">
      <c r="A12" s="616" t="s">
        <v>219</v>
      </c>
    </row>
    <row r="13" spans="1:1" x14ac:dyDescent="0.25">
      <c r="A13" s="615"/>
    </row>
    <row r="14" spans="1:1" x14ac:dyDescent="0.25">
      <c r="A14" s="615"/>
    </row>
    <row r="15" spans="1:1" ht="63" x14ac:dyDescent="0.25">
      <c r="A15" s="616" t="s">
        <v>220</v>
      </c>
    </row>
    <row r="16" spans="1:1" x14ac:dyDescent="0.25">
      <c r="A16" s="615"/>
    </row>
    <row r="17" spans="1:1" x14ac:dyDescent="0.25">
      <c r="A17" s="55"/>
    </row>
    <row r="18" spans="1:1" ht="56.25" customHeight="1" x14ac:dyDescent="0.25">
      <c r="A18" s="122" t="s">
        <v>221</v>
      </c>
    </row>
    <row r="19" spans="1:1" x14ac:dyDescent="0.25">
      <c r="A19" s="615"/>
    </row>
    <row r="20" spans="1:1" x14ac:dyDescent="0.25">
      <c r="A20" s="615"/>
    </row>
    <row r="21" spans="1:1" ht="87.75" customHeight="1" x14ac:dyDescent="0.25">
      <c r="A21" s="122" t="s">
        <v>222</v>
      </c>
    </row>
    <row r="22" spans="1:1" x14ac:dyDescent="0.25">
      <c r="A22" s="615"/>
    </row>
    <row r="23" spans="1:1" x14ac:dyDescent="0.25">
      <c r="A23" s="55"/>
    </row>
    <row r="24" spans="1:1" ht="54.75" customHeight="1" x14ac:dyDescent="0.25">
      <c r="A24" s="122" t="s">
        <v>223</v>
      </c>
    </row>
    <row r="25" spans="1:1" x14ac:dyDescent="0.25">
      <c r="A25" s="55"/>
    </row>
    <row r="26" spans="1:1" ht="15.75" customHeight="1" x14ac:dyDescent="0.25">
      <c r="A26" s="55"/>
    </row>
    <row r="27" spans="1:1" ht="69" customHeight="1" x14ac:dyDescent="0.25">
      <c r="A27" s="122" t="s">
        <v>224</v>
      </c>
    </row>
    <row r="28" spans="1:1" ht="15.75" customHeight="1" x14ac:dyDescent="0.25">
      <c r="A28" s="122"/>
    </row>
    <row r="29" spans="1:1" ht="15.75" customHeight="1" x14ac:dyDescent="0.25">
      <c r="A29" s="122"/>
    </row>
    <row r="30" spans="1:1" ht="87" customHeight="1" x14ac:dyDescent="0.25">
      <c r="A30" s="122" t="s">
        <v>225</v>
      </c>
    </row>
    <row r="31" spans="1:1" x14ac:dyDescent="0.25">
      <c r="A31" s="55"/>
    </row>
    <row r="32" spans="1:1" x14ac:dyDescent="0.25">
      <c r="A32" s="163"/>
    </row>
    <row r="33" spans="1:1" ht="47.25" customHeight="1" x14ac:dyDescent="0.25">
      <c r="A33" s="164" t="s">
        <v>226</v>
      </c>
    </row>
    <row r="34" spans="1:1" x14ac:dyDescent="0.25">
      <c r="A34" s="617"/>
    </row>
    <row r="35" spans="1:1" x14ac:dyDescent="0.25">
      <c r="A35" s="163"/>
    </row>
  </sheetData>
  <sheetProtection sheet="1"/>
  <pageMargins left="0.7" right="0.7" top="0.75" bottom="0.75" header="0.3" footer="0.3"/>
  <pageSetup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da53aa1-44b3-4cd7-9bce-6d7e34741e4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12" ma:contentTypeDescription="Create a new document." ma:contentTypeScope="" ma:versionID="7651c3249043c5a1de3dbca765d0b8ca">
  <xsd:schema xmlns:xsd="http://www.w3.org/2001/XMLSchema" xmlns:xs="http://www.w3.org/2001/XMLSchema" xmlns:p="http://schemas.microsoft.com/office/2006/metadata/properties" xmlns:ns2="1895758b-fcac-4748-aa0a-5720d2d7d486" xmlns:ns3="7e2d0d8f-ac74-4d4c-8884-aff3748a733a" xmlns:ns4="a9343af4-2466-41a9-9238-9dddcc3e6066" xmlns:ns5="eda53aa1-44b3-4cd7-9bce-6d7e34741e47" targetNamespace="http://schemas.microsoft.com/office/2006/metadata/properties" ma:root="true" ma:fieldsID="db0d394f9a5513f0d824e2dca6eb113c" ns2:_="" ns3:_="" ns4:_="" ns5:_="">
    <xsd:import namespace="1895758b-fcac-4748-aa0a-5720d2d7d486"/>
    <xsd:import namespace="7e2d0d8f-ac74-4d4c-8884-aff3748a733a"/>
    <xsd:import namespace="a9343af4-2466-41a9-9238-9dddcc3e6066"/>
    <xsd:import namespace="eda53aa1-44b3-4cd7-9bce-6d7e34741e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a53aa1-44b3-4cd7-9bce-6d7e34741e4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e2891e4-6779-4a5a-9225-82d50eb2cf56}" ma:internalName="TaxCatchAll" ma:showField="CatchAllData" ma:web="eda53aa1-44b3-4cd7-9bce-6d7e34741e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485497-2C01-4E1E-ACD9-599B1DAF0403}">
  <ds:schemaRefs>
    <ds:schemaRef ds:uri="http://schemas.microsoft.com/sharepoint/v3/contenttype/forms"/>
  </ds:schemaRefs>
</ds:datastoreItem>
</file>

<file path=customXml/itemProps2.xml><?xml version="1.0" encoding="utf-8"?>
<ds:datastoreItem xmlns:ds="http://schemas.openxmlformats.org/officeDocument/2006/customXml" ds:itemID="{F7FBFE07-E3AB-4A46-803A-0A415159A80E}">
  <ds:schemaRefs>
    <ds:schemaRef ds:uri="http://schemas.microsoft.com/office/2006/metadata/properties"/>
    <ds:schemaRef ds:uri="http://schemas.microsoft.com/office/infopath/2007/PartnerControls"/>
    <ds:schemaRef ds:uri="eda53aa1-44b3-4cd7-9bce-6d7e34741e47"/>
  </ds:schemaRefs>
</ds:datastoreItem>
</file>

<file path=customXml/itemProps3.xml><?xml version="1.0" encoding="utf-8"?>
<ds:datastoreItem xmlns:ds="http://schemas.openxmlformats.org/officeDocument/2006/customXml" ds:itemID="{88CC7804-6A82-4187-B715-D18C09CFD6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eda53aa1-44b3-4cd7-9bce-6d7e34741e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13</vt:i4>
      </vt:variant>
    </vt:vector>
  </HeadingPairs>
  <TitlesOfParts>
    <vt:vector size="46" baseType="lpstr">
      <vt:lpstr>Instructions</vt:lpstr>
      <vt:lpstr>inputPrYr</vt:lpstr>
      <vt:lpstr>inputOth</vt:lpstr>
      <vt:lpstr>inputHearing</vt:lpstr>
      <vt:lpstr>CPA Summary</vt:lpstr>
      <vt:lpstr>Cert</vt:lpstr>
      <vt:lpstr>Mvalloc</vt:lpstr>
      <vt:lpstr>Transfer</vt:lpstr>
      <vt:lpstr>Transfer Statutes</vt:lpstr>
      <vt:lpstr>Debt - LP Form</vt:lpstr>
      <vt:lpstr>Library Grant</vt:lpstr>
      <vt:lpstr>General</vt:lpstr>
      <vt:lpstr>DebtSvs-Library</vt:lpstr>
      <vt:lpstr>Road</vt:lpstr>
      <vt:lpstr>Levy Page 9</vt:lpstr>
      <vt:lpstr>Levy Page 10</vt:lpstr>
      <vt:lpstr>Levy Page 11</vt:lpstr>
      <vt:lpstr>No Levy Page 12</vt:lpstr>
      <vt:lpstr>Non-Budgeted Funds</vt:lpstr>
      <vt:lpstr>Non-Bud Fund Statutes</vt:lpstr>
      <vt:lpstr>Budget Hearing Notice</vt:lpstr>
      <vt:lpstr>Combined Rate-Bud Hearing Notic</vt:lpstr>
      <vt:lpstr>RNR Hearing Notice</vt:lpstr>
      <vt:lpstr>NR Rebate</vt:lpstr>
      <vt:lpstr>SAMPLE TWP Res to Exceed RNR</vt:lpstr>
      <vt:lpstr>SAMPLE Notice to County Clerk</vt:lpstr>
      <vt:lpstr>Tab A</vt:lpstr>
      <vt:lpstr>Tab B</vt:lpstr>
      <vt:lpstr>Tab C</vt:lpstr>
      <vt:lpstr>Tab D</vt:lpstr>
      <vt:lpstr>Tab E</vt:lpstr>
      <vt:lpstr>Budget Tools</vt:lpstr>
      <vt:lpstr>Legend</vt:lpstr>
      <vt:lpstr>'Budget Hearing Notice'!Print_Area</vt:lpstr>
      <vt:lpstr>Cert!Print_Area</vt:lpstr>
      <vt:lpstr>'Combined Rate-Bud Hearing Notic'!Print_Area</vt:lpstr>
      <vt:lpstr>'CPA Summary'!Print_Area</vt:lpstr>
      <vt:lpstr>'DebtSvs-Library'!Print_Area</vt:lpstr>
      <vt:lpstr>General!Print_Area</vt:lpstr>
      <vt:lpstr>inputPrYr!Print_Area</vt:lpstr>
      <vt:lpstr>'Levy Page 10'!Print_Area</vt:lpstr>
      <vt:lpstr>'Levy Page 11'!Print_Area</vt:lpstr>
      <vt:lpstr>'Levy Page 9'!Print_Area</vt:lpstr>
      <vt:lpstr>'Library Grant'!Print_Area</vt:lpstr>
      <vt:lpstr>'RNR Hearing Notice'!Print_Area</vt:lpstr>
      <vt:lpstr>Road!Print_Area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Dept. of Administration</dc:creator>
  <cp:keywords/>
  <dc:description/>
  <cp:lastModifiedBy>Lindsay A. Olson [DAAR]</cp:lastModifiedBy>
  <cp:revision/>
  <dcterms:created xsi:type="dcterms:W3CDTF">1998-08-26T16:30:41Z</dcterms:created>
  <dcterms:modified xsi:type="dcterms:W3CDTF">2024-05-02T13:59:48Z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