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41" documentId="8_{BB084530-1320-4770-9704-A36737A3CD73}" xr6:coauthVersionLast="47" xr6:coauthVersionMax="47" xr10:uidLastSave="{36BA3A2A-94DC-4F4F-BFD1-0251A26A6699}"/>
  <bookViews>
    <workbookView xWindow="3105" yWindow="960" windowWidth="16665" windowHeight="12390" tabRatio="843" xr2:uid="{00000000-000D-0000-FFFF-FFFF00000000}"/>
  </bookViews>
  <sheets>
    <sheet name="Instructions" sheetId="43" r:id="rId1"/>
    <sheet name="inputPrYr" sheetId="2" r:id="rId2"/>
    <sheet name="inputOth" sheetId="20" r:id="rId3"/>
    <sheet name="inputHearing" sheetId="42" r:id="rId4"/>
    <sheet name="CPA Summary" sheetId="41" r:id="rId5"/>
    <sheet name="Cert" sheetId="3" r:id="rId6"/>
    <sheet name="Mvalloc" sheetId="4" r:id="rId7"/>
    <sheet name="Transfers" sheetId="21" r:id="rId8"/>
    <sheet name="Transfer Statutes" sheetId="24" r:id="rId9"/>
    <sheet name="Debt-LP Form" sheetId="13" r:id="rId10"/>
    <sheet name="Library Grant" sheetId="35" r:id="rId11"/>
    <sheet name="General" sheetId="6" r:id="rId12"/>
    <sheet name="DebtSvs-Library" sheetId="36" r:id="rId13"/>
    <sheet name="Road" sheetId="7" r:id="rId14"/>
    <sheet name="Spec Road &amp; Noxious Weed" sheetId="8" r:id="rId15"/>
    <sheet name="Levy Page 10" sheetId="9" r:id="rId16"/>
    <sheet name="Levy Page 11" sheetId="10" r:id="rId17"/>
    <sheet name="Levy Page 12" sheetId="11" r:id="rId18"/>
    <sheet name="No Levy Page 13" sheetId="17" r:id="rId19"/>
    <sheet name="No Levy Page 14" sheetId="18" r:id="rId20"/>
    <sheet name="Non-Budgeted Funds" sheetId="25" r:id="rId21"/>
    <sheet name="Non-Bud Funds Statutes" sheetId="31" r:id="rId22"/>
    <sheet name="Budget Hearing Notice" sheetId="12" r:id="rId23"/>
    <sheet name="Combined Rate-Bud Hearing Notic" sheetId="47" r:id="rId24"/>
    <sheet name="RNR Hearing Notice" sheetId="44" r:id="rId25"/>
    <sheet name="NR Rebate" sheetId="23" r:id="rId26"/>
    <sheet name="SAMPLE Notice to County Clerk" sheetId="46" r:id="rId27"/>
    <sheet name="SAMPLE Roll Call to Exceed RNR" sheetId="50" r:id="rId28"/>
    <sheet name="SAMPLE Twp RNR Resolution" sheetId="45" r:id="rId29"/>
    <sheet name="Tab A" sheetId="26" r:id="rId30"/>
    <sheet name="Tab B" sheetId="27" r:id="rId31"/>
    <sheet name="Tab C" sheetId="28" r:id="rId32"/>
    <sheet name="Tab D" sheetId="29" r:id="rId33"/>
    <sheet name="Tab E" sheetId="30" r:id="rId34"/>
    <sheet name="Budget Tools" sheetId="49" r:id="rId35"/>
    <sheet name="Legend" sheetId="15" r:id="rId36"/>
  </sheets>
  <definedNames>
    <definedName name="_xlnm.Print_Area" localSheetId="22">'Budget Hearing Notice'!$A$2:$H$57</definedName>
    <definedName name="_xlnm.Print_Area" localSheetId="5">Cert!$A$1:$G$72</definedName>
    <definedName name="_xlnm.Print_Area" localSheetId="23">'Combined Rate-Bud Hearing Notic'!$A$2:$H$57</definedName>
    <definedName name="_xlnm.Print_Area" localSheetId="4">'CPA Summary'!$A$1:$A$40</definedName>
    <definedName name="_xlnm.Print_Area" localSheetId="12">'DebtSvs-Library'!$B$1:$E$88</definedName>
    <definedName name="_xlnm.Print_Area" localSheetId="11">General!$B$1:$E$62</definedName>
    <definedName name="_xlnm.Print_Area" localSheetId="1">inputPrYr!$A$1:$E$94</definedName>
    <definedName name="_xlnm.Print_Area" localSheetId="15">'Levy Page 10'!$A$1:$E$97</definedName>
    <definedName name="_xlnm.Print_Area" localSheetId="16">'Levy Page 11'!$A$1:$E$97</definedName>
    <definedName name="_xlnm.Print_Area" localSheetId="17">'Levy Page 12'!$A$1:$E$98</definedName>
    <definedName name="_xlnm.Print_Area" localSheetId="10">'Library Grant'!$A$1:$J$40</definedName>
    <definedName name="_xlnm.Print_Area" localSheetId="6">Mvalloc!$A$1:$N$30</definedName>
    <definedName name="_xlnm.Print_Area" localSheetId="24">'RNR Hearing Notice'!$A$1:$H$21</definedName>
    <definedName name="_xlnm.Print_Area" localSheetId="13">Road!$B$1:$E$71</definedName>
    <definedName name="_xlnm.Print_Area" localSheetId="14">'Spec Road &amp; Noxious Weed'!$A$1:$E$97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9" i="3" l="1"/>
  <c r="B54" i="18" l="1"/>
  <c r="B24" i="18"/>
  <c r="B72" i="11"/>
  <c r="B31" i="11"/>
  <c r="B72" i="10"/>
  <c r="B31" i="10"/>
  <c r="B72" i="9"/>
  <c r="B31" i="9"/>
  <c r="B72" i="8"/>
  <c r="B31" i="8"/>
  <c r="B38" i="7"/>
  <c r="B42" i="6"/>
  <c r="B31" i="36"/>
  <c r="E12" i="21" l="1"/>
  <c r="D12" i="21"/>
  <c r="C12" i="21"/>
  <c r="E11" i="21"/>
  <c r="D11" i="21"/>
  <c r="C11" i="21"/>
  <c r="E10" i="21"/>
  <c r="D10" i="21"/>
  <c r="C10" i="21"/>
  <c r="F10" i="21" s="1"/>
  <c r="F44" i="3"/>
  <c r="F12" i="21" l="1"/>
  <c r="F11" i="21"/>
  <c r="H1" i="44"/>
  <c r="E43" i="3"/>
  <c r="E42" i="3"/>
  <c r="E41" i="3"/>
  <c r="G74" i="10" l="1"/>
  <c r="G30" i="10"/>
  <c r="G71" i="9"/>
  <c r="G73" i="36"/>
  <c r="G72" i="8"/>
  <c r="G39" i="7"/>
  <c r="G31" i="36"/>
  <c r="F48" i="3"/>
  <c r="F47" i="3"/>
  <c r="A10" i="44" l="1"/>
  <c r="A6" i="44"/>
  <c r="A5" i="44"/>
  <c r="A55" i="47"/>
  <c r="A54" i="47"/>
  <c r="A9" i="47"/>
  <c r="A7" i="47"/>
  <c r="C42" i="3"/>
  <c r="H76" i="36"/>
  <c r="H75" i="36"/>
  <c r="H72" i="36"/>
  <c r="H71" i="36"/>
  <c r="C41" i="3"/>
  <c r="C40" i="3"/>
  <c r="C39" i="3"/>
  <c r="D49" i="47"/>
  <c r="B49" i="47"/>
  <c r="D48" i="47"/>
  <c r="B48" i="47"/>
  <c r="M37" i="47"/>
  <c r="D47" i="47"/>
  <c r="B47" i="47"/>
  <c r="M36" i="47"/>
  <c r="F43" i="47"/>
  <c r="M6" i="47" s="1"/>
  <c r="B42" i="47"/>
  <c r="B41" i="47"/>
  <c r="H38" i="47"/>
  <c r="H37" i="47"/>
  <c r="M30" i="47" s="1"/>
  <c r="B35" i="47"/>
  <c r="A34" i="47"/>
  <c r="A33" i="47"/>
  <c r="A32" i="47"/>
  <c r="A31" i="47"/>
  <c r="A30" i="47"/>
  <c r="E29" i="47"/>
  <c r="C29" i="47"/>
  <c r="A29" i="47"/>
  <c r="E28" i="47"/>
  <c r="C28" i="47"/>
  <c r="A28" i="47"/>
  <c r="E27" i="47"/>
  <c r="C27" i="47"/>
  <c r="A27" i="47"/>
  <c r="E26" i="47"/>
  <c r="C26" i="47"/>
  <c r="A26" i="47"/>
  <c r="E25" i="47"/>
  <c r="C25" i="47"/>
  <c r="A25" i="47"/>
  <c r="E24" i="47"/>
  <c r="C24" i="47"/>
  <c r="A24" i="47"/>
  <c r="E23" i="47"/>
  <c r="C23" i="47"/>
  <c r="A23" i="47"/>
  <c r="E22" i="47"/>
  <c r="C22" i="47"/>
  <c r="A22" i="47"/>
  <c r="E21" i="47"/>
  <c r="C21" i="47"/>
  <c r="A21" i="47"/>
  <c r="E20" i="47"/>
  <c r="C20" i="47"/>
  <c r="A20" i="47"/>
  <c r="E19" i="47"/>
  <c r="C19" i="47"/>
  <c r="E18" i="47"/>
  <c r="C18" i="47"/>
  <c r="A18" i="47"/>
  <c r="A6" i="47"/>
  <c r="A5" i="47"/>
  <c r="H1" i="47"/>
  <c r="B14" i="47" s="1"/>
  <c r="E44" i="3"/>
  <c r="B50" i="47" l="1"/>
  <c r="M31" i="47"/>
  <c r="D16" i="44"/>
  <c r="D50" i="47"/>
  <c r="M20" i="47"/>
  <c r="C36" i="47"/>
  <c r="E36" i="47"/>
  <c r="M10" i="47" s="1"/>
  <c r="B46" i="47"/>
  <c r="F14" i="47"/>
  <c r="J22" i="47"/>
  <c r="D46" i="47"/>
  <c r="G15" i="47"/>
  <c r="J20" i="47"/>
  <c r="J29" i="47"/>
  <c r="F46" i="47"/>
  <c r="J3" i="47"/>
  <c r="J15" i="47"/>
  <c r="J38" i="47"/>
  <c r="J19" i="47"/>
  <c r="J17" i="47"/>
  <c r="J8" i="47"/>
  <c r="J34" i="47"/>
  <c r="D14" i="47"/>
  <c r="J11" i="47"/>
  <c r="A12" i="47"/>
  <c r="J10" i="47"/>
  <c r="J18" i="47"/>
  <c r="J21" i="47"/>
  <c r="A11" i="47"/>
  <c r="A55" i="12"/>
  <c r="A54" i="12"/>
  <c r="A9" i="12"/>
  <c r="A7" i="12"/>
  <c r="H38" i="12" l="1"/>
  <c r="H37" i="12"/>
  <c r="D13" i="44" s="1"/>
  <c r="E26" i="20"/>
  <c r="A25" i="20"/>
  <c r="A24" i="20"/>
  <c r="E13" i="23"/>
  <c r="E60" i="9" s="1"/>
  <c r="E75" i="9"/>
  <c r="E12" i="23"/>
  <c r="E19" i="9" s="1"/>
  <c r="E10" i="23"/>
  <c r="E19" i="8" s="1"/>
  <c r="C22" i="4"/>
  <c r="C21" i="4"/>
  <c r="C20" i="4"/>
  <c r="C19" i="4"/>
  <c r="C18" i="4"/>
  <c r="C17" i="4"/>
  <c r="C16" i="4"/>
  <c r="C15" i="4"/>
  <c r="C14" i="4"/>
  <c r="C13" i="4"/>
  <c r="C12" i="4"/>
  <c r="C11" i="4"/>
  <c r="A84" i="20"/>
  <c r="G16" i="35"/>
  <c r="E19" i="35"/>
  <c r="E18" i="35"/>
  <c r="E17" i="35"/>
  <c r="E16" i="35"/>
  <c r="A9" i="20"/>
  <c r="D40" i="36"/>
  <c r="E40" i="36" s="1"/>
  <c r="D81" i="36"/>
  <c r="C36" i="36"/>
  <c r="C77" i="36"/>
  <c r="D77" i="36"/>
  <c r="D36" i="36"/>
  <c r="C18" i="3"/>
  <c r="A18" i="3"/>
  <c r="E20" i="12"/>
  <c r="C20" i="12"/>
  <c r="B19" i="35"/>
  <c r="B18" i="35"/>
  <c r="B17" i="35"/>
  <c r="B16" i="35"/>
  <c r="B15" i="35"/>
  <c r="C22" i="3"/>
  <c r="B22" i="3"/>
  <c r="A22" i="3"/>
  <c r="C21" i="3"/>
  <c r="D8" i="23"/>
  <c r="E8" i="23"/>
  <c r="E60" i="36" s="1"/>
  <c r="E75" i="36"/>
  <c r="F20" i="47" s="1"/>
  <c r="B8" i="23"/>
  <c r="E15" i="7"/>
  <c r="E15" i="6"/>
  <c r="B46" i="36"/>
  <c r="B5" i="36"/>
  <c r="B1" i="36"/>
  <c r="E1" i="36"/>
  <c r="D46" i="36" s="1"/>
  <c r="D75" i="36"/>
  <c r="C75" i="36"/>
  <c r="C74" i="36" s="1"/>
  <c r="C63" i="36"/>
  <c r="C64" i="36" s="1"/>
  <c r="D34" i="36"/>
  <c r="D98" i="36" s="1"/>
  <c r="C34" i="36"/>
  <c r="B19" i="47" s="1"/>
  <c r="C22" i="36"/>
  <c r="C21" i="36" s="1"/>
  <c r="G14" i="35"/>
  <c r="E14" i="35"/>
  <c r="B47" i="35" s="1"/>
  <c r="B8" i="35"/>
  <c r="B7" i="35"/>
  <c r="B5" i="35"/>
  <c r="G34" i="2"/>
  <c r="D49" i="11"/>
  <c r="D63" i="11" s="1"/>
  <c r="D62" i="11" s="1"/>
  <c r="G33" i="2"/>
  <c r="D8" i="11"/>
  <c r="D22" i="11" s="1"/>
  <c r="D21" i="11" s="1"/>
  <c r="G32" i="2"/>
  <c r="D49" i="10"/>
  <c r="D63" i="10" s="1"/>
  <c r="D62" i="10" s="1"/>
  <c r="G31" i="2"/>
  <c r="D8" i="10"/>
  <c r="D22" i="10" s="1"/>
  <c r="D21" i="10" s="1"/>
  <c r="G30" i="2"/>
  <c r="D49" i="9"/>
  <c r="D63" i="9" s="1"/>
  <c r="G29" i="2"/>
  <c r="D8" i="9"/>
  <c r="D22" i="9" s="1"/>
  <c r="D21" i="9" s="1"/>
  <c r="G28" i="2"/>
  <c r="D49" i="8"/>
  <c r="D63" i="8" s="1"/>
  <c r="G27" i="2"/>
  <c r="D8" i="8"/>
  <c r="D22" i="8" s="1"/>
  <c r="D21" i="8" s="1"/>
  <c r="G26" i="2"/>
  <c r="D8" i="7"/>
  <c r="D24" i="7" s="1"/>
  <c r="D23" i="7" s="1"/>
  <c r="G25" i="2"/>
  <c r="D49" i="36"/>
  <c r="E15" i="35" s="1"/>
  <c r="G24" i="2"/>
  <c r="D8" i="36"/>
  <c r="D22" i="36" s="1"/>
  <c r="D21" i="36" s="1"/>
  <c r="G23" i="2"/>
  <c r="D8" i="6"/>
  <c r="A20" i="12"/>
  <c r="B13" i="4"/>
  <c r="A93" i="20"/>
  <c r="A42" i="20"/>
  <c r="B52" i="2"/>
  <c r="A51" i="20"/>
  <c r="A102" i="20"/>
  <c r="C36" i="3"/>
  <c r="C37" i="3"/>
  <c r="C31" i="3"/>
  <c r="C30" i="3"/>
  <c r="C29" i="3"/>
  <c r="C28" i="3"/>
  <c r="C27" i="3"/>
  <c r="C26" i="3"/>
  <c r="C25" i="3"/>
  <c r="C24" i="3"/>
  <c r="C23" i="3"/>
  <c r="C20" i="3"/>
  <c r="B35" i="12"/>
  <c r="D81" i="11"/>
  <c r="E81" i="11" s="1"/>
  <c r="D40" i="11"/>
  <c r="E40" i="11" s="1"/>
  <c r="D81" i="10"/>
  <c r="E81" i="10" s="1"/>
  <c r="D40" i="10"/>
  <c r="E40" i="10" s="1"/>
  <c r="D81" i="9"/>
  <c r="E81" i="9" s="1"/>
  <c r="D40" i="9"/>
  <c r="E40" i="9" s="1"/>
  <c r="D81" i="8"/>
  <c r="E81" i="8" s="1"/>
  <c r="D40" i="8"/>
  <c r="E40" i="8" s="1"/>
  <c r="C77" i="11"/>
  <c r="D77" i="11"/>
  <c r="C36" i="11"/>
  <c r="D36" i="11"/>
  <c r="C77" i="10"/>
  <c r="D77" i="10"/>
  <c r="C36" i="10"/>
  <c r="D36" i="10"/>
  <c r="C77" i="9"/>
  <c r="D77" i="9"/>
  <c r="C36" i="9"/>
  <c r="D36" i="9"/>
  <c r="C36" i="8"/>
  <c r="D36" i="8"/>
  <c r="C77" i="8"/>
  <c r="D77" i="8"/>
  <c r="D58" i="7"/>
  <c r="D49" i="7"/>
  <c r="E49" i="7" s="1"/>
  <c r="C59" i="7"/>
  <c r="C58" i="7"/>
  <c r="C57" i="7"/>
  <c r="C45" i="7"/>
  <c r="D45" i="7"/>
  <c r="D55" i="6"/>
  <c r="E55" i="6" s="1"/>
  <c r="C51" i="6"/>
  <c r="D51" i="6"/>
  <c r="B31" i="3"/>
  <c r="B61" i="2"/>
  <c r="A31" i="3"/>
  <c r="B22" i="4"/>
  <c r="B46" i="11"/>
  <c r="B17" i="23"/>
  <c r="A29" i="12"/>
  <c r="A36" i="3"/>
  <c r="A8" i="30"/>
  <c r="A46" i="29"/>
  <c r="A41" i="29"/>
  <c r="A6" i="29"/>
  <c r="A38" i="28"/>
  <c r="A33" i="28"/>
  <c r="A19" i="28"/>
  <c r="A6" i="28"/>
  <c r="A34" i="27"/>
  <c r="A33" i="27"/>
  <c r="A6" i="27"/>
  <c r="A77" i="26"/>
  <c r="A74" i="26"/>
  <c r="A33" i="26"/>
  <c r="A28" i="26"/>
  <c r="A25" i="26"/>
  <c r="A16" i="26"/>
  <c r="A6" i="26"/>
  <c r="A34" i="12"/>
  <c r="A33" i="12"/>
  <c r="I5" i="25"/>
  <c r="G5" i="25"/>
  <c r="E5" i="25"/>
  <c r="C5" i="25"/>
  <c r="A5" i="25"/>
  <c r="K1" i="25"/>
  <c r="F2" i="25" s="1"/>
  <c r="A1" i="25"/>
  <c r="J28" i="25"/>
  <c r="H28" i="25"/>
  <c r="F28" i="25"/>
  <c r="D28" i="25"/>
  <c r="B28" i="25"/>
  <c r="J17" i="25"/>
  <c r="J18" i="25" s="1"/>
  <c r="H17" i="25"/>
  <c r="F17" i="25"/>
  <c r="F18" i="25"/>
  <c r="F29" i="25" s="1"/>
  <c r="F30" i="25" s="1"/>
  <c r="D17" i="25"/>
  <c r="D18" i="25" s="1"/>
  <c r="B17" i="25"/>
  <c r="K7" i="25"/>
  <c r="E19" i="2"/>
  <c r="G22" i="2" s="1"/>
  <c r="D19" i="2"/>
  <c r="D24" i="21"/>
  <c r="D26" i="21" s="1"/>
  <c r="D39" i="47" s="1"/>
  <c r="C24" i="21"/>
  <c r="C26" i="21" s="1"/>
  <c r="B39" i="47" s="1"/>
  <c r="C26" i="6"/>
  <c r="C25" i="6" s="1"/>
  <c r="C49" i="6"/>
  <c r="B18" i="47" s="1"/>
  <c r="D49" i="6"/>
  <c r="D18" i="47" s="1"/>
  <c r="E33" i="2"/>
  <c r="D41" i="47" s="1"/>
  <c r="C63" i="11"/>
  <c r="C62" i="11" s="1"/>
  <c r="C75" i="11"/>
  <c r="B29" i="47" s="1"/>
  <c r="D75" i="11"/>
  <c r="D29" i="47" s="1"/>
  <c r="C22" i="11"/>
  <c r="C21" i="11" s="1"/>
  <c r="C34" i="11"/>
  <c r="B28" i="12" s="1"/>
  <c r="D34" i="11"/>
  <c r="D28" i="47" s="1"/>
  <c r="C63" i="10"/>
  <c r="C75" i="10"/>
  <c r="B27" i="47" s="1"/>
  <c r="D75" i="10"/>
  <c r="D27" i="12" s="1"/>
  <c r="C22" i="10"/>
  <c r="C21" i="10" s="1"/>
  <c r="C34" i="10"/>
  <c r="G23" i="10" s="1"/>
  <c r="D34" i="10"/>
  <c r="D26" i="47" s="1"/>
  <c r="C63" i="9"/>
  <c r="C64" i="9" s="1"/>
  <c r="C75" i="9"/>
  <c r="B25" i="47" s="1"/>
  <c r="D75" i="9"/>
  <c r="D25" i="12" s="1"/>
  <c r="C22" i="9"/>
  <c r="C23" i="9" s="1"/>
  <c r="C34" i="9"/>
  <c r="B24" i="47" s="1"/>
  <c r="D34" i="9"/>
  <c r="D33" i="9" s="1"/>
  <c r="C63" i="8"/>
  <c r="C64" i="8" s="1"/>
  <c r="C75" i="8"/>
  <c r="B23" i="47" s="1"/>
  <c r="D75" i="8"/>
  <c r="D23" i="47" s="1"/>
  <c r="C22" i="8"/>
  <c r="C21" i="8" s="1"/>
  <c r="C34" i="8"/>
  <c r="B22" i="47" s="1"/>
  <c r="D34" i="8"/>
  <c r="D92" i="8" s="1"/>
  <c r="D6" i="23"/>
  <c r="E6" i="23"/>
  <c r="E49" i="6"/>
  <c r="E51" i="6" s="1"/>
  <c r="E43" i="7"/>
  <c r="E47" i="7" s="1"/>
  <c r="C24" i="7"/>
  <c r="C25" i="7" s="1"/>
  <c r="C44" i="6"/>
  <c r="E24" i="21"/>
  <c r="E26" i="21" s="1"/>
  <c r="E1" i="11"/>
  <c r="H66" i="11" s="1"/>
  <c r="E1" i="10"/>
  <c r="C41" i="10" s="1"/>
  <c r="E1" i="9"/>
  <c r="E1" i="8"/>
  <c r="H19" i="8" s="1"/>
  <c r="D29" i="18"/>
  <c r="D59" i="18"/>
  <c r="D59" i="17"/>
  <c r="D29" i="17"/>
  <c r="E1" i="7"/>
  <c r="G18" i="7" s="1"/>
  <c r="E1" i="6"/>
  <c r="D5" i="6" s="1"/>
  <c r="A65" i="2"/>
  <c r="A64" i="2"/>
  <c r="D48" i="2"/>
  <c r="D40" i="2"/>
  <c r="A40" i="2"/>
  <c r="A33" i="2"/>
  <c r="C29" i="18"/>
  <c r="C30" i="18" s="1"/>
  <c r="C59" i="18"/>
  <c r="C29" i="17"/>
  <c r="C59" i="17"/>
  <c r="E1" i="17"/>
  <c r="B54" i="17" s="1"/>
  <c r="E57" i="17"/>
  <c r="F31" i="47" s="1"/>
  <c r="E1" i="18"/>
  <c r="B29" i="18" s="1"/>
  <c r="E1" i="20"/>
  <c r="A22" i="20" s="1"/>
  <c r="E16" i="20"/>
  <c r="E21" i="20"/>
  <c r="E31" i="20"/>
  <c r="E11" i="20"/>
  <c r="F42" i="47" s="1"/>
  <c r="D16" i="23"/>
  <c r="E16" i="23"/>
  <c r="E19" i="11" s="1"/>
  <c r="E34" i="11"/>
  <c r="F28" i="47" s="1"/>
  <c r="D17" i="23"/>
  <c r="E17" i="23"/>
  <c r="E60" i="11" s="1"/>
  <c r="E75" i="11"/>
  <c r="F29" i="47" s="1"/>
  <c r="D14" i="23"/>
  <c r="E14" i="23"/>
  <c r="E19" i="10" s="1"/>
  <c r="E34" i="10"/>
  <c r="F26" i="47" s="1"/>
  <c r="D15" i="23"/>
  <c r="E15" i="23"/>
  <c r="E60" i="10" s="1"/>
  <c r="E75" i="10"/>
  <c r="F78" i="10" s="1"/>
  <c r="D13" i="23"/>
  <c r="D12" i="23"/>
  <c r="E34" i="9"/>
  <c r="F24" i="47" s="1"/>
  <c r="D11" i="23"/>
  <c r="E11" i="23"/>
  <c r="E60" i="8" s="1"/>
  <c r="E75" i="8"/>
  <c r="D10" i="23"/>
  <c r="D9" i="23"/>
  <c r="E9" i="23"/>
  <c r="E21" i="7" s="1"/>
  <c r="D7" i="23"/>
  <c r="E7" i="23"/>
  <c r="E19" i="36" s="1"/>
  <c r="E34" i="36"/>
  <c r="F19" i="12" s="1"/>
  <c r="E27" i="17"/>
  <c r="F30" i="47" s="1"/>
  <c r="E27" i="18"/>
  <c r="E57" i="18"/>
  <c r="F33" i="47" s="1"/>
  <c r="D57" i="18"/>
  <c r="D56" i="18" s="1"/>
  <c r="C57" i="18"/>
  <c r="C56" i="18" s="1"/>
  <c r="D27" i="18"/>
  <c r="D32" i="47" s="1"/>
  <c r="C27" i="18"/>
  <c r="B32" i="47" s="1"/>
  <c r="D57" i="17"/>
  <c r="D31" i="47" s="1"/>
  <c r="C57" i="17"/>
  <c r="C56" i="17" s="1"/>
  <c r="D27" i="17"/>
  <c r="D30" i="47" s="1"/>
  <c r="C27" i="17"/>
  <c r="B30" i="47" s="1"/>
  <c r="E15" i="18"/>
  <c r="E14" i="18"/>
  <c r="D15" i="18"/>
  <c r="D14" i="18"/>
  <c r="C15" i="18"/>
  <c r="C16" i="18" s="1"/>
  <c r="C14" i="18"/>
  <c r="E45" i="18"/>
  <c r="E44" i="18"/>
  <c r="D45" i="18"/>
  <c r="D44" i="18"/>
  <c r="C45" i="18"/>
  <c r="C46" i="18"/>
  <c r="C44" i="18"/>
  <c r="E45" i="17"/>
  <c r="E44" i="17" s="1"/>
  <c r="D45" i="17"/>
  <c r="D44" i="17" s="1"/>
  <c r="C45" i="17"/>
  <c r="C44" i="17" s="1"/>
  <c r="E15" i="17"/>
  <c r="E14" i="17"/>
  <c r="D15" i="17"/>
  <c r="D14" i="17" s="1"/>
  <c r="C15" i="17"/>
  <c r="C14" i="17" s="1"/>
  <c r="B16" i="23"/>
  <c r="B15" i="23"/>
  <c r="B14" i="23"/>
  <c r="B13" i="23"/>
  <c r="B12" i="23"/>
  <c r="B11" i="23"/>
  <c r="B10" i="23"/>
  <c r="B9" i="23"/>
  <c r="B7" i="23"/>
  <c r="B6" i="23"/>
  <c r="D25" i="23"/>
  <c r="D27" i="23" s="1"/>
  <c r="F1" i="23"/>
  <c r="D5" i="23" s="1"/>
  <c r="C5" i="23"/>
  <c r="A1" i="23"/>
  <c r="C18" i="23"/>
  <c r="N1" i="4"/>
  <c r="B10" i="4" s="1"/>
  <c r="B21" i="3"/>
  <c r="F43" i="12"/>
  <c r="M5" i="12" s="1"/>
  <c r="A106" i="20"/>
  <c r="A105" i="20"/>
  <c r="A104" i="20"/>
  <c r="A103" i="20"/>
  <c r="A101" i="20"/>
  <c r="A100" i="20"/>
  <c r="A99" i="20"/>
  <c r="A98" i="20"/>
  <c r="A97" i="20"/>
  <c r="A96" i="20"/>
  <c r="A95" i="20"/>
  <c r="A94" i="20"/>
  <c r="A92" i="20"/>
  <c r="A91" i="20"/>
  <c r="A30" i="20"/>
  <c r="A29" i="20"/>
  <c r="A20" i="20"/>
  <c r="A19" i="20"/>
  <c r="A15" i="20"/>
  <c r="A14" i="20"/>
  <c r="A10" i="20"/>
  <c r="B42" i="12"/>
  <c r="E58" i="20"/>
  <c r="D42" i="47" s="1"/>
  <c r="A57" i="20"/>
  <c r="A56" i="20"/>
  <c r="D52" i="20"/>
  <c r="E29" i="12"/>
  <c r="G72" i="11" s="1"/>
  <c r="E28" i="12"/>
  <c r="G30" i="11" s="1"/>
  <c r="E27" i="12"/>
  <c r="G73" i="10" s="1"/>
  <c r="E26" i="12"/>
  <c r="G29" i="10" s="1"/>
  <c r="E25" i="12"/>
  <c r="G70" i="9" s="1"/>
  <c r="E24" i="12"/>
  <c r="G28" i="9" s="1"/>
  <c r="E23" i="12"/>
  <c r="G71" i="8" s="1"/>
  <c r="E22" i="12"/>
  <c r="G29" i="8" s="1"/>
  <c r="E21" i="12"/>
  <c r="G38" i="7" s="1"/>
  <c r="E19" i="12"/>
  <c r="G30" i="36" s="1"/>
  <c r="E18" i="12"/>
  <c r="G45" i="6" s="1"/>
  <c r="A50" i="20"/>
  <c r="A49" i="20"/>
  <c r="A48" i="20"/>
  <c r="A47" i="20"/>
  <c r="A46" i="20"/>
  <c r="A45" i="20"/>
  <c r="A44" i="20"/>
  <c r="A43" i="20"/>
  <c r="A41" i="20"/>
  <c r="A40" i="20"/>
  <c r="F15" i="13"/>
  <c r="F48" i="47" s="1"/>
  <c r="F1" i="21"/>
  <c r="D9" i="21" s="1"/>
  <c r="A2" i="21"/>
  <c r="G1" i="3"/>
  <c r="B60" i="3" s="1"/>
  <c r="A62" i="2"/>
  <c r="D49" i="12"/>
  <c r="D48" i="12"/>
  <c r="B49" i="12"/>
  <c r="B48" i="12"/>
  <c r="D47" i="12"/>
  <c r="B47" i="12"/>
  <c r="E67" i="2"/>
  <c r="D67" i="2"/>
  <c r="A2" i="20"/>
  <c r="A1" i="20"/>
  <c r="A49" i="2"/>
  <c r="A18" i="2"/>
  <c r="F11" i="13"/>
  <c r="L15" i="13"/>
  <c r="K15" i="13"/>
  <c r="J15" i="13"/>
  <c r="I15" i="13"/>
  <c r="L11" i="13"/>
  <c r="K11" i="13"/>
  <c r="J11" i="13"/>
  <c r="I11" i="13"/>
  <c r="I16" i="13" s="1"/>
  <c r="H1" i="12"/>
  <c r="C19" i="12"/>
  <c r="B12" i="4"/>
  <c r="L1" i="13"/>
  <c r="H23" i="13" s="1"/>
  <c r="B51" i="2"/>
  <c r="A3" i="3"/>
  <c r="B32" i="12"/>
  <c r="C35" i="3"/>
  <c r="C34" i="3"/>
  <c r="C33" i="3"/>
  <c r="C32" i="3"/>
  <c r="A32" i="12"/>
  <c r="A31" i="12"/>
  <c r="A30" i="12"/>
  <c r="A35" i="3"/>
  <c r="A34" i="3"/>
  <c r="A33" i="3"/>
  <c r="A32" i="3"/>
  <c r="B1" i="18"/>
  <c r="B1" i="17"/>
  <c r="B35" i="18"/>
  <c r="B5" i="18"/>
  <c r="B35" i="17"/>
  <c r="B5" i="17"/>
  <c r="B30" i="3"/>
  <c r="B29" i="3"/>
  <c r="B28" i="3"/>
  <c r="B27" i="3"/>
  <c r="B26" i="3"/>
  <c r="B25" i="3"/>
  <c r="B24" i="3"/>
  <c r="B23" i="3"/>
  <c r="A30" i="3"/>
  <c r="A29" i="3"/>
  <c r="A28" i="3"/>
  <c r="A27" i="3"/>
  <c r="A26" i="3"/>
  <c r="A25" i="3"/>
  <c r="A24" i="3"/>
  <c r="A23" i="3"/>
  <c r="B20" i="3"/>
  <c r="A20" i="3"/>
  <c r="A5" i="3"/>
  <c r="I36" i="13"/>
  <c r="H36" i="13"/>
  <c r="G36" i="13"/>
  <c r="F49" i="47" s="1"/>
  <c r="B2" i="13"/>
  <c r="B1" i="13"/>
  <c r="B5" i="6"/>
  <c r="B1" i="6"/>
  <c r="D62" i="2"/>
  <c r="B60" i="2"/>
  <c r="B59" i="2"/>
  <c r="B58" i="2"/>
  <c r="B57" i="2"/>
  <c r="B56" i="2"/>
  <c r="B55" i="2"/>
  <c r="B54" i="2"/>
  <c r="B53" i="2"/>
  <c r="B50" i="2"/>
  <c r="B21" i="4"/>
  <c r="B20" i="4"/>
  <c r="B19" i="4"/>
  <c r="B18" i="4"/>
  <c r="B17" i="4"/>
  <c r="B16" i="4"/>
  <c r="B15" i="4"/>
  <c r="B14" i="4"/>
  <c r="B11" i="4"/>
  <c r="B1" i="4"/>
  <c r="B1" i="7"/>
  <c r="B5" i="7"/>
  <c r="A28" i="12"/>
  <c r="A27" i="12"/>
  <c r="A26" i="12"/>
  <c r="A25" i="12"/>
  <c r="A24" i="12"/>
  <c r="A23" i="12"/>
  <c r="A22" i="12"/>
  <c r="A21" i="12"/>
  <c r="C29" i="12"/>
  <c r="C28" i="12"/>
  <c r="C27" i="12"/>
  <c r="C26" i="12"/>
  <c r="C25" i="12"/>
  <c r="C24" i="12"/>
  <c r="C23" i="12"/>
  <c r="C22" i="12"/>
  <c r="C21" i="12"/>
  <c r="C18" i="12"/>
  <c r="B41" i="12"/>
  <c r="A18" i="12"/>
  <c r="A6" i="12"/>
  <c r="A5" i="12"/>
  <c r="B1" i="8"/>
  <c r="B46" i="8"/>
  <c r="B5" i="8"/>
  <c r="B46" i="9"/>
  <c r="B5" i="9"/>
  <c r="B1" i="9"/>
  <c r="B46" i="10"/>
  <c r="B5" i="10"/>
  <c r="B1" i="10"/>
  <c r="B5" i="11"/>
  <c r="B1" i="11"/>
  <c r="C26" i="18"/>
  <c r="J21" i="7"/>
  <c r="J13" i="11"/>
  <c r="J14" i="11"/>
  <c r="J15" i="11"/>
  <c r="J57" i="10"/>
  <c r="J58" i="10"/>
  <c r="J56" i="10"/>
  <c r="J12" i="9"/>
  <c r="J13" i="9"/>
  <c r="J11" i="9"/>
  <c r="J12" i="8"/>
  <c r="J13" i="8"/>
  <c r="J14" i="8"/>
  <c r="J55" i="8"/>
  <c r="J56" i="8"/>
  <c r="J54" i="8"/>
  <c r="J55" i="36"/>
  <c r="J56" i="36"/>
  <c r="J57" i="36"/>
  <c r="J13" i="10"/>
  <c r="J14" i="10"/>
  <c r="J12" i="10"/>
  <c r="J54" i="9"/>
  <c r="J55" i="9"/>
  <c r="J53" i="9"/>
  <c r="J56" i="11"/>
  <c r="J57" i="11"/>
  <c r="J55" i="11"/>
  <c r="J29" i="6"/>
  <c r="J30" i="6"/>
  <c r="J28" i="6"/>
  <c r="J14" i="36"/>
  <c r="J15" i="36"/>
  <c r="J13" i="36"/>
  <c r="J22" i="7"/>
  <c r="J23" i="7"/>
  <c r="F33" i="12"/>
  <c r="C62" i="9"/>
  <c r="E34" i="8"/>
  <c r="F22" i="47" s="1"/>
  <c r="B3" i="23"/>
  <c r="C46" i="17"/>
  <c r="G8" i="9"/>
  <c r="H64" i="9"/>
  <c r="C21" i="9"/>
  <c r="C23" i="7"/>
  <c r="C62" i="36"/>
  <c r="C33" i="8"/>
  <c r="B18" i="25"/>
  <c r="B22" i="12"/>
  <c r="F48" i="12"/>
  <c r="F22" i="12"/>
  <c r="D60" i="17"/>
  <c r="D31" i="12"/>
  <c r="B29" i="25"/>
  <c r="B84" i="35"/>
  <c r="D41" i="12"/>
  <c r="G29" i="6"/>
  <c r="H36" i="6"/>
  <c r="F37" i="36"/>
  <c r="H18" i="25"/>
  <c r="B78" i="35"/>
  <c r="B91" i="35"/>
  <c r="B46" i="35"/>
  <c r="G67" i="10"/>
  <c r="B27" i="12"/>
  <c r="H68" i="10"/>
  <c r="D22" i="12"/>
  <c r="E12" i="3" l="1"/>
  <c r="A8" i="3"/>
  <c r="A9" i="3"/>
  <c r="D11" i="3"/>
  <c r="G39" i="6"/>
  <c r="C63" i="7"/>
  <c r="C65" i="7" s="1"/>
  <c r="A12" i="20"/>
  <c r="A17" i="20"/>
  <c r="A31" i="20"/>
  <c r="A26" i="20"/>
  <c r="B29" i="17"/>
  <c r="A31" i="23"/>
  <c r="B89" i="20"/>
  <c r="A60" i="20"/>
  <c r="I6" i="13"/>
  <c r="B89" i="35"/>
  <c r="G25" i="7"/>
  <c r="C82" i="8"/>
  <c r="H27" i="7"/>
  <c r="D35" i="3"/>
  <c r="E59" i="18"/>
  <c r="E56" i="18"/>
  <c r="B33" i="12"/>
  <c r="D26" i="18"/>
  <c r="D32" i="12"/>
  <c r="C28" i="18"/>
  <c r="C31" i="18" s="1"/>
  <c r="D56" i="17"/>
  <c r="C58" i="17"/>
  <c r="C63" i="17" s="1"/>
  <c r="C16" i="17"/>
  <c r="C28" i="17" s="1"/>
  <c r="E26" i="17"/>
  <c r="F30" i="12"/>
  <c r="E29" i="17"/>
  <c r="D30" i="12"/>
  <c r="D33" i="10"/>
  <c r="C76" i="9"/>
  <c r="D47" i="9" s="1"/>
  <c r="D64" i="9" s="1"/>
  <c r="D76" i="9" s="1"/>
  <c r="E79" i="36"/>
  <c r="E77" i="36"/>
  <c r="C33" i="36"/>
  <c r="D19" i="12"/>
  <c r="B19" i="12"/>
  <c r="C48" i="6"/>
  <c r="E53" i="6"/>
  <c r="F53" i="6"/>
  <c r="D75" i="6"/>
  <c r="C75" i="6"/>
  <c r="A88" i="20"/>
  <c r="I23" i="13"/>
  <c r="G12" i="9"/>
  <c r="B24" i="17"/>
  <c r="B36" i="9"/>
  <c r="H19" i="36"/>
  <c r="A11" i="20"/>
  <c r="D9" i="4"/>
  <c r="H20" i="9"/>
  <c r="D5" i="36"/>
  <c r="E5" i="23"/>
  <c r="H65" i="9"/>
  <c r="B59" i="18"/>
  <c r="C89" i="20"/>
  <c r="A38" i="20"/>
  <c r="A27" i="20"/>
  <c r="K6" i="13"/>
  <c r="C46" i="36"/>
  <c r="A33" i="20"/>
  <c r="G50" i="9"/>
  <c r="A21" i="20"/>
  <c r="A6" i="20"/>
  <c r="H17" i="9"/>
  <c r="H22" i="9"/>
  <c r="G13" i="8"/>
  <c r="A16" i="20"/>
  <c r="B5" i="23"/>
  <c r="A58" i="20"/>
  <c r="E5" i="36"/>
  <c r="H19" i="9"/>
  <c r="H25" i="36"/>
  <c r="E46" i="36"/>
  <c r="B59" i="17"/>
  <c r="C82" i="9"/>
  <c r="G10" i="36"/>
  <c r="A32" i="20"/>
  <c r="C9" i="4"/>
  <c r="G54" i="9"/>
  <c r="A7" i="20"/>
  <c r="A54" i="20"/>
  <c r="G57" i="9"/>
  <c r="H60" i="9"/>
  <c r="E5" i="6"/>
  <c r="E5" i="7" s="1"/>
  <c r="F47" i="12"/>
  <c r="F47" i="47"/>
  <c r="F50" i="47" s="1"/>
  <c r="D26" i="12"/>
  <c r="H39" i="6"/>
  <c r="B39" i="12"/>
  <c r="F49" i="12"/>
  <c r="J16" i="13"/>
  <c r="C58" i="18"/>
  <c r="C63" i="18" s="1"/>
  <c r="D39" i="12"/>
  <c r="D60" i="18"/>
  <c r="D33" i="47"/>
  <c r="C9" i="21"/>
  <c r="E9" i="21"/>
  <c r="A29" i="21" s="1"/>
  <c r="H64" i="10"/>
  <c r="B23" i="12"/>
  <c r="B51" i="6"/>
  <c r="D32" i="3"/>
  <c r="C53" i="7"/>
  <c r="K16" i="13"/>
  <c r="B31" i="12"/>
  <c r="B31" i="47"/>
  <c r="F32" i="12"/>
  <c r="F32" i="47"/>
  <c r="F14" i="12"/>
  <c r="G32" i="6"/>
  <c r="L16" i="13"/>
  <c r="F39" i="12"/>
  <c r="F39" i="47"/>
  <c r="H67" i="10"/>
  <c r="H29" i="25"/>
  <c r="H30" i="25" s="1"/>
  <c r="C56" i="6"/>
  <c r="A21" i="23"/>
  <c r="E79" i="11"/>
  <c r="C26" i="17"/>
  <c r="G23" i="13"/>
  <c r="F7" i="13"/>
  <c r="D48" i="6"/>
  <c r="K28" i="25"/>
  <c r="H18" i="10"/>
  <c r="C82" i="10"/>
  <c r="H34" i="6"/>
  <c r="H37" i="6"/>
  <c r="H20" i="10"/>
  <c r="G25" i="6"/>
  <c r="H35" i="6"/>
  <c r="D30" i="17"/>
  <c r="D26" i="17"/>
  <c r="C60" i="18"/>
  <c r="B33" i="47"/>
  <c r="K17" i="25"/>
  <c r="D100" i="36"/>
  <c r="E36" i="9"/>
  <c r="E38" i="36"/>
  <c r="E36" i="36"/>
  <c r="D20" i="3"/>
  <c r="F18" i="12"/>
  <c r="M30" i="12"/>
  <c r="G46" i="6" s="1"/>
  <c r="G73" i="11"/>
  <c r="G31" i="11"/>
  <c r="D21" i="23"/>
  <c r="D23" i="23" s="1"/>
  <c r="C33" i="11"/>
  <c r="B29" i="12"/>
  <c r="D33" i="11"/>
  <c r="D92" i="10"/>
  <c r="E38" i="10"/>
  <c r="F37" i="10"/>
  <c r="B26" i="12"/>
  <c r="D28" i="3"/>
  <c r="F26" i="12"/>
  <c r="D74" i="9"/>
  <c r="G15" i="9"/>
  <c r="H61" i="9"/>
  <c r="B77" i="9"/>
  <c r="C41" i="9"/>
  <c r="H23" i="9"/>
  <c r="H59" i="9"/>
  <c r="H62" i="9"/>
  <c r="H18" i="9"/>
  <c r="C35" i="9"/>
  <c r="D6" i="9" s="1"/>
  <c r="D23" i="9" s="1"/>
  <c r="D35" i="9" s="1"/>
  <c r="C33" i="9"/>
  <c r="D26" i="3"/>
  <c r="B24" i="12"/>
  <c r="H74" i="9"/>
  <c r="H73" i="9"/>
  <c r="H69" i="9"/>
  <c r="H70" i="9"/>
  <c r="H27" i="9"/>
  <c r="H32" i="9"/>
  <c r="H31" i="9"/>
  <c r="H28" i="9"/>
  <c r="C76" i="8"/>
  <c r="D47" i="8" s="1"/>
  <c r="D64" i="8" s="1"/>
  <c r="D76" i="8" s="1"/>
  <c r="C94" i="8"/>
  <c r="G65" i="8"/>
  <c r="C62" i="8"/>
  <c r="H33" i="7"/>
  <c r="G22" i="7"/>
  <c r="H29" i="7"/>
  <c r="C50" i="7"/>
  <c r="B45" i="7"/>
  <c r="H32" i="7"/>
  <c r="H42" i="7"/>
  <c r="H38" i="7"/>
  <c r="H37" i="7"/>
  <c r="H41" i="7"/>
  <c r="H28" i="7"/>
  <c r="H30" i="7"/>
  <c r="D22" i="3"/>
  <c r="C98" i="36"/>
  <c r="B38" i="36" s="1"/>
  <c r="F20" i="12"/>
  <c r="E74" i="36"/>
  <c r="D74" i="36"/>
  <c r="E22" i="35"/>
  <c r="F78" i="36"/>
  <c r="G24" i="36"/>
  <c r="G17" i="36"/>
  <c r="H30" i="36"/>
  <c r="H29" i="36"/>
  <c r="H34" i="36"/>
  <c r="H33" i="36"/>
  <c r="C23" i="36"/>
  <c r="C35" i="36" s="1"/>
  <c r="D6" i="36" s="1"/>
  <c r="D23" i="36" s="1"/>
  <c r="D35" i="36" s="1"/>
  <c r="D5" i="18"/>
  <c r="D35" i="18" s="1"/>
  <c r="D5" i="7"/>
  <c r="D5" i="10"/>
  <c r="D46" i="10" s="1"/>
  <c r="D5" i="9"/>
  <c r="D46" i="9" s="1"/>
  <c r="D5" i="17"/>
  <c r="D35" i="17" s="1"/>
  <c r="D5" i="8"/>
  <c r="D46" i="8" s="1"/>
  <c r="H40" i="6"/>
  <c r="H45" i="6"/>
  <c r="H44" i="6"/>
  <c r="H49" i="6"/>
  <c r="H48" i="6"/>
  <c r="C5" i="6"/>
  <c r="C5" i="8" s="1"/>
  <c r="C46" i="8" s="1"/>
  <c r="J28" i="12"/>
  <c r="J33" i="12"/>
  <c r="E36" i="11"/>
  <c r="D30" i="3"/>
  <c r="E33" i="11"/>
  <c r="F28" i="12"/>
  <c r="E38" i="11"/>
  <c r="E36" i="10"/>
  <c r="E33" i="10"/>
  <c r="D24" i="3"/>
  <c r="F37" i="8"/>
  <c r="E33" i="8"/>
  <c r="E38" i="8"/>
  <c r="E36" i="8"/>
  <c r="D42" i="12"/>
  <c r="E27" i="35" s="1"/>
  <c r="C23" i="4"/>
  <c r="E29" i="35"/>
  <c r="G72" i="36"/>
  <c r="M29" i="12"/>
  <c r="G30" i="8"/>
  <c r="G29" i="9"/>
  <c r="F42" i="12"/>
  <c r="M4" i="12" s="1"/>
  <c r="M5" i="47"/>
  <c r="M21" i="47"/>
  <c r="M22" i="47" s="1"/>
  <c r="C64" i="11"/>
  <c r="C76" i="11" s="1"/>
  <c r="C96" i="11" s="1"/>
  <c r="E77" i="11"/>
  <c r="D28" i="12"/>
  <c r="F78" i="11"/>
  <c r="F29" i="12"/>
  <c r="C23" i="11"/>
  <c r="C35" i="11" s="1"/>
  <c r="C94" i="11" s="1"/>
  <c r="E74" i="11"/>
  <c r="D31" i="3"/>
  <c r="D93" i="11"/>
  <c r="C95" i="11"/>
  <c r="C74" i="11"/>
  <c r="G66" i="11"/>
  <c r="F37" i="11"/>
  <c r="C93" i="11"/>
  <c r="B28" i="47"/>
  <c r="G52" i="11"/>
  <c r="H76" i="11"/>
  <c r="H75" i="11"/>
  <c r="H72" i="11"/>
  <c r="H71" i="11"/>
  <c r="H34" i="11"/>
  <c r="H33" i="11"/>
  <c r="H30" i="11"/>
  <c r="H29" i="11"/>
  <c r="C23" i="10"/>
  <c r="C35" i="10" s="1"/>
  <c r="D6" i="10" s="1"/>
  <c r="D23" i="10" s="1"/>
  <c r="D35" i="10" s="1"/>
  <c r="G18" i="10" s="1"/>
  <c r="C74" i="10"/>
  <c r="C92" i="10"/>
  <c r="H62" i="10"/>
  <c r="H77" i="10"/>
  <c r="H76" i="10"/>
  <c r="H73" i="10"/>
  <c r="H72" i="10"/>
  <c r="H33" i="10"/>
  <c r="H32" i="10"/>
  <c r="H28" i="10"/>
  <c r="H29" i="10"/>
  <c r="E79" i="10"/>
  <c r="G57" i="10"/>
  <c r="G60" i="10"/>
  <c r="B77" i="10"/>
  <c r="F27" i="12"/>
  <c r="E77" i="10"/>
  <c r="D74" i="10"/>
  <c r="D29" i="3"/>
  <c r="C94" i="10"/>
  <c r="H21" i="10"/>
  <c r="H19" i="10"/>
  <c r="H23" i="10"/>
  <c r="G13" i="10"/>
  <c r="C33" i="10"/>
  <c r="B26" i="47"/>
  <c r="G16" i="10"/>
  <c r="H63" i="10"/>
  <c r="H24" i="10"/>
  <c r="H65" i="10"/>
  <c r="G9" i="10"/>
  <c r="G53" i="10"/>
  <c r="B36" i="10"/>
  <c r="E74" i="10"/>
  <c r="F27" i="47"/>
  <c r="D94" i="10"/>
  <c r="D27" i="47"/>
  <c r="E74" i="9"/>
  <c r="F25" i="47"/>
  <c r="F78" i="9"/>
  <c r="F25" i="12"/>
  <c r="E79" i="9"/>
  <c r="G22" i="9"/>
  <c r="C92" i="9"/>
  <c r="E77" i="9"/>
  <c r="D24" i="12"/>
  <c r="D24" i="47"/>
  <c r="F24" i="12"/>
  <c r="E33" i="9"/>
  <c r="D94" i="9"/>
  <c r="D25" i="47"/>
  <c r="D92" i="9"/>
  <c r="F37" i="9"/>
  <c r="D27" i="3"/>
  <c r="E38" i="9"/>
  <c r="C95" i="8"/>
  <c r="H65" i="8"/>
  <c r="E79" i="8"/>
  <c r="F23" i="47"/>
  <c r="C41" i="8"/>
  <c r="H18" i="8"/>
  <c r="H62" i="8"/>
  <c r="H23" i="8"/>
  <c r="C92" i="8"/>
  <c r="B38" i="8" s="1"/>
  <c r="C74" i="8"/>
  <c r="H20" i="8"/>
  <c r="G58" i="8"/>
  <c r="H66" i="8"/>
  <c r="G23" i="8"/>
  <c r="E74" i="8"/>
  <c r="H74" i="8"/>
  <c r="H33" i="8"/>
  <c r="H28" i="8"/>
  <c r="H71" i="8"/>
  <c r="H70" i="8"/>
  <c r="H75" i="8"/>
  <c r="H32" i="8"/>
  <c r="H29" i="8"/>
  <c r="B36" i="8"/>
  <c r="G55" i="8"/>
  <c r="G51" i="8"/>
  <c r="F23" i="12"/>
  <c r="F78" i="8"/>
  <c r="B77" i="8"/>
  <c r="H60" i="8"/>
  <c r="H61" i="8"/>
  <c r="G16" i="8"/>
  <c r="H21" i="8"/>
  <c r="H24" i="8"/>
  <c r="C23" i="8"/>
  <c r="C35" i="8" s="1"/>
  <c r="D6" i="8" s="1"/>
  <c r="D23" i="8" s="1"/>
  <c r="D35" i="8" s="1"/>
  <c r="E77" i="8"/>
  <c r="D33" i="8"/>
  <c r="D22" i="47"/>
  <c r="H63" i="8"/>
  <c r="G9" i="8"/>
  <c r="D25" i="3"/>
  <c r="F21" i="12"/>
  <c r="D23" i="3"/>
  <c r="F21" i="47"/>
  <c r="F46" i="7"/>
  <c r="E42" i="7"/>
  <c r="D20" i="12"/>
  <c r="D20" i="47"/>
  <c r="C100" i="36"/>
  <c r="D63" i="36"/>
  <c r="D62" i="36" s="1"/>
  <c r="D33" i="36"/>
  <c r="D19" i="47"/>
  <c r="B20" i="12"/>
  <c r="B20" i="47"/>
  <c r="G66" i="36"/>
  <c r="E33" i="36"/>
  <c r="F19" i="47"/>
  <c r="C76" i="36"/>
  <c r="B18" i="12"/>
  <c r="D18" i="12"/>
  <c r="C27" i="6"/>
  <c r="C46" i="6" s="1"/>
  <c r="E48" i="6"/>
  <c r="F18" i="47"/>
  <c r="E5" i="11"/>
  <c r="E46" i="11" s="1"/>
  <c r="E5" i="17"/>
  <c r="E35" i="17" s="1"/>
  <c r="M19" i="12"/>
  <c r="F46" i="12"/>
  <c r="D14" i="12"/>
  <c r="E36" i="12"/>
  <c r="D50" i="12"/>
  <c r="C36" i="12"/>
  <c r="H61" i="36"/>
  <c r="H67" i="36"/>
  <c r="H24" i="36"/>
  <c r="G59" i="36"/>
  <c r="G56" i="36"/>
  <c r="H64" i="36"/>
  <c r="G14" i="11"/>
  <c r="C82" i="36"/>
  <c r="H22" i="36"/>
  <c r="H62" i="36"/>
  <c r="C5" i="36"/>
  <c r="H21" i="36"/>
  <c r="B36" i="36"/>
  <c r="B77" i="36"/>
  <c r="H63" i="36"/>
  <c r="G52" i="36"/>
  <c r="G14" i="36"/>
  <c r="C41" i="36"/>
  <c r="H20" i="36"/>
  <c r="H66" i="36"/>
  <c r="D36" i="17"/>
  <c r="D46" i="17" s="1"/>
  <c r="D58" i="17" s="1"/>
  <c r="D74" i="8"/>
  <c r="D23" i="12"/>
  <c r="D94" i="8"/>
  <c r="B30" i="12"/>
  <c r="C30" i="17"/>
  <c r="E56" i="17"/>
  <c r="E59" i="17"/>
  <c r="D33" i="3"/>
  <c r="F31" i="12"/>
  <c r="B36" i="11"/>
  <c r="H63" i="11"/>
  <c r="G56" i="11"/>
  <c r="H62" i="11"/>
  <c r="G17" i="11"/>
  <c r="C82" i="11"/>
  <c r="H22" i="11"/>
  <c r="H67" i="11"/>
  <c r="B77" i="11"/>
  <c r="H64" i="11"/>
  <c r="H19" i="11"/>
  <c r="G10" i="11"/>
  <c r="H21" i="11"/>
  <c r="H24" i="11"/>
  <c r="H20" i="11"/>
  <c r="C41" i="11"/>
  <c r="H25" i="11"/>
  <c r="H61" i="11"/>
  <c r="G59" i="11"/>
  <c r="D74" i="11"/>
  <c r="D29" i="12"/>
  <c r="D95" i="11"/>
  <c r="B30" i="25"/>
  <c r="D30" i="18"/>
  <c r="C74" i="9"/>
  <c r="G64" i="9"/>
  <c r="B25" i="12"/>
  <c r="C94" i="9"/>
  <c r="D29" i="25"/>
  <c r="D30" i="25" s="1"/>
  <c r="K18" i="25"/>
  <c r="D44" i="6"/>
  <c r="D26" i="6"/>
  <c r="J9" i="12"/>
  <c r="A11" i="12"/>
  <c r="J2" i="12"/>
  <c r="J16" i="12"/>
  <c r="J19" i="12"/>
  <c r="J21" i="12"/>
  <c r="J17" i="12"/>
  <c r="D46" i="12"/>
  <c r="J7" i="12"/>
  <c r="G15" i="12"/>
  <c r="J14" i="12"/>
  <c r="B14" i="12"/>
  <c r="J37" i="12"/>
  <c r="B46" i="12"/>
  <c r="J20" i="12"/>
  <c r="J18" i="12"/>
  <c r="A12" i="12"/>
  <c r="J10" i="12"/>
  <c r="B50" i="12"/>
  <c r="E23" i="6"/>
  <c r="E18" i="23"/>
  <c r="C24" i="4"/>
  <c r="E20" i="4" s="1"/>
  <c r="F50" i="12"/>
  <c r="D18" i="23"/>
  <c r="C64" i="10"/>
  <c r="C76" i="10" s="1"/>
  <c r="C62" i="10"/>
  <c r="D62" i="9"/>
  <c r="K30" i="25"/>
  <c r="J29" i="25"/>
  <c r="J30" i="25" s="1"/>
  <c r="E26" i="18"/>
  <c r="E29" i="18"/>
  <c r="D34" i="3"/>
  <c r="D57" i="7"/>
  <c r="C40" i="7"/>
  <c r="C43" i="7" s="1"/>
  <c r="B21" i="47" s="1"/>
  <c r="D62" i="8"/>
  <c r="D5" i="11"/>
  <c r="D46" i="11" s="1"/>
  <c r="F16" i="13"/>
  <c r="D21" i="3"/>
  <c r="E45" i="7"/>
  <c r="C60" i="17"/>
  <c r="G24" i="11"/>
  <c r="D33" i="12"/>
  <c r="E5" i="8" l="1"/>
  <c r="E46" i="8" s="1"/>
  <c r="C50" i="6"/>
  <c r="E5" i="9"/>
  <c r="E46" i="9" s="1"/>
  <c r="B79" i="8"/>
  <c r="E5" i="18"/>
  <c r="E35" i="18" s="1"/>
  <c r="D36" i="18"/>
  <c r="D46" i="18" s="1"/>
  <c r="D58" i="18" s="1"/>
  <c r="E36" i="18" s="1"/>
  <c r="E46" i="18" s="1"/>
  <c r="E58" i="18" s="1"/>
  <c r="E60" i="18" s="1"/>
  <c r="D6" i="18"/>
  <c r="D16" i="18" s="1"/>
  <c r="D28" i="18" s="1"/>
  <c r="E6" i="18" s="1"/>
  <c r="E16" i="18" s="1"/>
  <c r="E28" i="18" s="1"/>
  <c r="E30" i="18" s="1"/>
  <c r="C93" i="10"/>
  <c r="C95" i="9"/>
  <c r="B79" i="36"/>
  <c r="C99" i="36"/>
  <c r="B53" i="6"/>
  <c r="E5" i="10"/>
  <c r="E46" i="10" s="1"/>
  <c r="B34" i="12"/>
  <c r="B34" i="47"/>
  <c r="D6" i="11"/>
  <c r="D23" i="11" s="1"/>
  <c r="D35" i="11" s="1"/>
  <c r="E6" i="11" s="1"/>
  <c r="B38" i="10"/>
  <c r="C93" i="9"/>
  <c r="C93" i="8"/>
  <c r="C5" i="17"/>
  <c r="C35" i="17" s="1"/>
  <c r="C5" i="9"/>
  <c r="C46" i="9" s="1"/>
  <c r="C5" i="10"/>
  <c r="C46" i="10" s="1"/>
  <c r="C5" i="11"/>
  <c r="C46" i="11" s="1"/>
  <c r="C5" i="7"/>
  <c r="C5" i="18"/>
  <c r="C35" i="18" s="1"/>
  <c r="M20" i="12"/>
  <c r="M21" i="12" s="1"/>
  <c r="G21" i="4"/>
  <c r="G27" i="35"/>
  <c r="E28" i="35" s="1"/>
  <c r="I21" i="4"/>
  <c r="E22" i="4"/>
  <c r="M22" i="4"/>
  <c r="K22" i="4"/>
  <c r="G22" i="4"/>
  <c r="I22" i="4"/>
  <c r="H12" i="4"/>
  <c r="L22" i="4"/>
  <c r="D22" i="4"/>
  <c r="H22" i="4"/>
  <c r="F22" i="4"/>
  <c r="J22" i="4"/>
  <c r="E54" i="11" s="1"/>
  <c r="D21" i="4"/>
  <c r="E21" i="4"/>
  <c r="D11" i="4"/>
  <c r="M21" i="4"/>
  <c r="K21" i="4"/>
  <c r="H16" i="4"/>
  <c r="E53" i="8" s="1"/>
  <c r="L21" i="4"/>
  <c r="H21" i="4"/>
  <c r="J21" i="4"/>
  <c r="D13" i="4"/>
  <c r="F21" i="4"/>
  <c r="E11" i="11" s="1"/>
  <c r="M20" i="4"/>
  <c r="K20" i="4"/>
  <c r="G20" i="4"/>
  <c r="I20" i="4"/>
  <c r="F12" i="4"/>
  <c r="D15" i="4"/>
  <c r="E10" i="8" s="1"/>
  <c r="F20" i="4"/>
  <c r="L20" i="4"/>
  <c r="D20" i="4"/>
  <c r="E51" i="10" s="1"/>
  <c r="H20" i="4"/>
  <c r="J20" i="4"/>
  <c r="E54" i="10" s="1"/>
  <c r="H14" i="4"/>
  <c r="E12" i="7" s="1"/>
  <c r="F19" i="4"/>
  <c r="K19" i="4"/>
  <c r="M19" i="4"/>
  <c r="G19" i="4"/>
  <c r="I19" i="4"/>
  <c r="E19" i="4"/>
  <c r="J19" i="4"/>
  <c r="H19" i="4"/>
  <c r="D19" i="4"/>
  <c r="L19" i="4"/>
  <c r="K13" i="4"/>
  <c r="G18" i="4"/>
  <c r="E18" i="4"/>
  <c r="M18" i="4"/>
  <c r="I18" i="4"/>
  <c r="K18" i="4"/>
  <c r="L16" i="4"/>
  <c r="E55" i="8" s="1"/>
  <c r="F18" i="4"/>
  <c r="J18" i="4"/>
  <c r="H18" i="4"/>
  <c r="D18" i="4"/>
  <c r="E51" i="9" s="1"/>
  <c r="L18" i="4"/>
  <c r="F16" i="4"/>
  <c r="E52" i="8" s="1"/>
  <c r="H17" i="4"/>
  <c r="E12" i="9" s="1"/>
  <c r="L14" i="4"/>
  <c r="E14" i="7" s="1"/>
  <c r="F11" i="4"/>
  <c r="D12" i="4"/>
  <c r="J12" i="4"/>
  <c r="J16" i="4"/>
  <c r="E54" i="8" s="1"/>
  <c r="J14" i="4"/>
  <c r="E13" i="7" s="1"/>
  <c r="D14" i="4"/>
  <c r="E10" i="7" s="1"/>
  <c r="L12" i="4"/>
  <c r="H15" i="4"/>
  <c r="E12" i="8" s="1"/>
  <c r="H11" i="4"/>
  <c r="D17" i="4"/>
  <c r="E10" i="9" s="1"/>
  <c r="L13" i="4"/>
  <c r="D16" i="4"/>
  <c r="E51" i="8" s="1"/>
  <c r="F14" i="4"/>
  <c r="E11" i="7" s="1"/>
  <c r="L11" i="4"/>
  <c r="J13" i="4"/>
  <c r="F15" i="4"/>
  <c r="E11" i="8" s="1"/>
  <c r="L17" i="4"/>
  <c r="E14" i="9" s="1"/>
  <c r="F13" i="4"/>
  <c r="J15" i="4"/>
  <c r="E13" i="8" s="1"/>
  <c r="F17" i="4"/>
  <c r="E11" i="9" s="1"/>
  <c r="J11" i="4"/>
  <c r="H13" i="4"/>
  <c r="L15" i="4"/>
  <c r="E14" i="8" s="1"/>
  <c r="J17" i="4"/>
  <c r="E13" i="9" s="1"/>
  <c r="E13" i="4"/>
  <c r="I13" i="4"/>
  <c r="G13" i="4"/>
  <c r="M13" i="4"/>
  <c r="K11" i="4"/>
  <c r="M12" i="4"/>
  <c r="E12" i="4"/>
  <c r="G12" i="4"/>
  <c r="I12" i="4"/>
  <c r="K12" i="4"/>
  <c r="G11" i="4"/>
  <c r="G76" i="11"/>
  <c r="G34" i="11"/>
  <c r="E11" i="4"/>
  <c r="M11" i="4"/>
  <c r="I11" i="4"/>
  <c r="B38" i="11"/>
  <c r="D47" i="11"/>
  <c r="D64" i="11" s="1"/>
  <c r="D76" i="11" s="1"/>
  <c r="E47" i="11" s="1"/>
  <c r="B79" i="11"/>
  <c r="G77" i="10"/>
  <c r="G74" i="9"/>
  <c r="G33" i="10"/>
  <c r="G32" i="9"/>
  <c r="E6" i="10"/>
  <c r="D93" i="10"/>
  <c r="B79" i="10"/>
  <c r="B36" i="47"/>
  <c r="B40" i="47" s="1"/>
  <c r="F36" i="12"/>
  <c r="F40" i="12" s="1"/>
  <c r="B79" i="9"/>
  <c r="B38" i="9"/>
  <c r="G42" i="7"/>
  <c r="G75" i="8"/>
  <c r="G33" i="8"/>
  <c r="D38" i="3"/>
  <c r="G34" i="36"/>
  <c r="G76" i="36"/>
  <c r="D47" i="36"/>
  <c r="D64" i="36" s="1"/>
  <c r="D76" i="36" s="1"/>
  <c r="C101" i="36"/>
  <c r="G49" i="6"/>
  <c r="F36" i="47"/>
  <c r="F40" i="47" s="1"/>
  <c r="M9" i="12"/>
  <c r="D6" i="17"/>
  <c r="D16" i="17" s="1"/>
  <c r="D28" i="17" s="1"/>
  <c r="E6" i="17" s="1"/>
  <c r="E16" i="17" s="1"/>
  <c r="E28" i="17" s="1"/>
  <c r="E30" i="17" s="1"/>
  <c r="C31" i="17"/>
  <c r="K29" i="25"/>
  <c r="G18" i="8"/>
  <c r="E6" i="8"/>
  <c r="D93" i="8"/>
  <c r="B39" i="8" s="1"/>
  <c r="G60" i="8"/>
  <c r="E47" i="8"/>
  <c r="D95" i="8"/>
  <c r="B80" i="8" s="1"/>
  <c r="G32" i="7"/>
  <c r="B21" i="12"/>
  <c r="B36" i="12" s="1"/>
  <c r="B40" i="12" s="1"/>
  <c r="C42" i="7"/>
  <c r="C44" i="7"/>
  <c r="C76" i="7"/>
  <c r="D25" i="6"/>
  <c r="C76" i="6"/>
  <c r="D6" i="6"/>
  <c r="D27" i="6" s="1"/>
  <c r="E6" i="36"/>
  <c r="G19" i="36"/>
  <c r="D99" i="36"/>
  <c r="B39" i="36" s="1"/>
  <c r="G59" i="9"/>
  <c r="E47" i="9"/>
  <c r="D95" i="9"/>
  <c r="G17" i="9"/>
  <c r="E6" i="9"/>
  <c r="D93" i="9"/>
  <c r="B39" i="9" s="1"/>
  <c r="C95" i="10"/>
  <c r="D47" i="10"/>
  <c r="D64" i="10" s="1"/>
  <c r="D76" i="10" s="1"/>
  <c r="D63" i="17"/>
  <c r="E36" i="17"/>
  <c r="E46" i="17" s="1"/>
  <c r="E58" i="17" s="1"/>
  <c r="E60" i="17" s="1"/>
  <c r="E12" i="11" l="1"/>
  <c r="D63" i="18"/>
  <c r="G19" i="11"/>
  <c r="B39" i="10"/>
  <c r="B80" i="9"/>
  <c r="G61" i="11"/>
  <c r="D94" i="11"/>
  <c r="B39" i="11" s="1"/>
  <c r="E10" i="11"/>
  <c r="E12" i="36"/>
  <c r="E52" i="11"/>
  <c r="E53" i="11"/>
  <c r="E13" i="11"/>
  <c r="E14" i="11"/>
  <c r="E55" i="11"/>
  <c r="E55" i="9"/>
  <c r="E51" i="11"/>
  <c r="E52" i="10"/>
  <c r="E10" i="36"/>
  <c r="E10" i="10"/>
  <c r="E14" i="6"/>
  <c r="E51" i="36"/>
  <c r="G17" i="35" s="1"/>
  <c r="E54" i="36"/>
  <c r="E11" i="10"/>
  <c r="E53" i="10"/>
  <c r="E11" i="36"/>
  <c r="E55" i="10"/>
  <c r="H23" i="4"/>
  <c r="F23" i="4"/>
  <c r="E52" i="9"/>
  <c r="E14" i="10"/>
  <c r="E52" i="36"/>
  <c r="G18" i="35" s="1"/>
  <c r="E14" i="36"/>
  <c r="E12" i="10"/>
  <c r="E55" i="36"/>
  <c r="E13" i="10"/>
  <c r="D23" i="4"/>
  <c r="K24" i="4"/>
  <c r="L23" i="4"/>
  <c r="J23" i="4"/>
  <c r="E53" i="9"/>
  <c r="E54" i="9"/>
  <c r="E53" i="36"/>
  <c r="G19" i="35" s="1"/>
  <c r="E63" i="8"/>
  <c r="G61" i="8" s="1"/>
  <c r="E11" i="6"/>
  <c r="E22" i="9"/>
  <c r="G18" i="9" s="1"/>
  <c r="E12" i="6"/>
  <c r="E13" i="36"/>
  <c r="E22" i="8"/>
  <c r="G19" i="8" s="1"/>
  <c r="E13" i="6"/>
  <c r="M24" i="4"/>
  <c r="E24" i="4"/>
  <c r="G24" i="4"/>
  <c r="E10" i="6"/>
  <c r="I24" i="4"/>
  <c r="D96" i="11"/>
  <c r="B80" i="11" s="1"/>
  <c r="E47" i="36"/>
  <c r="D101" i="36"/>
  <c r="B80" i="36" s="1"/>
  <c r="G61" i="36"/>
  <c r="D50" i="6"/>
  <c r="D46" i="6"/>
  <c r="C77" i="7"/>
  <c r="D6" i="7"/>
  <c r="D25" i="7" s="1"/>
  <c r="E24" i="7"/>
  <c r="E47" i="10"/>
  <c r="G62" i="10"/>
  <c r="D95" i="10"/>
  <c r="B80" i="10" s="1"/>
  <c r="E22" i="11" l="1"/>
  <c r="G20" i="11" s="1"/>
  <c r="E63" i="11"/>
  <c r="G62" i="11" s="1"/>
  <c r="E63" i="10"/>
  <c r="G63" i="10" s="1"/>
  <c r="E22" i="36"/>
  <c r="G20" i="36" s="1"/>
  <c r="E22" i="10"/>
  <c r="E63" i="9"/>
  <c r="G60" i="9" s="1"/>
  <c r="E23" i="9"/>
  <c r="E39" i="9" s="1"/>
  <c r="E41" i="9" s="1"/>
  <c r="E63" i="36"/>
  <c r="G62" i="36" s="1"/>
  <c r="E64" i="8"/>
  <c r="E80" i="8" s="1"/>
  <c r="E82" i="8" s="1"/>
  <c r="E23" i="8"/>
  <c r="E39" i="8" s="1"/>
  <c r="E41" i="8" s="1"/>
  <c r="E26" i="6"/>
  <c r="G35" i="6" s="1"/>
  <c r="G28" i="7"/>
  <c r="D40" i="7"/>
  <c r="D43" i="7" s="1"/>
  <c r="D21" i="47" s="1"/>
  <c r="D36" i="47" s="1"/>
  <c r="D40" i="47" s="1"/>
  <c r="G34" i="6"/>
  <c r="E6" i="6"/>
  <c r="D76" i="6"/>
  <c r="B54" i="6" s="1"/>
  <c r="G24" i="12" l="1"/>
  <c r="H24" i="12" s="1"/>
  <c r="E23" i="11"/>
  <c r="E39" i="11" s="1"/>
  <c r="E41" i="11" s="1"/>
  <c r="E64" i="11"/>
  <c r="E80" i="11" s="1"/>
  <c r="E82" i="11" s="1"/>
  <c r="E23" i="36"/>
  <c r="E39" i="36" s="1"/>
  <c r="E41" i="36" s="1"/>
  <c r="E21" i="9"/>
  <c r="E64" i="10"/>
  <c r="E80" i="10" s="1"/>
  <c r="E82" i="10" s="1"/>
  <c r="E64" i="9"/>
  <c r="E80" i="9" s="1"/>
  <c r="E82" i="9" s="1"/>
  <c r="G19" i="10"/>
  <c r="E23" i="10"/>
  <c r="E39" i="10" s="1"/>
  <c r="E41" i="10" s="1"/>
  <c r="G23" i="12"/>
  <c r="H23" i="12" s="1"/>
  <c r="G70" i="8" s="1"/>
  <c r="E25" i="3"/>
  <c r="F25" i="3" s="1"/>
  <c r="G23" i="47"/>
  <c r="H23" i="47" s="1"/>
  <c r="G62" i="8"/>
  <c r="G24" i="47"/>
  <c r="H24" i="47" s="1"/>
  <c r="G19" i="9"/>
  <c r="E26" i="3"/>
  <c r="F26" i="3" s="1"/>
  <c r="E64" i="36"/>
  <c r="E80" i="36" s="1"/>
  <c r="E81" i="36" s="1"/>
  <c r="E82" i="36" s="1"/>
  <c r="E62" i="8"/>
  <c r="G20" i="8"/>
  <c r="G22" i="12"/>
  <c r="H22" i="12" s="1"/>
  <c r="G22" i="47"/>
  <c r="H22" i="47" s="1"/>
  <c r="E24" i="3"/>
  <c r="F24" i="3" s="1"/>
  <c r="E21" i="8"/>
  <c r="E27" i="6"/>
  <c r="E54" i="6" s="1"/>
  <c r="E56" i="6" s="1"/>
  <c r="D44" i="7"/>
  <c r="G27" i="7" s="1"/>
  <c r="D42" i="7"/>
  <c r="D21" i="12"/>
  <c r="D36" i="12" s="1"/>
  <c r="D40" i="12" s="1"/>
  <c r="D76" i="7"/>
  <c r="B47" i="7" s="1"/>
  <c r="E62" i="11" l="1"/>
  <c r="G28" i="12"/>
  <c r="H28" i="12" s="1"/>
  <c r="G29" i="11" s="1"/>
  <c r="F30" i="3"/>
  <c r="E21" i="11"/>
  <c r="G21" i="11"/>
  <c r="K21" i="11" s="1"/>
  <c r="G28" i="47"/>
  <c r="H28" i="47" s="1"/>
  <c r="E30" i="3"/>
  <c r="G27" i="47"/>
  <c r="H27" i="47" s="1"/>
  <c r="E62" i="9"/>
  <c r="G20" i="47"/>
  <c r="G19" i="47"/>
  <c r="H19" i="47" s="1"/>
  <c r="G29" i="12"/>
  <c r="H29" i="12" s="1"/>
  <c r="G71" i="11" s="1"/>
  <c r="G63" i="11"/>
  <c r="G29" i="47"/>
  <c r="H29" i="47" s="1"/>
  <c r="E31" i="3"/>
  <c r="F31" i="3" s="1"/>
  <c r="G27" i="9"/>
  <c r="G28" i="8"/>
  <c r="E21" i="3"/>
  <c r="F21" i="3" s="1"/>
  <c r="E21" i="36"/>
  <c r="G19" i="12"/>
  <c r="H19" i="12" s="1"/>
  <c r="G29" i="36" s="1"/>
  <c r="G21" i="36"/>
  <c r="K21" i="36" s="1"/>
  <c r="E27" i="3"/>
  <c r="F27" i="3" s="1"/>
  <c r="G25" i="12"/>
  <c r="H25" i="12" s="1"/>
  <c r="G61" i="9"/>
  <c r="K60" i="9" s="1"/>
  <c r="G25" i="47"/>
  <c r="H25" i="47" s="1"/>
  <c r="G27" i="12"/>
  <c r="H27" i="12" s="1"/>
  <c r="G72" i="10" s="1"/>
  <c r="E29" i="3"/>
  <c r="F29" i="3" s="1"/>
  <c r="E62" i="10"/>
  <c r="G64" i="10"/>
  <c r="G20" i="12"/>
  <c r="H20" i="12" s="1"/>
  <c r="G71" i="36" s="1"/>
  <c r="G63" i="36"/>
  <c r="G64" i="36" s="1"/>
  <c r="G67" i="36" s="1"/>
  <c r="G15" i="35"/>
  <c r="G22" i="35" s="1"/>
  <c r="E23" i="35" s="1"/>
  <c r="E62" i="36"/>
  <c r="E28" i="3"/>
  <c r="F28" i="3" s="1"/>
  <c r="E21" i="10"/>
  <c r="G26" i="12"/>
  <c r="H26" i="12" s="1"/>
  <c r="G20" i="10"/>
  <c r="G26" i="47"/>
  <c r="H26" i="47" s="1"/>
  <c r="K61" i="8"/>
  <c r="G63" i="8"/>
  <c r="G66" i="8" s="1"/>
  <c r="K19" i="9"/>
  <c r="G20" i="9"/>
  <c r="G23" i="9" s="1"/>
  <c r="H20" i="47"/>
  <c r="E22" i="3"/>
  <c r="F22" i="3" s="1"/>
  <c r="K20" i="8"/>
  <c r="G21" i="8"/>
  <c r="G24" i="8" s="1"/>
  <c r="E6" i="7"/>
  <c r="E25" i="7" s="1"/>
  <c r="E48" i="7" s="1"/>
  <c r="E50" i="7" s="1"/>
  <c r="D77" i="7"/>
  <c r="B48" i="7" s="1"/>
  <c r="E46" i="6"/>
  <c r="G18" i="47"/>
  <c r="H18" i="47" s="1"/>
  <c r="E20" i="3"/>
  <c r="F20" i="3" s="1"/>
  <c r="G18" i="12"/>
  <c r="H18" i="12" s="1"/>
  <c r="G36" i="6"/>
  <c r="E25" i="6"/>
  <c r="E44" i="6"/>
  <c r="G22" i="11" l="1"/>
  <c r="G25" i="11" s="1"/>
  <c r="G62" i="9"/>
  <c r="G65" i="9" s="1"/>
  <c r="G32" i="11"/>
  <c r="G22" i="36"/>
  <c r="G25" i="36" s="1"/>
  <c r="G31" i="10"/>
  <c r="J35" i="10" s="1"/>
  <c r="G75" i="10"/>
  <c r="G74" i="11"/>
  <c r="K62" i="11"/>
  <c r="G64" i="11"/>
  <c r="G67" i="11" s="1"/>
  <c r="G28" i="10"/>
  <c r="G72" i="9"/>
  <c r="J76" i="9" s="1"/>
  <c r="G69" i="9"/>
  <c r="G74" i="36"/>
  <c r="G47" i="6"/>
  <c r="J51" i="6" s="1"/>
  <c r="M33" i="47"/>
  <c r="M50" i="47" s="1"/>
  <c r="J52" i="47" s="1"/>
  <c r="G32" i="36"/>
  <c r="J36" i="36" s="1"/>
  <c r="G16" i="44"/>
  <c r="G44" i="6"/>
  <c r="M32" i="12"/>
  <c r="M49" i="12" s="1"/>
  <c r="J51" i="12" s="1"/>
  <c r="K63" i="36"/>
  <c r="K59" i="10"/>
  <c r="G65" i="10"/>
  <c r="G68" i="10" s="1"/>
  <c r="G29" i="35"/>
  <c r="E30" i="35" s="1"/>
  <c r="D31" i="35" s="1"/>
  <c r="K18" i="10"/>
  <c r="G21" i="10"/>
  <c r="G24" i="10" s="1"/>
  <c r="D24" i="35"/>
  <c r="F33" i="35" s="1"/>
  <c r="F82" i="36" s="1"/>
  <c r="G21" i="47"/>
  <c r="M17" i="47" s="1"/>
  <c r="M24" i="47" s="1"/>
  <c r="M12" i="47" s="1"/>
  <c r="M18" i="47"/>
  <c r="M17" i="12"/>
  <c r="M24" i="12" s="1"/>
  <c r="M12" i="12" s="1"/>
  <c r="K36" i="6"/>
  <c r="G37" i="6"/>
  <c r="G40" i="6" s="1"/>
  <c r="G21" i="12"/>
  <c r="M16" i="12" s="1"/>
  <c r="G29" i="7"/>
  <c r="E23" i="7"/>
  <c r="E23" i="3"/>
  <c r="E38" i="3" s="1"/>
  <c r="E40" i="7"/>
  <c r="F23" i="3" l="1"/>
  <c r="F38" i="3" s="1"/>
  <c r="H21" i="47"/>
  <c r="H21" i="12"/>
  <c r="G36" i="47"/>
  <c r="M25" i="47"/>
  <c r="M13" i="47" s="1"/>
  <c r="M19" i="47"/>
  <c r="M23" i="47" s="1"/>
  <c r="K29" i="7"/>
  <c r="G30" i="7"/>
  <c r="G33" i="7" s="1"/>
  <c r="M23" i="12"/>
  <c r="M11" i="12" s="1"/>
  <c r="M18" i="12"/>
  <c r="M22" i="12" s="1"/>
  <c r="G36" i="12"/>
  <c r="G13" i="44" l="1"/>
  <c r="G30" i="9"/>
  <c r="J34" i="9" s="1"/>
  <c r="G31" i="8"/>
  <c r="J35" i="8" s="1"/>
  <c r="G40" i="7"/>
  <c r="J44" i="7" s="1"/>
  <c r="G73" i="8"/>
  <c r="J77" i="8" s="1"/>
  <c r="H36" i="47"/>
  <c r="M34" i="47" s="1"/>
  <c r="M35" i="47" s="1"/>
  <c r="M32" i="47"/>
  <c r="M43" i="47" s="1"/>
  <c r="J45" i="47" s="1"/>
  <c r="G37" i="7"/>
  <c r="M31" i="12"/>
  <c r="M42" i="12" s="1"/>
  <c r="J44" i="12" s="1"/>
  <c r="H36" i="12"/>
  <c r="M39" i="47" l="1"/>
  <c r="M40" i="47"/>
  <c r="G33" i="11"/>
  <c r="J36" i="11" s="1"/>
  <c r="G38" i="11" s="1"/>
  <c r="M33" i="12"/>
  <c r="M34" i="12" s="1"/>
  <c r="G32" i="8"/>
  <c r="G37" i="8" s="1"/>
  <c r="G74" i="8"/>
  <c r="G79" i="8" s="1"/>
  <c r="G75" i="11"/>
  <c r="J78" i="11" s="1"/>
  <c r="G80" i="11" s="1"/>
  <c r="G41" i="7"/>
  <c r="G46" i="7" s="1"/>
  <c r="G32" i="10"/>
  <c r="G37" i="10" s="1"/>
  <c r="G31" i="9"/>
  <c r="G36" i="9" s="1"/>
  <c r="G33" i="36"/>
  <c r="G38" i="36" s="1"/>
  <c r="G73" i="9"/>
  <c r="G78" i="9" s="1"/>
  <c r="G75" i="36"/>
  <c r="J78" i="36" s="1"/>
  <c r="G80" i="36" s="1"/>
  <c r="G76" i="10"/>
  <c r="J79" i="10" s="1"/>
  <c r="G81" i="10" s="1"/>
  <c r="G48" i="6"/>
  <c r="G53" i="6" s="1"/>
  <c r="M36" i="12"/>
  <c r="M35" i="12"/>
  <c r="M39" i="12" l="1"/>
  <c r="M38" i="12"/>
</calcChain>
</file>

<file path=xl/sharedStrings.xml><?xml version="1.0" encoding="utf-8"?>
<sst xmlns="http://schemas.openxmlformats.org/spreadsheetml/2006/main" count="1750" uniqueCount="998">
  <si>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</si>
  <si>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</si>
  <si>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</si>
  <si>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</si>
  <si>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</si>
  <si>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</si>
  <si>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</si>
  <si>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</si>
  <si>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</si>
  <si>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</si>
  <si>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</si>
  <si>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</si>
  <si>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</si>
  <si>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</si>
  <si>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r>
      <t xml:space="preserve">NOTE: The Road, Special Road, Noxious Weed, and Fire Protection fund pages in the workbook are set to use the valuation for the </t>
    </r>
    <r>
      <rPr>
        <b/>
        <sz val="12"/>
        <color rgb="FFFF0000"/>
        <rFont val="Times New Roman"/>
        <family val="1"/>
      </rPr>
      <t>township only</t>
    </r>
    <r>
      <rPr>
        <sz val="12"/>
        <color rgb="FFFF0000"/>
        <rFont val="Times New Roman"/>
        <family val="1"/>
      </rPr>
      <t xml:space="preserve"> to compute the estimated proposed mill rate.  Be aware, if you subsitute a different fund for any one of these, then you might have to adjust how the mill rate will be computed. The hearing notices, budget summaries, budget tools etc. are based on the assumption that these funds will only levy on township boundaries. 
The township will need to consider the RNR for these funds seperately from the RNR related to other township funds. If the estimated proposed rate for these funds will exceed the RNR, a hearing must be held.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</si>
  <si>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</si>
  <si>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</si>
  <si>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</si>
  <si>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</si>
  <si>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</si>
  <si>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</si>
  <si>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</si>
  <si>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t>e. Information for up to two third class cities can be entered into the spreadsheet for the township's budget.</t>
  </si>
  <si>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</si>
  <si>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</si>
  <si>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</si>
  <si>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</si>
  <si>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</si>
  <si>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</si>
  <si>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</si>
  <si>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</si>
  <si>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</si>
  <si>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</si>
  <si>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</si>
  <si>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</si>
  <si>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</si>
  <si>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</si>
  <si>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</si>
  <si>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</si>
  <si>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</si>
  <si>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</si>
  <si>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</si>
  <si>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</si>
  <si>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</si>
  <si>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</si>
  <si>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</si>
  <si>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</si>
  <si>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</si>
  <si>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</si>
  <si>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</si>
  <si>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</si>
  <si>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</si>
  <si>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</si>
  <si>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</si>
  <si>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</si>
  <si>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</si>
  <si>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</si>
  <si>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</si>
  <si>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</si>
  <si>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</si>
  <si>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</si>
  <si>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</si>
  <si>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</si>
  <si>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</si>
  <si>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</si>
  <si>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</si>
  <si>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</si>
  <si>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</si>
  <si>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</si>
  <si>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</si>
  <si>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</si>
  <si>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</si>
  <si>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</si>
  <si>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</si>
  <si>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</si>
  <si>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</si>
  <si>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</si>
  <si>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</si>
  <si>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</si>
  <si>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</si>
  <si>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</si>
  <si>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Input Sheet for Township2 Budget Workbook</t>
  </si>
  <si>
    <t>Note:  the green shaded areas will automatically expand.</t>
  </si>
  <si>
    <t>Enter township name followed by "Township":</t>
  </si>
  <si>
    <t>Enter county name followed by "County":</t>
  </si>
  <si>
    <t>Enter name of first third-class city:</t>
  </si>
  <si>
    <t>Enter name of second third-class city:</t>
  </si>
  <si>
    <t>Enter year being budgeted (YYYY):</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</si>
  <si>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</si>
  <si>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</si>
  <si>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Note:  All amounts are to be entered as whole numbers only.</t>
  </si>
  <si>
    <t xml:space="preserve">The input for the following comes directly from </t>
  </si>
  <si>
    <r>
      <rPr>
        <b/>
        <sz val="12"/>
        <color indexed="10"/>
        <rFont val="Times New Roman"/>
        <family val="1"/>
      </rPr>
      <t>*</t>
    </r>
    <r>
      <rPr>
        <b/>
        <sz val="12"/>
        <rFont val="Times New Roman"/>
        <family val="1"/>
      </rPr>
      <t>If amended, then use the amended figures.</t>
    </r>
    <r>
      <rPr>
        <b/>
        <sz val="12"/>
        <color indexed="10"/>
        <rFont val="Times New Roman"/>
        <family val="1"/>
      </rPr>
      <t>*</t>
    </r>
  </si>
  <si>
    <t>Fund name for all funds with a tax levy:</t>
  </si>
  <si>
    <t>Statute</t>
  </si>
  <si>
    <r>
      <rPr>
        <sz val="12"/>
        <color indexed="10"/>
        <rFont val="Times New Roman"/>
        <family val="1"/>
      </rPr>
      <t>*</t>
    </r>
    <r>
      <rPr>
        <sz val="12"/>
        <rFont val="Times New Roman"/>
        <family val="1"/>
      </rPr>
      <t>Expenditures</t>
    </r>
    <r>
      <rPr>
        <sz val="12"/>
        <color indexed="10"/>
        <rFont val="Times New Roman"/>
        <family val="1"/>
      </rPr>
      <t>*</t>
    </r>
  </si>
  <si>
    <t>Ad Valorem Tax</t>
  </si>
  <si>
    <t>General</t>
  </si>
  <si>
    <t>79-1962</t>
  </si>
  <si>
    <t xml:space="preserve">Amounts used in lieu of </t>
  </si>
  <si>
    <t>%</t>
  </si>
  <si>
    <t>Debt Service</t>
  </si>
  <si>
    <t>10-113</t>
  </si>
  <si>
    <t>Library</t>
  </si>
  <si>
    <t>12-1220</t>
  </si>
  <si>
    <t>Road</t>
  </si>
  <si>
    <t>68-518c</t>
  </si>
  <si>
    <t>Special Road</t>
  </si>
  <si>
    <t>80-1413</t>
  </si>
  <si>
    <t>Noxious Weed</t>
  </si>
  <si>
    <t>2-1318</t>
  </si>
  <si>
    <t>Fire Protection</t>
  </si>
  <si>
    <t>80-1503</t>
  </si>
  <si>
    <t>Other Fund Names:</t>
  </si>
  <si>
    <t>Non-budgeted funds:</t>
  </si>
  <si>
    <t>Outstanding Indebtedness, January 1:</t>
  </si>
  <si>
    <t xml:space="preserve">  G.O. Bonds</t>
  </si>
  <si>
    <t xml:space="preserve">  Other</t>
  </si>
  <si>
    <t xml:space="preserve">  Lease Purchase Principal</t>
  </si>
  <si>
    <t>Township</t>
  </si>
  <si>
    <r>
      <t xml:space="preserve">Note: In the "Township Supported Funds Only" section, enter the total RNR for all funds that are supported </t>
    </r>
    <r>
      <rPr>
        <b/>
        <i/>
        <sz val="12"/>
        <color rgb="FFFF0000"/>
        <rFont val="Times New Roman"/>
        <family val="1"/>
      </rPr>
      <t xml:space="preserve">only </t>
    </r>
    <r>
      <rPr>
        <b/>
        <sz val="12"/>
        <color rgb="FFFF0000"/>
        <rFont val="Times New Roman"/>
        <family val="1"/>
      </rPr>
      <t xml:space="preserve">by township dollars. In the "Township and 3rd Class City Supported Funds" section, enter the total RNR for all funds that are supported by both, township and 3rd class city dollars.  The summed TOTAL of the two inputs should equal the total RNR for the township. Each rate must be reported seperately to determine the impact to taxpayers individually. 
For example, the "Township Supported Funds" could include the road, special road, noxious weed and/or fire protection funds. The Township and 3rd Class City supported funds would include any other fund of the township. </t>
    </r>
  </si>
  <si>
    <t>Township Supported Funds Only</t>
  </si>
  <si>
    <t>Township and 3rd Class City Supported Funds</t>
  </si>
  <si>
    <t xml:space="preserve">Revenue Neutral Rate    </t>
  </si>
  <si>
    <t>Fund</t>
  </si>
  <si>
    <t>Rate</t>
  </si>
  <si>
    <t>Total</t>
  </si>
  <si>
    <t>Township estimates:</t>
  </si>
  <si>
    <t>Motor Vehicle Tax Estimate</t>
  </si>
  <si>
    <t>Recreational Vehicle Tax Estimate</t>
  </si>
  <si>
    <t>16/20 M Vehicle Tax</t>
  </si>
  <si>
    <t>Commercial Vehicle Tax Estimate</t>
  </si>
  <si>
    <t>Watercraft Tax Estimate</t>
  </si>
  <si>
    <t>1st Third Class City estimates: ***</t>
  </si>
  <si>
    <t xml:space="preserve">Motor Vehicle Tax Estimate </t>
  </si>
  <si>
    <t xml:space="preserve">Recreational Vehicle Tax Estimate </t>
  </si>
  <si>
    <t xml:space="preserve">16/20 M Vehicle Tax </t>
  </si>
  <si>
    <t>2nd Third Class City estimates: ***</t>
  </si>
  <si>
    <t>LAVTR</t>
  </si>
  <si>
    <t>Special Highway/Gasoline Tax</t>
  </si>
  <si>
    <t>*** Note: These estimates are only completed if the County Treasurer provides a breakout from the Township.</t>
  </si>
  <si>
    <t>Computation of Delinquency</t>
  </si>
  <si>
    <t>Delinquency % used in this budget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</si>
  <si>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</si>
  <si>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Funds</t>
  </si>
  <si>
    <t>Budget Authority</t>
  </si>
  <si>
    <t xml:space="preserve">expenditure amounts should reflect the amended </t>
  </si>
  <si>
    <t>expenditure amounts.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</si>
  <si>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</si>
  <si>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</si>
  <si>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</si>
  <si>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</si>
  <si>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</si>
  <si>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Date:</t>
  </si>
  <si>
    <t>August 12, 2022</t>
  </si>
  <si>
    <t>Time:</t>
  </si>
  <si>
    <t>7:00 PM or 7:00 AM</t>
  </si>
  <si>
    <t>Location:</t>
  </si>
  <si>
    <t>City Hall</t>
  </si>
  <si>
    <t>Available at:</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</si>
  <si>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</si>
  <si>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</si>
  <si>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</si>
  <si>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</si>
  <si>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</si>
  <si>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</si>
  <si>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</si>
  <si>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</si>
  <si>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</si>
  <si>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CPA Summary of Assumptions</t>
  </si>
  <si>
    <t>CERTIFICATE</t>
  </si>
  <si>
    <t>We, the undersigned, officers of</t>
  </si>
  <si>
    <t xml:space="preserve">certify that:  (1) the hearing mentioned in the attached publication was held; </t>
  </si>
  <si>
    <t>(2) after the Budget Hearing this budget was approved and adopted as the</t>
  </si>
  <si>
    <t xml:space="preserve"> Budget Authority for Expenditures</t>
  </si>
  <si>
    <t>Final Tax Rate (County Clerk's Use Only)</t>
  </si>
  <si>
    <t>Page</t>
  </si>
  <si>
    <t>Table of Contents:</t>
  </si>
  <si>
    <t>No.</t>
  </si>
  <si>
    <t>Alloc of MVT, RVT, and 16/20M Vehicles Tax</t>
  </si>
  <si>
    <t>Schedule of Transfers</t>
  </si>
  <si>
    <t>Statement of Indebt. &amp; Lease/Purchase</t>
  </si>
  <si>
    <t>K.S.A.</t>
  </si>
  <si>
    <t>Special Machinery</t>
  </si>
  <si>
    <t>Totals</t>
  </si>
  <si>
    <t>x</t>
  </si>
  <si>
    <t>Budget Hearing Notice</t>
  </si>
  <si>
    <t>Final County Assessed Valuation</t>
  </si>
  <si>
    <t>County Clerk's Use Only</t>
  </si>
  <si>
    <t>Combined Rate and Budget Hearing Notice</t>
  </si>
  <si>
    <t>Rate Hearing Notice</t>
  </si>
  <si>
    <t>Neighborhood Revitalization Rebate</t>
  </si>
  <si>
    <t xml:space="preserve">Township Only Funds Revenue Neutral Rate </t>
  </si>
  <si>
    <t xml:space="preserve">Township/3rd Class City Funds Revenue Neutral Rate </t>
  </si>
  <si>
    <t>Assisted by:</t>
  </si>
  <si>
    <t>________________________  _______________________</t>
  </si>
  <si>
    <t>Address:</t>
  </si>
  <si>
    <t>Email:</t>
  </si>
  <si>
    <t>Attest: ____________________,</t>
  </si>
  <si>
    <t>County Clerk</t>
  </si>
  <si>
    <t xml:space="preserve">    Governing Body</t>
  </si>
  <si>
    <t>Special Road Election held ___________ for ___Mills for ___ years.</t>
  </si>
  <si>
    <t>First levy in ______.</t>
  </si>
  <si>
    <t>CPA Summary</t>
  </si>
  <si>
    <t xml:space="preserve">Allocation of MV, RV, 16/20M, Commercial Vehicle, and Watercraft Tax Estimates </t>
  </si>
  <si>
    <t>Budgeted Funds</t>
  </si>
  <si>
    <t>MVT - Township</t>
  </si>
  <si>
    <t>MVT - City</t>
  </si>
  <si>
    <t>RVT - Township</t>
  </si>
  <si>
    <t>RVT - City</t>
  </si>
  <si>
    <t>16/20M - Township</t>
  </si>
  <si>
    <t>16/20 - City</t>
  </si>
  <si>
    <t>CommVeh - Twnshp</t>
  </si>
  <si>
    <t>CommVeh - City</t>
  </si>
  <si>
    <t>Wtrcraft - Township</t>
  </si>
  <si>
    <t>Wtrcraft - City</t>
  </si>
  <si>
    <t>***</t>
  </si>
  <si>
    <r>
      <t>Total - 3rd Class City Levies (</t>
    </r>
    <r>
      <rPr>
        <b/>
        <sz val="8"/>
        <rFont val="Times New Roman"/>
        <family val="1"/>
      </rPr>
      <t>***</t>
    </r>
    <r>
      <rPr>
        <sz val="12"/>
        <rFont val="Times New Roman"/>
        <family val="1"/>
      </rPr>
      <t>)</t>
    </r>
  </si>
  <si>
    <t>Expenditure</t>
  </si>
  <si>
    <t>Receipt</t>
  </si>
  <si>
    <t>Actual</t>
  </si>
  <si>
    <t>Current</t>
  </si>
  <si>
    <t>Proposed</t>
  </si>
  <si>
    <t>Transfers</t>
  </si>
  <si>
    <t xml:space="preserve">Fund Transferred </t>
  </si>
  <si>
    <t>Fund Transferred</t>
  </si>
  <si>
    <t>Amount for</t>
  </si>
  <si>
    <t xml:space="preserve">Authorized by </t>
  </si>
  <si>
    <t>From:</t>
  </si>
  <si>
    <t xml:space="preserve">  To:</t>
  </si>
  <si>
    <r>
      <t>Adjustments</t>
    </r>
    <r>
      <rPr>
        <sz val="12"/>
        <color indexed="10"/>
        <rFont val="Times New Roman"/>
        <family val="1"/>
      </rPr>
      <t>*</t>
    </r>
  </si>
  <si>
    <t>Adjusted Totals</t>
  </si>
  <si>
    <t>Transfers - Townships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</si>
  <si>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</si>
  <si>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</si>
  <si>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</si>
  <si>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</si>
  <si>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</si>
  <si>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</si>
  <si>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</si>
  <si>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</si>
  <si>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STATEMENT OF INDEBTEDNESS</t>
  </si>
  <si>
    <t>Type</t>
  </si>
  <si>
    <t>Date</t>
  </si>
  <si>
    <t>Interest</t>
  </si>
  <si>
    <t>Amount</t>
  </si>
  <si>
    <t xml:space="preserve">   Amount Due</t>
  </si>
  <si>
    <t>of</t>
  </si>
  <si>
    <t>Outstanding</t>
  </si>
  <si>
    <t xml:space="preserve">  Date Due</t>
  </si>
  <si>
    <t>Debt</t>
  </si>
  <si>
    <t>Issue</t>
  </si>
  <si>
    <t>Issued</t>
  </si>
  <si>
    <t>Principal</t>
  </si>
  <si>
    <t>G.O. Bonds</t>
  </si>
  <si>
    <t>Total G.O. Bonds</t>
  </si>
  <si>
    <t>Other</t>
  </si>
  <si>
    <t>Total Other</t>
  </si>
  <si>
    <t xml:space="preserve">Total </t>
  </si>
  <si>
    <t>STATEMENT OF CONDITIONAL LEASE-PURCHASE AND CERTIFICATE OF PARTICIPATION*</t>
  </si>
  <si>
    <t>Term</t>
  </si>
  <si>
    <t>Payments</t>
  </si>
  <si>
    <t>Items</t>
  </si>
  <si>
    <t xml:space="preserve">  Contract</t>
  </si>
  <si>
    <t>Contract</t>
  </si>
  <si>
    <t>Financed</t>
  </si>
  <si>
    <t>Balance On</t>
  </si>
  <si>
    <t>Due</t>
  </si>
  <si>
    <t>Purchased</t>
  </si>
  <si>
    <t>(Months)</t>
  </si>
  <si>
    <t>(Beginning Principal)</t>
  </si>
  <si>
    <t>***If  leasing/renting with no intent to purchase, do not list--such transactions are not lease-purchases.</t>
  </si>
  <si>
    <t>WORKSHEET FOR STATE GRANT-IN-AID TO PUBLIC LIBRARIES AND</t>
  </si>
  <si>
    <t>REGIONAL LIBRARY SYSTEMS</t>
  </si>
  <si>
    <r>
      <t xml:space="preserve">As provided in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</si>
  <si>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</si>
  <si>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</si>
  <si>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</si>
  <si>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</si>
  <si>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</si>
  <si>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</si>
  <si>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</si>
  <si>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</si>
  <si>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</si>
  <si>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</si>
  <si>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</si>
  <si>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</si>
  <si>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</si>
  <si>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</si>
  <si>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</si>
  <si>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</si>
  <si>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</si>
  <si>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</si>
  <si>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</si>
  <si>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</si>
  <si>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</si>
  <si>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</si>
  <si>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</si>
  <si>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</si>
  <si>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</si>
  <si>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</si>
  <si>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</si>
  <si>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</si>
  <si>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</si>
  <si>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</si>
  <si>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</si>
  <si>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</si>
  <si>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</si>
  <si>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</si>
  <si>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</si>
  <si>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</si>
  <si>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What should I do?</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</si>
  <si>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</si>
  <si>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</si>
  <si>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</si>
  <si>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</si>
  <si>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</si>
  <si>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</si>
  <si>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</si>
  <si>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</si>
  <si>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</si>
  <si>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</si>
  <si>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</si>
  <si>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</si>
  <si>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</si>
  <si>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</si>
  <si>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Alice.Smith@ks.gov</t>
  </si>
  <si>
    <t>FUND PAGE FOR FUNDS WITH A TAX LEVY</t>
  </si>
  <si>
    <t>Adopted Budget</t>
  </si>
  <si>
    <t>Prior Year</t>
  </si>
  <si>
    <t>Proposed Budget</t>
  </si>
  <si>
    <t>Unencumbered Cash Balance January 1</t>
  </si>
  <si>
    <t>Receipts:</t>
  </si>
  <si>
    <t>Delinquent Tax</t>
  </si>
  <si>
    <t>Motor Vehicle Tax</t>
  </si>
  <si>
    <t>Recreational Vehicle Tax</t>
  </si>
  <si>
    <t>Commercial Vehicle Tax</t>
  </si>
  <si>
    <t>Watercraft Tax</t>
  </si>
  <si>
    <t>Gross Earnings (Intangibles) Tax</t>
  </si>
  <si>
    <t>Interest on Idle Funds</t>
  </si>
  <si>
    <t>Miscellaneous</t>
  </si>
  <si>
    <t>Does miscellaneous exceed 10% of Total Receipts</t>
  </si>
  <si>
    <t>Total Receipts</t>
  </si>
  <si>
    <t>Desired Carryover Amount:</t>
  </si>
  <si>
    <t>Resources Available:</t>
  </si>
  <si>
    <t>Estimated Mill Rate Impact:</t>
  </si>
  <si>
    <t>Expenditures:</t>
  </si>
  <si>
    <t>Expenditures Must Be Changed by:</t>
  </si>
  <si>
    <t>Officers Pay</t>
  </si>
  <si>
    <t>Salaries &amp; Wages</t>
  </si>
  <si>
    <t>Employee Benefits</t>
  </si>
  <si>
    <t>Supplies</t>
  </si>
  <si>
    <t>Equipment</t>
  </si>
  <si>
    <t>Buildings Maintenance</t>
  </si>
  <si>
    <t>Insurance</t>
  </si>
  <si>
    <t>Estimated Mill Rate &amp;
 Revenue Neutral Rate Comparison</t>
  </si>
  <si>
    <t>Transfer to Spec. Mach.(No Levy)</t>
  </si>
  <si>
    <t>Does the General Fund have a tax levy</t>
  </si>
  <si>
    <t>Transfer to Spec. Mach.(Gen has Levy)</t>
  </si>
  <si>
    <t>RNR (Township/3rd Class City)</t>
  </si>
  <si>
    <t>Transfer can not exceed 25% Resources Available</t>
  </si>
  <si>
    <t>Estimated Rate (Township/3rd Class City)</t>
  </si>
  <si>
    <t>Does misc. exceed 10% of Total Expenditures</t>
  </si>
  <si>
    <t>Total Expenditures</t>
  </si>
  <si>
    <t>Unencumbered Cash Balance Dec 31</t>
  </si>
  <si>
    <t>Is a rate hearing/resolution required:</t>
  </si>
  <si>
    <t>Non-Appropriated Balance</t>
  </si>
  <si>
    <t>Total Expenditure/Non-Appr Balance</t>
  </si>
  <si>
    <t>Tax Required</t>
  </si>
  <si>
    <t>Delinquent Comp Rate:</t>
  </si>
  <si>
    <t>Page No.</t>
  </si>
  <si>
    <t xml:space="preserve">Prior Year </t>
  </si>
  <si>
    <t xml:space="preserve">Current Year </t>
  </si>
  <si>
    <t xml:space="preserve">Proposed Budget </t>
  </si>
  <si>
    <t>Unencumbered Cash Balance Jan 1</t>
  </si>
  <si>
    <t>16/20M Vehicle Tax</t>
  </si>
  <si>
    <t>Does misc. exceed 10% of Total Receipts</t>
  </si>
  <si>
    <t/>
  </si>
  <si>
    <t>Road Maintenance</t>
  </si>
  <si>
    <t>Road Materials</t>
  </si>
  <si>
    <t>Transfer to Special Machinery</t>
  </si>
  <si>
    <t>RNR (Township Only)</t>
  </si>
  <si>
    <t>Does transfer exceed 25% of Resources Available</t>
  </si>
  <si>
    <t>Estimated Rate (Township Only)</t>
  </si>
  <si>
    <t xml:space="preserve">Special Machinery </t>
  </si>
  <si>
    <t xml:space="preserve">     K.S.A. 68-141g</t>
  </si>
  <si>
    <t>Unencumbered Cash Balance, Jan 1</t>
  </si>
  <si>
    <t>Transfers from:</t>
  </si>
  <si>
    <t xml:space="preserve">  Road Fund</t>
  </si>
  <si>
    <t xml:space="preserve">  General Fund (No Levy)</t>
  </si>
  <si>
    <t xml:space="preserve">  General Fund (Gen has Levy)</t>
  </si>
  <si>
    <t>Unencumbered Cash Balance, Dec 31</t>
  </si>
  <si>
    <t xml:space="preserve">        </t>
  </si>
  <si>
    <t>FUND PAGE FOR FUNDS WITH NO TAX LEVY</t>
  </si>
  <si>
    <t>Page  No.</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</si>
  <si>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</si>
  <si>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</si>
  <si>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</si>
  <si>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</si>
  <si>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</si>
  <si>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</si>
  <si>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</si>
  <si>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</si>
  <si>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</si>
  <si>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</si>
  <si>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</si>
  <si>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</si>
  <si>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</si>
  <si>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</si>
  <si>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</si>
  <si>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</si>
  <si>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</si>
  <si>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</si>
  <si>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</si>
  <si>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</si>
  <si>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</si>
  <si>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</si>
  <si>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</si>
  <si>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</si>
  <si>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NOTICE OF BUDGET HEARING</t>
  </si>
  <si>
    <t xml:space="preserve">       </t>
  </si>
  <si>
    <t xml:space="preserve">     </t>
  </si>
  <si>
    <t>The governing body of</t>
  </si>
  <si>
    <t>Township overall estimated value of one mill:</t>
  </si>
  <si>
    <t>Township only estimated value of one mill:</t>
  </si>
  <si>
    <t>answering objections of taxpayers relating to the proposed use of all funds and the amount of ad valorem tax.</t>
  </si>
  <si>
    <t>BUDGET SUMMARY</t>
  </si>
  <si>
    <t>Township Only Funds Exp. Changed By:</t>
  </si>
  <si>
    <t>Township Total Funds Exp. Changed By:</t>
  </si>
  <si>
    <t>Expenditures</t>
  </si>
  <si>
    <t>Actual Tax Rate*</t>
  </si>
  <si>
    <t>Budget Authority for Expenditures</t>
  </si>
  <si>
    <t>Proposed Estimated Tax Rate*</t>
  </si>
  <si>
    <t>Change in Ad Valorem Tax Revenue:</t>
  </si>
  <si>
    <t xml:space="preserve">  Township Only Funds Exp. Changed By:</t>
  </si>
  <si>
    <t xml:space="preserve">  Township Total Funds Exp. Changed By:</t>
  </si>
  <si>
    <t>What Mill Rate Would Be Desired?</t>
  </si>
  <si>
    <t>RNR Township Only Funds</t>
  </si>
  <si>
    <t>RNR Township/3rd Class Funds</t>
  </si>
  <si>
    <t>Township Only Funds Estimated Rate</t>
  </si>
  <si>
    <t>Township/3rd Class Funds Estimated Rate</t>
  </si>
  <si>
    <t>Difference btwn Desired and Current Est.:</t>
  </si>
  <si>
    <t>Township Only % Estimated Mill Rate:</t>
  </si>
  <si>
    <t>Township Total % Estimated Mill Rate:</t>
  </si>
  <si>
    <t>Funds Supported by Township Only - Revenue Neutral Rate**</t>
  </si>
  <si>
    <t>Funds Supported by Township and 3rd Class City - Revenue Neutral Rate**</t>
  </si>
  <si>
    <t>Less: Transfers</t>
  </si>
  <si>
    <t>Net Expenditure</t>
  </si>
  <si>
    <t>Total Tax Levied</t>
  </si>
  <si>
    <t>Township Only Funds</t>
  </si>
  <si>
    <t>Total Assessed Valuation</t>
  </si>
  <si>
    <t xml:space="preserve">Is rate hearing/resolution required to exceed Revenue Neutral Rate? </t>
  </si>
  <si>
    <t>Township Assessed Valuation Only</t>
  </si>
  <si>
    <t>Outstanding Indebtedness,</t>
  </si>
  <si>
    <t xml:space="preserve">  Jan 1</t>
  </si>
  <si>
    <t>Township/3rd Class City Funds</t>
  </si>
  <si>
    <t>Lease Purchase Principal</t>
  </si>
  <si>
    <t xml:space="preserve">     Total</t>
  </si>
  <si>
    <t xml:space="preserve">  *Tax rates are expressed in mills.</t>
  </si>
  <si>
    <t>**Revenue Neutral Rate as defined by KSA 79-2988</t>
  </si>
  <si>
    <t>NOTICE OF BUDGET HEARING TO EXCEED REVENUE NEUTRAL RATE AND BUDGET HEARING</t>
  </si>
  <si>
    <t>NOTICE OF HEARING TO EXCEED REVENUE NEUTRAL RATE</t>
  </si>
  <si>
    <t xml:space="preserve">The governing body of </t>
  </si>
  <si>
    <t>answering objections of taxpayers relating to revenue neutral rate and proposed tax rate, as required by KSA 79-2988.</t>
  </si>
  <si>
    <t>SUPPORTING COUNTIES</t>
  </si>
  <si>
    <t>Revenue Neutral Rate*</t>
  </si>
  <si>
    <t>Proposed Tax Rate</t>
  </si>
  <si>
    <t>Township and 3rd Class City Funds</t>
  </si>
  <si>
    <t>Tax Rates are expressed in mills</t>
  </si>
  <si>
    <t>* Revenue Netural Rate as defined by KSA 79-2988</t>
  </si>
  <si>
    <t>TOTAL</t>
  </si>
  <si>
    <t>Valuation Factor:</t>
  </si>
  <si>
    <t>Neighborhood Revitalization Subj to Rebate:</t>
  </si>
  <si>
    <t>Neighborhood Revitalization factor:</t>
  </si>
  <si>
    <t>the Neighborhood Revitalization Rebate table.</t>
  </si>
  <si>
    <t>Resolution No. ______</t>
  </si>
  <si>
    <t>A RESOLUTION OF THE __________ TOWNSHIP, KANSAS TO LEVY A PROPERTY TAX RATE EXCEEDING THE REVENUE NEUTRAL RATE;</t>
  </si>
  <si>
    <r>
      <t xml:space="preserve">           </t>
    </r>
    <r>
      <rPr>
        <b/>
        <sz val="12"/>
        <rFont val="Times New Roman"/>
        <family val="1"/>
      </rPr>
      <t>WHEREAS</t>
    </r>
    <r>
      <rPr>
        <sz val="12"/>
        <rFont val="Times New Roman"/>
        <family val="1"/>
      </rPr>
      <t>, the Revenue Neutral Rate for the  __________  Township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</si>
  <si>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__________ Township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</si>
  <si>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</si>
  <si>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____________ Township, having heard testimony, still finds it necessary to exceed the Revenue Neutral Rate.</t>
    </r>
  </si>
  <si>
    <t xml:space="preserve">          NOW, THEREFORE, BE IT RESOLVED BY THE GOVERNING BODY OF THE  __________ TOWNSHIP: </t>
  </si>
  <si>
    <t xml:space="preserve">          The  _________ Township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</si>
  <si>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</si>
  <si>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</si>
  <si>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t>
  </si>
  <si>
    <t xml:space="preserve">          Attested:</t>
  </si>
  <si>
    <t xml:space="preserve">          ______________________________</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</si>
  <si>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</si>
  <si>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</si>
  <si>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</si>
  <si>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</si>
  <si>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</si>
  <si>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</si>
  <si>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</si>
  <si>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Tab A</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</si>
  <si>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</si>
  <si>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</si>
  <si>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</si>
  <si>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</si>
  <si>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</si>
  <si>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</si>
  <si>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Times New Roman"/>
        <family val="1"/>
      </rPr>
      <t>not been</t>
    </r>
    <r>
      <rPr>
        <sz val="12"/>
        <rFont val="Times New Roman"/>
        <family val="1"/>
      </rPr>
      <t xml:space="preserve"> closed</t>
    </r>
  </si>
  <si>
    <t xml:space="preserve">budget has not been submitted to the county clerk) then the </t>
  </si>
  <si>
    <t xml:space="preserve">budget law violation can be fixed before submission of the </t>
  </si>
  <si>
    <t>budget to the county clerk.</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</si>
  <si>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</si>
  <si>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</si>
  <si>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</si>
  <si>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</si>
  <si>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</si>
  <si>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</si>
  <si>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</si>
  <si>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Times New Roman"/>
        <family val="1"/>
      </rPr>
      <t>expenditure</t>
    </r>
    <r>
      <rPr>
        <sz val="12"/>
        <rFont val="Times New Roman"/>
        <family val="1"/>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</si>
  <si>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</si>
  <si>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</si>
  <si>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</si>
  <si>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</si>
  <si>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</si>
  <si>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</si>
  <si>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</si>
  <si>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</si>
  <si>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</si>
  <si>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</si>
  <si>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</si>
  <si>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</si>
  <si>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</si>
  <si>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</si>
  <si>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</si>
  <si>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</si>
  <si>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</si>
  <si>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</si>
  <si>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</si>
  <si>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</si>
  <si>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</si>
  <si>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</si>
  <si>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</si>
  <si>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</si>
  <si>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</si>
  <si>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</si>
  <si>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</si>
  <si>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</si>
  <si>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</si>
  <si>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</si>
  <si>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</si>
  <si>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</si>
  <si>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</si>
  <si>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</si>
  <si>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</si>
  <si>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</si>
  <si>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</si>
  <si>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</si>
  <si>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Tab B</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</si>
  <si>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</si>
  <si>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</si>
  <si>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</si>
  <si>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</si>
  <si>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</si>
  <si>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</si>
  <si>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</si>
  <si>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</si>
  <si>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</si>
  <si>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</si>
  <si>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</si>
  <si>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</si>
  <si>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</si>
  <si>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Times New Roman"/>
        <family val="1"/>
      </rPr>
      <t>10-1116 applies.</t>
    </r>
    <r>
      <rPr>
        <sz val="12"/>
        <rFont val="Times New Roman"/>
        <family val="1"/>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</si>
  <si>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</si>
  <si>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</si>
  <si>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</si>
  <si>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</si>
  <si>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</si>
  <si>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</si>
  <si>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</si>
  <si>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</si>
  <si>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</si>
  <si>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</si>
  <si>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</si>
  <si>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</si>
  <si>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</si>
  <si>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</si>
  <si>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</si>
  <si>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</si>
  <si>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</si>
  <si>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</si>
  <si>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</si>
  <si>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</si>
  <si>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</si>
  <si>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</si>
  <si>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</si>
  <si>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</si>
  <si>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</si>
  <si>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</si>
  <si>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</si>
  <si>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</si>
  <si>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</si>
  <si>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</si>
  <si>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</si>
  <si>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</si>
  <si>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</si>
  <si>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</si>
  <si>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</si>
  <si>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</si>
  <si>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</si>
  <si>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</si>
  <si>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</si>
  <si>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</si>
  <si>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</si>
  <si>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Tab C</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</si>
  <si>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</si>
  <si>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</si>
  <si>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</si>
  <si>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</si>
  <si>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</si>
  <si>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</si>
  <si>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</si>
  <si>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</si>
  <si>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</si>
  <si>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</si>
  <si>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</si>
  <si>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</si>
  <si>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</si>
  <si>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</si>
  <si>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</si>
  <si>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</si>
  <si>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</si>
  <si>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</si>
  <si>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</si>
  <si>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</si>
  <si>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</si>
  <si>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</si>
  <si>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</si>
  <si>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</si>
  <si>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</si>
  <si>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</si>
  <si>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</si>
  <si>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</si>
  <si>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</si>
  <si>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</si>
  <si>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</si>
  <si>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</si>
  <si>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</si>
  <si>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</si>
  <si>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</si>
  <si>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</si>
  <si>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</si>
  <si>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</si>
  <si>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</si>
  <si>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</si>
  <si>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Tab D</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</si>
  <si>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</si>
  <si>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</si>
  <si>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</si>
  <si>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</si>
  <si>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</si>
  <si>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</si>
  <si>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</si>
  <si>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</si>
  <si>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</si>
  <si>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</si>
  <si>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</si>
  <si>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</si>
  <si>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</si>
  <si>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</si>
  <si>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</si>
  <si>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</si>
  <si>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</si>
  <si>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</si>
  <si>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</si>
  <si>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</si>
  <si>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</si>
  <si>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Tab 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</si>
  <si>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</si>
  <si>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</si>
  <si>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</si>
  <si>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</si>
  <si>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</si>
  <si>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</si>
  <si>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</si>
  <si>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</si>
  <si>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</si>
  <si>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</si>
  <si>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</si>
  <si>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</si>
  <si>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</si>
  <si>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</si>
  <si>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</si>
  <si>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</si>
  <si>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</si>
  <si>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</si>
  <si>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</si>
  <si>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</si>
  <si>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</si>
  <si>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</si>
  <si>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</si>
  <si>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</si>
  <si>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</si>
  <si>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</si>
  <si>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</si>
  <si>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</si>
  <si>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</si>
  <si>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</si>
  <si>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</si>
  <si>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</si>
  <si>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</si>
  <si>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</si>
  <si>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Helpful Links</t>
  </si>
  <si>
    <t>Municipal Services (Kansas Department of Administration, Accounts and Reports) – Budget forms, confirmation of payments, transfer statutes, non-budgeted fund statutes, etc.</t>
  </si>
  <si>
    <t>https://admin.ks.gov/offices/accounts-reports/local-government/municipal-services</t>
  </si>
  <si>
    <t>State Debt Setoff Program (Kansas Department of Administration, Accounts and Reports) – Passive collection tool to assist municipalities with collection of unpaid utility bills, etc.</t>
  </si>
  <si>
    <t>https://admin.ks.gov/offices/accounts-reports/state-agencies/finance/setoff-program</t>
  </si>
  <si>
    <t>League of Kansas Municipalities</t>
  </si>
  <si>
    <t>https://www.lkm.org/</t>
  </si>
  <si>
    <t>Kansas Legislature – Kansas Statutes (usually updated in January), House and Senate Bills, etc.</t>
  </si>
  <si>
    <t>http://www.kslegislature.org/li/</t>
  </si>
  <si>
    <t>Kansas Attorney General Opinions</t>
  </si>
  <si>
    <t>https://ag.ks.gov/media-center/ag-opinions</t>
  </si>
  <si>
    <t>Kansas State Treasurer</t>
  </si>
  <si>
    <t>https://www.kansasstatetreasurer.com/fin_serv.html</t>
  </si>
  <si>
    <t>Kansas Department of Revenue</t>
  </si>
  <si>
    <t>https://www.ksrevenue.gov/</t>
  </si>
  <si>
    <t>Kansas Department of Revenue – Property Valuation</t>
  </si>
  <si>
    <t>https://www.ksrevenue.gov/pvdindex.html</t>
  </si>
  <si>
    <t>Kansas Pooled Money Investment Board – Investment of Idle Funds in the Municipal Investment Pool</t>
  </si>
  <si>
    <t>https://pooledmoneyinvestmentboard.com/</t>
  </si>
  <si>
    <t>The following changes were made to this workbook during March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</si>
  <si>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</si>
  <si>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</si>
  <si>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</si>
  <si>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</si>
  <si>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</si>
  <si>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</si>
  <si>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</si>
  <si>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</si>
  <si>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</si>
  <si>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 for comparison to final rates</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</si>
  <si>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</si>
  <si>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</si>
  <si>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</si>
  <si>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</si>
  <si>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</si>
  <si>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</si>
  <si>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6. Delete Notice of Vote/Resolution Sample worksheets</t>
  </si>
  <si>
    <t>The following changes were made to this workbook during March 2020</t>
  </si>
  <si>
    <t>1. CPI Percentages were entered for the 2021 budget year</t>
  </si>
  <si>
    <t>2. Updated the Helpful Links to correct weblinks</t>
  </si>
  <si>
    <t>3. Used format painter to make all pages consistent in color and layout</t>
  </si>
  <si>
    <t>The following changes were made to this workbook in April 2019</t>
  </si>
  <si>
    <t>1.  Updated Municipal Services' contact information on the Instruction tab</t>
  </si>
  <si>
    <t>2.  Entered 2020 for the Budget Year and 2.5% for the CPI percentage on the InputPrYr tab</t>
  </si>
  <si>
    <t>3.  Highlighted tabs (pages) in blue if the page is to be printed and submitted as part of the budget</t>
  </si>
  <si>
    <t>The following changes were made to this workbook in April 2018</t>
  </si>
  <si>
    <t xml:space="preserve">1.  Added the CPA Summary tab.  </t>
  </si>
  <si>
    <t>2.  Added the CPA Summary comment box on the Certification Page and all fund pages.</t>
  </si>
  <si>
    <t xml:space="preserve">3.  Changed Megan Schulz email address on the Library Grant tab.  </t>
  </si>
  <si>
    <t>4.  Renamed the Pub. Notice Option 1 tab to Notice of Vote.</t>
  </si>
  <si>
    <t>5.  Removed the Pub. Notice Option 2 and 3 tabs.</t>
  </si>
  <si>
    <t>The following changes were made to this workbook on 3/7/2017</t>
  </si>
  <si>
    <t xml:space="preserve">1.  inputPrYr tab, inserted CPI percentage, linked the percentage to the Computation tab. </t>
  </si>
  <si>
    <t>The following changes were made to this workbook on 2/3/2016</t>
  </si>
  <si>
    <t>1.  Inserted 2015 CPI percentage on computation tab.</t>
  </si>
  <si>
    <t>The following changes were made to this workbook on 1/25/2016</t>
  </si>
  <si>
    <t>1.  On tax levy funds NR estimate shown as a negative receipt.</t>
  </si>
  <si>
    <t>The following changes were made to this workbook on 10/5/2015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</si>
  <si>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</si>
  <si>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</si>
  <si>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</si>
  <si>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</si>
  <si>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</si>
  <si>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2/3/2015</t>
  </si>
  <si>
    <t>1.  Revised proportionate estimate formulas on mvalloc page.</t>
  </si>
  <si>
    <t>The following changes were made to this workbook on 1/22/2015</t>
  </si>
  <si>
    <t>1.  Inserted 2014 CPI percentage on computation tab.</t>
  </si>
  <si>
    <t>2.  Corrected formula in cell d24 of library grant tab.</t>
  </si>
  <si>
    <t>The following changes were made to this workbook on 10/30/2014</t>
  </si>
  <si>
    <t>1.  Various workbook changes associated with commercial vehicle and watercraft tax estimates.</t>
  </si>
  <si>
    <t>The following changes were made to this workbook on 8/28/2014</t>
  </si>
  <si>
    <t>1.  Update of State Library contact name on library grant tab.</t>
  </si>
  <si>
    <t>The following changes were made to this workbook on 7/21/2014</t>
  </si>
  <si>
    <t>1.  Corrected formula in cell g29 of the Library Grant tab.</t>
  </si>
  <si>
    <t>The following changes were made to this workbook on 7/15/2014</t>
  </si>
  <si>
    <t>1.  Added the ROUND function to cell J38 in the computation tab so result will be a whole number.</t>
  </si>
  <si>
    <t>The following changes were made to this workbook on 5/26/2014</t>
  </si>
  <si>
    <t>1.  Several changes to workbook associated with 2014 HB 2047.</t>
  </si>
  <si>
    <t>The following changes were made to this workbook on 4/29/2014</t>
  </si>
  <si>
    <t>1.  "Budget Authority Amount" cell added to budget year column of all funds.</t>
  </si>
  <si>
    <t>The following changes were made to this workbook on 8/9/2013</t>
  </si>
  <si>
    <t>1.  Corrected cell merge function on certificate page so that signatures lines will print.</t>
  </si>
  <si>
    <t>The following changes were made to this workbook on 3/27/2013</t>
  </si>
  <si>
    <t>1.  Instruction tab narrative modification.</t>
  </si>
  <si>
    <t>The following changes were made to this workbook on 1/31/2013</t>
  </si>
  <si>
    <t>1.  Corrected formula in cell e28 of Library Grant tab.</t>
  </si>
  <si>
    <t>The following changes were made to this workbook on 10/10/2012</t>
  </si>
  <si>
    <t>1.  Added "resolution required?  yes/no" message to area adjacent to each tax levy fund.</t>
  </si>
  <si>
    <t>1.  Corrected formula in cell e29 on Library Grant tab page.</t>
  </si>
  <si>
    <t>The following changes were made to this workbook on 2/22/2012</t>
  </si>
  <si>
    <t>1. Library Grant tab, updated State Library e-mail contact address.</t>
  </si>
  <si>
    <t>The following changes were made to this workbook on 2/7/2012</t>
  </si>
  <si>
    <t>1. Instruction tab - line A7 add Library.</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</si>
  <si>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</si>
  <si>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</si>
  <si>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</si>
  <si>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</si>
  <si>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</si>
  <si>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</si>
  <si>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</si>
  <si>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</si>
  <si>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</si>
  <si>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11. InputBudSum tab - added spaces for official name and title.</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</si>
  <si>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</si>
  <si>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</si>
  <si>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</si>
  <si>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</si>
  <si>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</si>
  <si>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</si>
  <si>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</si>
  <si>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</si>
  <si>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</si>
  <si>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</si>
  <si>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</si>
  <si>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</si>
  <si>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</si>
  <si>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</si>
  <si>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</si>
  <si>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website.</t>
  </si>
  <si>
    <t>28. All fund pages - changed the year headings.</t>
  </si>
  <si>
    <t>29. All fund pages - removed slider and its link.</t>
  </si>
  <si>
    <t>The following changes were made to this workbook on 5/4/2011</t>
  </si>
  <si>
    <t>1. Cert tab cell A45 corrected spelling Assessed.</t>
  </si>
  <si>
    <t>2. Gen tab cell B42 corrected spelling Resources.</t>
  </si>
  <si>
    <t>The following changes were made to this workbook on 4/19/2011</t>
  </si>
  <si>
    <t>1. Summ tab changed proposed year expenditure column to 'Budget Authority for Expenditures.'</t>
  </si>
  <si>
    <t>The following changes were made  to this workbook on 10/26/2010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</si>
  <si>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</si>
  <si>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</si>
  <si>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</si>
  <si>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</si>
  <si>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</si>
  <si>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</si>
  <si>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</si>
  <si>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</si>
  <si>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</si>
  <si>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</si>
  <si>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</si>
  <si>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</si>
  <si>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</si>
  <si>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</si>
  <si>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</si>
  <si>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</si>
  <si>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</si>
  <si>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</si>
  <si>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</si>
  <si>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</si>
  <si>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</si>
  <si>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</si>
  <si>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Remove the w-2 infro from certificate page.</t>
  </si>
  <si>
    <t>The following changes were made to this workbook on 4/15/2010</t>
  </si>
  <si>
    <t>1. Changed schedule of transfers statute column to allow for statute to pop-up if transfers are shown in current/proposed columns.</t>
  </si>
  <si>
    <t>The following changes were made to this workbook on 1/05/2010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</si>
  <si>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</si>
  <si>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</si>
  <si>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</si>
  <si>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</si>
  <si>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</si>
  <si>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</si>
  <si>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in the 'General Instruction' section about Funds mill rate computed.</t>
  </si>
  <si>
    <t>2. Change the Certificate and Budget Summary page for 'Funds' in step 1.</t>
  </si>
  <si>
    <t>3. Instruction tab, added step 3 for 'inputBudSum.'</t>
  </si>
  <si>
    <t>4. Added tab 'inputBudSum.'</t>
  </si>
  <si>
    <t>5. Changed Budget Summary replacing the green areas for date/time/location so info comes from inputBudSum tab.</t>
  </si>
  <si>
    <t>6. Added to instruction tab lines 4a and 12b for computation of levy on Certificate and Budget Summary pages.</t>
  </si>
  <si>
    <t>The following changes were made to this workbook on 8/21/2009</t>
  </si>
  <si>
    <t>1. InputPrYr tab changed the Bond &amp; Interest to Debt Service.</t>
  </si>
  <si>
    <t>2. InputPrYr tab added line 18 'If amended . . . .'</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</si>
  <si>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</si>
  <si>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</si>
  <si>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</si>
  <si>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</si>
  <si>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</si>
  <si>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8. TransferStatutes tab created.</t>
  </si>
  <si>
    <t>9. Instructions tab added 6c for TransferStatutes tab.</t>
  </si>
  <si>
    <t>10. Instruction tab added 9m to explain about Non-Budgeted Form.</t>
  </si>
  <si>
    <t>11. Cert tab added Non-Budgeted Funds line A35.</t>
  </si>
  <si>
    <t>12. Added nonbud tab for the Non-Budgeted Funds.</t>
  </si>
  <si>
    <t>13. Summ tab added A34 for Non-Budgeted Funds.</t>
  </si>
  <si>
    <t>14. Added Tabs A to E for violations.</t>
  </si>
  <si>
    <t>15. Changed each fund page taking out the 'Yes' and 'No' and replacing them with 'See Tab' for a possible violation.</t>
  </si>
  <si>
    <t>16. NonBud tab changed Net Valuation to July 1.</t>
  </si>
  <si>
    <t>17. Certificate tab moved the Assisted By: and added more lines for governing body signatures.</t>
  </si>
  <si>
    <t>The following changes were made to this workbook on 5/5/2009</t>
  </si>
  <si>
    <t>1. Summ tab, special machinery's expenditure cell b34 was changed from C61 to B61.</t>
  </si>
  <si>
    <t>The following changes were made to this workbook on 4/3/2009</t>
  </si>
  <si>
    <t>1. Changed mvalloc column d to pickup ad valorem versus equipments from inputPrYr</t>
  </si>
  <si>
    <t>The following were changed to this workbook on 3/19/2009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</si>
  <si>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</si>
  <si>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</si>
  <si>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</si>
  <si>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workbook on 2/23/2009</t>
  </si>
  <si>
    <t>1. Instruction under Submitting of Budget ….required electronic submission.</t>
  </si>
  <si>
    <t>2. Input other tab line 80 change from Budget Summary to Budget Certificate.</t>
  </si>
  <si>
    <t>The following were changed to this workbook on 10/17/2008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</si>
  <si>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</si>
  <si>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</si>
  <si>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</si>
  <si>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</si>
  <si>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</si>
  <si>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</si>
  <si>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</si>
  <si>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</si>
  <si>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</si>
  <si>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</si>
  <si>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</si>
  <si>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</si>
  <si>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</si>
  <si>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</si>
  <si>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</si>
  <si>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</si>
  <si>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14. If road transfer funds to special machinery, the transfers are linked and to the Schedule of Transfers.</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</si>
  <si>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</si>
  <si>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</si>
  <si>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</si>
  <si>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</si>
  <si>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</si>
  <si>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</si>
  <si>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t>15c. Transfers are linked from general fund to special machinery and to Schedule of Transfers. Transfers for actual year will also have the statute reference shown.</t>
  </si>
  <si>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</si>
  <si>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</si>
  <si>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The following were changed to this workbook on 8/06/2007</t>
  </si>
  <si>
    <t>1. instruction were changed: POC change from Roger to armunis, got rid about us providing disk, took the input page and split to input prior budget information and input other, with more in-depth of forms and fund page, and more in-depth on the budget summary page.</t>
  </si>
  <si>
    <t>2. All pages have a revision date.</t>
  </si>
  <si>
    <t xml:space="preserve">3. Hard coded the Bond &amp; Interest, and Road on Certificate and Summary pages. </t>
  </si>
  <si>
    <t xml:space="preserve">4.  All dates on the spreadsheet are controlled from input on the input Prior Year page. </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</si>
  <si>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</si>
  <si>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</si>
  <si>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</si>
  <si>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8. Added  LAVTR to the input page and to the General Fund page.</t>
  </si>
  <si>
    <t>9. Changed the Budget Summary Heading to include Actual/Estimate/Proposed with the budget year.</t>
  </si>
  <si>
    <t>10. Changed the delinquency rate formula for all levy funds.</t>
  </si>
  <si>
    <t>11. Changed the Certificate page so the county name flows instead of having unneeded spaces.</t>
  </si>
  <si>
    <t>12. On inputpryr, using the actual ad valorem rates from the Clerk's information versus from the Certificate page.</t>
  </si>
  <si>
    <t>13. Delinquency rate for actual for 3 decimal and note that rate can be up to 5% over the actual rate.</t>
  </si>
  <si>
    <t>14. Added column to show when debt retired on the Indebtedness page.</t>
  </si>
  <si>
    <t>15. Budget Summary changed the sentence "will meet…" so the year appears as YYYY.</t>
  </si>
  <si>
    <t>16. Resolution page has a space for a page number.</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</si>
  <si>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</si>
  <si>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</si>
  <si>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</si>
  <si>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20. Added to instructions about non-appropriated funds limit of 5%.</t>
  </si>
  <si>
    <t>21. Added warning "Exceeds 5%" on all levy fund pages for the non-appropriated balance.</t>
  </si>
  <si>
    <t>22. Added Neighborhood Revitalization table and linked to the fund pages.</t>
  </si>
  <si>
    <t>23. Added Neighborhood Revitalization receipt to all tax levy fund pages.</t>
  </si>
  <si>
    <t>24. Added Neighborhood Revitalization line to the Certificate page.</t>
  </si>
  <si>
    <t>25. Added Slider to the Vehicle Allocation table and linked to the fund pages.</t>
  </si>
  <si>
    <t>26. Added to all budgeted fund pages the budget authority for the actual year, budget violation, and cash violation.</t>
  </si>
  <si>
    <t>27. Added instruction on the addition for item 26.</t>
  </si>
  <si>
    <t>28. Added 9a to instructions to explain County Treasurers Jan 1 and Dec 31 balances.</t>
  </si>
  <si>
    <t>29. Added 'excluding oil, gas, and mobile homes' to lines 17,21,27, and 31 on Clerks budget info on tab inputoth.</t>
  </si>
  <si>
    <t xml:space="preserve">General </t>
  </si>
  <si>
    <t>Municipal Budget Tools/Explainers for Various Situations</t>
  </si>
  <si>
    <t>Revenue Neutral Rate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</si>
  <si>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</si>
  <si>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</si>
  <si>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</si>
  <si>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</si>
  <si>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</si>
  <si>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</si>
  <si>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</si>
  <si>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</si>
  <si>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</si>
  <si>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</si>
  <si>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</si>
  <si>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</si>
  <si>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</si>
  <si>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</si>
  <si>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</si>
  <si>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</si>
  <si>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</si>
  <si>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</si>
  <si>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</si>
  <si>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How to Compute the Value of One Mill, and the Impact of Tax Dollars and Assessed Valuation on Mill Rates</t>
  </si>
  <si>
    <t xml:space="preserve">The following changes were made to this workbook during April 2023: </t>
  </si>
  <si>
    <t>Reprogram final rate computation on Certificate page</t>
  </si>
  <si>
    <t>Corrected transfer programming for General/Special Machinery and Road/Special Machinery</t>
  </si>
  <si>
    <t>Created Budget Tools, removed 'helpful links' and 'mill rate computation' (those tabs are now located in 'Budget Tools'</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</si>
  <si>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</si>
  <si>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</si>
  <si>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</si>
  <si>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</si>
  <si>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</si>
  <si>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</si>
  <si>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</si>
  <si>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</si>
  <si>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</si>
  <si>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1. Removed LAVTR from inputOth, Library Grant and General fund tabs.</t>
  </si>
  <si>
    <t>2. Renamed Cash Forward/Cash-Basis Reserve to Cash Reserve on all fund pages.</t>
  </si>
  <si>
    <t>The following changes were made to this workbook during April-May 2024</t>
  </si>
  <si>
    <t>3. Added RNR Resolution YES/NO formula to certificate page.</t>
  </si>
  <si>
    <t>Does budget require a resolution to exceed the Revenue Neutral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</si>
</sst>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43" formatCode="_(* #,##0.00_);_(* \(#,##0.00\);_(* &quot;-&quot;??_);_(@_)"/>
    <numFmt numFmtId="164" formatCode="0_)"/>
    <numFmt numFmtId="165" formatCode="0.000_)"/>
    <numFmt numFmtId="166" formatCode="m/d/yy"/>
    <numFmt numFmtId="167" formatCode="m/d"/>
    <numFmt numFmtId="168" formatCode="#,##0.000_);\(#,##0.000\)"/>
    <numFmt numFmtId="169" formatCode="0.000"/>
    <numFmt numFmtId="170" formatCode="_(* #,##0_);_(* \(#,##0\);_(* &quot;-&quot;??_);_(@_)"/>
    <numFmt numFmtId="171" formatCode="#,##0.000"/>
    <numFmt numFmtId="172" formatCode="&quot;$&quot;#,##0"/>
    <numFmt numFmtId="173" formatCode="&quot;$&quot;#,##0.00"/>
    <numFmt numFmtId="174" formatCode="0.0%"/>
    <numFmt numFmtId="175" formatCode="#,##0.000_);[Red]\(#,##0.000\)"/>
    <numFmt numFmtId="176" formatCode="0.000_);\(0.000\)"/>
  </numFmts>
  <fonts count="68" x14ac:knownFonts="1">
    <font>
      <sz val="12"/>
      <name val="Courier New"/>
    </font>
    <font>
      <b/>
      <sz val="12"/>
      <name val="Courier New"/>
      <family val="3"/>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10"/>
      <name val="Times New Roman"/>
      <family val="1"/>
    </font>
    <font>
      <u/>
      <sz val="12"/>
      <color indexed="12"/>
      <name val="Courier New"/>
      <family val="3"/>
    </font>
    <font>
      <sz val="8"/>
      <name val="Courier New"/>
      <family val="3"/>
    </font>
    <font>
      <b/>
      <sz val="11"/>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sz val="10"/>
      <name val="Courier"/>
      <family val="3"/>
    </font>
    <font>
      <sz val="10"/>
      <color indexed="10"/>
      <name val="Times New Roman"/>
      <family val="1"/>
    </font>
    <font>
      <sz val="12"/>
      <name val="Courier"/>
      <family val="3"/>
    </font>
    <font>
      <sz val="12"/>
      <name val="Courier"/>
      <family val="3"/>
    </font>
    <font>
      <b/>
      <sz val="8"/>
      <name val="Times New Roman"/>
      <family val="1"/>
    </font>
    <font>
      <sz val="12"/>
      <name val="Courier"/>
      <family val="3"/>
    </font>
    <font>
      <sz val="11"/>
      <color theme="1"/>
      <name val="Calibri"/>
      <family val="2"/>
      <scheme val="minor"/>
    </font>
    <font>
      <b/>
      <sz val="16"/>
      <name val="Times New Roman"/>
      <family val="1"/>
    </font>
    <font>
      <sz val="12"/>
      <name val="Courier"/>
    </font>
    <font>
      <b/>
      <sz val="14"/>
      <name val="Times New Roman"/>
      <family val="1"/>
    </font>
    <font>
      <u/>
      <vertAlign val="superscript"/>
      <sz val="12"/>
      <name val="Times New Roman"/>
      <family val="1"/>
    </font>
    <font>
      <b/>
      <sz val="12"/>
      <color rgb="FFFF0000"/>
      <name val="Times New Roman"/>
      <family val="1"/>
    </font>
    <font>
      <sz val="11"/>
      <name val="Calibri"/>
      <family val="2"/>
    </font>
    <font>
      <sz val="7"/>
      <name val="Times New Roman"/>
      <family val="1"/>
    </font>
    <font>
      <sz val="12"/>
      <color rgb="FFFF0000"/>
      <name val="Times New Roman"/>
      <family val="1"/>
    </font>
    <font>
      <sz val="14"/>
      <name val="Times New Roman"/>
      <family val="1"/>
    </font>
    <font>
      <i/>
      <u/>
      <sz val="12"/>
      <name val="Times New Roman"/>
      <family val="1"/>
    </font>
    <font>
      <b/>
      <i/>
      <sz val="12"/>
      <color rgb="FFFF0000"/>
      <name val="Times New Roman"/>
      <family val="1"/>
    </font>
    <font>
      <b/>
      <sz val="20"/>
      <color rgb="FF000000"/>
      <name val="Cambria"/>
      <family val="1"/>
      <scheme val="major"/>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2"/>
      <name val="Courier"/>
    </font>
    <font>
      <b/>
      <sz val="14"/>
      <name val="Cambria"/>
      <family val="1"/>
      <scheme val="major"/>
    </font>
    <font>
      <sz val="12"/>
      <name val="Calibri"/>
      <family val="2"/>
      <scheme val="minor"/>
    </font>
    <font>
      <b/>
      <sz val="14"/>
      <name val="Calibri"/>
      <family val="2"/>
      <scheme val="minor"/>
    </font>
    <font>
      <u/>
      <sz val="12"/>
      <name val="Calibri"/>
      <family val="2"/>
      <scheme val="minor"/>
    </font>
    <font>
      <b/>
      <sz val="12"/>
      <name val="Calibri"/>
      <family val="2"/>
      <scheme val="minor"/>
    </font>
  </fonts>
  <fills count="18">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indexed="41"/>
        <bgColor indexed="64"/>
      </patternFill>
    </fill>
    <fill>
      <patternFill patternType="solid">
        <fgColor indexed="35"/>
        <bgColor indexed="64"/>
      </patternFill>
    </fill>
    <fill>
      <patternFill patternType="solid">
        <fgColor rgb="FFFFFFC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s>
  <cellStyleXfs count="504">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 fillId="0" borderId="0"/>
    <xf numFmtId="0" fontId="42"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4"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44" fillId="0" borderId="0"/>
    <xf numFmtId="0" fontId="44" fillId="0" borderId="0"/>
    <xf numFmtId="0" fontId="5" fillId="0" borderId="0"/>
  </cellStyleXfs>
  <cellXfs count="855">
    <xf numFmtId="0" fontId="0" fillId="0" borderId="0" xfId="0"/>
    <xf numFmtId="0" fontId="5" fillId="0" borderId="0" xfId="0" applyFont="1"/>
    <xf numFmtId="3" fontId="5" fillId="2" borderId="1"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xf numFmtId="37" fontId="5" fillId="4" borderId="0" xfId="0" applyNumberFormat="1" applyFont="1" applyFill="1" applyAlignment="1">
      <alignment horizontal="left"/>
    </xf>
    <xf numFmtId="3" fontId="5" fillId="4" borderId="0" xfId="0" applyNumberFormat="1" applyFont="1" applyFill="1"/>
    <xf numFmtId="3" fontId="5" fillId="4" borderId="2" xfId="0" applyNumberFormat="1" applyFont="1" applyFill="1" applyBorder="1"/>
    <xf numFmtId="0" fontId="5" fillId="4" borderId="0" xfId="0" applyFont="1" applyFill="1" applyAlignment="1">
      <alignment horizontal="centerContinuous"/>
    </xf>
    <xf numFmtId="37" fontId="4" fillId="4" borderId="0" xfId="0" applyNumberFormat="1" applyFont="1" applyFill="1" applyAlignment="1">
      <alignment horizontal="left"/>
    </xf>
    <xf numFmtId="37" fontId="5" fillId="4" borderId="2" xfId="0" applyNumberFormat="1" applyFont="1" applyFill="1" applyBorder="1" applyAlignment="1">
      <alignment horizontal="left"/>
    </xf>
    <xf numFmtId="0" fontId="5" fillId="4" borderId="2" xfId="0" applyFont="1" applyFill="1" applyBorder="1"/>
    <xf numFmtId="37" fontId="5" fillId="4" borderId="3" xfId="0" applyNumberFormat="1" applyFont="1" applyFill="1" applyBorder="1" applyAlignment="1">
      <alignment horizontal="left"/>
    </xf>
    <xf numFmtId="0" fontId="5" fillId="4" borderId="3" xfId="0" applyFont="1" applyFill="1" applyBorder="1"/>
    <xf numFmtId="0" fontId="5" fillId="4" borderId="4" xfId="0" applyFont="1" applyFill="1" applyBorder="1"/>
    <xf numFmtId="0" fontId="0" fillId="4" borderId="0" xfId="0" applyFill="1"/>
    <xf numFmtId="37" fontId="5" fillId="4" borderId="0" xfId="0" applyNumberFormat="1" applyFont="1" applyFill="1" applyProtection="1">
      <protection locked="0"/>
    </xf>
    <xf numFmtId="3" fontId="5" fillId="4" borderId="0" xfId="0" applyNumberFormat="1" applyFont="1" applyFill="1" applyProtection="1">
      <protection locked="0"/>
    </xf>
    <xf numFmtId="0" fontId="14" fillId="4" borderId="0" xfId="0" applyFont="1" applyFill="1" applyAlignment="1">
      <alignment horizontal="center"/>
    </xf>
    <xf numFmtId="3" fontId="5" fillId="4" borderId="5" xfId="0" applyNumberFormat="1" applyFont="1" applyFill="1" applyBorder="1"/>
    <xf numFmtId="37" fontId="5" fillId="4" borderId="0" xfId="0" applyNumberFormat="1" applyFont="1" applyFill="1"/>
    <xf numFmtId="169" fontId="5" fillId="5" borderId="1" xfId="0" applyNumberFormat="1" applyFont="1" applyFill="1" applyBorder="1"/>
    <xf numFmtId="37" fontId="4" fillId="4" borderId="2" xfId="0" applyNumberFormat="1" applyFont="1" applyFill="1" applyBorder="1" applyAlignment="1">
      <alignment horizontal="left"/>
    </xf>
    <xf numFmtId="37" fontId="4" fillId="6" borderId="2" xfId="0" applyNumberFormat="1" applyFont="1" applyFill="1" applyBorder="1" applyAlignment="1">
      <alignment horizontal="left"/>
    </xf>
    <xf numFmtId="0" fontId="5" fillId="6" borderId="3" xfId="0" applyFont="1" applyFill="1" applyBorder="1"/>
    <xf numFmtId="3" fontId="5" fillId="5" borderId="1" xfId="0" applyNumberFormat="1" applyFont="1" applyFill="1" applyBorder="1"/>
    <xf numFmtId="0" fontId="6" fillId="4" borderId="0" xfId="0" applyFont="1" applyFill="1"/>
    <xf numFmtId="37" fontId="5" fillId="5" borderId="3" xfId="0" applyNumberFormat="1" applyFont="1" applyFill="1" applyBorder="1" applyProtection="1">
      <protection locked="0"/>
    </xf>
    <xf numFmtId="3" fontId="5" fillId="5" borderId="3" xfId="0" applyNumberFormat="1" applyFont="1" applyFill="1" applyBorder="1" applyProtection="1">
      <protection locked="0"/>
    </xf>
    <xf numFmtId="37" fontId="6" fillId="4" borderId="0" xfId="0" applyNumberFormat="1" applyFont="1" applyFill="1" applyAlignment="1">
      <alignment horizontal="left"/>
    </xf>
    <xf numFmtId="0" fontId="5" fillId="7" borderId="6" xfId="0" applyFont="1" applyFill="1" applyBorder="1" applyAlignment="1">
      <alignment horizontal="center"/>
    </xf>
    <xf numFmtId="0" fontId="5" fillId="7" borderId="7" xfId="0" applyFont="1" applyFill="1" applyBorder="1" applyAlignment="1">
      <alignment horizontal="center"/>
    </xf>
    <xf numFmtId="0" fontId="12" fillId="4" borderId="0" xfId="0" applyFont="1" applyFill="1"/>
    <xf numFmtId="0" fontId="16" fillId="4" borderId="0" xfId="0" applyFont="1" applyFill="1"/>
    <xf numFmtId="37" fontId="5" fillId="4" borderId="1" xfId="0" applyNumberFormat="1" applyFont="1" applyFill="1" applyBorder="1"/>
    <xf numFmtId="0" fontId="5" fillId="4" borderId="0" xfId="0" applyFont="1" applyFill="1" applyAlignment="1">
      <alignment vertical="center"/>
    </xf>
    <xf numFmtId="0" fontId="5" fillId="4" borderId="0" xfId="0" applyFont="1" applyFill="1" applyAlignment="1">
      <alignment horizontal="centerContinuous" vertical="center"/>
    </xf>
    <xf numFmtId="37" fontId="5" fillId="4" borderId="0" xfId="0" quotePrefix="1" applyNumberFormat="1" applyFont="1" applyFill="1" applyAlignment="1">
      <alignment horizontal="right" vertical="center"/>
    </xf>
    <xf numFmtId="37" fontId="5" fillId="4" borderId="0" xfId="0" applyNumberFormat="1" applyFont="1" applyFill="1" applyAlignment="1">
      <alignment horizontal="fill" vertical="center"/>
    </xf>
    <xf numFmtId="37" fontId="5" fillId="4" borderId="0" xfId="0" applyNumberFormat="1" applyFont="1" applyFill="1" applyAlignment="1">
      <alignment horizontal="left" vertical="center"/>
    </xf>
    <xf numFmtId="0" fontId="5" fillId="4" borderId="8" xfId="0" applyFont="1" applyFill="1" applyBorder="1" applyAlignment="1">
      <alignment vertical="center"/>
    </xf>
    <xf numFmtId="37" fontId="5" fillId="4" borderId="2" xfId="0" applyNumberFormat="1" applyFont="1" applyFill="1" applyBorder="1" applyAlignment="1">
      <alignment horizontal="left" vertical="center"/>
    </xf>
    <xf numFmtId="0" fontId="5" fillId="4" borderId="2" xfId="0" applyFont="1" applyFill="1" applyBorder="1" applyAlignment="1">
      <alignment vertical="center"/>
    </xf>
    <xf numFmtId="37" fontId="5" fillId="4" borderId="9" xfId="0" applyNumberFormat="1" applyFont="1" applyFill="1" applyBorder="1" applyAlignment="1">
      <alignment horizontal="left" vertical="center"/>
    </xf>
    <xf numFmtId="0" fontId="5" fillId="4" borderId="4" xfId="0" applyFont="1" applyFill="1" applyBorder="1" applyAlignment="1">
      <alignment vertical="center"/>
    </xf>
    <xf numFmtId="0" fontId="5" fillId="4" borderId="10" xfId="0" applyFont="1" applyFill="1" applyBorder="1" applyAlignment="1">
      <alignment vertical="center"/>
    </xf>
    <xf numFmtId="37" fontId="5" fillId="4" borderId="1" xfId="0" applyNumberFormat="1" applyFont="1" applyFill="1" applyBorder="1" applyAlignment="1">
      <alignment horizontal="center" vertical="center"/>
    </xf>
    <xf numFmtId="0" fontId="5" fillId="4" borderId="11" xfId="0" applyFont="1" applyFill="1" applyBorder="1" applyAlignment="1">
      <alignment vertical="center"/>
    </xf>
    <xf numFmtId="37" fontId="5" fillId="4" borderId="12" xfId="0" applyNumberFormat="1" applyFont="1" applyFill="1" applyBorder="1" applyAlignment="1">
      <alignment horizontal="left" vertical="center"/>
    </xf>
    <xf numFmtId="37" fontId="6" fillId="4" borderId="12" xfId="0" applyNumberFormat="1" applyFont="1" applyFill="1" applyBorder="1" applyAlignment="1">
      <alignment horizontal="left" vertical="center"/>
    </xf>
    <xf numFmtId="37" fontId="6" fillId="4" borderId="0" xfId="0" applyNumberFormat="1" applyFont="1" applyFill="1" applyAlignment="1">
      <alignment horizontal="center" vertical="center"/>
    </xf>
    <xf numFmtId="0" fontId="5" fillId="4" borderId="1" xfId="0" applyFont="1" applyFill="1" applyBorder="1" applyAlignment="1">
      <alignment horizontal="center" vertical="center"/>
    </xf>
    <xf numFmtId="0" fontId="5" fillId="4" borderId="5" xfId="0" applyFont="1" applyFill="1" applyBorder="1" applyAlignment="1">
      <alignment vertical="center"/>
    </xf>
    <xf numFmtId="37" fontId="5" fillId="4" borderId="1" xfId="0" applyNumberFormat="1" applyFont="1" applyFill="1" applyBorder="1" applyAlignment="1">
      <alignment vertical="center"/>
    </xf>
    <xf numFmtId="164" fontId="5" fillId="4" borderId="1" xfId="0" applyNumberFormat="1" applyFont="1" applyFill="1" applyBorder="1" applyAlignment="1">
      <alignment horizontal="center" vertical="center"/>
    </xf>
    <xf numFmtId="165" fontId="5" fillId="4" borderId="1" xfId="0" applyNumberFormat="1" applyFont="1" applyFill="1" applyBorder="1" applyAlignment="1">
      <alignment vertical="center"/>
    </xf>
    <xf numFmtId="37" fontId="5" fillId="4" borderId="9" xfId="0" applyNumberFormat="1" applyFont="1" applyFill="1" applyBorder="1" applyAlignment="1">
      <alignment vertical="center"/>
    </xf>
    <xf numFmtId="37" fontId="5" fillId="4" borderId="4"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37" fontId="5" fillId="4" borderId="11" xfId="0" applyNumberFormat="1" applyFont="1" applyFill="1" applyBorder="1" applyAlignment="1">
      <alignment horizontal="center" vertical="center"/>
    </xf>
    <xf numFmtId="37" fontId="4" fillId="4" borderId="9" xfId="0" applyNumberFormat="1" applyFont="1" applyFill="1" applyBorder="1" applyAlignment="1">
      <alignment horizontal="left" vertical="center"/>
    </xf>
    <xf numFmtId="37" fontId="5" fillId="4" borderId="1" xfId="0" applyNumberFormat="1" applyFont="1" applyFill="1" applyBorder="1" applyAlignment="1">
      <alignment horizontal="left" vertical="center"/>
    </xf>
    <xf numFmtId="0" fontId="0" fillId="0" borderId="0" xfId="0" applyAlignment="1">
      <alignment vertical="center"/>
    </xf>
    <xf numFmtId="0" fontId="5" fillId="3" borderId="2"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lignment horizontal="left" vertical="center"/>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0" fillId="4" borderId="0" xfId="0" applyFont="1" applyFill="1" applyAlignment="1">
      <alignment horizontal="center" vertical="center"/>
    </xf>
    <xf numFmtId="37" fontId="5" fillId="4" borderId="0" xfId="0" applyNumberFormat="1" applyFont="1" applyFill="1" applyAlignment="1">
      <alignment vertical="center"/>
    </xf>
    <xf numFmtId="0" fontId="21" fillId="4" borderId="6" xfId="0" applyFont="1" applyFill="1" applyBorder="1" applyAlignment="1">
      <alignment vertical="center"/>
    </xf>
    <xf numFmtId="0" fontId="21" fillId="4" borderId="4" xfId="0" applyFont="1" applyFill="1" applyBorder="1" applyAlignment="1">
      <alignment horizontal="center" vertical="center"/>
    </xf>
    <xf numFmtId="0" fontId="21" fillId="4" borderId="10" xfId="0" applyFont="1" applyFill="1" applyBorder="1" applyAlignment="1">
      <alignment vertical="center"/>
    </xf>
    <xf numFmtId="0" fontId="21"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21" fillId="4" borderId="12" xfId="0" applyFont="1" applyFill="1" applyBorder="1" applyAlignment="1">
      <alignment vertical="center"/>
    </xf>
    <xf numFmtId="3" fontId="21" fillId="3" borderId="1" xfId="0" applyNumberFormat="1" applyFont="1" applyFill="1" applyBorder="1" applyAlignment="1" applyProtection="1">
      <alignment horizontal="center" vertical="center"/>
      <protection locked="0"/>
    </xf>
    <xf numFmtId="0" fontId="21" fillId="4" borderId="2" xfId="0" applyFont="1" applyFill="1" applyBorder="1" applyAlignment="1">
      <alignment vertical="center"/>
    </xf>
    <xf numFmtId="3" fontId="21" fillId="5" borderId="1" xfId="0" applyNumberFormat="1" applyFont="1" applyFill="1" applyBorder="1" applyAlignment="1">
      <alignment horizontal="center" vertical="center"/>
    </xf>
    <xf numFmtId="0" fontId="21" fillId="4" borderId="0" xfId="0" applyFont="1" applyFill="1" applyAlignment="1">
      <alignment vertical="center"/>
    </xf>
    <xf numFmtId="3" fontId="21" fillId="4" borderId="0" xfId="0" applyNumberFormat="1" applyFont="1" applyFill="1" applyAlignment="1">
      <alignment horizontal="center" vertical="center"/>
    </xf>
    <xf numFmtId="0" fontId="21" fillId="4" borderId="0" xfId="0" applyFont="1" applyFill="1" applyAlignment="1">
      <alignment horizontal="center" vertical="center"/>
    </xf>
    <xf numFmtId="0" fontId="21" fillId="3" borderId="1" xfId="0" applyFont="1" applyFill="1" applyBorder="1" applyAlignment="1" applyProtection="1">
      <alignment vertical="center"/>
      <protection locked="0"/>
    </xf>
    <xf numFmtId="0" fontId="21" fillId="3" borderId="10" xfId="0" applyFont="1" applyFill="1" applyBorder="1" applyAlignment="1" applyProtection="1">
      <alignment vertical="center"/>
      <protection locked="0"/>
    </xf>
    <xf numFmtId="3" fontId="21" fillId="3" borderId="10" xfId="0" applyNumberFormat="1" applyFont="1" applyFill="1" applyBorder="1" applyAlignment="1" applyProtection="1">
      <alignment horizontal="center" vertical="center"/>
      <protection locked="0"/>
    </xf>
    <xf numFmtId="0" fontId="21" fillId="3" borderId="0" xfId="0" applyFont="1" applyFill="1" applyAlignment="1" applyProtection="1">
      <alignment vertical="center"/>
      <protection locked="0"/>
    </xf>
    <xf numFmtId="3" fontId="21" fillId="3" borderId="5" xfId="0" applyNumberFormat="1" applyFont="1" applyFill="1" applyBorder="1" applyAlignment="1" applyProtection="1">
      <alignment horizontal="center" vertical="center"/>
      <protection locked="0"/>
    </xf>
    <xf numFmtId="3" fontId="21" fillId="3" borderId="4" xfId="0" applyNumberFormat="1" applyFont="1" applyFill="1" applyBorder="1" applyAlignment="1" applyProtection="1">
      <alignment horizontal="center" vertical="center"/>
      <protection locked="0"/>
    </xf>
    <xf numFmtId="0" fontId="21" fillId="3" borderId="4"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3" fontId="21" fillId="3" borderId="11" xfId="0" applyNumberFormat="1" applyFont="1" applyFill="1" applyBorder="1" applyAlignment="1" applyProtection="1">
      <alignment horizontal="center" vertical="center"/>
      <protection locked="0"/>
    </xf>
    <xf numFmtId="0" fontId="21" fillId="3" borderId="11" xfId="0" applyFont="1" applyFill="1" applyBorder="1" applyAlignment="1" applyProtection="1">
      <alignment vertical="center"/>
      <protection locked="0"/>
    </xf>
    <xf numFmtId="3" fontId="21" fillId="5" borderId="7" xfId="0" applyNumberFormat="1" applyFont="1" applyFill="1" applyBorder="1" applyAlignment="1">
      <alignment horizontal="center" vertical="center"/>
    </xf>
    <xf numFmtId="3" fontId="21" fillId="6" borderId="1" xfId="0" applyNumberFormat="1" applyFont="1" applyFill="1" applyBorder="1" applyAlignment="1">
      <alignment horizontal="center" vertical="center"/>
    </xf>
    <xf numFmtId="3" fontId="5" fillId="4" borderId="0" xfId="0" applyNumberFormat="1" applyFont="1" applyFill="1" applyAlignment="1">
      <alignment vertical="center"/>
    </xf>
    <xf numFmtId="3" fontId="5" fillId="0" borderId="0" xfId="0" applyNumberFormat="1" applyFont="1" applyAlignment="1">
      <alignment vertical="center"/>
    </xf>
    <xf numFmtId="0" fontId="5" fillId="0" borderId="0" xfId="0" applyFont="1" applyAlignment="1" applyProtection="1">
      <alignment vertical="center"/>
      <protection locked="0"/>
    </xf>
    <xf numFmtId="37" fontId="4" fillId="4" borderId="0" xfId="0" applyNumberFormat="1" applyFont="1" applyFill="1" applyAlignment="1">
      <alignment horizontal="left" vertical="center"/>
    </xf>
    <xf numFmtId="0" fontId="4" fillId="4" borderId="0" xfId="0" applyFont="1" applyFill="1" applyAlignment="1">
      <alignment vertical="center"/>
    </xf>
    <xf numFmtId="0" fontId="4" fillId="3" borderId="1" xfId="0" applyFont="1" applyFill="1" applyBorder="1" applyAlignment="1" applyProtection="1">
      <alignment horizontal="center" vertical="center"/>
      <protection locked="0"/>
    </xf>
    <xf numFmtId="0" fontId="6" fillId="7" borderId="6" xfId="0" applyFont="1" applyFill="1" applyBorder="1" applyAlignment="1">
      <alignment horizontal="center" vertical="center"/>
    </xf>
    <xf numFmtId="0" fontId="6" fillId="4" borderId="0" xfId="0" applyFont="1" applyFill="1" applyAlignment="1">
      <alignment horizontal="center" vertical="center"/>
    </xf>
    <xf numFmtId="0" fontId="5" fillId="7" borderId="7"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2" xfId="0" applyFont="1" applyFill="1" applyBorder="1" applyAlignment="1">
      <alignment horizontal="left" vertical="center"/>
    </xf>
    <xf numFmtId="0" fontId="5" fillId="4" borderId="3" xfId="0" applyFont="1" applyFill="1" applyBorder="1" applyAlignment="1">
      <alignment vertical="center"/>
    </xf>
    <xf numFmtId="37" fontId="5" fillId="4" borderId="3" xfId="0" applyNumberFormat="1" applyFont="1" applyFill="1" applyBorder="1" applyAlignment="1">
      <alignment vertical="center"/>
    </xf>
    <xf numFmtId="37" fontId="5" fillId="5" borderId="1" xfId="0" applyNumberFormat="1" applyFont="1" applyFill="1" applyBorder="1" applyAlignment="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5" borderId="1" xfId="0" applyNumberFormat="1" applyFont="1" applyFill="1" applyBorder="1" applyAlignment="1">
      <alignment vertical="center"/>
    </xf>
    <xf numFmtId="165" fontId="5" fillId="4" borderId="2" xfId="0" applyNumberFormat="1" applyFont="1" applyFill="1" applyBorder="1" applyAlignment="1">
      <alignment vertical="center"/>
    </xf>
    <xf numFmtId="165" fontId="5" fillId="5" borderId="13" xfId="0" applyNumberFormat="1" applyFont="1" applyFill="1" applyBorder="1" applyAlignment="1">
      <alignment vertical="center"/>
    </xf>
    <xf numFmtId="0" fontId="5" fillId="4" borderId="0" xfId="0" applyFont="1" applyFill="1" applyAlignment="1" applyProtection="1">
      <alignment vertical="center"/>
      <protection locked="0"/>
    </xf>
    <xf numFmtId="0" fontId="5" fillId="4" borderId="2" xfId="0" applyFont="1" applyFill="1" applyBorder="1" applyAlignment="1">
      <alignment horizontal="center" vertical="center"/>
    </xf>
    <xf numFmtId="0" fontId="5" fillId="4" borderId="5"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4" fillId="0" borderId="0" xfId="0" applyFont="1" applyAlignment="1" applyProtection="1">
      <alignment vertical="center"/>
      <protection locked="0"/>
    </xf>
    <xf numFmtId="1" fontId="5" fillId="4" borderId="9" xfId="0" applyNumberFormat="1" applyFont="1" applyFill="1" applyBorder="1" applyAlignment="1">
      <alignment horizontal="centerContinuous" vertical="center"/>
    </xf>
    <xf numFmtId="1" fontId="5" fillId="4" borderId="4" xfId="0" applyNumberFormat="1" applyFont="1" applyFill="1" applyBorder="1" applyAlignment="1">
      <alignment horizontal="centerContinuous" vertical="center"/>
    </xf>
    <xf numFmtId="0" fontId="5" fillId="4" borderId="4" xfId="0" applyFont="1" applyFill="1" applyBorder="1" applyAlignment="1">
      <alignment horizontal="centerContinuous" vertical="center"/>
    </xf>
    <xf numFmtId="37" fontId="5" fillId="4" borderId="9" xfId="0" applyNumberFormat="1" applyFont="1" applyFill="1" applyBorder="1" applyAlignment="1">
      <alignment horizontal="centerContinuous" vertical="center"/>
    </xf>
    <xf numFmtId="0" fontId="5" fillId="4" borderId="3" xfId="0" applyFont="1" applyFill="1" applyBorder="1" applyAlignment="1">
      <alignment horizontal="centerContinuous" vertical="center"/>
    </xf>
    <xf numFmtId="1" fontId="5" fillId="4" borderId="6" xfId="0" applyNumberFormat="1" applyFont="1" applyFill="1" applyBorder="1" applyAlignment="1">
      <alignment horizontal="center" vertical="center"/>
    </xf>
    <xf numFmtId="0" fontId="5" fillId="4" borderId="6" xfId="0" applyFont="1" applyFill="1" applyBorder="1" applyAlignment="1">
      <alignment vertical="center"/>
    </xf>
    <xf numFmtId="0" fontId="5" fillId="4" borderId="1" xfId="0" applyFont="1" applyFill="1" applyBorder="1" applyAlignment="1">
      <alignment vertical="center"/>
    </xf>
    <xf numFmtId="164" fontId="5" fillId="4" borderId="0" xfId="0" applyNumberFormat="1" applyFont="1" applyFill="1" applyAlignment="1">
      <alignment vertical="center"/>
    </xf>
    <xf numFmtId="37" fontId="5" fillId="4" borderId="4" xfId="0" applyNumberFormat="1" applyFont="1" applyFill="1" applyBorder="1" applyAlignment="1">
      <alignment vertical="center"/>
    </xf>
    <xf numFmtId="1" fontId="5" fillId="4" borderId="2" xfId="0" applyNumberFormat="1" applyFont="1" applyFill="1" applyBorder="1" applyAlignment="1">
      <alignment horizontal="center" vertical="center"/>
    </xf>
    <xf numFmtId="37" fontId="5" fillId="4" borderId="0" xfId="0" applyNumberFormat="1" applyFont="1" applyFill="1" applyAlignment="1">
      <alignment horizontal="right" vertical="center"/>
    </xf>
    <xf numFmtId="0" fontId="5" fillId="0" borderId="0" xfId="0" applyFont="1" applyAlignment="1">
      <alignment vertical="center" wrapText="1"/>
    </xf>
    <xf numFmtId="0" fontId="4" fillId="0" borderId="0" xfId="0" applyFont="1" applyAlignment="1">
      <alignment vertical="center" wrapText="1"/>
    </xf>
    <xf numFmtId="0" fontId="5" fillId="4" borderId="0" xfId="0" applyFont="1" applyFill="1" applyAlignment="1">
      <alignment vertical="center" wrapText="1"/>
    </xf>
    <xf numFmtId="0" fontId="5" fillId="4" borderId="0" xfId="0" applyFont="1" applyFill="1" applyAlignment="1">
      <alignment horizontal="right" vertical="center"/>
    </xf>
    <xf numFmtId="0" fontId="6" fillId="4" borderId="0" xfId="0" applyFont="1" applyFill="1" applyAlignment="1">
      <alignment horizontal="centerContinuous" vertical="center"/>
    </xf>
    <xf numFmtId="0" fontId="5" fillId="4" borderId="6" xfId="0" applyFont="1" applyFill="1" applyBorder="1" applyAlignment="1">
      <alignment horizontal="center" vertical="center"/>
    </xf>
    <xf numFmtId="37" fontId="5" fillId="4" borderId="7" xfId="0" applyNumberFormat="1" applyFont="1" applyFill="1" applyBorder="1" applyAlignment="1">
      <alignment vertical="center"/>
    </xf>
    <xf numFmtId="37" fontId="5" fillId="4" borderId="2" xfId="0" applyNumberFormat="1" applyFont="1" applyFill="1" applyBorder="1" applyAlignment="1">
      <alignment vertical="center"/>
    </xf>
    <xf numFmtId="37" fontId="5" fillId="0" borderId="0" xfId="0" applyNumberFormat="1" applyFont="1" applyAlignment="1">
      <alignment horizontal="fill"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5" fillId="0" borderId="0" xfId="0" applyFont="1" applyAlignment="1" applyProtection="1">
      <alignment horizontal="center" vertical="center"/>
      <protection locked="0"/>
    </xf>
    <xf numFmtId="0" fontId="5" fillId="3" borderId="7" xfId="0" applyFont="1" applyFill="1" applyBorder="1" applyAlignment="1" applyProtection="1">
      <alignment vertical="center"/>
      <protection locked="0"/>
    </xf>
    <xf numFmtId="170"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lignment vertical="center"/>
    </xf>
    <xf numFmtId="37" fontId="5" fillId="4" borderId="0" xfId="499" applyNumberFormat="1" applyFont="1" applyFill="1" applyAlignment="1">
      <alignment vertical="center"/>
    </xf>
    <xf numFmtId="0" fontId="5" fillId="4" borderId="0" xfId="499" applyFont="1" applyFill="1" applyAlignment="1">
      <alignment vertical="center"/>
    </xf>
    <xf numFmtId="0" fontId="5" fillId="0" borderId="0" xfId="499" applyFont="1" applyAlignment="1" applyProtection="1">
      <alignment vertical="center"/>
      <protection locked="0"/>
    </xf>
    <xf numFmtId="0" fontId="5" fillId="4" borderId="16" xfId="0" applyFont="1" applyFill="1" applyBorder="1" applyAlignment="1">
      <alignment horizontal="centerContinuous" vertical="center"/>
    </xf>
    <xf numFmtId="0" fontId="5" fillId="4" borderId="10" xfId="0" applyFont="1" applyFill="1" applyBorder="1" applyAlignment="1">
      <alignment horizontal="centerContinuous" vertical="center"/>
    </xf>
    <xf numFmtId="0" fontId="5" fillId="4" borderId="8" xfId="0" applyFont="1" applyFill="1" applyBorder="1" applyAlignment="1">
      <alignment horizontal="center" vertical="center"/>
    </xf>
    <xf numFmtId="0" fontId="5" fillId="4" borderId="12" xfId="0" applyFont="1" applyFill="1" applyBorder="1" applyAlignment="1">
      <alignment horizontal="centerContinuous" vertical="center"/>
    </xf>
    <xf numFmtId="0" fontId="5" fillId="4" borderId="5" xfId="0" applyFont="1" applyFill="1" applyBorder="1" applyAlignment="1">
      <alignment horizontal="centerContinuous" vertical="center"/>
    </xf>
    <xf numFmtId="14" fontId="5" fillId="4" borderId="7" xfId="0" quotePrefix="1" applyNumberFormat="1" applyFont="1" applyFill="1" applyBorder="1" applyAlignment="1">
      <alignment horizontal="center" vertical="center"/>
    </xf>
    <xf numFmtId="0" fontId="5" fillId="4" borderId="1" xfId="0" applyFont="1" applyFill="1" applyBorder="1" applyAlignment="1">
      <alignment horizontal="left" vertical="center"/>
    </xf>
    <xf numFmtId="166" fontId="5" fillId="4" borderId="1" xfId="0" applyNumberFormat="1" applyFont="1" applyFill="1" applyBorder="1" applyAlignment="1">
      <alignment horizontal="left" vertical="center"/>
    </xf>
    <xf numFmtId="167" fontId="5" fillId="4" borderId="1" xfId="0" applyNumberFormat="1" applyFont="1" applyFill="1" applyBorder="1" applyAlignment="1">
      <alignment horizontal="left" vertical="center"/>
    </xf>
    <xf numFmtId="0" fontId="5" fillId="2" borderId="1" xfId="0" applyFont="1" applyFill="1" applyBorder="1" applyAlignment="1" applyProtection="1">
      <alignment vertical="center"/>
      <protection locked="0"/>
    </xf>
    <xf numFmtId="166"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7" fontId="5" fillId="2" borderId="1" xfId="0" applyNumberFormat="1" applyFont="1" applyFill="1" applyBorder="1" applyAlignment="1" applyProtection="1">
      <alignment vertical="center"/>
      <protection locked="0"/>
    </xf>
    <xf numFmtId="166" fontId="5" fillId="4" borderId="1" xfId="0" applyNumberFormat="1" applyFont="1" applyFill="1" applyBorder="1" applyAlignment="1">
      <alignment vertical="center"/>
    </xf>
    <xf numFmtId="2" fontId="5" fillId="4" borderId="1" xfId="0" applyNumberFormat="1" applyFont="1" applyFill="1" applyBorder="1" applyAlignment="1">
      <alignment vertical="center"/>
    </xf>
    <xf numFmtId="167" fontId="5" fillId="4" borderId="1" xfId="0" applyNumberFormat="1" applyFont="1" applyFill="1" applyBorder="1" applyAlignment="1">
      <alignment vertical="center"/>
    </xf>
    <xf numFmtId="0" fontId="4" fillId="4" borderId="1" xfId="499" applyFont="1" applyFill="1" applyBorder="1" applyAlignment="1">
      <alignment horizontal="left" vertical="center"/>
    </xf>
    <xf numFmtId="0" fontId="4" fillId="4" borderId="17" xfId="499" applyFont="1" applyFill="1" applyBorder="1" applyAlignment="1">
      <alignment vertical="center"/>
    </xf>
    <xf numFmtId="0" fontId="5" fillId="4" borderId="0" xfId="500" applyFont="1" applyFill="1" applyAlignment="1">
      <alignment horizontal="centerContinuous" vertical="center"/>
    </xf>
    <xf numFmtId="0" fontId="5" fillId="4" borderId="0" xfId="500" applyFont="1" applyFill="1" applyAlignment="1">
      <alignment vertical="center"/>
    </xf>
    <xf numFmtId="0" fontId="5" fillId="0" borderId="0" xfId="500" applyFont="1" applyAlignment="1">
      <alignment vertical="center"/>
    </xf>
    <xf numFmtId="0" fontId="5" fillId="4" borderId="2" xfId="0" applyFont="1" applyFill="1" applyBorder="1" applyAlignment="1">
      <alignment horizontal="fill" vertical="center"/>
    </xf>
    <xf numFmtId="0" fontId="5" fillId="4" borderId="0" xfId="0" applyFont="1" applyFill="1" applyAlignment="1">
      <alignment horizontal="fill" vertical="center"/>
    </xf>
    <xf numFmtId="0" fontId="5" fillId="4" borderId="18" xfId="500" applyFont="1" applyFill="1" applyBorder="1" applyAlignment="1">
      <alignment vertical="center"/>
    </xf>
    <xf numFmtId="0" fontId="7" fillId="4" borderId="7" xfId="0" applyFont="1" applyFill="1" applyBorder="1" applyAlignment="1">
      <alignment horizontal="center" vertical="center"/>
    </xf>
    <xf numFmtId="1" fontId="5" fillId="2" borderId="1" xfId="0" applyNumberFormat="1" applyFont="1" applyFill="1" applyBorder="1" applyAlignment="1" applyProtection="1">
      <alignment vertical="center"/>
      <protection locked="0"/>
    </xf>
    <xf numFmtId="3" fontId="4" fillId="4" borderId="17" xfId="499" applyNumberFormat="1" applyFont="1" applyFill="1" applyBorder="1" applyAlignment="1">
      <alignment vertical="center"/>
    </xf>
    <xf numFmtId="0" fontId="0" fillId="0" borderId="0" xfId="0" applyAlignment="1" applyProtection="1">
      <alignment vertical="center"/>
      <protection locked="0"/>
    </xf>
    <xf numFmtId="164" fontId="5" fillId="4" borderId="0" xfId="0" applyNumberFormat="1" applyFont="1" applyFill="1" applyAlignment="1">
      <alignment horizontal="right" vertical="center"/>
    </xf>
    <xf numFmtId="37" fontId="5" fillId="4" borderId="2" xfId="0" quotePrefix="1" applyNumberFormat="1" applyFont="1" applyFill="1" applyBorder="1" applyAlignment="1">
      <alignment horizontal="right" vertical="center"/>
    </xf>
    <xf numFmtId="3" fontId="5" fillId="2" borderId="9"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lignment horizontal="fill" vertical="center"/>
    </xf>
    <xf numFmtId="0" fontId="5" fillId="4" borderId="9" xfId="0" applyFont="1" applyFill="1" applyBorder="1" applyAlignment="1">
      <alignment vertical="center"/>
    </xf>
    <xf numFmtId="0" fontId="5" fillId="2" borderId="9" xfId="0" applyFont="1" applyFill="1" applyBorder="1" applyAlignment="1" applyProtection="1">
      <alignment vertical="center"/>
      <protection locked="0"/>
    </xf>
    <xf numFmtId="37" fontId="5" fillId="2" borderId="9" xfId="0" applyNumberFormat="1" applyFont="1" applyFill="1" applyBorder="1" applyAlignment="1" applyProtection="1">
      <alignment horizontal="left" vertical="center"/>
      <protection locked="0"/>
    </xf>
    <xf numFmtId="37" fontId="5" fillId="4" borderId="9" xfId="0" applyNumberFormat="1" applyFont="1" applyFill="1" applyBorder="1" applyAlignment="1" applyProtection="1">
      <alignment horizontal="left" vertical="center"/>
      <protection locked="0"/>
    </xf>
    <xf numFmtId="3" fontId="12" fillId="6" borderId="4" xfId="0" applyNumberFormat="1" applyFont="1" applyFill="1" applyBorder="1" applyAlignment="1">
      <alignment horizontal="center" vertical="center"/>
    </xf>
    <xf numFmtId="0" fontId="4" fillId="4" borderId="9" xfId="0" applyFont="1" applyFill="1" applyBorder="1" applyAlignment="1">
      <alignment vertical="center"/>
    </xf>
    <xf numFmtId="3" fontId="12" fillId="6" borderId="1" xfId="0" applyNumberFormat="1" applyFont="1" applyFill="1" applyBorder="1" applyAlignment="1">
      <alignment horizontal="center" vertical="center"/>
    </xf>
    <xf numFmtId="0" fontId="12" fillId="0" borderId="0" xfId="0" applyFont="1" applyAlignment="1">
      <alignment vertical="center"/>
    </xf>
    <xf numFmtId="0" fontId="13" fillId="4" borderId="0" xfId="0" applyFont="1" applyFill="1" applyAlignment="1">
      <alignment horizontal="center" vertical="center"/>
    </xf>
    <xf numFmtId="0" fontId="12" fillId="4" borderId="0" xfId="0" applyFont="1" applyFill="1" applyAlignment="1">
      <alignment vertical="center"/>
    </xf>
    <xf numFmtId="37" fontId="4" fillId="4" borderId="1" xfId="0" applyNumberFormat="1" applyFont="1" applyFill="1" applyBorder="1" applyAlignment="1">
      <alignment horizontal="left" vertical="center"/>
    </xf>
    <xf numFmtId="3" fontId="4" fillId="4" borderId="1" xfId="0" applyNumberFormat="1" applyFont="1" applyFill="1" applyBorder="1" applyAlignment="1">
      <alignment vertical="center"/>
    </xf>
    <xf numFmtId="1" fontId="5" fillId="4" borderId="0" xfId="0" applyNumberFormat="1" applyFont="1" applyFill="1" applyAlignment="1">
      <alignment horizontal="right" vertical="center"/>
    </xf>
    <xf numFmtId="0" fontId="5" fillId="4" borderId="9" xfId="0" applyFont="1" applyFill="1" applyBorder="1" applyAlignment="1">
      <alignment horizontal="left" vertical="center"/>
    </xf>
    <xf numFmtId="0" fontId="5" fillId="4" borderId="12" xfId="0" applyFont="1" applyFill="1" applyBorder="1" applyAlignment="1">
      <alignment horizontal="left" vertical="center"/>
    </xf>
    <xf numFmtId="0" fontId="5" fillId="2" borderId="9" xfId="0" applyFont="1" applyFill="1" applyBorder="1" applyAlignment="1" applyProtection="1">
      <alignment horizontal="left" vertical="center"/>
      <protection locked="0"/>
    </xf>
    <xf numFmtId="3" fontId="5" fillId="4" borderId="1"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3" fontId="5" fillId="3" borderId="1" xfId="0" applyNumberFormat="1" applyFont="1" applyFill="1" applyBorder="1" applyAlignment="1" applyProtection="1">
      <alignment horizontal="center" vertical="center"/>
      <protection locked="0"/>
    </xf>
    <xf numFmtId="171" fontId="5" fillId="4" borderId="1" xfId="0" applyNumberFormat="1" applyFont="1" applyFill="1" applyBorder="1" applyAlignment="1">
      <alignment horizontal="center" vertical="center"/>
    </xf>
    <xf numFmtId="3" fontId="5" fillId="3" borderId="6" xfId="0" applyNumberFormat="1" applyFont="1" applyFill="1" applyBorder="1" applyAlignment="1" applyProtection="1">
      <alignment horizontal="center" vertical="center"/>
      <protection locked="0"/>
    </xf>
    <xf numFmtId="3" fontId="5" fillId="4" borderId="13" xfId="0" applyNumberFormat="1" applyFont="1" applyFill="1" applyBorder="1" applyAlignment="1">
      <alignment horizontal="center" vertical="center"/>
    </xf>
    <xf numFmtId="171" fontId="5" fillId="4" borderId="13"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171" fontId="5" fillId="4" borderId="2" xfId="0" applyNumberFormat="1" applyFont="1" applyFill="1" applyBorder="1" applyAlignment="1">
      <alignment horizontal="center" vertical="center"/>
    </xf>
    <xf numFmtId="171" fontId="5" fillId="4" borderId="0" xfId="0" applyNumberFormat="1" applyFont="1" applyFill="1" applyAlignment="1">
      <alignment horizontal="center" vertical="center"/>
    </xf>
    <xf numFmtId="0" fontId="0" fillId="4" borderId="0" xfId="0" applyFill="1" applyAlignment="1">
      <alignment horizontal="center" vertical="center"/>
    </xf>
    <xf numFmtId="169" fontId="5" fillId="4" borderId="0" xfId="0" applyNumberFormat="1" applyFont="1" applyFill="1" applyAlignment="1">
      <alignment vertical="center"/>
    </xf>
    <xf numFmtId="3" fontId="25" fillId="6" borderId="0" xfId="0" applyNumberFormat="1" applyFont="1" applyFill="1" applyAlignment="1">
      <alignment horizontal="center" vertical="center"/>
    </xf>
    <xf numFmtId="0" fontId="24" fillId="0" borderId="0" xfId="0" applyFont="1" applyAlignment="1">
      <alignment horizontal="center" vertical="center"/>
    </xf>
    <xf numFmtId="0" fontId="7" fillId="0" borderId="0" xfId="0" applyFont="1" applyAlignment="1">
      <alignment vertical="center"/>
    </xf>
    <xf numFmtId="0" fontId="11" fillId="0" borderId="0" xfId="0" applyFont="1" applyAlignment="1">
      <alignment vertical="center" wrapText="1"/>
    </xf>
    <xf numFmtId="0" fontId="26" fillId="0" borderId="0" xfId="0" applyFont="1" applyAlignment="1">
      <alignment horizontal="center" vertical="center"/>
    </xf>
    <xf numFmtId="0" fontId="5" fillId="0" borderId="0" xfId="45" applyFont="1" applyAlignment="1">
      <alignment vertical="center"/>
    </xf>
    <xf numFmtId="0" fontId="29" fillId="0" borderId="0" xfId="0" applyFont="1" applyAlignment="1">
      <alignment horizontal="center"/>
    </xf>
    <xf numFmtId="0" fontId="3" fillId="0" borderId="0" xfId="0" applyFont="1"/>
    <xf numFmtId="0" fontId="15" fillId="0" borderId="0" xfId="0" applyFont="1"/>
    <xf numFmtId="0" fontId="15" fillId="0" borderId="0" xfId="0" applyFont="1" applyAlignment="1">
      <alignment horizontal="center"/>
    </xf>
    <xf numFmtId="0" fontId="6" fillId="0" borderId="0" xfId="0" applyFont="1" applyAlignment="1">
      <alignment vertical="center"/>
    </xf>
    <xf numFmtId="0" fontId="6" fillId="0" borderId="0" xfId="82" applyFont="1" applyAlignment="1">
      <alignment vertical="center"/>
    </xf>
    <xf numFmtId="14" fontId="5" fillId="2" borderId="1" xfId="0" applyNumberFormat="1" applyFont="1" applyFill="1" applyBorder="1" applyAlignment="1" applyProtection="1">
      <alignment vertical="center"/>
      <protection locked="0"/>
    </xf>
    <xf numFmtId="1" fontId="5" fillId="4" borderId="16" xfId="0" applyNumberFormat="1" applyFont="1" applyFill="1" applyBorder="1" applyAlignment="1">
      <alignment horizontal="center" vertical="center"/>
    </xf>
    <xf numFmtId="37" fontId="5" fillId="4" borderId="12" xfId="0" applyNumberFormat="1" applyFont="1" applyFill="1" applyBorder="1" applyAlignment="1">
      <alignment horizontal="center" vertical="center"/>
    </xf>
    <xf numFmtId="3" fontId="5" fillId="4" borderId="9" xfId="0" applyNumberFormat="1" applyFont="1" applyFill="1" applyBorder="1" applyAlignment="1">
      <alignment vertical="center"/>
    </xf>
    <xf numFmtId="37" fontId="5" fillId="4" borderId="16" xfId="0" applyNumberFormat="1" applyFont="1" applyFill="1" applyBorder="1" applyAlignment="1">
      <alignment horizontal="center" vertical="center"/>
    </xf>
    <xf numFmtId="3" fontId="12" fillId="6" borderId="9" xfId="0" applyNumberFormat="1" applyFont="1" applyFill="1" applyBorder="1" applyAlignment="1">
      <alignment horizontal="center" vertical="center"/>
    </xf>
    <xf numFmtId="37" fontId="5" fillId="4" borderId="7" xfId="0" applyNumberFormat="1" applyFont="1" applyFill="1" applyBorder="1" applyAlignment="1">
      <alignment horizontal="fill" vertical="center"/>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Alignment="1">
      <alignment vertical="center"/>
    </xf>
    <xf numFmtId="37" fontId="4" fillId="4" borderId="2" xfId="0" applyNumberFormat="1" applyFont="1" applyFill="1" applyBorder="1" applyAlignment="1">
      <alignment vertical="center"/>
    </xf>
    <xf numFmtId="3" fontId="4" fillId="4" borderId="1" xfId="0" applyNumberFormat="1" applyFont="1" applyFill="1" applyBorder="1" applyAlignment="1">
      <alignment horizontal="center" vertical="center"/>
    </xf>
    <xf numFmtId="3" fontId="5" fillId="2" borderId="1" xfId="0" applyNumberFormat="1" applyFont="1" applyFill="1" applyBorder="1" applyAlignment="1" applyProtection="1">
      <alignment horizontal="center" vertical="center"/>
      <protection locked="0"/>
    </xf>
    <xf numFmtId="37" fontId="5" fillId="4" borderId="0" xfId="24" applyNumberFormat="1" applyFont="1" applyFill="1" applyAlignment="1">
      <alignment horizontal="right" vertical="center"/>
    </xf>
    <xf numFmtId="0" fontId="5" fillId="4" borderId="18" xfId="0" applyFont="1" applyFill="1" applyBorder="1" applyAlignment="1">
      <alignment vertical="center"/>
    </xf>
    <xf numFmtId="0" fontId="8" fillId="4" borderId="18" xfId="0" applyFont="1" applyFill="1" applyBorder="1" applyAlignment="1">
      <alignment vertical="center"/>
    </xf>
    <xf numFmtId="172" fontId="8" fillId="4" borderId="11" xfId="0" applyNumberFormat="1" applyFont="1" applyFill="1" applyBorder="1" applyAlignment="1">
      <alignment horizontal="center" vertical="center"/>
    </xf>
    <xf numFmtId="0" fontId="8" fillId="4" borderId="18" xfId="0" applyFont="1" applyFill="1" applyBorder="1" applyAlignment="1">
      <alignment horizontal="left" vertical="center"/>
    </xf>
    <xf numFmtId="172" fontId="8" fillId="3" borderId="1" xfId="0" applyNumberFormat="1" applyFont="1" applyFill="1" applyBorder="1" applyAlignment="1" applyProtection="1">
      <alignment horizontal="center" vertical="center"/>
      <protection locked="0"/>
    </xf>
    <xf numFmtId="0" fontId="5" fillId="6" borderId="2" xfId="0" applyFont="1" applyFill="1" applyBorder="1" applyAlignment="1">
      <alignment vertical="center"/>
    </xf>
    <xf numFmtId="172" fontId="5" fillId="6" borderId="5" xfId="0" applyNumberFormat="1" applyFont="1" applyFill="1" applyBorder="1" applyAlignment="1">
      <alignment horizontal="center" vertical="center"/>
    </xf>
    <xf numFmtId="0" fontId="5" fillId="6" borderId="12" xfId="0" applyFont="1" applyFill="1" applyBorder="1" applyAlignment="1">
      <alignment vertical="center"/>
    </xf>
    <xf numFmtId="172" fontId="5" fillId="6" borderId="11" xfId="0" applyNumberFormat="1" applyFont="1" applyFill="1" applyBorder="1" applyAlignment="1">
      <alignment horizontal="center"/>
    </xf>
    <xf numFmtId="0" fontId="5" fillId="6" borderId="0" xfId="0" applyFont="1" applyFill="1"/>
    <xf numFmtId="0" fontId="5" fillId="6" borderId="18" xfId="0" applyFont="1" applyFill="1" applyBorder="1"/>
    <xf numFmtId="169" fontId="5" fillId="4" borderId="11" xfId="0" applyNumberFormat="1" applyFont="1" applyFill="1" applyBorder="1" applyAlignment="1">
      <alignment horizontal="center"/>
    </xf>
    <xf numFmtId="0" fontId="5" fillId="4" borderId="11" xfId="0" applyFont="1" applyFill="1" applyBorder="1"/>
    <xf numFmtId="0" fontId="5" fillId="4" borderId="18" xfId="0" applyFont="1" applyFill="1" applyBorder="1"/>
    <xf numFmtId="0" fontId="5" fillId="4" borderId="12" xfId="0" applyFont="1" applyFill="1" applyBorder="1"/>
    <xf numFmtId="172" fontId="5" fillId="4" borderId="11" xfId="0" applyNumberFormat="1" applyFont="1" applyFill="1" applyBorder="1" applyAlignment="1">
      <alignment horizontal="center"/>
    </xf>
    <xf numFmtId="0" fontId="8" fillId="4" borderId="18" xfId="0" applyFont="1" applyFill="1" applyBorder="1"/>
    <xf numFmtId="169" fontId="5" fillId="0" borderId="0" xfId="0" applyNumberFormat="1" applyFont="1" applyAlignment="1" applyProtection="1">
      <alignment vertical="center"/>
      <protection locked="0"/>
    </xf>
    <xf numFmtId="171" fontId="5" fillId="3" borderId="1" xfId="0" applyNumberFormat="1" applyFont="1" applyFill="1" applyBorder="1" applyAlignment="1" applyProtection="1">
      <alignment horizontal="center"/>
      <protection locked="0"/>
    </xf>
    <xf numFmtId="0" fontId="5" fillId="3" borderId="12" xfId="0" applyFont="1" applyFill="1" applyBorder="1"/>
    <xf numFmtId="0" fontId="5" fillId="3" borderId="2" xfId="0" applyFont="1" applyFill="1" applyBorder="1"/>
    <xf numFmtId="0" fontId="5" fillId="3" borderId="5" xfId="0" applyFont="1" applyFill="1" applyBorder="1"/>
    <xf numFmtId="172" fontId="5" fillId="0" borderId="0" xfId="0" applyNumberFormat="1" applyFont="1" applyAlignment="1" applyProtection="1">
      <alignment vertical="center"/>
      <protection locked="0"/>
    </xf>
    <xf numFmtId="0" fontId="5" fillId="4" borderId="11" xfId="0" applyFont="1" applyFill="1" applyBorder="1" applyAlignment="1">
      <alignment horizontal="center" vertical="center"/>
    </xf>
    <xf numFmtId="171" fontId="5" fillId="0" borderId="0" xfId="0" applyNumberFormat="1" applyFont="1" applyAlignment="1" applyProtection="1">
      <alignment vertical="center"/>
      <protection locked="0"/>
    </xf>
    <xf numFmtId="169" fontId="5" fillId="4" borderId="4" xfId="0" applyNumberFormat="1" applyFont="1" applyFill="1" applyBorder="1" applyAlignment="1">
      <alignment horizontal="center"/>
    </xf>
    <xf numFmtId="171" fontId="5" fillId="6" borderId="4" xfId="0" applyNumberFormat="1" applyFont="1" applyFill="1" applyBorder="1" applyAlignment="1">
      <alignment horizontal="center"/>
    </xf>
    <xf numFmtId="172" fontId="5" fillId="0" borderId="0" xfId="0" applyNumberFormat="1" applyFont="1" applyAlignment="1" applyProtection="1">
      <alignment horizontal="center" vertical="center"/>
      <protection locked="0"/>
    </xf>
    <xf numFmtId="5" fontId="5" fillId="4" borderId="5" xfId="0" applyNumberFormat="1" applyFont="1" applyFill="1" applyBorder="1" applyAlignment="1">
      <alignment horizontal="center" vertical="center"/>
    </xf>
    <xf numFmtId="172" fontId="5" fillId="6" borderId="11" xfId="0" applyNumberFormat="1" applyFont="1" applyFill="1" applyBorder="1" applyAlignment="1">
      <alignment horizontal="center" vertical="center"/>
    </xf>
    <xf numFmtId="172" fontId="5" fillId="4" borderId="11" xfId="0" applyNumberFormat="1" applyFont="1" applyFill="1" applyBorder="1" applyAlignment="1">
      <alignment horizontal="center" vertical="center"/>
    </xf>
    <xf numFmtId="172" fontId="5" fillId="4" borderId="5" xfId="0" applyNumberFormat="1" applyFont="1" applyFill="1" applyBorder="1" applyAlignment="1">
      <alignment horizontal="center" vertical="center"/>
    </xf>
    <xf numFmtId="172" fontId="5" fillId="6" borderId="4" xfId="0" applyNumberFormat="1" applyFont="1" applyFill="1" applyBorder="1" applyAlignment="1">
      <alignment horizontal="center" vertical="center"/>
    </xf>
    <xf numFmtId="0" fontId="5" fillId="6" borderId="18" xfId="0" applyFont="1" applyFill="1" applyBorder="1" applyAlignment="1">
      <alignment vertical="center"/>
    </xf>
    <xf numFmtId="0" fontId="5" fillId="6" borderId="0" xfId="0" applyFont="1" applyFill="1" applyAlignment="1">
      <alignment vertical="center"/>
    </xf>
    <xf numFmtId="0" fontId="5" fillId="0" borderId="0" xfId="50" applyFont="1" applyAlignment="1">
      <alignment vertical="center" wrapText="1"/>
    </xf>
    <xf numFmtId="0" fontId="5" fillId="0" borderId="0" xfId="50" applyFont="1" applyAlignment="1">
      <alignment vertical="center"/>
    </xf>
    <xf numFmtId="0" fontId="4" fillId="4" borderId="0" xfId="31" applyFont="1" applyFill="1" applyAlignment="1">
      <alignment vertical="center"/>
    </xf>
    <xf numFmtId="172" fontId="8" fillId="4" borderId="18" xfId="0" applyNumberFormat="1" applyFont="1" applyFill="1" applyBorder="1" applyAlignment="1">
      <alignment horizontal="center" vertical="center"/>
    </xf>
    <xf numFmtId="0" fontId="8" fillId="4" borderId="0" xfId="0" applyFont="1" applyFill="1" applyAlignment="1">
      <alignment horizontal="left" vertical="center"/>
    </xf>
    <xf numFmtId="0" fontId="8" fillId="4" borderId="11" xfId="0" applyFont="1" applyFill="1" applyBorder="1" applyAlignment="1">
      <alignment vertical="center"/>
    </xf>
    <xf numFmtId="0" fontId="8" fillId="4" borderId="0" xfId="0" applyFont="1" applyFill="1" applyAlignment="1">
      <alignment vertical="center"/>
    </xf>
    <xf numFmtId="172" fontId="8" fillId="4" borderId="12" xfId="0" applyNumberFormat="1" applyFont="1" applyFill="1" applyBorder="1" applyAlignment="1">
      <alignment horizontal="center" vertical="center"/>
    </xf>
    <xf numFmtId="172" fontId="8" fillId="4" borderId="18" xfId="0" applyNumberFormat="1" applyFont="1" applyFill="1" applyBorder="1" applyAlignment="1">
      <alignment vertical="center"/>
    </xf>
    <xf numFmtId="172" fontId="33" fillId="6" borderId="12" xfId="0" applyNumberFormat="1" applyFont="1" applyFill="1" applyBorder="1" applyAlignment="1">
      <alignment horizontal="center" vertical="center"/>
    </xf>
    <xf numFmtId="0" fontId="33" fillId="6" borderId="2" xfId="0" applyFont="1" applyFill="1" applyBorder="1" applyAlignment="1">
      <alignment vertical="center"/>
    </xf>
    <xf numFmtId="0" fontId="8" fillId="6" borderId="5" xfId="0" applyFont="1" applyFill="1" applyBorder="1" applyAlignment="1">
      <alignment vertical="center"/>
    </xf>
    <xf numFmtId="0" fontId="5" fillId="6" borderId="5" xfId="0" applyFont="1" applyFill="1" applyBorder="1" applyAlignment="1">
      <alignment vertical="center"/>
    </xf>
    <xf numFmtId="37" fontId="5" fillId="0" borderId="0" xfId="0" applyNumberFormat="1" applyFont="1" applyAlignment="1" applyProtection="1">
      <alignment horizontal="left" vertical="center"/>
      <protection locked="0"/>
    </xf>
    <xf numFmtId="37" fontId="5" fillId="0" borderId="0" xfId="0" applyNumberFormat="1" applyFont="1" applyAlignment="1">
      <alignment horizontal="left" vertical="center"/>
    </xf>
    <xf numFmtId="0" fontId="5" fillId="0" borderId="0" xfId="0" applyFont="1" applyAlignment="1">
      <alignment horizontal="right" vertical="center"/>
    </xf>
    <xf numFmtId="0" fontId="6" fillId="0" borderId="0" xfId="83" applyFont="1" applyAlignment="1">
      <alignment vertical="center"/>
    </xf>
    <xf numFmtId="0" fontId="4" fillId="4" borderId="9" xfId="499" applyFont="1" applyFill="1" applyBorder="1" applyAlignment="1">
      <alignment vertical="center"/>
    </xf>
    <xf numFmtId="0" fontId="4" fillId="4" borderId="3" xfId="499" applyFont="1" applyFill="1" applyBorder="1" applyAlignment="1">
      <alignment vertical="center"/>
    </xf>
    <xf numFmtId="3" fontId="4" fillId="4" borderId="4" xfId="499" applyNumberFormat="1" applyFont="1" applyFill="1" applyBorder="1" applyAlignment="1">
      <alignment vertical="center"/>
    </xf>
    <xf numFmtId="0" fontId="4" fillId="4" borderId="1" xfId="499" applyFont="1" applyFill="1" applyBorder="1" applyAlignment="1">
      <alignment horizontal="center" vertical="center"/>
    </xf>
    <xf numFmtId="0" fontId="5" fillId="0" borderId="0" xfId="466" applyFont="1" applyAlignment="1">
      <alignment horizontal="left" vertical="center"/>
    </xf>
    <xf numFmtId="37" fontId="5" fillId="4" borderId="1" xfId="0" applyNumberFormat="1" applyFont="1" applyFill="1" applyBorder="1" applyAlignment="1">
      <alignment horizontal="right" vertical="center"/>
    </xf>
    <xf numFmtId="165" fontId="5" fillId="4" borderId="1" xfId="0" applyNumberFormat="1" applyFont="1" applyFill="1" applyBorder="1" applyAlignment="1">
      <alignment horizontal="right" vertical="center"/>
    </xf>
    <xf numFmtId="174" fontId="5" fillId="2" borderId="1" xfId="0" applyNumberFormat="1" applyFont="1" applyFill="1" applyBorder="1" applyProtection="1">
      <protection locked="0"/>
    </xf>
    <xf numFmtId="174"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31" applyFont="1" applyFill="1"/>
    <xf numFmtId="0" fontId="3" fillId="0" borderId="0" xfId="31"/>
    <xf numFmtId="0" fontId="5" fillId="4" borderId="0" xfId="31" applyFont="1" applyFill="1" applyAlignment="1">
      <alignment vertical="center"/>
    </xf>
    <xf numFmtId="37" fontId="5" fillId="4" borderId="0" xfId="31" applyNumberFormat="1" applyFont="1" applyFill="1" applyAlignment="1">
      <alignment vertical="center"/>
    </xf>
    <xf numFmtId="0" fontId="5" fillId="4" borderId="2" xfId="31" applyFont="1" applyFill="1" applyBorder="1" applyAlignment="1">
      <alignment vertical="center"/>
    </xf>
    <xf numFmtId="0" fontId="5" fillId="4" borderId="0" xfId="31" applyFont="1" applyFill="1" applyAlignment="1">
      <alignment horizontal="center" vertical="center"/>
    </xf>
    <xf numFmtId="0" fontId="6" fillId="4" borderId="0" xfId="31" applyFont="1" applyFill="1" applyAlignment="1">
      <alignment horizontal="center" vertical="center"/>
    </xf>
    <xf numFmtId="172" fontId="5" fillId="4" borderId="0" xfId="31" applyNumberFormat="1" applyFont="1" applyFill="1" applyAlignment="1">
      <alignment vertical="center"/>
    </xf>
    <xf numFmtId="172" fontId="5" fillId="4" borderId="17" xfId="31" applyNumberFormat="1" applyFont="1" applyFill="1" applyBorder="1" applyAlignment="1">
      <alignment vertical="center"/>
    </xf>
    <xf numFmtId="6" fontId="5" fillId="4" borderId="0" xfId="31" applyNumberFormat="1" applyFont="1" applyFill="1" applyAlignment="1">
      <alignment vertical="center"/>
    </xf>
    <xf numFmtId="171" fontId="5" fillId="4" borderId="0" xfId="31" applyNumberFormat="1" applyFont="1" applyFill="1" applyAlignment="1">
      <alignment horizontal="center" vertical="center"/>
    </xf>
    <xf numFmtId="0" fontId="5" fillId="4" borderId="0" xfId="31" applyFont="1" applyFill="1" applyAlignment="1">
      <alignment horizontal="right" vertical="center"/>
    </xf>
    <xf numFmtId="0" fontId="5" fillId="4" borderId="0" xfId="31" applyFont="1" applyFill="1" applyAlignment="1">
      <alignment horizontal="left" vertical="center"/>
    </xf>
    <xf numFmtId="0" fontId="5" fillId="4" borderId="0" xfId="26" applyFont="1" applyFill="1"/>
    <xf numFmtId="0" fontId="3" fillId="4" borderId="0" xfId="31" applyFill="1"/>
    <xf numFmtId="0" fontId="4" fillId="4" borderId="0" xfId="26" applyFont="1" applyFill="1"/>
    <xf numFmtId="0" fontId="3" fillId="4" borderId="0" xfId="26" applyFill="1"/>
    <xf numFmtId="0" fontId="28" fillId="0" borderId="0" xfId="14" applyAlignment="1" applyProtection="1"/>
    <xf numFmtId="37" fontId="5" fillId="4" borderId="0" xfId="26" applyNumberFormat="1" applyFont="1" applyFill="1" applyAlignment="1">
      <alignment vertical="center"/>
    </xf>
    <xf numFmtId="0" fontId="5" fillId="4" borderId="0" xfId="26" applyFont="1" applyFill="1" applyAlignment="1">
      <alignment vertical="center"/>
    </xf>
    <xf numFmtId="1" fontId="5" fillId="4" borderId="0" xfId="26" applyNumberFormat="1" applyFont="1" applyFill="1" applyAlignment="1">
      <alignment horizontal="right" vertical="center"/>
    </xf>
    <xf numFmtId="0" fontId="5" fillId="0" borderId="0" xfId="26" applyFont="1" applyProtection="1">
      <protection locked="0"/>
    </xf>
    <xf numFmtId="37" fontId="5" fillId="4" borderId="0" xfId="26" applyNumberFormat="1" applyFont="1" applyFill="1" applyAlignment="1">
      <alignment horizontal="right" vertical="center"/>
    </xf>
    <xf numFmtId="0" fontId="4" fillId="4" borderId="0" xfId="26" applyFont="1" applyFill="1" applyAlignment="1">
      <alignment vertical="center"/>
    </xf>
    <xf numFmtId="37" fontId="5" fillId="4" borderId="0" xfId="26" applyNumberFormat="1" applyFont="1" applyFill="1" applyAlignment="1">
      <alignment horizontal="fill" vertical="center"/>
    </xf>
    <xf numFmtId="37" fontId="5" fillId="4" borderId="0" xfId="26" quotePrefix="1" applyNumberFormat="1" applyFont="1" applyFill="1" applyAlignment="1">
      <alignment horizontal="right" vertical="center"/>
    </xf>
    <xf numFmtId="37" fontId="5" fillId="4" borderId="0" xfId="26" applyNumberFormat="1" applyFont="1" applyFill="1" applyAlignment="1">
      <alignment horizontal="left" vertical="center"/>
    </xf>
    <xf numFmtId="1" fontId="5" fillId="4" borderId="6" xfId="26" applyNumberFormat="1" applyFont="1" applyFill="1" applyBorder="1" applyAlignment="1">
      <alignment horizontal="center" vertical="center"/>
    </xf>
    <xf numFmtId="37" fontId="5" fillId="4" borderId="16" xfId="26" applyNumberFormat="1" applyFont="1" applyFill="1" applyBorder="1" applyAlignment="1">
      <alignment horizontal="center" vertical="center"/>
    </xf>
    <xf numFmtId="37" fontId="5" fillId="4" borderId="6" xfId="26" applyNumberFormat="1" applyFont="1" applyFill="1" applyBorder="1" applyAlignment="1">
      <alignment horizontal="center" vertical="center"/>
    </xf>
    <xf numFmtId="37" fontId="4" fillId="4" borderId="2" xfId="26" applyNumberFormat="1" applyFont="1" applyFill="1" applyBorder="1" applyAlignment="1">
      <alignment vertical="center"/>
    </xf>
    <xf numFmtId="0" fontId="5" fillId="4" borderId="7" xfId="26" applyFont="1" applyFill="1" applyBorder="1" applyAlignment="1">
      <alignment horizontal="center" vertical="center"/>
    </xf>
    <xf numFmtId="0" fontId="5" fillId="4" borderId="12" xfId="26" applyFont="1" applyFill="1" applyBorder="1" applyAlignment="1">
      <alignment horizontal="center" vertical="center"/>
    </xf>
    <xf numFmtId="1" fontId="5" fillId="4" borderId="7" xfId="26" applyNumberFormat="1" applyFont="1" applyFill="1" applyBorder="1" applyAlignment="1">
      <alignment horizontal="center" vertical="center"/>
    </xf>
    <xf numFmtId="37" fontId="5" fillId="4" borderId="9" xfId="26" applyNumberFormat="1" applyFont="1" applyFill="1" applyBorder="1" applyAlignment="1">
      <alignment horizontal="left" vertical="center"/>
    </xf>
    <xf numFmtId="37" fontId="5" fillId="3" borderId="9" xfId="26" applyNumberFormat="1" applyFont="1" applyFill="1" applyBorder="1" applyAlignment="1" applyProtection="1">
      <alignment vertical="center"/>
      <protection locked="0"/>
    </xf>
    <xf numFmtId="3" fontId="5" fillId="4" borderId="9" xfId="26" applyNumberFormat="1" applyFont="1" applyFill="1" applyBorder="1" applyAlignment="1">
      <alignment vertical="center"/>
    </xf>
    <xf numFmtId="3" fontId="5" fillId="4" borderId="1" xfId="26" applyNumberFormat="1" applyFont="1" applyFill="1" applyBorder="1" applyAlignment="1">
      <alignment vertical="center"/>
    </xf>
    <xf numFmtId="37" fontId="5" fillId="4" borderId="9" xfId="26" applyNumberFormat="1" applyFont="1" applyFill="1" applyBorder="1" applyAlignment="1">
      <alignment vertical="center"/>
    </xf>
    <xf numFmtId="37" fontId="5" fillId="3" borderId="9" xfId="26" applyNumberFormat="1" applyFont="1" applyFill="1" applyBorder="1" applyAlignment="1" applyProtection="1">
      <alignment horizontal="right" vertical="center"/>
      <protection locked="0"/>
    </xf>
    <xf numFmtId="3" fontId="5" fillId="4" borderId="1" xfId="26" applyNumberFormat="1" applyFont="1" applyFill="1" applyBorder="1" applyAlignment="1">
      <alignment horizontal="fill" vertical="center"/>
    </xf>
    <xf numFmtId="3" fontId="5" fillId="2" borderId="9" xfId="26" applyNumberFormat="1" applyFont="1" applyFill="1" applyBorder="1" applyAlignment="1" applyProtection="1">
      <alignment vertical="center"/>
      <protection locked="0"/>
    </xf>
    <xf numFmtId="3" fontId="5" fillId="2" borderId="1" xfId="26" applyNumberFormat="1" applyFont="1" applyFill="1" applyBorder="1" applyAlignment="1" applyProtection="1">
      <alignment vertical="center"/>
      <protection locked="0"/>
    </xf>
    <xf numFmtId="0" fontId="5" fillId="4" borderId="9" xfId="26" applyFont="1" applyFill="1" applyBorder="1" applyAlignment="1">
      <alignment vertical="center"/>
    </xf>
    <xf numFmtId="0" fontId="5" fillId="2" borderId="9" xfId="26" applyFont="1" applyFill="1" applyBorder="1" applyAlignment="1" applyProtection="1">
      <alignment horizontal="left" vertical="center"/>
      <protection locked="0"/>
    </xf>
    <xf numFmtId="0" fontId="5" fillId="2" borderId="1" xfId="26" applyFont="1" applyFill="1" applyBorder="1" applyAlignment="1" applyProtection="1">
      <alignment horizontal="left" vertical="center"/>
      <protection locked="0"/>
    </xf>
    <xf numFmtId="37" fontId="5" fillId="2" borderId="9" xfId="26" applyNumberFormat="1" applyFont="1" applyFill="1" applyBorder="1" applyAlignment="1" applyProtection="1">
      <alignment horizontal="left" vertical="center"/>
      <protection locked="0"/>
    </xf>
    <xf numFmtId="3" fontId="5" fillId="3" borderId="9" xfId="26" applyNumberFormat="1" applyFont="1" applyFill="1" applyBorder="1" applyAlignment="1" applyProtection="1">
      <alignment horizontal="right" vertical="center"/>
      <protection locked="0"/>
    </xf>
    <xf numFmtId="3" fontId="12" fillId="9" borderId="9" xfId="26" applyNumberFormat="1" applyFont="1" applyFill="1" applyBorder="1" applyAlignment="1">
      <alignment horizontal="center" vertical="center"/>
    </xf>
    <xf numFmtId="3" fontId="12" fillId="9" borderId="1" xfId="26" applyNumberFormat="1" applyFont="1" applyFill="1" applyBorder="1" applyAlignment="1">
      <alignment horizontal="center" vertical="center"/>
    </xf>
    <xf numFmtId="37" fontId="4" fillId="4" borderId="9" xfId="26" applyNumberFormat="1" applyFont="1" applyFill="1" applyBorder="1" applyAlignment="1">
      <alignment horizontal="left" vertical="center"/>
    </xf>
    <xf numFmtId="3" fontId="4" fillId="4" borderId="1" xfId="26" applyNumberFormat="1" applyFont="1" applyFill="1" applyBorder="1" applyAlignment="1">
      <alignment vertical="center"/>
    </xf>
    <xf numFmtId="0" fontId="8" fillId="4" borderId="18" xfId="26" applyFont="1" applyFill="1" applyBorder="1" applyAlignment="1">
      <alignment vertical="center"/>
    </xf>
    <xf numFmtId="0" fontId="8" fillId="4" borderId="0" xfId="26" applyFont="1" applyFill="1" applyAlignment="1">
      <alignment vertical="center"/>
    </xf>
    <xf numFmtId="172" fontId="8" fillId="4" borderId="11" xfId="26" applyNumberFormat="1" applyFont="1" applyFill="1" applyBorder="1" applyAlignment="1">
      <alignment horizontal="center" vertical="center"/>
    </xf>
    <xf numFmtId="0" fontId="8" fillId="4" borderId="18" xfId="26" applyFont="1" applyFill="1" applyBorder="1" applyAlignment="1">
      <alignment horizontal="left" vertical="center"/>
    </xf>
    <xf numFmtId="172" fontId="8" fillId="3" borderId="1" xfId="26" applyNumberFormat="1" applyFont="1" applyFill="1" applyBorder="1" applyAlignment="1" applyProtection="1">
      <alignment horizontal="center" vertical="center"/>
      <protection locked="0"/>
    </xf>
    <xf numFmtId="171" fontId="33" fillId="4" borderId="4" xfId="26" applyNumberFormat="1" applyFont="1" applyFill="1" applyBorder="1" applyAlignment="1">
      <alignment horizontal="center" vertical="center"/>
    </xf>
    <xf numFmtId="0" fontId="33" fillId="6" borderId="18" xfId="26" applyFont="1" applyFill="1" applyBorder="1" applyAlignment="1">
      <alignment vertical="center"/>
    </xf>
    <xf numFmtId="0" fontId="5" fillId="6" borderId="0" xfId="26" applyFont="1" applyFill="1" applyAlignment="1">
      <alignment vertical="center"/>
    </xf>
    <xf numFmtId="0" fontId="8" fillId="6" borderId="0" xfId="26" applyFont="1" applyFill="1" applyAlignment="1">
      <alignment vertical="center"/>
    </xf>
    <xf numFmtId="172" fontId="33" fillId="6" borderId="4" xfId="26" applyNumberFormat="1" applyFont="1" applyFill="1" applyBorder="1" applyAlignment="1">
      <alignment horizontal="center" vertical="center"/>
    </xf>
    <xf numFmtId="37" fontId="8" fillId="4" borderId="12" xfId="26" applyNumberFormat="1" applyFont="1" applyFill="1" applyBorder="1" applyAlignment="1">
      <alignment horizontal="left" vertical="center"/>
    </xf>
    <xf numFmtId="0" fontId="36" fillId="4" borderId="2" xfId="26" applyFont="1" applyFill="1" applyBorder="1" applyAlignment="1">
      <alignment horizontal="left" vertical="center"/>
    </xf>
    <xf numFmtId="172" fontId="33" fillId="6" borderId="5" xfId="26" applyNumberFormat="1" applyFont="1" applyFill="1" applyBorder="1" applyAlignment="1" applyProtection="1">
      <alignment horizontal="center" vertical="center"/>
      <protection locked="0"/>
    </xf>
    <xf numFmtId="0" fontId="5" fillId="4" borderId="9" xfId="26" applyFont="1" applyFill="1" applyBorder="1" applyAlignment="1" applyProtection="1">
      <alignment vertical="center"/>
      <protection locked="0"/>
    </xf>
    <xf numFmtId="37" fontId="5" fillId="4" borderId="11" xfId="26" applyNumberFormat="1" applyFont="1" applyFill="1" applyBorder="1" applyAlignment="1">
      <alignment horizontal="right" vertical="center"/>
    </xf>
    <xf numFmtId="172" fontId="8" fillId="4" borderId="18" xfId="26" applyNumberFormat="1" applyFont="1" applyFill="1" applyBorder="1" applyAlignment="1">
      <alignment horizontal="center" vertical="center"/>
    </xf>
    <xf numFmtId="0" fontId="8" fillId="4" borderId="0" xfId="26" applyFont="1" applyFill="1" applyAlignment="1">
      <alignment horizontal="left" vertical="center"/>
    </xf>
    <xf numFmtId="0" fontId="8" fillId="4" borderId="11" xfId="26" applyFont="1" applyFill="1" applyBorder="1" applyAlignment="1">
      <alignment vertical="center"/>
    </xf>
    <xf numFmtId="0" fontId="3" fillId="0" borderId="0" xfId="26"/>
    <xf numFmtId="0" fontId="5" fillId="4" borderId="0" xfId="26" applyFont="1" applyFill="1" applyAlignment="1">
      <alignment horizontal="right" vertical="center"/>
    </xf>
    <xf numFmtId="0" fontId="12" fillId="0" borderId="0" xfId="26" applyFont="1" applyAlignment="1">
      <alignment vertical="center"/>
    </xf>
    <xf numFmtId="172" fontId="8" fillId="4" borderId="12" xfId="26" applyNumberFormat="1" applyFont="1" applyFill="1" applyBorder="1" applyAlignment="1">
      <alignment horizontal="center" vertical="center"/>
    </xf>
    <xf numFmtId="172" fontId="8" fillId="4" borderId="18" xfId="26" applyNumberFormat="1" applyFont="1" applyFill="1" applyBorder="1" applyAlignment="1">
      <alignment vertical="center"/>
    </xf>
    <xf numFmtId="0" fontId="13" fillId="4" borderId="0" xfId="26" applyFont="1" applyFill="1" applyAlignment="1">
      <alignment horizontal="center" vertical="center"/>
    </xf>
    <xf numFmtId="174" fontId="5" fillId="4" borderId="0" xfId="50" applyNumberFormat="1" applyFont="1" applyFill="1" applyAlignment="1">
      <alignment horizontal="center" vertical="center"/>
    </xf>
    <xf numFmtId="172" fontId="8" fillId="6" borderId="12" xfId="26" applyNumberFormat="1" applyFont="1" applyFill="1" applyBorder="1" applyAlignment="1">
      <alignment horizontal="center" vertical="center"/>
    </xf>
    <xf numFmtId="0" fontId="8" fillId="6" borderId="2" xfId="26" applyFont="1" applyFill="1" applyBorder="1" applyAlignment="1">
      <alignment vertical="center"/>
    </xf>
    <xf numFmtId="0" fontId="8" fillId="6" borderId="5" xfId="26" applyFont="1" applyFill="1" applyBorder="1" applyAlignment="1">
      <alignment vertical="center"/>
    </xf>
    <xf numFmtId="37" fontId="5" fillId="6" borderId="5" xfId="26" applyNumberFormat="1" applyFont="1" applyFill="1" applyBorder="1" applyAlignment="1">
      <alignment horizontal="right" vertical="center"/>
    </xf>
    <xf numFmtId="171" fontId="5" fillId="4" borderId="0" xfId="26" applyNumberFormat="1" applyFont="1" applyFill="1" applyAlignment="1">
      <alignment vertical="center"/>
    </xf>
    <xf numFmtId="37" fontId="4" fillId="4" borderId="0" xfId="26" applyNumberFormat="1" applyFont="1" applyFill="1" applyAlignment="1">
      <alignment vertical="center"/>
    </xf>
    <xf numFmtId="37" fontId="5" fillId="4" borderId="12" xfId="26" applyNumberFormat="1" applyFont="1" applyFill="1" applyBorder="1" applyAlignment="1">
      <alignment horizontal="left" vertical="center"/>
    </xf>
    <xf numFmtId="3" fontId="5" fillId="3" borderId="1" xfId="26" applyNumberFormat="1" applyFont="1" applyFill="1" applyBorder="1" applyAlignment="1" applyProtection="1">
      <alignment horizontal="right" vertical="center"/>
      <protection locked="0"/>
    </xf>
    <xf numFmtId="0" fontId="5" fillId="4" borderId="18" xfId="26" applyFont="1" applyFill="1" applyBorder="1" applyAlignment="1">
      <alignment vertical="center"/>
    </xf>
    <xf numFmtId="0" fontId="5" fillId="4" borderId="11" xfId="26" applyFont="1" applyFill="1" applyBorder="1" applyProtection="1">
      <protection locked="0"/>
    </xf>
    <xf numFmtId="172" fontId="21" fillId="4" borderId="18" xfId="26" applyNumberFormat="1" applyFont="1" applyFill="1" applyBorder="1" applyAlignment="1">
      <alignment horizontal="center" vertical="center"/>
    </xf>
    <xf numFmtId="0" fontId="5" fillId="4" borderId="11" xfId="26" applyFont="1" applyFill="1" applyBorder="1" applyAlignment="1">
      <alignment vertical="center"/>
    </xf>
    <xf numFmtId="172" fontId="21" fillId="4" borderId="18" xfId="26" applyNumberFormat="1" applyFont="1" applyFill="1" applyBorder="1" applyAlignment="1">
      <alignment vertical="center"/>
    </xf>
    <xf numFmtId="0" fontId="21" fillId="4" borderId="0" xfId="26" applyFont="1" applyFill="1" applyAlignment="1">
      <alignment vertical="center"/>
    </xf>
    <xf numFmtId="0" fontId="5" fillId="6" borderId="5" xfId="26" applyFont="1" applyFill="1" applyBorder="1" applyAlignment="1">
      <alignment vertical="center"/>
    </xf>
    <xf numFmtId="0" fontId="5" fillId="6" borderId="5" xfId="26" applyFont="1" applyFill="1" applyBorder="1" applyProtection="1">
      <protection locked="0"/>
    </xf>
    <xf numFmtId="0" fontId="5" fillId="0" borderId="0" xfId="26" applyFont="1" applyAlignment="1" applyProtection="1">
      <alignment vertical="center"/>
      <protection locked="0"/>
    </xf>
    <xf numFmtId="0" fontId="8" fillId="6" borderId="0" xfId="0" applyFont="1" applyFill="1" applyAlignment="1">
      <alignment vertical="center"/>
    </xf>
    <xf numFmtId="174" fontId="5" fillId="4" borderId="0" xfId="24" applyNumberFormat="1" applyFont="1" applyFill="1" applyAlignment="1">
      <alignment horizontal="center" vertical="center"/>
    </xf>
    <xf numFmtId="0" fontId="33" fillId="4" borderId="4" xfId="0" applyFont="1" applyFill="1" applyBorder="1" applyAlignment="1">
      <alignment horizontal="center" vertical="center"/>
    </xf>
    <xf numFmtId="0" fontId="33" fillId="6" borderId="18" xfId="0" applyFont="1" applyFill="1" applyBorder="1" applyAlignment="1">
      <alignment vertical="center"/>
    </xf>
    <xf numFmtId="172" fontId="33" fillId="6" borderId="4" xfId="0" applyNumberFormat="1" applyFont="1" applyFill="1" applyBorder="1" applyAlignment="1">
      <alignment horizontal="center" vertical="center"/>
    </xf>
    <xf numFmtId="37" fontId="8" fillId="4" borderId="12" xfId="0" applyNumberFormat="1" applyFont="1" applyFill="1" applyBorder="1" applyAlignment="1">
      <alignment horizontal="left" vertical="center"/>
    </xf>
    <xf numFmtId="0" fontId="36" fillId="4" borderId="2" xfId="0" applyFont="1" applyFill="1" applyBorder="1" applyAlignment="1">
      <alignment horizontal="left" vertical="center"/>
    </xf>
    <xf numFmtId="172" fontId="33" fillId="6" borderId="5" xfId="0" applyNumberFormat="1" applyFont="1" applyFill="1" applyBorder="1" applyAlignment="1" applyProtection="1">
      <alignment horizontal="center" vertical="center"/>
      <protection locked="0"/>
    </xf>
    <xf numFmtId="0" fontId="37" fillId="0" borderId="0" xfId="0" applyFont="1" applyAlignment="1">
      <alignment vertical="center"/>
    </xf>
    <xf numFmtId="38" fontId="5" fillId="4" borderId="1" xfId="0" applyNumberFormat="1" applyFont="1" applyFill="1" applyBorder="1" applyAlignment="1">
      <alignment vertical="center"/>
    </xf>
    <xf numFmtId="0" fontId="5" fillId="0" borderId="0" xfId="24" applyFont="1" applyAlignment="1">
      <alignment vertical="center"/>
    </xf>
    <xf numFmtId="0" fontId="42" fillId="4" borderId="0" xfId="388" applyFill="1"/>
    <xf numFmtId="0" fontId="5" fillId="0" borderId="0" xfId="160" applyFont="1" applyAlignment="1">
      <alignment vertical="center"/>
    </xf>
    <xf numFmtId="0" fontId="5" fillId="0" borderId="0" xfId="83" applyFont="1" applyAlignment="1">
      <alignment vertical="center"/>
    </xf>
    <xf numFmtId="37" fontId="5" fillId="3" borderId="1" xfId="0" applyNumberFormat="1" applyFont="1" applyFill="1" applyBorder="1" applyAlignment="1" applyProtection="1">
      <alignment horizontal="left" vertical="center"/>
      <protection locked="0"/>
    </xf>
    <xf numFmtId="37" fontId="5" fillId="2" borderId="7" xfId="0" applyNumberFormat="1" applyFont="1" applyFill="1" applyBorder="1" applyAlignment="1" applyProtection="1">
      <alignment vertical="center"/>
      <protection locked="0"/>
    </xf>
    <xf numFmtId="3" fontId="5" fillId="2" borderId="7" xfId="0" applyNumberFormat="1" applyFont="1" applyFill="1" applyBorder="1" applyProtection="1">
      <protection locked="0"/>
    </xf>
    <xf numFmtId="37" fontId="5" fillId="3" borderId="1" xfId="0" applyNumberFormat="1" applyFont="1" applyFill="1" applyBorder="1" applyProtection="1">
      <protection locked="0"/>
    </xf>
    <xf numFmtId="169" fontId="5" fillId="3" borderId="1" xfId="0" applyNumberFormat="1" applyFont="1" applyFill="1" applyBorder="1" applyProtection="1">
      <protection locked="0"/>
    </xf>
    <xf numFmtId="169" fontId="5" fillId="3" borderId="6" xfId="0" applyNumberFormat="1" applyFont="1" applyFill="1" applyBorder="1" applyProtection="1">
      <protection locked="0"/>
    </xf>
    <xf numFmtId="3" fontId="5" fillId="4" borderId="1" xfId="0" applyNumberFormat="1" applyFont="1" applyFill="1" applyBorder="1" applyAlignment="1">
      <alignment horizontal="right" vertical="center"/>
    </xf>
    <xf numFmtId="3" fontId="5" fillId="4" borderId="0" xfId="26" applyNumberFormat="1" applyFont="1" applyFill="1" applyAlignment="1">
      <alignment horizontal="right" vertical="center"/>
    </xf>
    <xf numFmtId="3" fontId="5" fillId="4" borderId="1" xfId="26" applyNumberFormat="1" applyFont="1" applyFill="1" applyBorder="1" applyAlignment="1">
      <alignment horizontal="right" vertical="center"/>
    </xf>
    <xf numFmtId="0" fontId="5" fillId="4" borderId="0" xfId="26" applyFont="1" applyFill="1" applyAlignment="1">
      <alignment horizontal="left" vertical="center"/>
    </xf>
    <xf numFmtId="3" fontId="5" fillId="4" borderId="6" xfId="0" applyNumberFormat="1" applyFont="1" applyFill="1" applyBorder="1" applyAlignment="1">
      <alignment horizontal="right" vertical="center"/>
    </xf>
    <xf numFmtId="3" fontId="13" fillId="4" borderId="17" xfId="0" applyNumberFormat="1" applyFont="1" applyFill="1" applyBorder="1" applyAlignment="1">
      <alignment horizontal="center" vertical="center"/>
    </xf>
    <xf numFmtId="0" fontId="13" fillId="4" borderId="17" xfId="0" applyFont="1" applyFill="1" applyBorder="1" applyAlignment="1">
      <alignment horizontal="center" vertical="center"/>
    </xf>
    <xf numFmtId="0" fontId="5" fillId="0" borderId="0" xfId="26" applyFont="1" applyAlignment="1">
      <alignment horizontal="left" vertical="center"/>
    </xf>
    <xf numFmtId="3" fontId="5" fillId="4" borderId="2" xfId="0" applyNumberFormat="1" applyFont="1" applyFill="1" applyBorder="1" applyAlignment="1">
      <alignment vertical="center"/>
    </xf>
    <xf numFmtId="0" fontId="5" fillId="4" borderId="17" xfId="0" applyFont="1" applyFill="1" applyBorder="1" applyAlignment="1">
      <alignment vertical="center"/>
    </xf>
    <xf numFmtId="0" fontId="5" fillId="12" borderId="0" xfId="26" applyFont="1" applyFill="1" applyAlignment="1">
      <alignment vertical="center"/>
    </xf>
    <xf numFmtId="0" fontId="5" fillId="0" borderId="0" xfId="26" applyFont="1" applyAlignment="1">
      <alignment vertical="center"/>
    </xf>
    <xf numFmtId="173" fontId="5" fillId="6" borderId="5" xfId="0" applyNumberFormat="1" applyFont="1" applyFill="1" applyBorder="1" applyAlignment="1">
      <alignment horizontal="center"/>
    </xf>
    <xf numFmtId="0" fontId="5" fillId="2" borderId="0" xfId="0" applyFont="1" applyFill="1" applyAlignment="1" applyProtection="1">
      <alignment horizontal="center" vertical="center"/>
      <protection locked="0"/>
    </xf>
    <xf numFmtId="164" fontId="5" fillId="3" borderId="0" xfId="0" applyNumberFormat="1"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3" fontId="5" fillId="10" borderId="4" xfId="0" applyNumberFormat="1" applyFont="1" applyFill="1" applyBorder="1"/>
    <xf numFmtId="3" fontId="5" fillId="11" borderId="3" xfId="0" applyNumberFormat="1" applyFont="1" applyFill="1" applyBorder="1"/>
    <xf numFmtId="0" fontId="5" fillId="11" borderId="3" xfId="0" applyFont="1" applyFill="1" applyBorder="1"/>
    <xf numFmtId="37" fontId="4" fillId="11" borderId="9" xfId="0" applyNumberFormat="1" applyFont="1" applyFill="1" applyBorder="1" applyAlignment="1">
      <alignment horizontal="left"/>
    </xf>
    <xf numFmtId="0" fontId="5" fillId="11" borderId="12" xfId="0" applyFont="1" applyFill="1" applyBorder="1" applyAlignment="1">
      <alignment vertical="center"/>
    </xf>
    <xf numFmtId="0" fontId="5" fillId="11" borderId="4" xfId="0" applyFont="1" applyFill="1" applyBorder="1" applyAlignment="1">
      <alignment vertical="center"/>
    </xf>
    <xf numFmtId="0" fontId="5" fillId="11" borderId="9" xfId="0" applyFont="1" applyFill="1" applyBorder="1" applyAlignment="1">
      <alignment vertical="center"/>
    </xf>
    <xf numFmtId="0" fontId="5" fillId="11" borderId="5" xfId="0" applyFont="1" applyFill="1" applyBorder="1" applyAlignment="1">
      <alignment vertical="center"/>
    </xf>
    <xf numFmtId="37" fontId="5" fillId="11" borderId="12" xfId="0" applyNumberFormat="1" applyFont="1" applyFill="1" applyBorder="1" applyAlignment="1">
      <alignment horizontal="left" vertical="center"/>
    </xf>
    <xf numFmtId="37" fontId="5" fillId="11" borderId="16" xfId="0" applyNumberFormat="1" applyFont="1" applyFill="1" applyBorder="1" applyAlignment="1">
      <alignment horizontal="left" vertical="center"/>
    </xf>
    <xf numFmtId="0" fontId="5" fillId="7" borderId="5" xfId="0" applyFont="1" applyFill="1" applyBorder="1" applyAlignment="1">
      <alignment vertical="center"/>
    </xf>
    <xf numFmtId="0" fontId="5" fillId="10" borderId="5" xfId="0" applyFont="1" applyFill="1" applyBorder="1" applyAlignment="1">
      <alignment vertical="center"/>
    </xf>
    <xf numFmtId="37" fontId="4" fillId="10" borderId="12" xfId="0" applyNumberFormat="1" applyFont="1" applyFill="1" applyBorder="1" applyAlignment="1">
      <alignment horizontal="left" vertical="center"/>
    </xf>
    <xf numFmtId="0" fontId="5" fillId="10" borderId="11" xfId="0" applyFont="1" applyFill="1" applyBorder="1" applyAlignment="1">
      <alignment vertical="center"/>
    </xf>
    <xf numFmtId="37" fontId="4" fillId="10" borderId="18" xfId="0" applyNumberFormat="1" applyFont="1" applyFill="1" applyBorder="1" applyAlignment="1">
      <alignment horizontal="left" vertical="center"/>
    </xf>
    <xf numFmtId="0" fontId="5" fillId="11" borderId="10" xfId="0" applyFont="1" applyFill="1" applyBorder="1" applyAlignment="1">
      <alignment vertical="center"/>
    </xf>
    <xf numFmtId="0" fontId="4" fillId="11" borderId="16" xfId="0" applyFont="1" applyFill="1" applyBorder="1" applyAlignment="1">
      <alignment vertical="center"/>
    </xf>
    <xf numFmtId="164" fontId="5" fillId="2" borderId="0" xfId="0" applyNumberFormat="1" applyFont="1" applyFill="1" applyAlignment="1" applyProtection="1">
      <alignment horizontal="center" vertical="center"/>
      <protection locked="0"/>
    </xf>
    <xf numFmtId="0" fontId="9" fillId="4" borderId="0" xfId="13" applyFill="1" applyAlignment="1" applyProtection="1"/>
    <xf numFmtId="37" fontId="5" fillId="3" borderId="0" xfId="26" applyNumberFormat="1" applyFont="1" applyFill="1" applyAlignment="1" applyProtection="1">
      <alignment horizontal="center" vertical="center"/>
      <protection locked="0"/>
    </xf>
    <xf numFmtId="0" fontId="5" fillId="4" borderId="0" xfId="24" applyFont="1" applyFill="1" applyAlignment="1">
      <alignment vertical="center"/>
    </xf>
    <xf numFmtId="3" fontId="5" fillId="4" borderId="3" xfId="0" applyNumberFormat="1" applyFont="1" applyFill="1" applyBorder="1"/>
    <xf numFmtId="3" fontId="5" fillId="4" borderId="3" xfId="0" applyNumberFormat="1" applyFont="1" applyFill="1" applyBorder="1" applyProtection="1">
      <protection locked="0"/>
    </xf>
    <xf numFmtId="3" fontId="5" fillId="4" borderId="2" xfId="0" applyNumberFormat="1" applyFont="1" applyFill="1" applyBorder="1" applyProtection="1">
      <protection locked="0"/>
    </xf>
    <xf numFmtId="37" fontId="5" fillId="2" borderId="1" xfId="24" applyNumberFormat="1" applyFont="1" applyFill="1" applyBorder="1" applyAlignment="1" applyProtection="1">
      <alignment vertical="center"/>
      <protection locked="0"/>
    </xf>
    <xf numFmtId="37" fontId="5" fillId="2" borderId="1" xfId="24" applyNumberFormat="1" applyFont="1" applyFill="1" applyBorder="1" applyAlignment="1" applyProtection="1">
      <alignment horizontal="left"/>
      <protection locked="0"/>
    </xf>
    <xf numFmtId="37" fontId="5" fillId="4" borderId="3" xfId="391" applyNumberFormat="1" applyFont="1" applyFill="1" applyBorder="1" applyAlignment="1">
      <alignment horizontal="left" vertical="center"/>
    </xf>
    <xf numFmtId="37" fontId="5" fillId="4" borderId="7" xfId="26" applyNumberFormat="1" applyFont="1" applyFill="1" applyBorder="1" applyAlignment="1">
      <alignment horizontal="center" vertical="center"/>
    </xf>
    <xf numFmtId="0" fontId="5" fillId="12" borderId="0" xfId="0" applyFont="1" applyFill="1" applyAlignment="1">
      <alignment vertical="center"/>
    </xf>
    <xf numFmtId="0" fontId="5" fillId="4" borderId="9" xfId="26" applyFont="1" applyFill="1" applyBorder="1" applyAlignment="1">
      <alignment horizontal="left" vertical="center"/>
    </xf>
    <xf numFmtId="0" fontId="5" fillId="0" borderId="0" xfId="392" applyFont="1" applyAlignment="1">
      <alignment vertical="center"/>
    </xf>
    <xf numFmtId="0" fontId="40" fillId="4" borderId="0" xfId="0" applyFont="1" applyFill="1" applyAlignment="1">
      <alignment horizontal="right" vertical="center"/>
    </xf>
    <xf numFmtId="176" fontId="5" fillId="4" borderId="1" xfId="0" applyNumberFormat="1" applyFont="1" applyFill="1" applyBorder="1" applyAlignment="1">
      <alignment vertical="center"/>
    </xf>
    <xf numFmtId="37" fontId="5" fillId="12" borderId="1" xfId="0" applyNumberFormat="1" applyFont="1" applyFill="1" applyBorder="1" applyAlignment="1">
      <alignment vertical="center"/>
    </xf>
    <xf numFmtId="176" fontId="5" fillId="12" borderId="1" xfId="0" applyNumberFormat="1" applyFont="1" applyFill="1" applyBorder="1" applyAlignment="1">
      <alignment vertical="center"/>
    </xf>
    <xf numFmtId="37" fontId="5" fillId="12" borderId="0" xfId="0" applyNumberFormat="1" applyFont="1" applyFill="1" applyAlignment="1">
      <alignment vertical="center"/>
    </xf>
    <xf numFmtId="37" fontId="5" fillId="12" borderId="0" xfId="0" applyNumberFormat="1" applyFont="1" applyFill="1" applyAlignment="1">
      <alignment horizontal="left" vertical="center"/>
    </xf>
    <xf numFmtId="37" fontId="5" fillId="4" borderId="18" xfId="0" applyNumberFormat="1" applyFont="1" applyFill="1" applyBorder="1" applyAlignment="1">
      <alignment horizontal="right" vertical="center"/>
    </xf>
    <xf numFmtId="37" fontId="5" fillId="13" borderId="13" xfId="0" applyNumberFormat="1" applyFont="1" applyFill="1" applyBorder="1" applyAlignment="1">
      <alignment vertical="center"/>
    </xf>
    <xf numFmtId="176" fontId="5" fillId="13" borderId="1" xfId="0" applyNumberFormat="1" applyFont="1" applyFill="1" applyBorder="1" applyAlignment="1">
      <alignment vertical="center"/>
    </xf>
    <xf numFmtId="37" fontId="5" fillId="13" borderId="1" xfId="0" applyNumberFormat="1" applyFont="1" applyFill="1" applyBorder="1" applyAlignment="1">
      <alignment horizontal="left" vertical="center"/>
    </xf>
    <xf numFmtId="176" fontId="5" fillId="13" borderId="6" xfId="0" applyNumberFormat="1" applyFont="1" applyFill="1" applyBorder="1" applyAlignment="1">
      <alignment vertical="center"/>
    </xf>
    <xf numFmtId="37" fontId="5" fillId="13" borderId="6" xfId="0" applyNumberFormat="1" applyFont="1" applyFill="1" applyBorder="1" applyAlignment="1">
      <alignment horizontal="left" vertical="center"/>
    </xf>
    <xf numFmtId="37" fontId="5" fillId="12" borderId="6" xfId="0" applyNumberFormat="1" applyFont="1" applyFill="1" applyBorder="1" applyAlignment="1">
      <alignment vertical="center"/>
    </xf>
    <xf numFmtId="0" fontId="5" fillId="0" borderId="0" xfId="425" applyFont="1"/>
    <xf numFmtId="0" fontId="6" fillId="0" borderId="0" xfId="425" applyFont="1"/>
    <xf numFmtId="0" fontId="5" fillId="0" borderId="0" xfId="26" applyFont="1"/>
    <xf numFmtId="0" fontId="5" fillId="4" borderId="16" xfId="0" applyFont="1" applyFill="1" applyBorder="1" applyAlignment="1">
      <alignment vertical="center"/>
    </xf>
    <xf numFmtId="0" fontId="5" fillId="4" borderId="12" xfId="0" applyFont="1" applyFill="1" applyBorder="1" applyAlignment="1">
      <alignment vertical="center"/>
    </xf>
    <xf numFmtId="3" fontId="4" fillId="4" borderId="0" xfId="0" applyNumberFormat="1" applyFont="1" applyFill="1" applyAlignment="1">
      <alignment horizontal="center" vertical="center"/>
    </xf>
    <xf numFmtId="37" fontId="4" fillId="4" borderId="16" xfId="0" applyNumberFormat="1" applyFont="1" applyFill="1" applyBorder="1" applyAlignment="1">
      <alignment horizontal="left" vertical="center"/>
    </xf>
    <xf numFmtId="3" fontId="4" fillId="4" borderId="17" xfId="0" applyNumberFormat="1" applyFont="1" applyFill="1" applyBorder="1" applyAlignment="1">
      <alignment horizontal="center" vertical="center"/>
    </xf>
    <xf numFmtId="37" fontId="4" fillId="4" borderId="18" xfId="0" applyNumberFormat="1" applyFont="1" applyFill="1" applyBorder="1" applyAlignment="1">
      <alignment horizontal="left" vertical="center"/>
    </xf>
    <xf numFmtId="37" fontId="4" fillId="4" borderId="12" xfId="0" applyNumberFormat="1" applyFont="1" applyFill="1" applyBorder="1" applyAlignment="1">
      <alignment horizontal="left" vertical="center"/>
    </xf>
    <xf numFmtId="3" fontId="4" fillId="4" borderId="2" xfId="0" applyNumberFormat="1" applyFont="1" applyFill="1" applyBorder="1" applyAlignment="1">
      <alignment horizontal="center" vertical="center"/>
    </xf>
    <xf numFmtId="0" fontId="5" fillId="4" borderId="17" xfId="13" applyNumberFormat="1" applyFont="1" applyFill="1" applyBorder="1" applyAlignment="1" applyProtection="1">
      <alignment horizontal="right" vertical="center"/>
    </xf>
    <xf numFmtId="0" fontId="5" fillId="4" borderId="10" xfId="13" applyNumberFormat="1" applyFont="1" applyFill="1" applyBorder="1" applyAlignment="1" applyProtection="1">
      <alignment horizontal="right" vertical="center"/>
    </xf>
    <xf numFmtId="0" fontId="5" fillId="4" borderId="11" xfId="13" applyNumberFormat="1" applyFont="1" applyFill="1" applyBorder="1" applyAlignment="1" applyProtection="1">
      <alignment horizontal="right" vertical="center"/>
    </xf>
    <xf numFmtId="0" fontId="5" fillId="4" borderId="2" xfId="13" applyNumberFormat="1" applyFont="1" applyFill="1" applyBorder="1" applyAlignment="1" applyProtection="1">
      <alignment horizontal="right" vertical="center"/>
    </xf>
    <xf numFmtId="0" fontId="5" fillId="4" borderId="5" xfId="13" applyNumberFormat="1" applyFont="1" applyFill="1" applyBorder="1" applyAlignment="1" applyProtection="1">
      <alignment horizontal="right" vertical="center"/>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3" fontId="8" fillId="0" borderId="0" xfId="0" applyNumberFormat="1" applyFont="1" applyAlignment="1" applyProtection="1">
      <alignment vertical="center"/>
      <protection locked="0"/>
    </xf>
    <xf numFmtId="0" fontId="13" fillId="4" borderId="10" xfId="0" applyFont="1" applyFill="1" applyBorder="1" applyAlignment="1">
      <alignment horizontal="center" vertical="center"/>
    </xf>
    <xf numFmtId="0" fontId="5" fillId="4" borderId="18" xfId="0" applyFont="1" applyFill="1" applyBorder="1" applyAlignment="1">
      <alignment horizontal="right" vertical="center"/>
    </xf>
    <xf numFmtId="0" fontId="13" fillId="4" borderId="11" xfId="0" applyFont="1" applyFill="1" applyBorder="1" applyAlignment="1">
      <alignment horizontal="center" vertical="center"/>
    </xf>
    <xf numFmtId="0" fontId="5" fillId="4" borderId="12" xfId="0" applyFont="1" applyFill="1" applyBorder="1" applyAlignment="1">
      <alignment horizontal="right" vertical="center"/>
    </xf>
    <xf numFmtId="0" fontId="13" fillId="4" borderId="2" xfId="0" applyFont="1" applyFill="1" applyBorder="1" applyAlignment="1">
      <alignment horizontal="center" vertical="center"/>
    </xf>
    <xf numFmtId="0" fontId="5" fillId="4" borderId="16" xfId="0" applyFont="1" applyFill="1" applyBorder="1" applyAlignment="1">
      <alignment horizontal="left" vertical="center"/>
    </xf>
    <xf numFmtId="3" fontId="5" fillId="4" borderId="17" xfId="0" applyNumberFormat="1" applyFont="1" applyFill="1" applyBorder="1" applyAlignment="1">
      <alignment vertical="center"/>
    </xf>
    <xf numFmtId="37" fontId="5" fillId="4" borderId="16" xfId="26" applyNumberFormat="1" applyFont="1" applyFill="1" applyBorder="1" applyAlignment="1">
      <alignment horizontal="left" vertical="top"/>
    </xf>
    <xf numFmtId="0" fontId="5" fillId="4" borderId="17" xfId="14" applyNumberFormat="1" applyFont="1" applyFill="1" applyBorder="1" applyAlignment="1" applyProtection="1">
      <alignment horizontal="left" vertical="top"/>
    </xf>
    <xf numFmtId="171" fontId="5" fillId="4" borderId="10" xfId="26" applyNumberFormat="1" applyFont="1" applyFill="1" applyBorder="1" applyAlignment="1">
      <alignment horizontal="left" vertical="top"/>
    </xf>
    <xf numFmtId="37" fontId="5" fillId="4" borderId="18" xfId="26" applyNumberFormat="1" applyFont="1" applyFill="1" applyBorder="1" applyAlignment="1">
      <alignment horizontal="left" vertical="top"/>
    </xf>
    <xf numFmtId="0" fontId="5" fillId="4" borderId="0" xfId="14" applyNumberFormat="1" applyFont="1" applyFill="1" applyBorder="1" applyAlignment="1" applyProtection="1">
      <alignment horizontal="left" vertical="top"/>
    </xf>
    <xf numFmtId="171" fontId="5" fillId="4" borderId="11" xfId="26" applyNumberFormat="1" applyFont="1" applyFill="1" applyBorder="1" applyAlignment="1">
      <alignment horizontal="left" vertical="top"/>
    </xf>
    <xf numFmtId="37" fontId="5" fillId="4" borderId="12" xfId="26" applyNumberFormat="1" applyFont="1" applyFill="1" applyBorder="1" applyAlignment="1">
      <alignment horizontal="left" vertical="top"/>
    </xf>
    <xf numFmtId="0" fontId="5" fillId="4" borderId="2" xfId="14" applyNumberFormat="1" applyFont="1" applyFill="1" applyBorder="1" applyAlignment="1" applyProtection="1">
      <alignment horizontal="left" vertical="top"/>
    </xf>
    <xf numFmtId="171" fontId="5" fillId="4" borderId="5" xfId="26" applyNumberFormat="1" applyFont="1" applyFill="1" applyBorder="1" applyAlignment="1">
      <alignment horizontal="left" vertical="top"/>
    </xf>
    <xf numFmtId="0" fontId="31" fillId="0" borderId="0" xfId="14" applyFont="1" applyAlignment="1" applyProtection="1"/>
    <xf numFmtId="0" fontId="6" fillId="0" borderId="0" xfId="26" applyFont="1"/>
    <xf numFmtId="165" fontId="20" fillId="4" borderId="1" xfId="0" applyNumberFormat="1" applyFont="1" applyFill="1" applyBorder="1" applyAlignment="1">
      <alignment vertical="center"/>
    </xf>
    <xf numFmtId="37" fontId="20" fillId="4" borderId="0" xfId="0" applyNumberFormat="1" applyFont="1" applyFill="1" applyAlignment="1">
      <alignment horizontal="left" vertical="center"/>
    </xf>
    <xf numFmtId="0" fontId="4" fillId="4" borderId="0" xfId="0" applyFont="1" applyFill="1" applyAlignment="1">
      <alignment horizontal="center" wrapText="1"/>
    </xf>
    <xf numFmtId="37" fontId="5" fillId="4" borderId="7" xfId="0" applyNumberFormat="1" applyFont="1" applyFill="1" applyBorder="1" applyAlignment="1">
      <alignment horizontal="left" vertical="center"/>
    </xf>
    <xf numFmtId="165" fontId="20" fillId="4" borderId="7" xfId="0" applyNumberFormat="1" applyFont="1" applyFill="1" applyBorder="1" applyAlignment="1">
      <alignment vertical="center"/>
    </xf>
    <xf numFmtId="37" fontId="5" fillId="4" borderId="13" xfId="0" applyNumberFormat="1" applyFont="1" applyFill="1" applyBorder="1" applyAlignment="1">
      <alignment horizontal="left" vertical="center"/>
    </xf>
    <xf numFmtId="0" fontId="6" fillId="0" borderId="0" xfId="0" applyFont="1" applyAlignment="1">
      <alignment vertical="center" wrapText="1"/>
    </xf>
    <xf numFmtId="0" fontId="2" fillId="0" borderId="0" xfId="466"/>
    <xf numFmtId="0" fontId="5" fillId="0" borderId="0" xfId="466" applyFont="1"/>
    <xf numFmtId="0" fontId="5" fillId="0" borderId="0" xfId="466" applyFont="1" applyAlignment="1">
      <alignment horizontal="right"/>
    </xf>
    <xf numFmtId="49" fontId="5" fillId="0" borderId="0" xfId="466" applyNumberFormat="1" applyFont="1" applyAlignment="1" applyProtection="1">
      <alignment horizontal="left" vertical="center"/>
      <protection locked="0"/>
    </xf>
    <xf numFmtId="0" fontId="2" fillId="0" borderId="0" xfId="466" applyAlignment="1">
      <alignment horizontal="left"/>
    </xf>
    <xf numFmtId="0" fontId="2" fillId="0" borderId="0" xfId="466" applyAlignment="1">
      <alignment horizontal="right"/>
    </xf>
    <xf numFmtId="0" fontId="5" fillId="0" borderId="0" xfId="466" applyFont="1" applyAlignment="1">
      <alignment horizontal="right" vertical="center"/>
    </xf>
    <xf numFmtId="0" fontId="20" fillId="0" borderId="0" xfId="466" applyFont="1" applyAlignment="1">
      <alignment horizontal="left" vertical="center"/>
    </xf>
    <xf numFmtId="0" fontId="45" fillId="0" borderId="0" xfId="501" applyFont="1" applyAlignment="1">
      <alignment horizontal="center" vertical="center" wrapText="1"/>
    </xf>
    <xf numFmtId="0" fontId="5" fillId="0" borderId="0" xfId="501" applyFont="1" applyAlignment="1">
      <alignment vertical="center"/>
    </xf>
    <xf numFmtId="0" fontId="5" fillId="0" borderId="0" xfId="501" applyFont="1" applyAlignment="1">
      <alignment vertical="center" wrapText="1"/>
    </xf>
    <xf numFmtId="0" fontId="30" fillId="0" borderId="0" xfId="501" applyFont="1" applyAlignment="1">
      <alignment horizontal="center" vertical="center" wrapText="1"/>
    </xf>
    <xf numFmtId="0" fontId="47" fillId="0" borderId="0" xfId="501" applyFont="1" applyAlignment="1">
      <alignment vertical="center" wrapText="1"/>
    </xf>
    <xf numFmtId="0" fontId="48" fillId="0" borderId="0" xfId="501" applyFont="1" applyAlignment="1">
      <alignment vertical="center" wrapText="1"/>
    </xf>
    <xf numFmtId="0" fontId="4" fillId="0" borderId="0" xfId="501" applyFont="1" applyAlignment="1">
      <alignment horizontal="center" vertical="center" wrapText="1"/>
    </xf>
    <xf numFmtId="0" fontId="4" fillId="0" borderId="0" xfId="501" applyFont="1" applyAlignment="1">
      <alignment vertical="center" wrapText="1"/>
    </xf>
    <xf numFmtId="0" fontId="5" fillId="0" borderId="0" xfId="501" applyFont="1" applyAlignment="1">
      <alignment horizontal="left" vertical="center" wrapText="1" indent="2"/>
    </xf>
    <xf numFmtId="0" fontId="5" fillId="0" borderId="0" xfId="501" applyFont="1" applyAlignment="1">
      <alignment horizontal="left" vertical="center" wrapText="1"/>
    </xf>
    <xf numFmtId="0" fontId="5" fillId="0" borderId="0" xfId="501" applyFont="1" applyAlignment="1">
      <alignment horizontal="left" vertical="center" indent="2"/>
    </xf>
    <xf numFmtId="0" fontId="49" fillId="0" borderId="0" xfId="501" applyFont="1" applyAlignment="1">
      <alignment horizontal="left" vertical="center" wrapText="1" indent="4"/>
    </xf>
    <xf numFmtId="0" fontId="14" fillId="0" borderId="0" xfId="501" applyFont="1" applyAlignment="1">
      <alignment vertical="center" wrapText="1"/>
    </xf>
    <xf numFmtId="0" fontId="5" fillId="4" borderId="0" xfId="501" applyFont="1" applyFill="1" applyAlignment="1">
      <alignment vertical="center"/>
    </xf>
    <xf numFmtId="0" fontId="5" fillId="4" borderId="0" xfId="501" applyFont="1" applyFill="1" applyAlignment="1" applyProtection="1">
      <alignment vertical="center"/>
      <protection locked="0"/>
    </xf>
    <xf numFmtId="37" fontId="5" fillId="4" borderId="0" xfId="501" applyNumberFormat="1" applyFont="1" applyFill="1" applyAlignment="1">
      <alignment horizontal="centerContinuous" vertical="center"/>
    </xf>
    <xf numFmtId="0" fontId="5" fillId="4" borderId="0" xfId="501" applyFont="1" applyFill="1" applyAlignment="1">
      <alignment horizontal="centerContinuous" vertical="center"/>
    </xf>
    <xf numFmtId="169" fontId="5" fillId="4" borderId="1" xfId="501" applyNumberFormat="1" applyFont="1" applyFill="1" applyBorder="1" applyAlignment="1">
      <alignment horizontal="centerContinuous" vertical="center"/>
    </xf>
    <xf numFmtId="169" fontId="5" fillId="4" borderId="1" xfId="501" applyNumberFormat="1" applyFont="1" applyFill="1" applyBorder="1" applyAlignment="1">
      <alignment horizontal="center" vertical="center"/>
    </xf>
    <xf numFmtId="0" fontId="5" fillId="4" borderId="0" xfId="501" applyFont="1" applyFill="1" applyAlignment="1">
      <alignment horizontal="fill" vertical="center"/>
    </xf>
    <xf numFmtId="0" fontId="5" fillId="4" borderId="0" xfId="501" applyFont="1" applyFill="1" applyAlignment="1">
      <alignment horizontal="right" vertical="center"/>
    </xf>
    <xf numFmtId="0" fontId="5" fillId="3" borderId="0" xfId="501" applyFont="1" applyFill="1" applyAlignment="1" applyProtection="1">
      <alignment horizontal="center" vertical="center"/>
      <protection locked="0"/>
    </xf>
    <xf numFmtId="0" fontId="5" fillId="0" borderId="0" xfId="501" applyFont="1" applyAlignment="1" applyProtection="1">
      <alignment vertical="center"/>
      <protection locked="0"/>
    </xf>
    <xf numFmtId="0" fontId="44" fillId="0" borderId="0" xfId="502"/>
    <xf numFmtId="0" fontId="5" fillId="0" borderId="0" xfId="502" applyFont="1"/>
    <xf numFmtId="0" fontId="44" fillId="0" borderId="0" xfId="501"/>
    <xf numFmtId="0" fontId="5" fillId="0" borderId="0" xfId="501" applyFont="1"/>
    <xf numFmtId="0" fontId="5" fillId="0" borderId="2" xfId="501" applyFont="1" applyBorder="1"/>
    <xf numFmtId="0" fontId="4" fillId="7" borderId="5" xfId="0" applyFont="1" applyFill="1" applyBorder="1" applyAlignment="1">
      <alignment vertical="center"/>
    </xf>
    <xf numFmtId="37" fontId="5" fillId="4" borderId="16" xfId="0" applyNumberFormat="1" applyFont="1" applyFill="1" applyBorder="1" applyAlignment="1">
      <alignment horizontal="left" vertical="center"/>
    </xf>
    <xf numFmtId="164" fontId="5" fillId="4" borderId="10" xfId="0" applyNumberFormat="1" applyFont="1" applyFill="1" applyBorder="1" applyAlignment="1">
      <alignment horizontal="center" vertical="center"/>
    </xf>
    <xf numFmtId="164" fontId="5" fillId="4" borderId="0" xfId="0" applyNumberFormat="1" applyFont="1" applyFill="1" applyAlignment="1">
      <alignment horizontal="center" vertical="center"/>
    </xf>
    <xf numFmtId="0" fontId="5" fillId="4" borderId="0" xfId="0" applyFont="1" applyFill="1" applyAlignment="1">
      <alignment horizontal="center" vertical="center" shrinkToFit="1"/>
    </xf>
    <xf numFmtId="169" fontId="5" fillId="4" borderId="1" xfId="0" applyNumberFormat="1" applyFont="1" applyFill="1" applyBorder="1" applyAlignment="1">
      <alignment horizontal="center" vertical="center"/>
    </xf>
    <xf numFmtId="37" fontId="5" fillId="4" borderId="0" xfId="0" applyNumberFormat="1" applyFont="1" applyFill="1" applyAlignment="1">
      <alignment horizontal="fill"/>
    </xf>
    <xf numFmtId="37" fontId="5" fillId="4" borderId="0" xfId="0" applyNumberFormat="1" applyFont="1" applyFill="1" applyAlignment="1">
      <alignment horizontal="center" vertical="center"/>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0" xfId="0" applyFont="1" applyFill="1" applyBorder="1" applyAlignment="1">
      <alignment vertical="center" wrapText="1"/>
    </xf>
    <xf numFmtId="0" fontId="5" fillId="4" borderId="18" xfId="0" applyFont="1" applyFill="1" applyBorder="1" applyAlignment="1">
      <alignment vertical="center" wrapText="1"/>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5" xfId="0" applyFont="1" applyFill="1" applyBorder="1" applyAlignment="1">
      <alignment vertical="center" wrapText="1"/>
    </xf>
    <xf numFmtId="0" fontId="4" fillId="4" borderId="18" xfId="0" applyFont="1" applyFill="1" applyBorder="1"/>
    <xf numFmtId="0" fontId="4" fillId="4" borderId="0" xfId="0" applyFont="1" applyFill="1"/>
    <xf numFmtId="169" fontId="4" fillId="4" borderId="4" xfId="0" applyNumberFormat="1" applyFont="1" applyFill="1" applyBorder="1" applyAlignment="1">
      <alignment horizontal="center"/>
    </xf>
    <xf numFmtId="37" fontId="4" fillId="4" borderId="1" xfId="0" applyNumberFormat="1" applyFont="1" applyFill="1" applyBorder="1" applyAlignment="1">
      <alignment vertical="center"/>
    </xf>
    <xf numFmtId="171" fontId="8" fillId="13" borderId="12" xfId="0" applyNumberFormat="1" applyFont="1" applyFill="1" applyBorder="1" applyAlignment="1">
      <alignment horizontal="center" vertical="center"/>
    </xf>
    <xf numFmtId="0" fontId="8" fillId="12" borderId="0" xfId="0" applyFont="1" applyFill="1" applyAlignment="1">
      <alignment horizontal="left" vertical="center"/>
    </xf>
    <xf numFmtId="0" fontId="32" fillId="12" borderId="0" xfId="0" applyFont="1" applyFill="1" applyAlignment="1">
      <alignment horizontal="center" vertical="center"/>
    </xf>
    <xf numFmtId="0" fontId="0" fillId="12" borderId="11" xfId="0" applyFill="1" applyBorder="1" applyAlignment="1">
      <alignment vertical="center"/>
    </xf>
    <xf numFmtId="171" fontId="8" fillId="12" borderId="12" xfId="0" applyNumberFormat="1" applyFont="1" applyFill="1" applyBorder="1" applyAlignment="1">
      <alignment horizontal="center" vertical="center"/>
    </xf>
    <xf numFmtId="171" fontId="33" fillId="12" borderId="12" xfId="0" applyNumberFormat="1" applyFont="1" applyFill="1" applyBorder="1" applyAlignment="1">
      <alignment horizontal="center" vertical="center"/>
    </xf>
    <xf numFmtId="0" fontId="33" fillId="12" borderId="0" xfId="0" applyFont="1" applyFill="1" applyAlignment="1">
      <alignment horizontal="left" vertical="center"/>
    </xf>
    <xf numFmtId="171" fontId="8" fillId="12" borderId="9" xfId="0" applyNumberFormat="1" applyFont="1" applyFill="1" applyBorder="1" applyAlignment="1">
      <alignment horizontal="center" vertical="center"/>
    </xf>
    <xf numFmtId="0" fontId="5" fillId="12" borderId="18" xfId="0" applyFont="1" applyFill="1" applyBorder="1" applyAlignment="1">
      <alignment vertical="center"/>
    </xf>
    <xf numFmtId="0" fontId="5" fillId="12" borderId="11" xfId="0" applyFont="1" applyFill="1" applyBorder="1" applyAlignment="1">
      <alignment vertical="center"/>
    </xf>
    <xf numFmtId="3" fontId="4" fillId="4" borderId="1" xfId="26" applyNumberFormat="1" applyFont="1" applyFill="1" applyBorder="1" applyAlignment="1">
      <alignment horizontal="right" vertical="center"/>
    </xf>
    <xf numFmtId="3" fontId="4" fillId="4" borderId="6" xfId="0" applyNumberFormat="1" applyFont="1" applyFill="1" applyBorder="1" applyAlignment="1">
      <alignment horizontal="right" vertical="center"/>
    </xf>
    <xf numFmtId="0" fontId="14" fillId="0" borderId="0" xfId="0" applyFont="1" applyAlignment="1">
      <alignment horizontal="center"/>
    </xf>
    <xf numFmtId="0" fontId="4" fillId="0" borderId="0" xfId="0" applyFont="1"/>
    <xf numFmtId="0" fontId="5" fillId="0" borderId="0" xfId="0" quotePrefix="1" applyFont="1"/>
    <xf numFmtId="0" fontId="5" fillId="0" borderId="0" xfId="165" applyFont="1"/>
    <xf numFmtId="0" fontId="43" fillId="0" borderId="0" xfId="0" applyFont="1" applyAlignment="1">
      <alignment horizontal="center"/>
    </xf>
    <xf numFmtId="0" fontId="5" fillId="0" borderId="0" xfId="501" applyFont="1" applyAlignment="1">
      <alignment wrapText="1"/>
    </xf>
    <xf numFmtId="37" fontId="5" fillId="4" borderId="13" xfId="0" applyNumberFormat="1" applyFont="1" applyFill="1" applyBorder="1" applyAlignment="1">
      <alignment vertical="center"/>
    </xf>
    <xf numFmtId="168" fontId="5" fillId="4" borderId="13" xfId="0" applyNumberFormat="1" applyFont="1" applyFill="1" applyBorder="1" applyAlignment="1">
      <alignment vertical="center"/>
    </xf>
    <xf numFmtId="37" fontId="5" fillId="4" borderId="13" xfId="0" applyNumberFormat="1" applyFont="1" applyFill="1" applyBorder="1" applyAlignment="1">
      <alignment horizontal="center" vertical="center"/>
    </xf>
    <xf numFmtId="164" fontId="5" fillId="4" borderId="5" xfId="0" applyNumberFormat="1" applyFont="1" applyFill="1" applyBorder="1" applyAlignment="1">
      <alignment horizontal="center" vertical="center"/>
    </xf>
    <xf numFmtId="168" fontId="5" fillId="3" borderId="1" xfId="0" applyNumberFormat="1" applyFont="1" applyFill="1" applyBorder="1" applyAlignment="1" applyProtection="1">
      <alignment horizontal="center"/>
      <protection locked="0"/>
    </xf>
    <xf numFmtId="0" fontId="47" fillId="0" borderId="0" xfId="0" applyFont="1" applyAlignment="1">
      <alignment wrapText="1"/>
    </xf>
    <xf numFmtId="0" fontId="5" fillId="4" borderId="0" xfId="501" applyFont="1" applyFill="1" applyAlignment="1">
      <alignment horizontal="center" vertical="center"/>
    </xf>
    <xf numFmtId="169" fontId="5" fillId="4" borderId="0" xfId="501" applyNumberFormat="1" applyFont="1" applyFill="1" applyAlignment="1">
      <alignment horizontal="centerContinuous" vertical="center"/>
    </xf>
    <xf numFmtId="169" fontId="5" fillId="4" borderId="0" xfId="501" applyNumberFormat="1" applyFont="1" applyFill="1" applyAlignment="1">
      <alignment horizontal="center" vertical="center"/>
    </xf>
    <xf numFmtId="0" fontId="5" fillId="4" borderId="19" xfId="0" applyFont="1" applyFill="1" applyBorder="1" applyAlignment="1">
      <alignment horizontal="right" vertical="center"/>
    </xf>
    <xf numFmtId="165" fontId="5" fillId="4" borderId="19" xfId="0" applyNumberFormat="1" applyFont="1" applyFill="1" applyBorder="1" applyAlignment="1">
      <alignment horizontal="right" vertical="center"/>
    </xf>
    <xf numFmtId="37" fontId="5" fillId="4" borderId="4" xfId="0" applyNumberFormat="1" applyFont="1" applyFill="1" applyBorder="1" applyAlignment="1">
      <alignment horizontal="fill" vertical="center"/>
    </xf>
    <xf numFmtId="0" fontId="5" fillId="4" borderId="7" xfId="0" applyFont="1" applyFill="1" applyBorder="1" applyAlignment="1">
      <alignment horizontal="right" vertical="center"/>
    </xf>
    <xf numFmtId="0" fontId="8" fillId="0" borderId="0" xfId="0" applyFont="1" applyAlignment="1">
      <alignment vertical="center" wrapText="1"/>
    </xf>
    <xf numFmtId="0" fontId="50" fillId="0" borderId="0" xfId="0" applyFont="1" applyAlignment="1">
      <alignment vertical="center" wrapText="1"/>
    </xf>
    <xf numFmtId="0" fontId="5" fillId="4" borderId="7" xfId="0" applyFont="1" applyFill="1" applyBorder="1" applyAlignment="1">
      <alignment horizontal="center" vertical="center"/>
    </xf>
    <xf numFmtId="0" fontId="5" fillId="4" borderId="0" xfId="50" applyFont="1" applyFill="1" applyAlignment="1">
      <alignment horizontal="right" vertical="center"/>
    </xf>
    <xf numFmtId="0" fontId="5" fillId="4" borderId="0" xfId="13" applyNumberFormat="1" applyFont="1" applyFill="1" applyBorder="1" applyAlignment="1" applyProtection="1">
      <alignment horizontal="right" vertical="center"/>
    </xf>
    <xf numFmtId="0" fontId="5" fillId="4" borderId="0" xfId="14" applyNumberFormat="1" applyFont="1" applyFill="1" applyBorder="1" applyAlignment="1" applyProtection="1">
      <alignment horizontal="right" vertical="center"/>
    </xf>
    <xf numFmtId="37" fontId="5" fillId="4" borderId="2" xfId="0" applyNumberFormat="1" applyFont="1" applyFill="1" applyBorder="1" applyAlignment="1" applyProtection="1">
      <alignment horizontal="center" vertical="center"/>
      <protection locked="0"/>
    </xf>
    <xf numFmtId="37" fontId="5" fillId="4" borderId="6" xfId="0" applyNumberFormat="1" applyFont="1" applyFill="1" applyBorder="1" applyAlignment="1">
      <alignment horizontal="center" vertical="center"/>
    </xf>
    <xf numFmtId="37" fontId="5" fillId="4" borderId="7" xfId="0" applyNumberFormat="1" applyFont="1" applyFill="1" applyBorder="1" applyAlignment="1">
      <alignment horizontal="center" vertical="center"/>
    </xf>
    <xf numFmtId="49" fontId="5" fillId="4" borderId="0" xfId="501" applyNumberFormat="1" applyFont="1" applyFill="1" applyAlignment="1" applyProtection="1">
      <alignment horizontal="left" vertical="center"/>
      <protection locked="0"/>
    </xf>
    <xf numFmtId="0" fontId="5" fillId="0" borderId="0" xfId="502" applyFont="1" applyAlignment="1">
      <alignment horizontal="left" wrapText="1"/>
    </xf>
    <xf numFmtId="0" fontId="23" fillId="0" borderId="0" xfId="0" applyFont="1" applyAlignment="1">
      <alignment vertical="center"/>
    </xf>
    <xf numFmtId="0" fontId="18" fillId="0" borderId="0" xfId="0" applyFont="1" applyAlignment="1">
      <alignment vertical="center"/>
    </xf>
    <xf numFmtId="0" fontId="12" fillId="6" borderId="0" xfId="31" applyFont="1" applyFill="1" applyAlignment="1">
      <alignment vertical="center"/>
    </xf>
    <xf numFmtId="0" fontId="12" fillId="4" borderId="0" xfId="31" applyFont="1" applyFill="1" applyAlignment="1">
      <alignment horizontal="center" vertical="center"/>
    </xf>
    <xf numFmtId="175" fontId="12" fillId="4" borderId="0" xfId="31" applyNumberFormat="1" applyFont="1" applyFill="1" applyAlignment="1">
      <alignment horizontal="center" vertical="center"/>
    </xf>
    <xf numFmtId="0" fontId="12" fillId="6" borderId="0" xfId="31" applyFont="1" applyFill="1" applyAlignment="1">
      <alignment horizontal="center" vertical="center"/>
    </xf>
    <xf numFmtId="0" fontId="13" fillId="6" borderId="0" xfId="31" applyFont="1" applyFill="1" applyAlignment="1">
      <alignment horizontal="center" vertical="center"/>
    </xf>
    <xf numFmtId="0" fontId="37" fillId="0" borderId="0" xfId="0" applyFont="1" applyProtection="1">
      <protection locked="0"/>
    </xf>
    <xf numFmtId="0" fontId="17" fillId="4" borderId="0" xfId="0" applyFont="1" applyFill="1" applyAlignment="1">
      <alignment horizontal="center" vertical="center"/>
    </xf>
    <xf numFmtId="0" fontId="13" fillId="4" borderId="0" xfId="24" applyFont="1" applyFill="1" applyAlignment="1">
      <alignment horizontal="center" vertical="center"/>
    </xf>
    <xf numFmtId="0" fontId="37" fillId="0" borderId="0" xfId="26" applyFont="1" applyProtection="1">
      <protection locked="0"/>
    </xf>
    <xf numFmtId="0" fontId="37" fillId="0" borderId="0" xfId="26" applyFont="1" applyAlignment="1">
      <alignment vertical="center"/>
    </xf>
    <xf numFmtId="0" fontId="17" fillId="4" borderId="0" xfId="26" applyFont="1" applyFill="1" applyAlignment="1">
      <alignment horizontal="center" vertical="center"/>
    </xf>
    <xf numFmtId="0" fontId="37" fillId="0" borderId="0" xfId="26" applyFont="1" applyAlignment="1">
      <alignment horizontal="right" vertical="center"/>
    </xf>
    <xf numFmtId="0" fontId="37" fillId="0" borderId="0" xfId="26" applyFont="1"/>
    <xf numFmtId="0" fontId="17" fillId="0" borderId="0" xfId="26" applyFont="1" applyProtection="1">
      <protection locked="0"/>
    </xf>
    <xf numFmtId="0" fontId="17" fillId="0" borderId="0" xfId="50" applyFont="1" applyAlignment="1" applyProtection="1">
      <alignment vertical="center"/>
      <protection locked="0"/>
    </xf>
    <xf numFmtId="3" fontId="13" fillId="4" borderId="2" xfId="0" applyNumberFormat="1" applyFont="1" applyFill="1" applyBorder="1" applyAlignment="1">
      <alignment horizontal="center" vertical="center"/>
    </xf>
    <xf numFmtId="37" fontId="5" fillId="4" borderId="21" xfId="0" applyNumberFormat="1" applyFont="1" applyFill="1" applyBorder="1" applyAlignment="1">
      <alignment horizontal="left" vertical="center"/>
    </xf>
    <xf numFmtId="0" fontId="5" fillId="3" borderId="19" xfId="0" applyFont="1" applyFill="1" applyBorder="1" applyAlignment="1" applyProtection="1">
      <alignment vertical="center"/>
      <protection locked="0"/>
    </xf>
    <xf numFmtId="170" fontId="5" fillId="4" borderId="1" xfId="1" applyNumberFormat="1" applyFont="1" applyFill="1" applyBorder="1" applyAlignment="1" applyProtection="1">
      <alignment vertical="center"/>
    </xf>
    <xf numFmtId="0" fontId="55" fillId="0" borderId="0" xfId="501" applyFont="1"/>
    <xf numFmtId="0" fontId="56" fillId="0" borderId="0" xfId="501" applyFont="1"/>
    <xf numFmtId="0" fontId="57" fillId="0" borderId="0" xfId="501" applyFont="1" applyAlignment="1">
      <alignment horizontal="left" vertical="center" readingOrder="1"/>
    </xf>
    <xf numFmtId="0" fontId="58" fillId="0" borderId="0" xfId="501" applyFont="1" applyAlignment="1">
      <alignment horizontal="left" vertical="center" indent="2" readingOrder="1"/>
    </xf>
    <xf numFmtId="0" fontId="58" fillId="0" borderId="2" xfId="501" applyFont="1" applyBorder="1" applyAlignment="1">
      <alignment horizontal="center" vertical="center" readingOrder="1"/>
    </xf>
    <xf numFmtId="0" fontId="59" fillId="0" borderId="0" xfId="501" applyFont="1" applyAlignment="1">
      <alignment horizontal="left" vertical="center" readingOrder="1"/>
    </xf>
    <xf numFmtId="0" fontId="44" fillId="16" borderId="0" xfId="501" applyFill="1"/>
    <xf numFmtId="0" fontId="57" fillId="16" borderId="0" xfId="501" applyFont="1" applyFill="1" applyAlignment="1">
      <alignment horizontal="left" vertical="center" readingOrder="1"/>
    </xf>
    <xf numFmtId="0" fontId="61" fillId="0" borderId="0" xfId="501" applyFont="1" applyAlignment="1">
      <alignment wrapText="1"/>
    </xf>
    <xf numFmtId="0" fontId="62" fillId="0" borderId="0" xfId="501" applyFont="1"/>
    <xf numFmtId="0" fontId="63" fillId="0" borderId="0" xfId="501" applyFont="1" applyAlignment="1">
      <alignment horizontal="left"/>
    </xf>
    <xf numFmtId="0" fontId="64" fillId="0" borderId="0" xfId="501" applyFont="1"/>
    <xf numFmtId="0" fontId="6" fillId="0" borderId="0" xfId="0" applyFont="1"/>
    <xf numFmtId="0" fontId="64" fillId="0" borderId="0" xfId="503" applyFont="1"/>
    <xf numFmtId="0" fontId="64" fillId="0" borderId="0" xfId="503" applyFont="1" applyAlignment="1">
      <alignment horizontal="left" wrapText="1"/>
    </xf>
    <xf numFmtId="0" fontId="64" fillId="0" borderId="0" xfId="503" applyFont="1" applyAlignment="1">
      <alignment horizontal="center"/>
    </xf>
    <xf numFmtId="0" fontId="65" fillId="17" borderId="1" xfId="503" applyFont="1" applyFill="1" applyBorder="1" applyAlignment="1">
      <alignment horizontal="center" vertical="center"/>
    </xf>
    <xf numFmtId="0" fontId="64" fillId="0" borderId="1" xfId="503" applyFont="1" applyBorder="1" applyAlignment="1">
      <alignment horizontal="center"/>
    </xf>
    <xf numFmtId="0" fontId="64" fillId="0" borderId="13" xfId="503" applyFont="1" applyBorder="1" applyAlignment="1">
      <alignment horizontal="center"/>
    </xf>
    <xf numFmtId="0" fontId="67" fillId="0" borderId="7" xfId="503" applyFont="1" applyBorder="1" applyAlignment="1">
      <alignment horizontal="center" vertical="center"/>
    </xf>
    <xf numFmtId="0" fontId="64" fillId="0" borderId="0" xfId="503" applyFont="1" applyAlignment="1">
      <alignment horizontal="right" wrapText="1"/>
    </xf>
    <xf numFmtId="0" fontId="64" fillId="0" borderId="0" xfId="503" applyFont="1" applyAlignment="1">
      <alignment wrapText="1"/>
    </xf>
    <xf numFmtId="37" fontId="5" fillId="11" borderId="6" xfId="0" applyNumberFormat="1" applyFont="1" applyFill="1" applyBorder="1" applyAlignment="1">
      <alignment horizontal="center" vertical="center" wrapText="1"/>
    </xf>
    <xf numFmtId="0" fontId="0" fillId="11" borderId="7" xfId="0" applyFill="1" applyBorder="1" applyAlignment="1">
      <alignment vertical="center" wrapText="1"/>
    </xf>
    <xf numFmtId="37" fontId="13" fillId="4" borderId="0" xfId="0" applyNumberFormat="1" applyFont="1" applyFill="1" applyAlignment="1">
      <alignment horizontal="center" vertical="center"/>
    </xf>
    <xf numFmtId="0" fontId="14" fillId="0" borderId="0" xfId="0" applyFont="1" applyAlignment="1">
      <alignment horizontal="center" vertical="center"/>
    </xf>
    <xf numFmtId="37" fontId="14" fillId="4" borderId="0" xfId="0" applyNumberFormat="1" applyFont="1" applyFill="1" applyAlignment="1">
      <alignment horizontal="center" vertical="center"/>
    </xf>
    <xf numFmtId="0" fontId="0" fillId="0" borderId="0" xfId="0" applyAlignment="1">
      <alignment horizontal="center" vertical="center"/>
    </xf>
    <xf numFmtId="37" fontId="4" fillId="4" borderId="0" xfId="26" applyNumberFormat="1" applyFont="1" applyFill="1" applyAlignment="1">
      <alignment vertical="center" wrapText="1"/>
    </xf>
    <xf numFmtId="0" fontId="5" fillId="4" borderId="16" xfId="26" applyFont="1" applyFill="1" applyBorder="1" applyAlignment="1">
      <alignment vertical="center" wrapText="1"/>
    </xf>
    <xf numFmtId="0" fontId="3" fillId="0" borderId="10" xfId="26" applyBorder="1" applyAlignment="1">
      <alignment vertical="center" wrapText="1"/>
    </xf>
    <xf numFmtId="0" fontId="3" fillId="0" borderId="18" xfId="26" applyBorder="1" applyAlignment="1">
      <alignment vertical="center" wrapText="1"/>
    </xf>
    <xf numFmtId="0" fontId="3" fillId="0" borderId="11" xfId="26" applyBorder="1" applyAlignment="1">
      <alignment vertical="center" wrapText="1"/>
    </xf>
    <xf numFmtId="0" fontId="3" fillId="0" borderId="12" xfId="26" applyBorder="1" applyAlignment="1">
      <alignment vertical="center" wrapText="1"/>
    </xf>
    <xf numFmtId="0" fontId="3" fillId="0" borderId="5" xfId="26" applyBorder="1" applyAlignment="1">
      <alignment vertical="center" wrapText="1"/>
    </xf>
    <xf numFmtId="0" fontId="47" fillId="0" borderId="0" xfId="0" applyFont="1" applyAlignment="1">
      <alignment horizontal="center" wrapText="1"/>
    </xf>
    <xf numFmtId="0" fontId="4" fillId="7" borderId="9" xfId="0" applyFont="1" applyFill="1" applyBorder="1" applyAlignment="1">
      <alignment horizontal="center"/>
    </xf>
    <xf numFmtId="0" fontId="15" fillId="7" borderId="4" xfId="0" applyFont="1" applyFill="1" applyBorder="1" applyAlignment="1">
      <alignment horizontal="center"/>
    </xf>
    <xf numFmtId="0" fontId="12" fillId="4" borderId="0" xfId="0" applyFont="1" applyFill="1"/>
    <xf numFmtId="0" fontId="16" fillId="0" borderId="0" xfId="0" applyFont="1"/>
    <xf numFmtId="37" fontId="5" fillId="8" borderId="0" xfId="0" applyNumberFormat="1" applyFont="1" applyFill="1" applyAlignment="1">
      <alignment horizontal="left" wrapText="1"/>
    </xf>
    <xf numFmtId="0" fontId="0" fillId="0" borderId="0" xfId="0" applyAlignment="1">
      <alignment wrapText="1"/>
    </xf>
    <xf numFmtId="37" fontId="13" fillId="4" borderId="0" xfId="0" applyNumberFormat="1" applyFont="1" applyFill="1" applyAlignment="1">
      <alignment horizontal="center" vertical="justify"/>
    </xf>
    <xf numFmtId="0" fontId="14" fillId="0" borderId="0" xfId="0" applyFont="1" applyAlignment="1">
      <alignment horizontal="center" vertical="justify"/>
    </xf>
    <xf numFmtId="37" fontId="14" fillId="4" borderId="0" xfId="0" applyNumberFormat="1" applyFont="1" applyFill="1" applyAlignment="1">
      <alignment horizontal="center"/>
    </xf>
    <xf numFmtId="0" fontId="5"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6" borderId="17" xfId="0" applyFont="1" applyFill="1" applyBorder="1" applyAlignment="1">
      <alignment wrapText="1"/>
    </xf>
    <xf numFmtId="0" fontId="0" fillId="0" borderId="17" xfId="0" applyBorder="1" applyAlignment="1">
      <alignment wrapText="1"/>
    </xf>
    <xf numFmtId="37" fontId="4" fillId="4" borderId="0" xfId="0" applyNumberFormat="1" applyFont="1" applyFill="1" applyAlignment="1">
      <alignment horizontal="right"/>
    </xf>
    <xf numFmtId="37" fontId="4" fillId="4" borderId="11" xfId="0" applyNumberFormat="1" applyFont="1" applyFill="1" applyBorder="1" applyAlignment="1">
      <alignment horizontal="right"/>
    </xf>
    <xf numFmtId="0" fontId="24" fillId="15" borderId="0" xfId="466" applyFont="1" applyFill="1" applyAlignment="1">
      <alignment horizontal="center" vertical="center" wrapText="1"/>
    </xf>
    <xf numFmtId="49" fontId="5" fillId="3" borderId="9" xfId="466" applyNumberFormat="1" applyFont="1" applyFill="1" applyBorder="1" applyAlignment="1" applyProtection="1">
      <alignment horizontal="left" vertical="center"/>
      <protection locked="0"/>
    </xf>
    <xf numFmtId="49" fontId="5" fillId="3" borderId="3" xfId="466" applyNumberFormat="1" applyFont="1" applyFill="1" applyBorder="1" applyAlignment="1" applyProtection="1">
      <alignment horizontal="left" vertical="center"/>
      <protection locked="0"/>
    </xf>
    <xf numFmtId="49" fontId="5" fillId="3" borderId="4" xfId="466" applyNumberFormat="1" applyFont="1" applyFill="1" applyBorder="1" applyAlignment="1" applyProtection="1">
      <alignment horizontal="left" vertical="center"/>
      <protection locked="0"/>
    </xf>
    <xf numFmtId="0" fontId="20" fillId="0" borderId="0" xfId="466" applyFont="1" applyAlignment="1">
      <alignment horizontal="center" vertical="top" wrapText="1"/>
    </xf>
    <xf numFmtId="0" fontId="5" fillId="3" borderId="9" xfId="466" applyFont="1" applyFill="1" applyBorder="1" applyAlignment="1" applyProtection="1">
      <alignment horizontal="left" vertical="center"/>
      <protection locked="0"/>
    </xf>
    <xf numFmtId="0" fontId="5" fillId="3" borderId="3" xfId="466" applyFont="1" applyFill="1" applyBorder="1" applyAlignment="1" applyProtection="1">
      <alignment horizontal="left" vertical="center"/>
      <protection locked="0"/>
    </xf>
    <xf numFmtId="0" fontId="5" fillId="3" borderId="4" xfId="466" applyFont="1" applyFill="1" applyBorder="1" applyAlignment="1" applyProtection="1">
      <alignment horizontal="left" vertical="center"/>
      <protection locked="0"/>
    </xf>
    <xf numFmtId="0" fontId="43" fillId="15" borderId="0" xfId="466" applyFont="1" applyFill="1" applyAlignment="1">
      <alignment horizontal="center" vertical="center"/>
    </xf>
    <xf numFmtId="0" fontId="5" fillId="0" borderId="0" xfId="466" applyFont="1" applyAlignment="1">
      <alignment horizontal="center" vertical="center" wrapText="1"/>
    </xf>
    <xf numFmtId="0" fontId="4" fillId="14" borderId="0" xfId="0" applyFont="1" applyFill="1" applyAlignment="1">
      <alignment horizontal="left" vertical="top" wrapText="1"/>
    </xf>
    <xf numFmtId="0" fontId="8" fillId="7" borderId="6" xfId="0" applyFont="1" applyFill="1" applyBorder="1" applyAlignment="1">
      <alignment horizontal="center" vertical="center" shrinkToFit="1"/>
    </xf>
    <xf numFmtId="0" fontId="8" fillId="7" borderId="7" xfId="0" applyFont="1" applyFill="1" applyBorder="1" applyAlignment="1">
      <alignment horizontal="center" vertical="center" shrinkToFit="1"/>
    </xf>
    <xf numFmtId="37" fontId="5" fillId="4" borderId="1" xfId="0" applyNumberFormat="1"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12" xfId="0" applyFont="1" applyFill="1" applyBorder="1" applyAlignment="1">
      <alignment horizontal="center" vertical="center" wrapText="1"/>
    </xf>
    <xf numFmtId="170" fontId="5" fillId="4" borderId="20" xfId="1" applyNumberFormat="1" applyFont="1" applyFill="1" applyBorder="1" applyAlignment="1">
      <alignment horizontal="center" vertical="center"/>
    </xf>
    <xf numFmtId="170" fontId="5" fillId="4" borderId="7" xfId="1" applyNumberFormat="1" applyFont="1" applyFill="1" applyBorder="1" applyAlignment="1">
      <alignment horizontal="center" vertical="center"/>
    </xf>
    <xf numFmtId="0" fontId="4" fillId="4" borderId="0" xfId="0" applyFont="1" applyFill="1" applyAlignment="1">
      <alignment horizontal="center" vertical="center"/>
    </xf>
    <xf numFmtId="37" fontId="5" fillId="4" borderId="6"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37" fontId="5" fillId="4" borderId="9" xfId="0" applyNumberFormat="1"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5" fillId="4" borderId="0" xfId="0" applyFont="1" applyFill="1" applyAlignment="1">
      <alignment horizontal="center" vertical="center"/>
    </xf>
    <xf numFmtId="0" fontId="0" fillId="0" borderId="0" xfId="0" applyAlignment="1">
      <alignment vertical="center"/>
    </xf>
    <xf numFmtId="37" fontId="5" fillId="4" borderId="0" xfId="0" applyNumberFormat="1" applyFont="1" applyFill="1" applyAlignment="1">
      <alignment horizontal="center" vertical="center"/>
    </xf>
    <xf numFmtId="37" fontId="5" fillId="4" borderId="8" xfId="0" applyNumberFormat="1" applyFont="1" applyFill="1" applyBorder="1" applyAlignment="1">
      <alignment horizontal="center" vertical="center" wrapText="1"/>
    </xf>
    <xf numFmtId="37" fontId="5" fillId="4" borderId="7" xfId="0" applyNumberFormat="1" applyFont="1" applyFill="1" applyBorder="1" applyAlignment="1">
      <alignment horizontal="center" vertical="center" wrapText="1"/>
    </xf>
    <xf numFmtId="0" fontId="1" fillId="0" borderId="0" xfId="0" applyFont="1" applyAlignment="1">
      <alignment horizontal="center" vertical="center"/>
    </xf>
    <xf numFmtId="37" fontId="5" fillId="4" borderId="16"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37" fontId="4" fillId="4" borderId="0" xfId="26" applyNumberFormat="1" applyFont="1" applyFill="1" applyAlignment="1">
      <alignment horizontal="center" vertical="center"/>
    </xf>
    <xf numFmtId="0" fontId="2" fillId="0" borderId="0" xfId="24" applyAlignment="1">
      <alignment horizontal="center" vertical="center"/>
    </xf>
    <xf numFmtId="37" fontId="5" fillId="4"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7" fillId="4" borderId="0" xfId="0" applyFont="1" applyFill="1" applyAlignment="1" applyProtection="1">
      <alignment horizontal="center" vertical="center"/>
      <protection locked="0"/>
    </xf>
    <xf numFmtId="0" fontId="4" fillId="4" borderId="0" xfId="500" applyFont="1" applyFill="1" applyAlignment="1">
      <alignment horizontal="center" vertical="center"/>
    </xf>
    <xf numFmtId="0" fontId="5" fillId="8" borderId="0" xfId="499" applyFont="1" applyFill="1" applyAlignment="1">
      <alignment horizontal="center" vertical="center"/>
    </xf>
    <xf numFmtId="0" fontId="14" fillId="4" borderId="0" xfId="486" applyFont="1" applyFill="1" applyAlignment="1">
      <alignment horizontal="center"/>
    </xf>
    <xf numFmtId="0" fontId="3" fillId="4" borderId="0" xfId="31" applyFill="1" applyAlignment="1">
      <alignment horizontal="center"/>
    </xf>
    <xf numFmtId="0" fontId="4" fillId="4" borderId="0" xfId="31" applyFont="1" applyFill="1" applyAlignment="1">
      <alignment horizontal="center" vertical="center"/>
    </xf>
    <xf numFmtId="0" fontId="14" fillId="4" borderId="0" xfId="31" applyFont="1" applyFill="1" applyAlignment="1">
      <alignment horizontal="center" vertical="center"/>
    </xf>
    <xf numFmtId="0" fontId="5" fillId="4" borderId="0" xfId="31" applyFont="1" applyFill="1" applyAlignment="1">
      <alignment vertical="center" wrapText="1"/>
    </xf>
    <xf numFmtId="3" fontId="5" fillId="4" borderId="17" xfId="50" applyNumberFormat="1" applyFont="1" applyFill="1" applyBorder="1" applyAlignment="1">
      <alignment horizontal="right" vertical="center"/>
    </xf>
    <xf numFmtId="0" fontId="3" fillId="0" borderId="10" xfId="50" applyBorder="1" applyAlignment="1">
      <alignment horizontal="right" vertical="center"/>
    </xf>
    <xf numFmtId="0" fontId="5" fillId="4" borderId="0" xfId="50" applyFont="1" applyFill="1" applyAlignment="1">
      <alignment horizontal="right" vertical="center"/>
    </xf>
    <xf numFmtId="0" fontId="5" fillId="0" borderId="11" xfId="50" applyFont="1" applyBorder="1" applyAlignment="1">
      <alignment horizontal="right" vertical="center"/>
    </xf>
    <xf numFmtId="0" fontId="5" fillId="4" borderId="0" xfId="13" applyNumberFormat="1" applyFont="1" applyFill="1" applyBorder="1" applyAlignment="1" applyProtection="1">
      <alignment horizontal="right" vertical="center"/>
    </xf>
    <xf numFmtId="0" fontId="5" fillId="0" borderId="0" xfId="13" applyFont="1" applyAlignment="1" applyProtection="1">
      <alignment horizontal="right" vertical="center"/>
    </xf>
    <xf numFmtId="0" fontId="32" fillId="4" borderId="16" xfId="0" applyFont="1" applyFill="1" applyBorder="1" applyAlignment="1">
      <alignment horizontal="center" vertical="center"/>
    </xf>
    <xf numFmtId="0" fontId="0" fillId="0" borderId="17" xfId="0" applyBorder="1" applyAlignment="1">
      <alignment vertical="center"/>
    </xf>
    <xf numFmtId="0" fontId="0" fillId="0" borderId="10" xfId="0" applyBorder="1" applyAlignment="1">
      <alignment vertical="center"/>
    </xf>
    <xf numFmtId="171" fontId="32" fillId="12" borderId="16" xfId="0" applyNumberFormat="1" applyFont="1" applyFill="1" applyBorder="1" applyAlignment="1">
      <alignment horizontal="center" wrapText="1"/>
    </xf>
    <xf numFmtId="171" fontId="32" fillId="12" borderId="17" xfId="0" applyNumberFormat="1" applyFont="1" applyFill="1" applyBorder="1" applyAlignment="1">
      <alignment horizontal="center" wrapText="1"/>
    </xf>
    <xf numFmtId="171" fontId="32" fillId="12" borderId="10" xfId="0" applyNumberFormat="1" applyFont="1" applyFill="1" applyBorder="1" applyAlignment="1">
      <alignment horizontal="center" wrapText="1"/>
    </xf>
    <xf numFmtId="171" fontId="32" fillId="12" borderId="18" xfId="0" applyNumberFormat="1" applyFont="1" applyFill="1" applyBorder="1" applyAlignment="1">
      <alignment horizontal="center" wrapText="1"/>
    </xf>
    <xf numFmtId="171" fontId="32" fillId="12" borderId="0" xfId="0" applyNumberFormat="1" applyFont="1" applyFill="1" applyAlignment="1">
      <alignment horizontal="center" wrapText="1"/>
    </xf>
    <xf numFmtId="171" fontId="32" fillId="12" borderId="11" xfId="0" applyNumberFormat="1" applyFont="1" applyFill="1" applyBorder="1" applyAlignment="1">
      <alignment horizontal="center" wrapText="1"/>
    </xf>
    <xf numFmtId="0" fontId="5" fillId="12" borderId="18" xfId="0" applyFont="1" applyFill="1" applyBorder="1" applyAlignment="1">
      <alignment horizontal="center" vertical="center" wrapText="1"/>
    </xf>
    <xf numFmtId="0" fontId="5" fillId="12" borderId="0" xfId="0" applyFont="1" applyFill="1" applyAlignment="1">
      <alignment horizontal="center" vertical="center" wrapText="1"/>
    </xf>
    <xf numFmtId="0" fontId="5" fillId="12" borderId="1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1" fillId="12" borderId="11" xfId="0" applyFont="1" applyFill="1" applyBorder="1" applyAlignment="1">
      <alignment horizontal="center" vertical="center"/>
    </xf>
    <xf numFmtId="0" fontId="51" fillId="12" borderId="5" xfId="0" applyFont="1" applyFill="1" applyBorder="1" applyAlignment="1">
      <alignment horizontal="center" vertical="center"/>
    </xf>
    <xf numFmtId="0" fontId="50" fillId="0" borderId="17" xfId="0" applyFont="1" applyBorder="1" applyAlignment="1" applyProtection="1">
      <alignment horizontal="center" vertical="center" wrapText="1"/>
      <protection locked="0"/>
    </xf>
    <xf numFmtId="0" fontId="50" fillId="0" borderId="0" xfId="0" applyFont="1" applyAlignment="1" applyProtection="1">
      <alignment horizontal="center" vertical="center" wrapText="1"/>
      <protection locked="0"/>
    </xf>
    <xf numFmtId="0" fontId="5" fillId="4" borderId="0" xfId="14" applyNumberFormat="1" applyFont="1" applyFill="1" applyBorder="1" applyAlignment="1" applyProtection="1">
      <alignment horizontal="right" vertical="center"/>
    </xf>
    <xf numFmtId="0" fontId="5" fillId="0" borderId="0" xfId="14" applyFont="1" applyAlignment="1" applyProtection="1">
      <alignment horizontal="right" vertical="center"/>
    </xf>
    <xf numFmtId="49" fontId="51" fillId="12" borderId="11" xfId="0" applyNumberFormat="1" applyFont="1" applyFill="1" applyBorder="1" applyAlignment="1">
      <alignment horizontal="center" vertical="center"/>
    </xf>
    <xf numFmtId="49" fontId="51" fillId="12" borderId="5" xfId="0" applyNumberFormat="1" applyFont="1" applyFill="1" applyBorder="1" applyAlignment="1">
      <alignment horizontal="center" vertical="center"/>
    </xf>
    <xf numFmtId="0" fontId="32" fillId="4" borderId="16" xfId="26" applyFont="1" applyFill="1" applyBorder="1" applyAlignment="1">
      <alignment horizontal="center" vertical="center"/>
    </xf>
    <xf numFmtId="0" fontId="3" fillId="0" borderId="17" xfId="26" applyBorder="1" applyAlignment="1">
      <alignment vertical="center"/>
    </xf>
    <xf numFmtId="0" fontId="3" fillId="0" borderId="10" xfId="26" applyBorder="1" applyAlignment="1">
      <alignment vertical="center"/>
    </xf>
    <xf numFmtId="0" fontId="36" fillId="0" borderId="17" xfId="26" applyFont="1" applyBorder="1" applyAlignment="1">
      <alignment horizontal="center" vertical="center"/>
    </xf>
    <xf numFmtId="0" fontId="3" fillId="0" borderId="10" xfId="26" applyBorder="1"/>
    <xf numFmtId="0" fontId="3" fillId="0" borderId="17" xfId="26" applyBorder="1" applyAlignment="1">
      <alignment horizontal="center" vertical="center"/>
    </xf>
    <xf numFmtId="0" fontId="12" fillId="4" borderId="18" xfId="0" applyFont="1" applyFill="1" applyBorder="1" applyAlignment="1">
      <alignment vertical="center" wrapText="1"/>
    </xf>
    <xf numFmtId="0" fontId="0" fillId="0" borderId="18" xfId="0" applyBorder="1" applyAlignment="1">
      <alignment vertical="center" wrapText="1"/>
    </xf>
    <xf numFmtId="0" fontId="5" fillId="8" borderId="0" xfId="0" applyFont="1" applyFill="1" applyAlignment="1">
      <alignment horizontal="right" vertical="center"/>
    </xf>
    <xf numFmtId="0" fontId="4" fillId="4" borderId="9" xfId="0" applyFont="1" applyFill="1" applyBorder="1" applyAlignment="1">
      <alignment vertical="center"/>
    </xf>
    <xf numFmtId="0" fontId="4" fillId="4" borderId="4" xfId="0" applyFont="1" applyFill="1" applyBorder="1" applyAlignment="1">
      <alignment vertical="center"/>
    </xf>
    <xf numFmtId="37" fontId="4" fillId="4" borderId="9" xfId="0" applyNumberFormat="1" applyFont="1" applyFill="1" applyBorder="1" applyAlignment="1">
      <alignment vertical="center"/>
    </xf>
    <xf numFmtId="0" fontId="14" fillId="4" borderId="16" xfId="0" applyFont="1" applyFill="1" applyBorder="1" applyAlignment="1">
      <alignment horizontal="center"/>
    </xf>
    <xf numFmtId="0" fontId="0" fillId="0" borderId="17" xfId="0" applyBorder="1" applyAlignment="1">
      <alignment horizontal="center"/>
    </xf>
    <xf numFmtId="0" fontId="0" fillId="0" borderId="10" xfId="0" applyBorder="1" applyAlignment="1">
      <alignment horizontal="center"/>
    </xf>
    <xf numFmtId="37" fontId="5" fillId="4" borderId="17" xfId="0" applyNumberFormat="1" applyFont="1" applyFill="1" applyBorder="1" applyAlignment="1">
      <alignment horizontal="center" vertical="center"/>
    </xf>
    <xf numFmtId="0" fontId="0" fillId="0" borderId="17" xfId="0" applyBorder="1" applyAlignment="1">
      <alignment horizontal="center" vertical="center"/>
    </xf>
    <xf numFmtId="37" fontId="5" fillId="4" borderId="6" xfId="0" applyNumberFormat="1" applyFont="1" applyFill="1" applyBorder="1" applyAlignment="1">
      <alignment horizontal="center" vertical="center"/>
    </xf>
    <xf numFmtId="37" fontId="5" fillId="4" borderId="8" xfId="0" applyNumberFormat="1" applyFont="1" applyFill="1" applyBorder="1" applyAlignment="1">
      <alignment horizontal="center" vertical="center"/>
    </xf>
    <xf numFmtId="37" fontId="5" fillId="4" borderId="7" xfId="0" applyNumberFormat="1" applyFont="1" applyFill="1" applyBorder="1" applyAlignment="1">
      <alignment horizontal="center" vertical="center"/>
    </xf>
    <xf numFmtId="37" fontId="5" fillId="4" borderId="6" xfId="24" applyNumberFormat="1" applyFont="1" applyFill="1" applyBorder="1" applyAlignment="1">
      <alignment horizontal="center" vertical="center" wrapText="1"/>
    </xf>
    <xf numFmtId="37" fontId="5" fillId="4" borderId="8" xfId="24" applyNumberFormat="1" applyFont="1" applyFill="1" applyBorder="1" applyAlignment="1">
      <alignment horizontal="center" vertical="center" wrapText="1"/>
    </xf>
    <xf numFmtId="37" fontId="5" fillId="4" borderId="7" xfId="24"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37" fontId="20" fillId="4" borderId="12" xfId="0" applyNumberFormat="1" applyFont="1" applyFill="1" applyBorder="1" applyAlignment="1">
      <alignment horizontal="right" vertical="center"/>
    </xf>
    <xf numFmtId="37" fontId="20" fillId="4" borderId="2" xfId="0" applyNumberFormat="1" applyFont="1" applyFill="1" applyBorder="1" applyAlignment="1">
      <alignment horizontal="right" vertical="center"/>
    </xf>
    <xf numFmtId="37" fontId="20" fillId="4" borderId="5" xfId="0" applyNumberFormat="1" applyFont="1" applyFill="1" applyBorder="1" applyAlignment="1">
      <alignment horizontal="right" vertical="center"/>
    </xf>
    <xf numFmtId="0" fontId="4" fillId="0" borderId="2" xfId="0" applyFont="1" applyBorder="1" applyAlignment="1" applyProtection="1">
      <alignment horizontal="center" vertical="center"/>
      <protection locked="0"/>
    </xf>
    <xf numFmtId="37" fontId="4" fillId="4" borderId="0" xfId="0" applyNumberFormat="1" applyFont="1" applyFill="1" applyAlignment="1">
      <alignment horizontal="center" vertical="center"/>
    </xf>
    <xf numFmtId="0" fontId="14" fillId="4" borderId="17" xfId="0" applyFont="1" applyFill="1" applyBorder="1" applyAlignment="1">
      <alignment horizontal="center"/>
    </xf>
    <xf numFmtId="0" fontId="14" fillId="4" borderId="10" xfId="0" applyFont="1" applyFill="1" applyBorder="1" applyAlignment="1">
      <alignment horizontal="center"/>
    </xf>
    <xf numFmtId="0" fontId="4" fillId="12" borderId="16" xfId="0" applyFont="1" applyFill="1" applyBorder="1" applyAlignment="1">
      <alignment horizontal="center" wrapText="1"/>
    </xf>
    <xf numFmtId="0" fontId="14" fillId="12" borderId="17" xfId="0" applyFont="1" applyFill="1" applyBorder="1" applyAlignment="1">
      <alignment horizontal="center" wrapText="1"/>
    </xf>
    <xf numFmtId="0" fontId="14" fillId="12" borderId="12" xfId="0" applyFont="1" applyFill="1" applyBorder="1" applyAlignment="1">
      <alignment horizontal="center" wrapText="1"/>
    </xf>
    <xf numFmtId="0" fontId="14" fillId="12" borderId="2" xfId="0" applyFont="1" applyFill="1" applyBorder="1" applyAlignment="1">
      <alignment horizontal="center" wrapText="1"/>
    </xf>
    <xf numFmtId="0" fontId="43" fillId="12" borderId="10" xfId="0" applyFont="1" applyFill="1" applyBorder="1" applyAlignment="1">
      <alignment horizontal="center" vertical="center" wrapText="1"/>
    </xf>
    <xf numFmtId="0" fontId="24" fillId="12" borderId="5" xfId="0" applyFont="1" applyFill="1" applyBorder="1" applyAlignment="1">
      <alignment horizontal="center" vertical="center" wrapText="1"/>
    </xf>
    <xf numFmtId="37" fontId="5" fillId="4" borderId="2" xfId="0" applyNumberFormat="1" applyFont="1" applyFill="1" applyBorder="1" applyAlignment="1" applyProtection="1">
      <alignment horizontal="center" vertical="center"/>
      <protection locked="0"/>
    </xf>
    <xf numFmtId="37" fontId="20" fillId="4" borderId="9" xfId="0" applyNumberFormat="1" applyFont="1" applyFill="1" applyBorder="1" applyAlignment="1">
      <alignment horizontal="right" vertical="center"/>
    </xf>
    <xf numFmtId="37" fontId="20" fillId="4" borderId="3" xfId="0" applyNumberFormat="1" applyFont="1" applyFill="1" applyBorder="1" applyAlignment="1">
      <alignment horizontal="right" vertical="center"/>
    </xf>
    <xf numFmtId="37" fontId="20" fillId="4" borderId="4" xfId="0" applyNumberFormat="1" applyFont="1" applyFill="1" applyBorder="1" applyAlignment="1">
      <alignment horizontal="right" vertical="center"/>
    </xf>
    <xf numFmtId="49" fontId="5" fillId="4" borderId="0" xfId="501" applyNumberFormat="1" applyFont="1" applyFill="1" applyAlignment="1" applyProtection="1">
      <alignment horizontal="left" vertical="center"/>
      <protection locked="0"/>
    </xf>
    <xf numFmtId="37" fontId="4" fillId="4" borderId="0" xfId="501" applyNumberFormat="1" applyFont="1" applyFill="1" applyAlignment="1">
      <alignment horizontal="center" vertical="center"/>
    </xf>
    <xf numFmtId="0" fontId="44" fillId="0" borderId="0" xfId="501" applyAlignment="1">
      <alignment vertical="center"/>
    </xf>
    <xf numFmtId="0" fontId="5" fillId="4" borderId="0" xfId="501" applyFont="1" applyFill="1" applyAlignment="1">
      <alignment horizontal="center" vertical="center"/>
    </xf>
    <xf numFmtId="37" fontId="14" fillId="4" borderId="0" xfId="501" applyNumberFormat="1" applyFont="1" applyFill="1" applyAlignment="1">
      <alignment horizontal="center" vertical="center"/>
    </xf>
    <xf numFmtId="0" fontId="14" fillId="4" borderId="0" xfId="501" applyFont="1" applyFill="1" applyAlignment="1">
      <alignment horizontal="center" vertical="center"/>
    </xf>
    <xf numFmtId="0" fontId="5" fillId="4" borderId="1" xfId="501" applyFont="1" applyFill="1" applyBorder="1" applyAlignment="1">
      <alignment horizontal="center" vertical="center"/>
    </xf>
    <xf numFmtId="0" fontId="4" fillId="4" borderId="0" xfId="501" applyFont="1" applyFill="1" applyAlignment="1">
      <alignment horizontal="center" vertical="center"/>
    </xf>
    <xf numFmtId="0" fontId="4" fillId="4" borderId="2" xfId="501" applyFont="1" applyFill="1" applyBorder="1" applyAlignment="1">
      <alignment horizontal="center" vertical="center"/>
    </xf>
    <xf numFmtId="37" fontId="5" fillId="4" borderId="0" xfId="501" applyNumberFormat="1" applyFont="1" applyFill="1" applyAlignment="1">
      <alignment horizontal="center" vertical="center"/>
    </xf>
    <xf numFmtId="0" fontId="5" fillId="4" borderId="0" xfId="0" applyFont="1" applyFill="1" applyAlignment="1">
      <alignment horizontal="right" vertical="center"/>
    </xf>
    <xf numFmtId="0" fontId="0" fillId="0" borderId="0" xfId="0" applyAlignment="1">
      <alignment horizontal="right" vertical="center"/>
    </xf>
    <xf numFmtId="0" fontId="14" fillId="0" borderId="0" xfId="501" applyFont="1" applyAlignment="1">
      <alignment horizontal="center"/>
    </xf>
    <xf numFmtId="0" fontId="4" fillId="0" borderId="0" xfId="501" applyFont="1" applyAlignment="1">
      <alignment horizontal="left" wrapText="1"/>
    </xf>
    <xf numFmtId="0" fontId="5" fillId="0" borderId="0" xfId="501" applyFont="1" applyAlignment="1">
      <alignment horizontal="left" wrapText="1"/>
    </xf>
    <xf numFmtId="0" fontId="5" fillId="0" borderId="0" xfId="501" applyFont="1" applyAlignment="1">
      <alignment horizontal="center"/>
    </xf>
    <xf numFmtId="0" fontId="64" fillId="0" borderId="9" xfId="503" applyFont="1" applyBorder="1" applyAlignment="1">
      <alignment horizontal="center"/>
    </xf>
    <xf numFmtId="0" fontId="64" fillId="0" borderId="3" xfId="503" applyFont="1" applyBorder="1" applyAlignment="1">
      <alignment horizontal="center"/>
    </xf>
    <xf numFmtId="0" fontId="64" fillId="0" borderId="4" xfId="503" applyFont="1" applyBorder="1" applyAlignment="1">
      <alignment horizontal="center"/>
    </xf>
    <xf numFmtId="0" fontId="65" fillId="0" borderId="0" xfId="503" applyFont="1" applyAlignment="1">
      <alignment horizontal="center"/>
    </xf>
    <xf numFmtId="0" fontId="64" fillId="0" borderId="0" xfId="503" applyFont="1" applyAlignment="1">
      <alignment horizontal="center" wrapText="1"/>
    </xf>
    <xf numFmtId="0" fontId="64" fillId="0" borderId="0" xfId="503" applyFont="1" applyAlignment="1">
      <alignment horizontal="center"/>
    </xf>
    <xf numFmtId="0" fontId="65" fillId="17" borderId="9" xfId="503" applyFont="1" applyFill="1" applyBorder="1" applyAlignment="1">
      <alignment horizontal="center" vertical="center"/>
    </xf>
    <xf numFmtId="0" fontId="65" fillId="17" borderId="3" xfId="503" applyFont="1" applyFill="1" applyBorder="1" applyAlignment="1">
      <alignment horizontal="center" vertical="center"/>
    </xf>
    <xf numFmtId="0" fontId="65" fillId="17" borderId="4" xfId="503" applyFont="1" applyFill="1" applyBorder="1" applyAlignment="1">
      <alignment horizontal="center" vertical="center"/>
    </xf>
    <xf numFmtId="0" fontId="64" fillId="0" borderId="1" xfId="503" applyFont="1" applyBorder="1" applyAlignment="1">
      <alignment horizontal="center"/>
    </xf>
    <xf numFmtId="0" fontId="64" fillId="0" borderId="13" xfId="503" applyFont="1" applyBorder="1" applyAlignment="1">
      <alignment horizontal="center"/>
    </xf>
    <xf numFmtId="0" fontId="67" fillId="0" borderId="7" xfId="503" applyFont="1" applyBorder="1" applyAlignment="1">
      <alignment horizontal="center" vertical="center"/>
    </xf>
    <xf numFmtId="0" fontId="64" fillId="0" borderId="2" xfId="503" applyFont="1" applyBorder="1" applyAlignment="1">
      <alignment horizontal="center" wrapText="1"/>
    </xf>
    <xf numFmtId="0" fontId="5" fillId="0" borderId="0" xfId="502" applyFont="1" applyAlignment="1">
      <alignment horizontal="left" wrapText="1"/>
    </xf>
    <xf numFmtId="0" fontId="5" fillId="0" borderId="0" xfId="502" applyFont="1" applyAlignment="1">
      <alignment horizontal="center"/>
    </xf>
    <xf numFmtId="0" fontId="4" fillId="0" borderId="0" xfId="502" applyFont="1" applyAlignment="1">
      <alignment wrapText="1"/>
    </xf>
    <xf numFmtId="0" fontId="5" fillId="0" borderId="0" xfId="502" applyFont="1" applyAlignment="1">
      <alignment wrapText="1"/>
    </xf>
    <xf numFmtId="0" fontId="54" fillId="0" borderId="0" xfId="501" applyFont="1" applyAlignment="1">
      <alignment horizontal="center"/>
    </xf>
    <xf numFmtId="0" fontId="61" fillId="0" borderId="0" xfId="501" applyFont="1" applyAlignment="1">
      <alignment horizontal="center" wrapText="1"/>
    </xf>
    <xf numFmtId="169" fontId="5" fillId="4" borderId="0" xfId="0" applyNumberFormat="1" applyFont="1" applyFill="1" applyBorder="1" applyAlignment="1">
      <alignment horizontal="center" vertical="center"/>
    </xf>
    <xf numFmtId="37" fontId="4" fillId="4" borderId="0" xfId="0" applyNumberFormat="1" applyFont="1" applyFill="1" applyAlignment="1">
      <alignment horizontal="right" vertical="center"/>
    </xf>
    <xf numFmtId="37" fontId="5" fillId="4" borderId="0" xfId="0" applyNumberFormat="1" applyFont="1" applyFill="1" applyAlignment="1">
      <alignment horizontal="right" vertical="center"/>
    </xf>
  </cellXfs>
  <cellStyles count="504">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2" xfId="6" xr:uid="{00000000-0005-0000-0000-000005000000}"/>
    <cellStyle name="Comma 3 2" xfId="7" xr:uid="{00000000-0005-0000-0000-000006000000}"/>
    <cellStyle name="Comma 3 3" xfId="8" xr:uid="{00000000-0005-0000-0000-000007000000}"/>
    <cellStyle name="Comma 4 2" xfId="9" xr:uid="{00000000-0005-0000-0000-000008000000}"/>
    <cellStyle name="Comma 6 2" xfId="10" xr:uid="{00000000-0005-0000-0000-000009000000}"/>
    <cellStyle name="Comma 7 2" xfId="11" xr:uid="{00000000-0005-0000-0000-00000A000000}"/>
    <cellStyle name="Comma 7 3" xfId="12" xr:uid="{00000000-0005-0000-0000-00000B000000}"/>
    <cellStyle name="Hyperlink" xfId="13" builtinId="8"/>
    <cellStyle name="Hyperlink 2" xfId="14" xr:uid="{00000000-0005-0000-0000-00000D000000}"/>
    <cellStyle name="Hyperlink 2 2" xfId="15" xr:uid="{00000000-0005-0000-0000-00000E000000}"/>
    <cellStyle name="Hyperlink 2 3" xfId="16" xr:uid="{00000000-0005-0000-0000-00000F000000}"/>
    <cellStyle name="Hyperlink 3 2" xfId="17" xr:uid="{00000000-0005-0000-0000-000010000000}"/>
    <cellStyle name="Hyperlink 3 3" xfId="18" xr:uid="{00000000-0005-0000-0000-000011000000}"/>
    <cellStyle name="Hyperlink 3 4" xfId="19" xr:uid="{00000000-0005-0000-0000-000012000000}"/>
    <cellStyle name="Hyperlink 4 2" xfId="20" xr:uid="{00000000-0005-0000-0000-000013000000}"/>
    <cellStyle name="Hyperlink 7 2" xfId="21" xr:uid="{00000000-0005-0000-0000-000014000000}"/>
    <cellStyle name="Hyperlink 7 3" xfId="22" xr:uid="{00000000-0005-0000-0000-000015000000}"/>
    <cellStyle name="Hyperlink 8 2" xfId="23" xr:uid="{00000000-0005-0000-0000-000016000000}"/>
    <cellStyle name="Normal" xfId="0" builtinId="0"/>
    <cellStyle name="Normal 10 2" xfId="24" xr:uid="{00000000-0005-0000-0000-000018000000}"/>
    <cellStyle name="Normal 10 2 2" xfId="25" xr:uid="{00000000-0005-0000-0000-000019000000}"/>
    <cellStyle name="Normal 10 2 2 2" xfId="26" xr:uid="{00000000-0005-0000-0000-00001A000000}"/>
    <cellStyle name="Normal 10 2 2 3" xfId="27" xr:uid="{00000000-0005-0000-0000-00001B000000}"/>
    <cellStyle name="Normal 10 2 3" xfId="28" xr:uid="{00000000-0005-0000-0000-00001C000000}"/>
    <cellStyle name="Normal 10 3" xfId="29" xr:uid="{00000000-0005-0000-0000-00001D000000}"/>
    <cellStyle name="Normal 10 4" xfId="30" xr:uid="{00000000-0005-0000-0000-00001E000000}"/>
    <cellStyle name="Normal 10 5" xfId="31" xr:uid="{00000000-0005-0000-0000-00001F000000}"/>
    <cellStyle name="Normal 10 5 2" xfId="32" xr:uid="{00000000-0005-0000-0000-000020000000}"/>
    <cellStyle name="Normal 10 5 3" xfId="33" xr:uid="{00000000-0005-0000-0000-000021000000}"/>
    <cellStyle name="Normal 10 6" xfId="34" xr:uid="{00000000-0005-0000-0000-000022000000}"/>
    <cellStyle name="Normal 10 7" xfId="35" xr:uid="{00000000-0005-0000-0000-000023000000}"/>
    <cellStyle name="Normal 11 2" xfId="36" xr:uid="{00000000-0005-0000-0000-000024000000}"/>
    <cellStyle name="Normal 11 2 2" xfId="37" xr:uid="{00000000-0005-0000-0000-000025000000}"/>
    <cellStyle name="Normal 11 2 3" xfId="38" xr:uid="{00000000-0005-0000-0000-000026000000}"/>
    <cellStyle name="Normal 11 3" xfId="39" xr:uid="{00000000-0005-0000-0000-000027000000}"/>
    <cellStyle name="Normal 11 4" xfId="40" xr:uid="{00000000-0005-0000-0000-000028000000}"/>
    <cellStyle name="Normal 11 5" xfId="41" xr:uid="{00000000-0005-0000-0000-000029000000}"/>
    <cellStyle name="Normal 11 5 2" xfId="42" xr:uid="{00000000-0005-0000-0000-00002A000000}"/>
    <cellStyle name="Normal 11 5 3" xfId="43" xr:uid="{00000000-0005-0000-0000-00002B000000}"/>
    <cellStyle name="Normal 11 6" xfId="44" xr:uid="{00000000-0005-0000-0000-00002C000000}"/>
    <cellStyle name="Normal 12" xfId="45" xr:uid="{00000000-0005-0000-0000-00002D000000}"/>
    <cellStyle name="Normal 12 10" xfId="46" xr:uid="{00000000-0005-0000-0000-00002E000000}"/>
    <cellStyle name="Normal 12 11" xfId="47" xr:uid="{00000000-0005-0000-0000-00002F000000}"/>
    <cellStyle name="Normal 12 12" xfId="48" xr:uid="{00000000-0005-0000-0000-000030000000}"/>
    <cellStyle name="Normal 12 13" xfId="49" xr:uid="{00000000-0005-0000-0000-000031000000}"/>
    <cellStyle name="Normal 12 2" xfId="50" xr:uid="{00000000-0005-0000-0000-000032000000}"/>
    <cellStyle name="Normal 12 2 2" xfId="51" xr:uid="{00000000-0005-0000-0000-000033000000}"/>
    <cellStyle name="Normal 12 3" xfId="52" xr:uid="{00000000-0005-0000-0000-000034000000}"/>
    <cellStyle name="Normal 12 4" xfId="53" xr:uid="{00000000-0005-0000-0000-000035000000}"/>
    <cellStyle name="Normal 12 5" xfId="54" xr:uid="{00000000-0005-0000-0000-000036000000}"/>
    <cellStyle name="Normal 12 6" xfId="55" xr:uid="{00000000-0005-0000-0000-000037000000}"/>
    <cellStyle name="Normal 12 7" xfId="56" xr:uid="{00000000-0005-0000-0000-000038000000}"/>
    <cellStyle name="Normal 12 8" xfId="57" xr:uid="{00000000-0005-0000-0000-000039000000}"/>
    <cellStyle name="Normal 12 9" xfId="58" xr:uid="{00000000-0005-0000-0000-00003A000000}"/>
    <cellStyle name="Normal 13 10" xfId="59" xr:uid="{00000000-0005-0000-0000-00003B000000}"/>
    <cellStyle name="Normal 13 11" xfId="60" xr:uid="{00000000-0005-0000-0000-00003C000000}"/>
    <cellStyle name="Normal 13 12" xfId="61" xr:uid="{00000000-0005-0000-0000-00003D000000}"/>
    <cellStyle name="Normal 13 13" xfId="62" xr:uid="{00000000-0005-0000-0000-00003E000000}"/>
    <cellStyle name="Normal 13 2" xfId="63" xr:uid="{00000000-0005-0000-0000-00003F000000}"/>
    <cellStyle name="Normal 13 2 2" xfId="64" xr:uid="{00000000-0005-0000-0000-000040000000}"/>
    <cellStyle name="Normal 13 3" xfId="65" xr:uid="{00000000-0005-0000-0000-000041000000}"/>
    <cellStyle name="Normal 13 4" xfId="66" xr:uid="{00000000-0005-0000-0000-000042000000}"/>
    <cellStyle name="Normal 13 5" xfId="67" xr:uid="{00000000-0005-0000-0000-000043000000}"/>
    <cellStyle name="Normal 13 6" xfId="68" xr:uid="{00000000-0005-0000-0000-000044000000}"/>
    <cellStyle name="Normal 13 7" xfId="69" xr:uid="{00000000-0005-0000-0000-000045000000}"/>
    <cellStyle name="Normal 13 8" xfId="70" xr:uid="{00000000-0005-0000-0000-000046000000}"/>
    <cellStyle name="Normal 13 9" xfId="71" xr:uid="{00000000-0005-0000-0000-000047000000}"/>
    <cellStyle name="Normal 14 2" xfId="72" xr:uid="{00000000-0005-0000-0000-000048000000}"/>
    <cellStyle name="Normal 14 3" xfId="73" xr:uid="{00000000-0005-0000-0000-000049000000}"/>
    <cellStyle name="Normal 14 4" xfId="74" xr:uid="{00000000-0005-0000-0000-00004A000000}"/>
    <cellStyle name="Normal 14 5" xfId="75" xr:uid="{00000000-0005-0000-0000-00004B000000}"/>
    <cellStyle name="Normal 14 6" xfId="76" xr:uid="{00000000-0005-0000-0000-00004C000000}"/>
    <cellStyle name="Normal 14 7" xfId="77" xr:uid="{00000000-0005-0000-0000-00004D000000}"/>
    <cellStyle name="Normal 15 2" xfId="78" xr:uid="{00000000-0005-0000-0000-00004E000000}"/>
    <cellStyle name="Normal 15 3" xfId="79" xr:uid="{00000000-0005-0000-0000-00004F000000}"/>
    <cellStyle name="Normal 15 4" xfId="80" xr:uid="{00000000-0005-0000-0000-000050000000}"/>
    <cellStyle name="Normal 15 5" xfId="81" xr:uid="{00000000-0005-0000-0000-000051000000}"/>
    <cellStyle name="Normal 16" xfId="82" xr:uid="{00000000-0005-0000-0000-000052000000}"/>
    <cellStyle name="Normal 16 2" xfId="83" xr:uid="{00000000-0005-0000-0000-000053000000}"/>
    <cellStyle name="Normal 16 3" xfId="84" xr:uid="{00000000-0005-0000-0000-000054000000}"/>
    <cellStyle name="Normal 16 4" xfId="85" xr:uid="{00000000-0005-0000-0000-000055000000}"/>
    <cellStyle name="Normal 16 5" xfId="86" xr:uid="{00000000-0005-0000-0000-000056000000}"/>
    <cellStyle name="Normal 16 6" xfId="87" xr:uid="{00000000-0005-0000-0000-000057000000}"/>
    <cellStyle name="Normal 17 2" xfId="88" xr:uid="{00000000-0005-0000-0000-000058000000}"/>
    <cellStyle name="Normal 17 3" xfId="89" xr:uid="{00000000-0005-0000-0000-000059000000}"/>
    <cellStyle name="Normal 17 4" xfId="90" xr:uid="{00000000-0005-0000-0000-00005A000000}"/>
    <cellStyle name="Normal 17 5" xfId="91" xr:uid="{00000000-0005-0000-0000-00005B000000}"/>
    <cellStyle name="Normal 18 2" xfId="92" xr:uid="{00000000-0005-0000-0000-00005C000000}"/>
    <cellStyle name="Normal 18 2 2" xfId="93" xr:uid="{00000000-0005-0000-0000-00005D000000}"/>
    <cellStyle name="Normal 18 2 3" xfId="94" xr:uid="{00000000-0005-0000-0000-00005E000000}"/>
    <cellStyle name="Normal 18 3" xfId="95" xr:uid="{00000000-0005-0000-0000-00005F000000}"/>
    <cellStyle name="Normal 18 4" xfId="96" xr:uid="{00000000-0005-0000-0000-000060000000}"/>
    <cellStyle name="Normal 18 5" xfId="97" xr:uid="{00000000-0005-0000-0000-000061000000}"/>
    <cellStyle name="Normal 18 6" xfId="98" xr:uid="{00000000-0005-0000-0000-000062000000}"/>
    <cellStyle name="Normal 18 7" xfId="99" xr:uid="{00000000-0005-0000-0000-000063000000}"/>
    <cellStyle name="Normal 18 8" xfId="100" xr:uid="{00000000-0005-0000-0000-000064000000}"/>
    <cellStyle name="Normal 18 9" xfId="101" xr:uid="{00000000-0005-0000-0000-000065000000}"/>
    <cellStyle name="Normal 19 2" xfId="102" xr:uid="{00000000-0005-0000-0000-000066000000}"/>
    <cellStyle name="Normal 19 2 2" xfId="103" xr:uid="{00000000-0005-0000-0000-000067000000}"/>
    <cellStyle name="Normal 19 2 3" xfId="104" xr:uid="{00000000-0005-0000-0000-000068000000}"/>
    <cellStyle name="Normal 19 3" xfId="105" xr:uid="{00000000-0005-0000-0000-000069000000}"/>
    <cellStyle name="Normal 19 4" xfId="106" xr:uid="{00000000-0005-0000-0000-00006A000000}"/>
    <cellStyle name="Normal 19 5" xfId="107" xr:uid="{00000000-0005-0000-0000-00006B000000}"/>
    <cellStyle name="Normal 19 6" xfId="108" xr:uid="{00000000-0005-0000-0000-00006C000000}"/>
    <cellStyle name="Normal 19 7" xfId="109" xr:uid="{00000000-0005-0000-0000-00006D000000}"/>
    <cellStyle name="Normal 19 8" xfId="110" xr:uid="{00000000-0005-0000-0000-00006E000000}"/>
    <cellStyle name="Normal 2" xfId="501" xr:uid="{49F7A481-621C-49A2-AD3E-65DF1110AE1B}"/>
    <cellStyle name="Normal 2 10" xfId="111" xr:uid="{00000000-0005-0000-0000-00006F000000}"/>
    <cellStyle name="Normal 2 10 10" xfId="112" xr:uid="{00000000-0005-0000-0000-000070000000}"/>
    <cellStyle name="Normal 2 10 11" xfId="113" xr:uid="{00000000-0005-0000-0000-000071000000}"/>
    <cellStyle name="Normal 2 10 11 2" xfId="114" xr:uid="{00000000-0005-0000-0000-000072000000}"/>
    <cellStyle name="Normal 2 10 11 2 2" xfId="115" xr:uid="{00000000-0005-0000-0000-000073000000}"/>
    <cellStyle name="Normal 2 10 11 2 2 2" xfId="116" xr:uid="{00000000-0005-0000-0000-000074000000}"/>
    <cellStyle name="Normal 2 10 11 2 2 3" xfId="117" xr:uid="{00000000-0005-0000-0000-000075000000}"/>
    <cellStyle name="Normal 2 10 11 3" xfId="118" xr:uid="{00000000-0005-0000-0000-000076000000}"/>
    <cellStyle name="Normal 2 10 11 4" xfId="119" xr:uid="{00000000-0005-0000-0000-000077000000}"/>
    <cellStyle name="Normal 2 10 11 5" xfId="120" xr:uid="{00000000-0005-0000-0000-000078000000}"/>
    <cellStyle name="Normal 2 10 12" xfId="121" xr:uid="{00000000-0005-0000-0000-000079000000}"/>
    <cellStyle name="Normal 2 10 2" xfId="122" xr:uid="{00000000-0005-0000-0000-00007A000000}"/>
    <cellStyle name="Normal 2 10 2 2" xfId="123" xr:uid="{00000000-0005-0000-0000-00007B000000}"/>
    <cellStyle name="Normal 2 10 3" xfId="124" xr:uid="{00000000-0005-0000-0000-00007C000000}"/>
    <cellStyle name="Normal 2 10 3 2" xfId="125" xr:uid="{00000000-0005-0000-0000-00007D000000}"/>
    <cellStyle name="Normal 2 10 4" xfId="126" xr:uid="{00000000-0005-0000-0000-00007E000000}"/>
    <cellStyle name="Normal 2 10 4 2" xfId="127" xr:uid="{00000000-0005-0000-0000-00007F000000}"/>
    <cellStyle name="Normal 2 10 5" xfId="128" xr:uid="{00000000-0005-0000-0000-000080000000}"/>
    <cellStyle name="Normal 2 10 5 2" xfId="129" xr:uid="{00000000-0005-0000-0000-000081000000}"/>
    <cellStyle name="Normal 2 10 6" xfId="130" xr:uid="{00000000-0005-0000-0000-000082000000}"/>
    <cellStyle name="Normal 2 10 6 2" xfId="131" xr:uid="{00000000-0005-0000-0000-000083000000}"/>
    <cellStyle name="Normal 2 10 7" xfId="132" xr:uid="{00000000-0005-0000-0000-000084000000}"/>
    <cellStyle name="Normal 2 10 7 2" xfId="133" xr:uid="{00000000-0005-0000-0000-000085000000}"/>
    <cellStyle name="Normal 2 10 8" xfId="134" xr:uid="{00000000-0005-0000-0000-000086000000}"/>
    <cellStyle name="Normal 2 10 8 2" xfId="135" xr:uid="{00000000-0005-0000-0000-000087000000}"/>
    <cellStyle name="Normal 2 10 9" xfId="136" xr:uid="{00000000-0005-0000-0000-000088000000}"/>
    <cellStyle name="Normal 2 11" xfId="137" xr:uid="{00000000-0005-0000-0000-000089000000}"/>
    <cellStyle name="Normal 2 11 10" xfId="138" xr:uid="{00000000-0005-0000-0000-00008A000000}"/>
    <cellStyle name="Normal 2 11 11" xfId="139" xr:uid="{00000000-0005-0000-0000-00008B000000}"/>
    <cellStyle name="Normal 2 11 2" xfId="140" xr:uid="{00000000-0005-0000-0000-00008C000000}"/>
    <cellStyle name="Normal 2 11 2 2" xfId="141" xr:uid="{00000000-0005-0000-0000-00008D000000}"/>
    <cellStyle name="Normal 2 11 3" xfId="142" xr:uid="{00000000-0005-0000-0000-00008E000000}"/>
    <cellStyle name="Normal 2 11 3 2" xfId="143" xr:uid="{00000000-0005-0000-0000-00008F000000}"/>
    <cellStyle name="Normal 2 11 4" xfId="144" xr:uid="{00000000-0005-0000-0000-000090000000}"/>
    <cellStyle name="Normal 2 11 4 2" xfId="145" xr:uid="{00000000-0005-0000-0000-000091000000}"/>
    <cellStyle name="Normal 2 11 5" xfId="146" xr:uid="{00000000-0005-0000-0000-000092000000}"/>
    <cellStyle name="Normal 2 11 5 2" xfId="147" xr:uid="{00000000-0005-0000-0000-000093000000}"/>
    <cellStyle name="Normal 2 11 6" xfId="148" xr:uid="{00000000-0005-0000-0000-000094000000}"/>
    <cellStyle name="Normal 2 11 6 2" xfId="149" xr:uid="{00000000-0005-0000-0000-000095000000}"/>
    <cellStyle name="Normal 2 11 7" xfId="150" xr:uid="{00000000-0005-0000-0000-000096000000}"/>
    <cellStyle name="Normal 2 11 7 2" xfId="151" xr:uid="{00000000-0005-0000-0000-000097000000}"/>
    <cellStyle name="Normal 2 11 8" xfId="152" xr:uid="{00000000-0005-0000-0000-000098000000}"/>
    <cellStyle name="Normal 2 11 8 2" xfId="153" xr:uid="{00000000-0005-0000-0000-000099000000}"/>
    <cellStyle name="Normal 2 11 9" xfId="154" xr:uid="{00000000-0005-0000-0000-00009A000000}"/>
    <cellStyle name="Normal 2 12" xfId="155" xr:uid="{00000000-0005-0000-0000-00009B000000}"/>
    <cellStyle name="Normal 2 13" xfId="156" xr:uid="{00000000-0005-0000-0000-00009C000000}"/>
    <cellStyle name="Normal 2 14" xfId="157" xr:uid="{00000000-0005-0000-0000-00009D000000}"/>
    <cellStyle name="Normal 2 15" xfId="158" xr:uid="{00000000-0005-0000-0000-00009E000000}"/>
    <cellStyle name="Normal 2 16" xfId="159" xr:uid="{00000000-0005-0000-0000-00009F000000}"/>
    <cellStyle name="Normal 2 17" xfId="160" xr:uid="{00000000-0005-0000-0000-0000A0000000}"/>
    <cellStyle name="Normal 2 17 2" xfId="161" xr:uid="{00000000-0005-0000-0000-0000A1000000}"/>
    <cellStyle name="Normal 2 17 3" xfId="162" xr:uid="{00000000-0005-0000-0000-0000A2000000}"/>
    <cellStyle name="Normal 2 17 4" xfId="163" xr:uid="{00000000-0005-0000-0000-0000A3000000}"/>
    <cellStyle name="Normal 2 18" xfId="503" xr:uid="{4DCCA883-66D4-401C-92BC-C2BB862FD593}"/>
    <cellStyle name="Normal 2 2" xfId="164" xr:uid="{00000000-0005-0000-0000-0000A4000000}"/>
    <cellStyle name="Normal 2 2 10" xfId="165" xr:uid="{00000000-0005-0000-0000-0000A5000000}"/>
    <cellStyle name="Normal 2 2 10 2" xfId="166" xr:uid="{00000000-0005-0000-0000-0000A6000000}"/>
    <cellStyle name="Normal 2 2 11" xfId="167" xr:uid="{00000000-0005-0000-0000-0000A7000000}"/>
    <cellStyle name="Normal 2 2 11 2" xfId="168" xr:uid="{00000000-0005-0000-0000-0000A8000000}"/>
    <cellStyle name="Normal 2 2 12" xfId="169" xr:uid="{00000000-0005-0000-0000-0000A9000000}"/>
    <cellStyle name="Normal 2 2 12 2" xfId="170" xr:uid="{00000000-0005-0000-0000-0000AA000000}"/>
    <cellStyle name="Normal 2 2 12 2 2" xfId="171" xr:uid="{00000000-0005-0000-0000-0000AB000000}"/>
    <cellStyle name="Normal 2 2 12 2 3" xfId="172" xr:uid="{00000000-0005-0000-0000-0000AC000000}"/>
    <cellStyle name="Normal 2 2 12 2 4" xfId="173" xr:uid="{00000000-0005-0000-0000-0000AD000000}"/>
    <cellStyle name="Normal 2 2 12 3" xfId="174" xr:uid="{00000000-0005-0000-0000-0000AE000000}"/>
    <cellStyle name="Normal 2 2 12 4" xfId="175" xr:uid="{00000000-0005-0000-0000-0000AF000000}"/>
    <cellStyle name="Normal 2 2 13" xfId="176" xr:uid="{00000000-0005-0000-0000-0000B0000000}"/>
    <cellStyle name="Normal 2 2 13 2" xfId="177" xr:uid="{00000000-0005-0000-0000-0000B1000000}"/>
    <cellStyle name="Normal 2 2 13 2 2" xfId="178" xr:uid="{00000000-0005-0000-0000-0000B2000000}"/>
    <cellStyle name="Normal 2 2 13 2 3" xfId="179" xr:uid="{00000000-0005-0000-0000-0000B3000000}"/>
    <cellStyle name="Normal 2 2 13 2 4" xfId="180" xr:uid="{00000000-0005-0000-0000-0000B4000000}"/>
    <cellStyle name="Normal 2 2 13 3" xfId="181" xr:uid="{00000000-0005-0000-0000-0000B5000000}"/>
    <cellStyle name="Normal 2 2 13 4" xfId="182" xr:uid="{00000000-0005-0000-0000-0000B6000000}"/>
    <cellStyle name="Normal 2 2 14" xfId="183" xr:uid="{00000000-0005-0000-0000-0000B7000000}"/>
    <cellStyle name="Normal 2 2 14 2" xfId="184" xr:uid="{00000000-0005-0000-0000-0000B8000000}"/>
    <cellStyle name="Normal 2 2 15" xfId="185" xr:uid="{00000000-0005-0000-0000-0000B9000000}"/>
    <cellStyle name="Normal 2 2 15 2" xfId="186" xr:uid="{00000000-0005-0000-0000-0000BA000000}"/>
    <cellStyle name="Normal 2 2 16" xfId="187" xr:uid="{00000000-0005-0000-0000-0000BB000000}"/>
    <cellStyle name="Normal 2 2 16 2" xfId="188" xr:uid="{00000000-0005-0000-0000-0000BC000000}"/>
    <cellStyle name="Normal 2 2 16 3" xfId="189" xr:uid="{00000000-0005-0000-0000-0000BD000000}"/>
    <cellStyle name="Normal 2 2 17" xfId="190" xr:uid="{00000000-0005-0000-0000-0000BE000000}"/>
    <cellStyle name="Normal 2 2 18" xfId="191" xr:uid="{00000000-0005-0000-0000-0000BF000000}"/>
    <cellStyle name="Normal 2 2 19" xfId="192" xr:uid="{00000000-0005-0000-0000-0000C0000000}"/>
    <cellStyle name="Normal 2 2 2" xfId="193" xr:uid="{00000000-0005-0000-0000-0000C1000000}"/>
    <cellStyle name="Normal 2 2 2 2" xfId="194" xr:uid="{00000000-0005-0000-0000-0000C2000000}"/>
    <cellStyle name="Normal 2 2 2 2 2" xfId="195" xr:uid="{00000000-0005-0000-0000-0000C3000000}"/>
    <cellStyle name="Normal 2 2 2 2 3" xfId="196" xr:uid="{00000000-0005-0000-0000-0000C4000000}"/>
    <cellStyle name="Normal 2 2 2 2 3 2" xfId="197" xr:uid="{00000000-0005-0000-0000-0000C5000000}"/>
    <cellStyle name="Normal 2 2 2 2 3 3" xfId="198" xr:uid="{00000000-0005-0000-0000-0000C6000000}"/>
    <cellStyle name="Normal 2 2 2 3" xfId="199" xr:uid="{00000000-0005-0000-0000-0000C7000000}"/>
    <cellStyle name="Normal 2 2 2 3 2" xfId="200" xr:uid="{00000000-0005-0000-0000-0000C8000000}"/>
    <cellStyle name="Normal 2 2 2 3 3" xfId="201" xr:uid="{00000000-0005-0000-0000-0000C9000000}"/>
    <cellStyle name="Normal 2 2 2 3 4" xfId="202" xr:uid="{00000000-0005-0000-0000-0000CA000000}"/>
    <cellStyle name="Normal 2 2 2 4" xfId="203" xr:uid="{00000000-0005-0000-0000-0000CB000000}"/>
    <cellStyle name="Normal 2 2 2 4 2" xfId="204" xr:uid="{00000000-0005-0000-0000-0000CC000000}"/>
    <cellStyle name="Normal 2 2 2 5" xfId="205" xr:uid="{00000000-0005-0000-0000-0000CD000000}"/>
    <cellStyle name="Normal 2 2 2 5 2" xfId="206" xr:uid="{00000000-0005-0000-0000-0000CE000000}"/>
    <cellStyle name="Normal 2 2 2 5 3" xfId="207" xr:uid="{00000000-0005-0000-0000-0000CF000000}"/>
    <cellStyle name="Normal 2 2 2 5 4" xfId="208" xr:uid="{00000000-0005-0000-0000-0000D0000000}"/>
    <cellStyle name="Normal 2 2 2 6" xfId="209" xr:uid="{00000000-0005-0000-0000-0000D1000000}"/>
    <cellStyle name="Normal 2 2 2 6 2" xfId="210" xr:uid="{00000000-0005-0000-0000-0000D2000000}"/>
    <cellStyle name="Normal 2 2 2 7" xfId="211" xr:uid="{00000000-0005-0000-0000-0000D3000000}"/>
    <cellStyle name="Normal 2 2 2 7 2" xfId="212" xr:uid="{00000000-0005-0000-0000-0000D4000000}"/>
    <cellStyle name="Normal 2 2 2 7 3" xfId="213" xr:uid="{00000000-0005-0000-0000-0000D5000000}"/>
    <cellStyle name="Normal 2 2 2 8" xfId="214" xr:uid="{00000000-0005-0000-0000-0000D6000000}"/>
    <cellStyle name="Normal 2 2 20" xfId="215" xr:uid="{00000000-0005-0000-0000-0000D7000000}"/>
    <cellStyle name="Normal 2 2 21" xfId="216" xr:uid="{00000000-0005-0000-0000-0000D8000000}"/>
    <cellStyle name="Normal 2 2 22" xfId="217" xr:uid="{00000000-0005-0000-0000-0000D9000000}"/>
    <cellStyle name="Normal 2 2 3" xfId="218" xr:uid="{00000000-0005-0000-0000-0000DA000000}"/>
    <cellStyle name="Normal 2 2 3 2" xfId="219" xr:uid="{00000000-0005-0000-0000-0000DB000000}"/>
    <cellStyle name="Normal 2 2 4" xfId="220" xr:uid="{00000000-0005-0000-0000-0000DC000000}"/>
    <cellStyle name="Normal 2 2 4 2" xfId="221" xr:uid="{00000000-0005-0000-0000-0000DD000000}"/>
    <cellStyle name="Normal 2 2 5" xfId="222" xr:uid="{00000000-0005-0000-0000-0000DE000000}"/>
    <cellStyle name="Normal 2 2 5 2" xfId="223" xr:uid="{00000000-0005-0000-0000-0000DF000000}"/>
    <cellStyle name="Normal 2 2 6" xfId="224" xr:uid="{00000000-0005-0000-0000-0000E0000000}"/>
    <cellStyle name="Normal 2 2 6 2" xfId="225" xr:uid="{00000000-0005-0000-0000-0000E1000000}"/>
    <cellStyle name="Normal 2 2 7" xfId="226" xr:uid="{00000000-0005-0000-0000-0000E2000000}"/>
    <cellStyle name="Normal 2 2 7 2" xfId="227" xr:uid="{00000000-0005-0000-0000-0000E3000000}"/>
    <cellStyle name="Normal 2 2 8" xfId="228" xr:uid="{00000000-0005-0000-0000-0000E4000000}"/>
    <cellStyle name="Normal 2 2 8 2" xfId="229" xr:uid="{00000000-0005-0000-0000-0000E5000000}"/>
    <cellStyle name="Normal 2 2 9" xfId="230" xr:uid="{00000000-0005-0000-0000-0000E6000000}"/>
    <cellStyle name="Normal 2 2 9 2" xfId="231" xr:uid="{00000000-0005-0000-0000-0000E7000000}"/>
    <cellStyle name="Normal 2 3" xfId="232" xr:uid="{00000000-0005-0000-0000-0000E8000000}"/>
    <cellStyle name="Normal 2 3 10" xfId="233" xr:uid="{00000000-0005-0000-0000-0000E9000000}"/>
    <cellStyle name="Normal 2 3 11" xfId="234" xr:uid="{00000000-0005-0000-0000-0000EA000000}"/>
    <cellStyle name="Normal 2 3 12" xfId="235" xr:uid="{00000000-0005-0000-0000-0000EB000000}"/>
    <cellStyle name="Normal 2 3 13" xfId="236" xr:uid="{00000000-0005-0000-0000-0000EC000000}"/>
    <cellStyle name="Normal 2 3 14" xfId="237" xr:uid="{00000000-0005-0000-0000-0000ED000000}"/>
    <cellStyle name="Normal 2 3 15" xfId="238" xr:uid="{00000000-0005-0000-0000-0000EE000000}"/>
    <cellStyle name="Normal 2 3 2" xfId="239" xr:uid="{00000000-0005-0000-0000-0000EF000000}"/>
    <cellStyle name="Normal 2 3 2 2" xfId="240" xr:uid="{00000000-0005-0000-0000-0000F0000000}"/>
    <cellStyle name="Normal 2 3 2 2 2" xfId="241" xr:uid="{00000000-0005-0000-0000-0000F1000000}"/>
    <cellStyle name="Normal 2 3 2 2 3" xfId="242" xr:uid="{00000000-0005-0000-0000-0000F2000000}"/>
    <cellStyle name="Normal 2 3 2 3" xfId="243" xr:uid="{00000000-0005-0000-0000-0000F3000000}"/>
    <cellStyle name="Normal 2 3 2 4" xfId="244" xr:uid="{00000000-0005-0000-0000-0000F4000000}"/>
    <cellStyle name="Normal 2 3 2 5" xfId="245" xr:uid="{00000000-0005-0000-0000-0000F5000000}"/>
    <cellStyle name="Normal 2 3 3" xfId="246" xr:uid="{00000000-0005-0000-0000-0000F6000000}"/>
    <cellStyle name="Normal 2 3 3 2" xfId="247" xr:uid="{00000000-0005-0000-0000-0000F7000000}"/>
    <cellStyle name="Normal 2 3 3 3" xfId="248" xr:uid="{00000000-0005-0000-0000-0000F8000000}"/>
    <cellStyle name="Normal 2 3 4" xfId="249" xr:uid="{00000000-0005-0000-0000-0000F9000000}"/>
    <cellStyle name="Normal 2 3 5" xfId="250" xr:uid="{00000000-0005-0000-0000-0000FA000000}"/>
    <cellStyle name="Normal 2 3 6" xfId="251" xr:uid="{00000000-0005-0000-0000-0000FB000000}"/>
    <cellStyle name="Normal 2 3 7" xfId="252" xr:uid="{00000000-0005-0000-0000-0000FC000000}"/>
    <cellStyle name="Normal 2 3 8" xfId="253" xr:uid="{00000000-0005-0000-0000-0000FD000000}"/>
    <cellStyle name="Normal 2 3 9" xfId="254" xr:uid="{00000000-0005-0000-0000-0000FE000000}"/>
    <cellStyle name="Normal 2 4" xfId="255" xr:uid="{00000000-0005-0000-0000-0000FF000000}"/>
    <cellStyle name="Normal 2 4 10" xfId="256" xr:uid="{00000000-0005-0000-0000-000000010000}"/>
    <cellStyle name="Normal 2 4 11" xfId="257" xr:uid="{00000000-0005-0000-0000-000001010000}"/>
    <cellStyle name="Normal 2 4 12" xfId="258" xr:uid="{00000000-0005-0000-0000-000002010000}"/>
    <cellStyle name="Normal 2 4 12 2" xfId="259" xr:uid="{00000000-0005-0000-0000-000003010000}"/>
    <cellStyle name="Normal 2 4 12 3" xfId="260" xr:uid="{00000000-0005-0000-0000-000004010000}"/>
    <cellStyle name="Normal 2 4 13" xfId="261" xr:uid="{00000000-0005-0000-0000-000005010000}"/>
    <cellStyle name="Normal 2 4 13 2" xfId="262" xr:uid="{00000000-0005-0000-0000-000006010000}"/>
    <cellStyle name="Normal 2 4 13 3" xfId="263" xr:uid="{00000000-0005-0000-0000-000007010000}"/>
    <cellStyle name="Normal 2 4 2" xfId="264" xr:uid="{00000000-0005-0000-0000-000008010000}"/>
    <cellStyle name="Normal 2 4 2 2" xfId="265" xr:uid="{00000000-0005-0000-0000-000009010000}"/>
    <cellStyle name="Normal 2 4 2 2 2" xfId="266" xr:uid="{00000000-0005-0000-0000-00000A010000}"/>
    <cellStyle name="Normal 2 4 2 2 3" xfId="267" xr:uid="{00000000-0005-0000-0000-00000B010000}"/>
    <cellStyle name="Normal 2 4 2 3" xfId="268" xr:uid="{00000000-0005-0000-0000-00000C010000}"/>
    <cellStyle name="Normal 2 4 2 4" xfId="269" xr:uid="{00000000-0005-0000-0000-00000D010000}"/>
    <cellStyle name="Normal 2 4 2 5" xfId="270" xr:uid="{00000000-0005-0000-0000-00000E010000}"/>
    <cellStyle name="Normal 2 4 3" xfId="271" xr:uid="{00000000-0005-0000-0000-00000F010000}"/>
    <cellStyle name="Normal 2 4 3 2" xfId="272" xr:uid="{00000000-0005-0000-0000-000010010000}"/>
    <cellStyle name="Normal 2 4 3 3" xfId="273" xr:uid="{00000000-0005-0000-0000-000011010000}"/>
    <cellStyle name="Normal 2 4 4" xfId="274" xr:uid="{00000000-0005-0000-0000-000012010000}"/>
    <cellStyle name="Normal 2 4 5" xfId="275" xr:uid="{00000000-0005-0000-0000-000013010000}"/>
    <cellStyle name="Normal 2 4 6" xfId="276" xr:uid="{00000000-0005-0000-0000-000014010000}"/>
    <cellStyle name="Normal 2 4 7" xfId="277" xr:uid="{00000000-0005-0000-0000-000015010000}"/>
    <cellStyle name="Normal 2 4 8" xfId="278" xr:uid="{00000000-0005-0000-0000-000016010000}"/>
    <cellStyle name="Normal 2 4 9" xfId="279" xr:uid="{00000000-0005-0000-0000-000017010000}"/>
    <cellStyle name="Normal 2 5" xfId="280" xr:uid="{00000000-0005-0000-0000-000018010000}"/>
    <cellStyle name="Normal 2 5 10" xfId="281" xr:uid="{00000000-0005-0000-0000-000019010000}"/>
    <cellStyle name="Normal 2 5 11" xfId="282" xr:uid="{00000000-0005-0000-0000-00001A010000}"/>
    <cellStyle name="Normal 2 5 12" xfId="283" xr:uid="{00000000-0005-0000-0000-00001B010000}"/>
    <cellStyle name="Normal 2 5 12 2" xfId="284" xr:uid="{00000000-0005-0000-0000-00001C010000}"/>
    <cellStyle name="Normal 2 5 12 3" xfId="285" xr:uid="{00000000-0005-0000-0000-00001D010000}"/>
    <cellStyle name="Normal 2 5 2" xfId="286" xr:uid="{00000000-0005-0000-0000-00001E010000}"/>
    <cellStyle name="Normal 2 5 2 2" xfId="287" xr:uid="{00000000-0005-0000-0000-00001F010000}"/>
    <cellStyle name="Normal 2 5 3" xfId="288" xr:uid="{00000000-0005-0000-0000-000020010000}"/>
    <cellStyle name="Normal 2 5 3 2" xfId="289" xr:uid="{00000000-0005-0000-0000-000021010000}"/>
    <cellStyle name="Normal 2 5 4" xfId="290" xr:uid="{00000000-0005-0000-0000-000022010000}"/>
    <cellStyle name="Normal 2 5 5" xfId="291" xr:uid="{00000000-0005-0000-0000-000023010000}"/>
    <cellStyle name="Normal 2 5 6" xfId="292" xr:uid="{00000000-0005-0000-0000-000024010000}"/>
    <cellStyle name="Normal 2 5 7" xfId="293" xr:uid="{00000000-0005-0000-0000-000025010000}"/>
    <cellStyle name="Normal 2 5 8" xfId="294" xr:uid="{00000000-0005-0000-0000-000026010000}"/>
    <cellStyle name="Normal 2 5 9" xfId="295" xr:uid="{00000000-0005-0000-0000-000027010000}"/>
    <cellStyle name="Normal 2 6" xfId="296" xr:uid="{00000000-0005-0000-0000-000028010000}"/>
    <cellStyle name="Normal 2 6 10" xfId="297" xr:uid="{00000000-0005-0000-0000-000029010000}"/>
    <cellStyle name="Normal 2 6 11" xfId="298" xr:uid="{00000000-0005-0000-0000-00002A010000}"/>
    <cellStyle name="Normal 2 6 12" xfId="299" xr:uid="{00000000-0005-0000-0000-00002B010000}"/>
    <cellStyle name="Normal 2 6 2" xfId="300" xr:uid="{00000000-0005-0000-0000-00002C010000}"/>
    <cellStyle name="Normal 2 6 2 2" xfId="301" xr:uid="{00000000-0005-0000-0000-00002D010000}"/>
    <cellStyle name="Normal 2 6 3" xfId="302" xr:uid="{00000000-0005-0000-0000-00002E010000}"/>
    <cellStyle name="Normal 2 6 3 2" xfId="303" xr:uid="{00000000-0005-0000-0000-00002F010000}"/>
    <cellStyle name="Normal 2 6 4" xfId="304" xr:uid="{00000000-0005-0000-0000-000030010000}"/>
    <cellStyle name="Normal 2 6 5" xfId="305" xr:uid="{00000000-0005-0000-0000-000031010000}"/>
    <cellStyle name="Normal 2 6 6" xfId="306" xr:uid="{00000000-0005-0000-0000-000032010000}"/>
    <cellStyle name="Normal 2 6 7" xfId="307" xr:uid="{00000000-0005-0000-0000-000033010000}"/>
    <cellStyle name="Normal 2 6 8" xfId="308" xr:uid="{00000000-0005-0000-0000-000034010000}"/>
    <cellStyle name="Normal 2 6 9" xfId="309" xr:uid="{00000000-0005-0000-0000-000035010000}"/>
    <cellStyle name="Normal 2 7" xfId="310" xr:uid="{00000000-0005-0000-0000-000036010000}"/>
    <cellStyle name="Normal 2 7 10" xfId="311" xr:uid="{00000000-0005-0000-0000-000037010000}"/>
    <cellStyle name="Normal 2 7 11" xfId="312" xr:uid="{00000000-0005-0000-0000-000038010000}"/>
    <cellStyle name="Normal 2 7 11 2" xfId="313" xr:uid="{00000000-0005-0000-0000-000039010000}"/>
    <cellStyle name="Normal 2 7 2" xfId="314" xr:uid="{00000000-0005-0000-0000-00003A010000}"/>
    <cellStyle name="Normal 2 7 2 2" xfId="315" xr:uid="{00000000-0005-0000-0000-00003B010000}"/>
    <cellStyle name="Normal 2 7 2 3" xfId="316" xr:uid="{00000000-0005-0000-0000-00003C010000}"/>
    <cellStyle name="Normal 2 7 3" xfId="317" xr:uid="{00000000-0005-0000-0000-00003D010000}"/>
    <cellStyle name="Normal 2 7 3 2" xfId="318" xr:uid="{00000000-0005-0000-0000-00003E010000}"/>
    <cellStyle name="Normal 2 7 4" xfId="319" xr:uid="{00000000-0005-0000-0000-00003F010000}"/>
    <cellStyle name="Normal 2 7 4 2" xfId="320" xr:uid="{00000000-0005-0000-0000-000040010000}"/>
    <cellStyle name="Normal 2 7 5" xfId="321" xr:uid="{00000000-0005-0000-0000-000041010000}"/>
    <cellStyle name="Normal 2 7 5 2" xfId="322" xr:uid="{00000000-0005-0000-0000-000042010000}"/>
    <cellStyle name="Normal 2 7 6" xfId="323" xr:uid="{00000000-0005-0000-0000-000043010000}"/>
    <cellStyle name="Normal 2 7 6 2" xfId="324" xr:uid="{00000000-0005-0000-0000-000044010000}"/>
    <cellStyle name="Normal 2 7 7" xfId="325" xr:uid="{00000000-0005-0000-0000-000045010000}"/>
    <cellStyle name="Normal 2 7 7 2" xfId="326" xr:uid="{00000000-0005-0000-0000-000046010000}"/>
    <cellStyle name="Normal 2 7 8" xfId="327" xr:uid="{00000000-0005-0000-0000-000047010000}"/>
    <cellStyle name="Normal 2 7 8 2" xfId="328" xr:uid="{00000000-0005-0000-0000-000048010000}"/>
    <cellStyle name="Normal 2 7 9" xfId="329" xr:uid="{00000000-0005-0000-0000-000049010000}"/>
    <cellStyle name="Normal 2 8" xfId="330" xr:uid="{00000000-0005-0000-0000-00004A010000}"/>
    <cellStyle name="Normal 2 8 10" xfId="331" xr:uid="{00000000-0005-0000-0000-00004B010000}"/>
    <cellStyle name="Normal 2 8 11" xfId="332" xr:uid="{00000000-0005-0000-0000-00004C010000}"/>
    <cellStyle name="Normal 2 8 2" xfId="333" xr:uid="{00000000-0005-0000-0000-00004D010000}"/>
    <cellStyle name="Normal 2 8 2 2" xfId="334" xr:uid="{00000000-0005-0000-0000-00004E010000}"/>
    <cellStyle name="Normal 2 8 3" xfId="335" xr:uid="{00000000-0005-0000-0000-00004F010000}"/>
    <cellStyle name="Normal 2 8 3 2" xfId="336" xr:uid="{00000000-0005-0000-0000-000050010000}"/>
    <cellStyle name="Normal 2 8 4" xfId="337" xr:uid="{00000000-0005-0000-0000-000051010000}"/>
    <cellStyle name="Normal 2 8 4 2" xfId="338" xr:uid="{00000000-0005-0000-0000-000052010000}"/>
    <cellStyle name="Normal 2 8 5" xfId="339" xr:uid="{00000000-0005-0000-0000-000053010000}"/>
    <cellStyle name="Normal 2 8 5 2" xfId="340" xr:uid="{00000000-0005-0000-0000-000054010000}"/>
    <cellStyle name="Normal 2 8 6" xfId="341" xr:uid="{00000000-0005-0000-0000-000055010000}"/>
    <cellStyle name="Normal 2 8 6 2" xfId="342" xr:uid="{00000000-0005-0000-0000-000056010000}"/>
    <cellStyle name="Normal 2 8 7" xfId="343" xr:uid="{00000000-0005-0000-0000-000057010000}"/>
    <cellStyle name="Normal 2 8 7 2" xfId="344" xr:uid="{00000000-0005-0000-0000-000058010000}"/>
    <cellStyle name="Normal 2 8 8" xfId="345" xr:uid="{00000000-0005-0000-0000-000059010000}"/>
    <cellStyle name="Normal 2 8 8 2" xfId="346" xr:uid="{00000000-0005-0000-0000-00005A010000}"/>
    <cellStyle name="Normal 2 8 9" xfId="347" xr:uid="{00000000-0005-0000-0000-00005B010000}"/>
    <cellStyle name="Normal 2 9" xfId="348" xr:uid="{00000000-0005-0000-0000-00005C010000}"/>
    <cellStyle name="Normal 2 9 10" xfId="349" xr:uid="{00000000-0005-0000-0000-00005D010000}"/>
    <cellStyle name="Normal 2 9 11" xfId="350" xr:uid="{00000000-0005-0000-0000-00005E010000}"/>
    <cellStyle name="Normal 2 9 2" xfId="351" xr:uid="{00000000-0005-0000-0000-00005F010000}"/>
    <cellStyle name="Normal 2 9 2 2" xfId="352" xr:uid="{00000000-0005-0000-0000-000060010000}"/>
    <cellStyle name="Normal 2 9 3" xfId="353" xr:uid="{00000000-0005-0000-0000-000061010000}"/>
    <cellStyle name="Normal 2 9 3 2" xfId="354" xr:uid="{00000000-0005-0000-0000-000062010000}"/>
    <cellStyle name="Normal 2 9 4" xfId="355" xr:uid="{00000000-0005-0000-0000-000063010000}"/>
    <cellStyle name="Normal 2 9 4 2" xfId="356" xr:uid="{00000000-0005-0000-0000-000064010000}"/>
    <cellStyle name="Normal 2 9 5" xfId="357" xr:uid="{00000000-0005-0000-0000-000065010000}"/>
    <cellStyle name="Normal 2 9 5 2" xfId="358" xr:uid="{00000000-0005-0000-0000-000066010000}"/>
    <cellStyle name="Normal 2 9 6" xfId="359" xr:uid="{00000000-0005-0000-0000-000067010000}"/>
    <cellStyle name="Normal 2 9 6 2" xfId="360" xr:uid="{00000000-0005-0000-0000-000068010000}"/>
    <cellStyle name="Normal 2 9 7" xfId="361" xr:uid="{00000000-0005-0000-0000-000069010000}"/>
    <cellStyle name="Normal 2 9 7 2" xfId="362" xr:uid="{00000000-0005-0000-0000-00006A010000}"/>
    <cellStyle name="Normal 2 9 8" xfId="363" xr:uid="{00000000-0005-0000-0000-00006B010000}"/>
    <cellStyle name="Normal 2 9 8 2" xfId="364" xr:uid="{00000000-0005-0000-0000-00006C010000}"/>
    <cellStyle name="Normal 2 9 9" xfId="365" xr:uid="{00000000-0005-0000-0000-00006D010000}"/>
    <cellStyle name="Normal 20" xfId="366" xr:uid="{00000000-0005-0000-0000-00006E010000}"/>
    <cellStyle name="Normal 20 2" xfId="367" xr:uid="{00000000-0005-0000-0000-00006F010000}"/>
    <cellStyle name="Normal 20 3" xfId="368" xr:uid="{00000000-0005-0000-0000-000070010000}"/>
    <cellStyle name="Normal 21" xfId="369" xr:uid="{00000000-0005-0000-0000-000071010000}"/>
    <cellStyle name="Normal 21 2" xfId="370" xr:uid="{00000000-0005-0000-0000-000072010000}"/>
    <cellStyle name="Normal 21 2 2" xfId="371" xr:uid="{00000000-0005-0000-0000-000073010000}"/>
    <cellStyle name="Normal 21 2 3" xfId="372" xr:uid="{00000000-0005-0000-0000-000074010000}"/>
    <cellStyle name="Normal 21 3" xfId="373" xr:uid="{00000000-0005-0000-0000-000075010000}"/>
    <cellStyle name="Normal 21 4" xfId="374" xr:uid="{00000000-0005-0000-0000-000076010000}"/>
    <cellStyle name="Normal 21 5" xfId="375" xr:uid="{00000000-0005-0000-0000-000077010000}"/>
    <cellStyle name="Normal 22" xfId="376" xr:uid="{00000000-0005-0000-0000-000078010000}"/>
    <cellStyle name="Normal 22 2" xfId="377" xr:uid="{00000000-0005-0000-0000-000079010000}"/>
    <cellStyle name="Normal 22 3" xfId="378" xr:uid="{00000000-0005-0000-0000-00007A010000}"/>
    <cellStyle name="Normal 23" xfId="379" xr:uid="{00000000-0005-0000-0000-00007B010000}"/>
    <cellStyle name="Normal 23 2" xfId="380" xr:uid="{00000000-0005-0000-0000-00007C010000}"/>
    <cellStyle name="Normal 23 3" xfId="381" xr:uid="{00000000-0005-0000-0000-00007D010000}"/>
    <cellStyle name="Normal 24" xfId="382" xr:uid="{00000000-0005-0000-0000-00007E010000}"/>
    <cellStyle name="Normal 24 2" xfId="383" xr:uid="{00000000-0005-0000-0000-00007F010000}"/>
    <cellStyle name="Normal 24 3" xfId="384" xr:uid="{00000000-0005-0000-0000-000080010000}"/>
    <cellStyle name="Normal 25" xfId="385" xr:uid="{00000000-0005-0000-0000-000081010000}"/>
    <cellStyle name="Normal 25 2" xfId="386" xr:uid="{00000000-0005-0000-0000-000082010000}"/>
    <cellStyle name="Normal 25 3" xfId="387" xr:uid="{00000000-0005-0000-0000-000083010000}"/>
    <cellStyle name="Normal 26" xfId="388" xr:uid="{00000000-0005-0000-0000-000084010000}"/>
    <cellStyle name="Normal 27" xfId="389" xr:uid="{00000000-0005-0000-0000-000085010000}"/>
    <cellStyle name="Normal 27 2" xfId="390" xr:uid="{00000000-0005-0000-0000-000086010000}"/>
    <cellStyle name="Normal 28" xfId="391" xr:uid="{00000000-0005-0000-0000-000087010000}"/>
    <cellStyle name="Normal 29" xfId="392" xr:uid="{00000000-0005-0000-0000-000088010000}"/>
    <cellStyle name="Normal 29 2" xfId="502" xr:uid="{FA5D7981-8813-4EBF-B59B-C8571CEF6695}"/>
    <cellStyle name="Normal 3 10" xfId="393" xr:uid="{00000000-0005-0000-0000-000089010000}"/>
    <cellStyle name="Normal 3 10 2" xfId="394" xr:uid="{00000000-0005-0000-0000-00008A010000}"/>
    <cellStyle name="Normal 3 11" xfId="395" xr:uid="{00000000-0005-0000-0000-00008B010000}"/>
    <cellStyle name="Normal 3 12" xfId="396" xr:uid="{00000000-0005-0000-0000-00008C010000}"/>
    <cellStyle name="Normal 3 13" xfId="397" xr:uid="{00000000-0005-0000-0000-00008D010000}"/>
    <cellStyle name="Normal 3 14" xfId="398" xr:uid="{00000000-0005-0000-0000-00008E010000}"/>
    <cellStyle name="Normal 3 15" xfId="399" xr:uid="{00000000-0005-0000-0000-00008F010000}"/>
    <cellStyle name="Normal 3 2" xfId="400" xr:uid="{00000000-0005-0000-0000-000090010000}"/>
    <cellStyle name="Normal 3 2 2" xfId="401" xr:uid="{00000000-0005-0000-0000-000091010000}"/>
    <cellStyle name="Normal 3 2 2 2" xfId="402" xr:uid="{00000000-0005-0000-0000-000092010000}"/>
    <cellStyle name="Normal 3 2 2 3" xfId="403" xr:uid="{00000000-0005-0000-0000-000093010000}"/>
    <cellStyle name="Normal 3 2 3" xfId="404" xr:uid="{00000000-0005-0000-0000-000094010000}"/>
    <cellStyle name="Normal 3 2 4" xfId="405" xr:uid="{00000000-0005-0000-0000-000095010000}"/>
    <cellStyle name="Normal 3 2 5" xfId="406" xr:uid="{00000000-0005-0000-0000-000096010000}"/>
    <cellStyle name="Normal 3 3" xfId="407" xr:uid="{00000000-0005-0000-0000-000097010000}"/>
    <cellStyle name="Normal 3 3 2" xfId="408" xr:uid="{00000000-0005-0000-0000-000098010000}"/>
    <cellStyle name="Normal 3 3 2 2" xfId="409" xr:uid="{00000000-0005-0000-0000-000099010000}"/>
    <cellStyle name="Normal 3 3 2 3" xfId="410" xr:uid="{00000000-0005-0000-0000-00009A010000}"/>
    <cellStyle name="Normal 3 3 3" xfId="411" xr:uid="{00000000-0005-0000-0000-00009B010000}"/>
    <cellStyle name="Normal 3 3 4" xfId="412" xr:uid="{00000000-0005-0000-0000-00009C010000}"/>
    <cellStyle name="Normal 3 4" xfId="413" xr:uid="{00000000-0005-0000-0000-00009D010000}"/>
    <cellStyle name="Normal 3 5" xfId="414" xr:uid="{00000000-0005-0000-0000-00009E010000}"/>
    <cellStyle name="Normal 3 6" xfId="415" xr:uid="{00000000-0005-0000-0000-00009F010000}"/>
    <cellStyle name="Normal 3 7" xfId="416" xr:uid="{00000000-0005-0000-0000-0000A0010000}"/>
    <cellStyle name="Normal 3 7 2" xfId="417" xr:uid="{00000000-0005-0000-0000-0000A1010000}"/>
    <cellStyle name="Normal 3 7 3" xfId="418" xr:uid="{00000000-0005-0000-0000-0000A2010000}"/>
    <cellStyle name="Normal 3 8" xfId="419" xr:uid="{00000000-0005-0000-0000-0000A3010000}"/>
    <cellStyle name="Normal 3 8 2" xfId="420" xr:uid="{00000000-0005-0000-0000-0000A4010000}"/>
    <cellStyle name="Normal 3 8 3" xfId="421" xr:uid="{00000000-0005-0000-0000-0000A5010000}"/>
    <cellStyle name="Normal 3 9" xfId="422" xr:uid="{00000000-0005-0000-0000-0000A6010000}"/>
    <cellStyle name="Normal 3 9 2" xfId="423" xr:uid="{00000000-0005-0000-0000-0000A7010000}"/>
    <cellStyle name="Normal 3 9 3" xfId="424" xr:uid="{00000000-0005-0000-0000-0000A8010000}"/>
    <cellStyle name="Normal 30" xfId="425" xr:uid="{00000000-0005-0000-0000-0000A9010000}"/>
    <cellStyle name="Normal 4 10" xfId="426" xr:uid="{00000000-0005-0000-0000-0000AA010000}"/>
    <cellStyle name="Normal 4 11" xfId="427" xr:uid="{00000000-0005-0000-0000-0000AB010000}"/>
    <cellStyle name="Normal 4 12" xfId="428" xr:uid="{00000000-0005-0000-0000-0000AC010000}"/>
    <cellStyle name="Normal 4 13" xfId="429" xr:uid="{00000000-0005-0000-0000-0000AD010000}"/>
    <cellStyle name="Normal 4 2" xfId="430" xr:uid="{00000000-0005-0000-0000-0000AE010000}"/>
    <cellStyle name="Normal 4 2 2" xfId="431" xr:uid="{00000000-0005-0000-0000-0000AF010000}"/>
    <cellStyle name="Normal 4 2 2 2" xfId="432" xr:uid="{00000000-0005-0000-0000-0000B0010000}"/>
    <cellStyle name="Normal 4 2 2 3" xfId="433" xr:uid="{00000000-0005-0000-0000-0000B1010000}"/>
    <cellStyle name="Normal 4 2 2 3 2" xfId="434" xr:uid="{00000000-0005-0000-0000-0000B2010000}"/>
    <cellStyle name="Normal 4 2 2 3 3" xfId="435" xr:uid="{00000000-0005-0000-0000-0000B3010000}"/>
    <cellStyle name="Normal 4 2 3" xfId="436" xr:uid="{00000000-0005-0000-0000-0000B4010000}"/>
    <cellStyle name="Normal 4 2 4" xfId="437" xr:uid="{00000000-0005-0000-0000-0000B5010000}"/>
    <cellStyle name="Normal 4 2 5" xfId="438" xr:uid="{00000000-0005-0000-0000-0000B6010000}"/>
    <cellStyle name="Normal 4 3" xfId="439" xr:uid="{00000000-0005-0000-0000-0000B7010000}"/>
    <cellStyle name="Normal 4 3 2" xfId="440" xr:uid="{00000000-0005-0000-0000-0000B8010000}"/>
    <cellStyle name="Normal 4 3 3" xfId="441" xr:uid="{00000000-0005-0000-0000-0000B9010000}"/>
    <cellStyle name="Normal 4 4" xfId="442" xr:uid="{00000000-0005-0000-0000-0000BA010000}"/>
    <cellStyle name="Normal 4 5" xfId="443" xr:uid="{00000000-0005-0000-0000-0000BB010000}"/>
    <cellStyle name="Normal 4 5 2" xfId="444" xr:uid="{00000000-0005-0000-0000-0000BC010000}"/>
    <cellStyle name="Normal 4 5 3" xfId="445" xr:uid="{00000000-0005-0000-0000-0000BD010000}"/>
    <cellStyle name="Normal 4 6" xfId="446" xr:uid="{00000000-0005-0000-0000-0000BE010000}"/>
    <cellStyle name="Normal 4 6 2" xfId="447" xr:uid="{00000000-0005-0000-0000-0000BF010000}"/>
    <cellStyle name="Normal 4 6 3" xfId="448" xr:uid="{00000000-0005-0000-0000-0000C0010000}"/>
    <cellStyle name="Normal 4 7" xfId="449" xr:uid="{00000000-0005-0000-0000-0000C1010000}"/>
    <cellStyle name="Normal 4 8" xfId="450" xr:uid="{00000000-0005-0000-0000-0000C2010000}"/>
    <cellStyle name="Normal 4 9" xfId="451" xr:uid="{00000000-0005-0000-0000-0000C3010000}"/>
    <cellStyle name="Normal 5 2" xfId="452" xr:uid="{00000000-0005-0000-0000-0000C4010000}"/>
    <cellStyle name="Normal 5 3" xfId="453" xr:uid="{00000000-0005-0000-0000-0000C5010000}"/>
    <cellStyle name="Normal 5 3 2" xfId="454" xr:uid="{00000000-0005-0000-0000-0000C6010000}"/>
    <cellStyle name="Normal 5 3 3" xfId="455" xr:uid="{00000000-0005-0000-0000-0000C7010000}"/>
    <cellStyle name="Normal 5 4" xfId="456" xr:uid="{00000000-0005-0000-0000-0000C8010000}"/>
    <cellStyle name="Normal 5 5" xfId="457" xr:uid="{00000000-0005-0000-0000-0000C9010000}"/>
    <cellStyle name="Normal 5 5 2" xfId="458" xr:uid="{00000000-0005-0000-0000-0000CA010000}"/>
    <cellStyle name="Normal 5 5 3" xfId="459" xr:uid="{00000000-0005-0000-0000-0000CB010000}"/>
    <cellStyle name="Normal 5 6" xfId="460" xr:uid="{00000000-0005-0000-0000-0000CC010000}"/>
    <cellStyle name="Normal 5 6 2" xfId="461" xr:uid="{00000000-0005-0000-0000-0000CD010000}"/>
    <cellStyle name="Normal 6 2" xfId="462" xr:uid="{00000000-0005-0000-0000-0000CE010000}"/>
    <cellStyle name="Normal 6 3" xfId="463" xr:uid="{00000000-0005-0000-0000-0000CF010000}"/>
    <cellStyle name="Normal 6 4" xfId="464" xr:uid="{00000000-0005-0000-0000-0000D0010000}"/>
    <cellStyle name="Normal 6 5" xfId="465" xr:uid="{00000000-0005-0000-0000-0000D1010000}"/>
    <cellStyle name="Normal 7 2" xfId="466" xr:uid="{00000000-0005-0000-0000-0000D2010000}"/>
    <cellStyle name="Normal 7 2 2" xfId="467" xr:uid="{00000000-0005-0000-0000-0000D3010000}"/>
    <cellStyle name="Normal 7 2 2 2" xfId="468" xr:uid="{00000000-0005-0000-0000-0000D4010000}"/>
    <cellStyle name="Normal 7 2 2 3" xfId="469" xr:uid="{00000000-0005-0000-0000-0000D5010000}"/>
    <cellStyle name="Normal 7 2 3" xfId="470" xr:uid="{00000000-0005-0000-0000-0000D6010000}"/>
    <cellStyle name="Normal 7 2 4" xfId="471" xr:uid="{00000000-0005-0000-0000-0000D7010000}"/>
    <cellStyle name="Normal 7 2 4 2" xfId="472" xr:uid="{00000000-0005-0000-0000-0000D8010000}"/>
    <cellStyle name="Normal 7 2 4 3" xfId="473" xr:uid="{00000000-0005-0000-0000-0000D9010000}"/>
    <cellStyle name="Normal 7 2 5" xfId="474" xr:uid="{00000000-0005-0000-0000-0000DA010000}"/>
    <cellStyle name="Normal 7 3" xfId="475" xr:uid="{00000000-0005-0000-0000-0000DB010000}"/>
    <cellStyle name="Normal 7 4" xfId="476" xr:uid="{00000000-0005-0000-0000-0000DC010000}"/>
    <cellStyle name="Normal 7 4 2" xfId="477" xr:uid="{00000000-0005-0000-0000-0000DD010000}"/>
    <cellStyle name="Normal 7 4 3" xfId="478" xr:uid="{00000000-0005-0000-0000-0000DE010000}"/>
    <cellStyle name="Normal 7 5" xfId="479" xr:uid="{00000000-0005-0000-0000-0000DF010000}"/>
    <cellStyle name="Normal 7 5 2" xfId="480" xr:uid="{00000000-0005-0000-0000-0000E0010000}"/>
    <cellStyle name="Normal 7 5 3" xfId="481" xr:uid="{00000000-0005-0000-0000-0000E1010000}"/>
    <cellStyle name="Normal 7 5 4" xfId="482" xr:uid="{00000000-0005-0000-0000-0000E2010000}"/>
    <cellStyle name="Normal 7 5 5" xfId="483" xr:uid="{00000000-0005-0000-0000-0000E3010000}"/>
    <cellStyle name="Normal 7 6" xfId="484" xr:uid="{00000000-0005-0000-0000-0000E4010000}"/>
    <cellStyle name="Normal 7 7" xfId="485" xr:uid="{00000000-0005-0000-0000-0000E5010000}"/>
    <cellStyle name="Normal 8 2" xfId="486" xr:uid="{00000000-0005-0000-0000-0000E6010000}"/>
    <cellStyle name="Normal 8 3" xfId="487" xr:uid="{00000000-0005-0000-0000-0000E7010000}"/>
    <cellStyle name="Normal 9 2" xfId="488" xr:uid="{00000000-0005-0000-0000-0000E8010000}"/>
    <cellStyle name="Normal 9 2 2" xfId="489" xr:uid="{00000000-0005-0000-0000-0000E9010000}"/>
    <cellStyle name="Normal 9 2 3" xfId="490" xr:uid="{00000000-0005-0000-0000-0000EA010000}"/>
    <cellStyle name="Normal 9 3" xfId="491" xr:uid="{00000000-0005-0000-0000-0000EB010000}"/>
    <cellStyle name="Normal 9 4" xfId="492" xr:uid="{00000000-0005-0000-0000-0000EC010000}"/>
    <cellStyle name="Normal 9 5" xfId="493" xr:uid="{00000000-0005-0000-0000-0000ED010000}"/>
    <cellStyle name="Normal 9 5 2" xfId="494" xr:uid="{00000000-0005-0000-0000-0000EE010000}"/>
    <cellStyle name="Normal 9 5 3" xfId="495" xr:uid="{00000000-0005-0000-0000-0000EF010000}"/>
    <cellStyle name="Normal 9 6" xfId="496" xr:uid="{00000000-0005-0000-0000-0000F0010000}"/>
    <cellStyle name="Normal 9 6 2" xfId="497" xr:uid="{00000000-0005-0000-0000-0000F1010000}"/>
    <cellStyle name="Normal 9 6 3" xfId="498" xr:uid="{00000000-0005-0000-0000-0000F2010000}"/>
    <cellStyle name="Normal_debt" xfId="499" xr:uid="{00000000-0005-0000-0000-0000F3010000}"/>
    <cellStyle name="Normal_lpform" xfId="500" xr:uid="{00000000-0005-0000-0000-0000F4010000}"/>
  </cellStyles>
  <dxfs count="200">
    <dxf>
      <font>
        <b/>
        <i val="0"/>
        <color rgb="FFFF0000"/>
      </font>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08FAAB88-7CF1-41B5-A2A8-77E45A50EC01}"/>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B8390F74-ECE5-4326-8456-FF7D44DE653F}"/>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D225F924-99A2-422F-8A78-76CA24C45363}"/>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0FB787D9-BE51-49BB-AB8E-FFEB451B2568}"/>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1D4A4995-1BA2-4B48-9992-DEE44733548C}"/>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A6C970F4-95EF-49B1-AAFE-F402AB835E67}"/>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AD0FB44C-CC61-4A97-895F-F7A7F22E1F5C}"/>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81F89271-7311-4079-B3B9-385621664BC2}"/>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A73F5652-CB00-4E70-A5C6-162565CB2DF5}"/>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695B3EAA-C71F-4839-B62A-A2A9C48F10F1}"/>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EBAB0D24-E3AE-4FE2-9F2D-8CF10D10C415}"/>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E8C36901-5210-46A5-9C52-6BF5E6C7937D}"/>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559FECA5-37D1-4A2F-ABC6-98B90865E963}"/>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Alice.Smith@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4.bin"/><Relationship Id="rId1" Type="http://schemas.openxmlformats.org/officeDocument/2006/relationships/hyperlink" Target="https://pooledmoneyinvestmentboard.com/"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EE37-8C20-4FE0-A53E-8CF64CEFAF42}">
  <sheetPr>
    <tabColor rgb="FFC00000"/>
  </sheetPr>
  <dimension ref="B1:B112"/>
  <sheetViews>
    <sheetView tabSelected="1" topLeftCell="B1" zoomScaleNormal="100" workbookViewId="0">
      <selection activeCell="B1" sqref="B1"/>
    </sheetView>
  </sheetViews>
  <sheetFormatPr defaultRowHeight="15.75" x14ac:dyDescent="0.25"/>
  <cols>
    <col min="1" max="1" width="1.09765625" style="540" customWidth="1"/>
    <col min="2" max="2" width="76.19921875" style="541" customWidth="1"/>
    <col min="3" max="16384" width="8.796875" style="540"/>
  </cols>
  <sheetData>
    <row r="1" spans="2:2" ht="39" customHeight="1" x14ac:dyDescent="0.25">
      <c r="B1" s="539" t="s">
        <v>0</v>
      </c>
    </row>
    <row r="2" spans="2:2" ht="12.95" customHeight="1" x14ac:dyDescent="0.25"/>
    <row r="3" spans="2:2" ht="34.5" customHeight="1" x14ac:dyDescent="0.25">
      <c r="B3" s="541" t="s">
        <v>1</v>
      </c>
    </row>
    <row r="4" spans="2:2" ht="12.95" customHeight="1" x14ac:dyDescent="0.25"/>
    <row r="5" spans="2:2" ht="66" customHeight="1" x14ac:dyDescent="0.25">
      <c r="B5" s="541" t="s">
        <v>2</v>
      </c>
    </row>
    <row r="6" spans="2:2" ht="14.45" customHeight="1" x14ac:dyDescent="0.25"/>
    <row r="7" spans="2:2" ht="25.5" customHeight="1" x14ac:dyDescent="0.25">
      <c r="B7" s="542" t="s">
        <v>3</v>
      </c>
    </row>
    <row r="8" spans="2:2" ht="12.95" customHeight="1" x14ac:dyDescent="0.25"/>
    <row r="9" spans="2:2" ht="50.25" x14ac:dyDescent="0.25">
      <c r="B9" s="541" t="s">
        <v>4</v>
      </c>
    </row>
    <row r="10" spans="2:2" ht="12.95" customHeight="1" x14ac:dyDescent="0.25"/>
    <row r="11" spans="2:2" ht="31.5" x14ac:dyDescent="0.25">
      <c r="B11" s="541" t="s">
        <v>5</v>
      </c>
    </row>
    <row r="12" spans="2:2" ht="15" customHeight="1" x14ac:dyDescent="0.25"/>
    <row r="13" spans="2:2" ht="25.5" customHeight="1" x14ac:dyDescent="0.25">
      <c r="B13" s="542" t="s">
        <v>6</v>
      </c>
    </row>
    <row r="14" spans="2:2" ht="12.95" customHeight="1" x14ac:dyDescent="0.25"/>
    <row r="15" spans="2:2" ht="39.75" customHeight="1" x14ac:dyDescent="0.25">
      <c r="B15" s="541" t="s">
        <v>7</v>
      </c>
    </row>
    <row r="16" spans="2:2" ht="12.95" customHeight="1" x14ac:dyDescent="0.25"/>
    <row r="17" spans="2:2" x14ac:dyDescent="0.25">
      <c r="B17" s="543" t="s">
        <v>8</v>
      </c>
    </row>
    <row r="18" spans="2:2" ht="12.95" customHeight="1" x14ac:dyDescent="0.25">
      <c r="B18" s="543"/>
    </row>
    <row r="19" spans="2:2" x14ac:dyDescent="0.25">
      <c r="B19" s="541" t="s">
        <v>9</v>
      </c>
    </row>
    <row r="20" spans="2:2" ht="12.95" customHeight="1" x14ac:dyDescent="0.25"/>
    <row r="21" spans="2:2" ht="67.5" customHeight="1" x14ac:dyDescent="0.25">
      <c r="B21" s="541" t="s">
        <v>10</v>
      </c>
    </row>
    <row r="22" spans="2:2" ht="12.95" customHeight="1" x14ac:dyDescent="0.25">
      <c r="B22" s="544"/>
    </row>
    <row r="23" spans="2:2" ht="15.75" customHeight="1" x14ac:dyDescent="0.25">
      <c r="B23" s="541" t="s">
        <v>11</v>
      </c>
    </row>
    <row r="24" spans="2:2" ht="12.95" customHeight="1" x14ac:dyDescent="0.25">
      <c r="B24" s="544"/>
    </row>
    <row r="25" spans="2:2" ht="15.75" customHeight="1" x14ac:dyDescent="0.25">
      <c r="B25" s="541" t="s">
        <v>12</v>
      </c>
    </row>
    <row r="26" spans="2:2" ht="12.95" customHeight="1" x14ac:dyDescent="0.25"/>
    <row r="27" spans="2:2" ht="49.5" customHeight="1" x14ac:dyDescent="0.25">
      <c r="B27" s="541" t="s">
        <v>13</v>
      </c>
    </row>
    <row r="28" spans="2:2" ht="12.95" customHeight="1" x14ac:dyDescent="0.25"/>
    <row r="29" spans="2:2" ht="110.25" x14ac:dyDescent="0.25">
      <c r="B29" s="619" t="s">
        <v>14</v>
      </c>
    </row>
    <row r="30" spans="2:2" ht="12.95" customHeight="1" x14ac:dyDescent="0.25"/>
    <row r="31" spans="2:2" ht="25.5" customHeight="1" x14ac:dyDescent="0.25">
      <c r="B31" s="542" t="s">
        <v>15</v>
      </c>
    </row>
    <row r="32" spans="2:2" ht="12.95" customHeight="1" x14ac:dyDescent="0.25">
      <c r="B32" s="545"/>
    </row>
    <row r="33" spans="2:2" ht="50.25" customHeight="1" x14ac:dyDescent="0.25">
      <c r="B33" s="541" t="s">
        <v>16</v>
      </c>
    </row>
    <row r="34" spans="2:2" ht="12.95" customHeight="1" x14ac:dyDescent="0.25"/>
    <row r="35" spans="2:2" ht="49.5" customHeight="1" x14ac:dyDescent="0.25">
      <c r="B35" s="546" t="s">
        <v>17</v>
      </c>
    </row>
    <row r="36" spans="2:2" ht="39.75" customHeight="1" x14ac:dyDescent="0.25">
      <c r="B36" s="547" t="s">
        <v>18</v>
      </c>
    </row>
    <row r="37" spans="2:2" ht="60.75" customHeight="1" x14ac:dyDescent="0.25">
      <c r="B37" s="547" t="s">
        <v>19</v>
      </c>
    </row>
    <row r="38" spans="2:2" ht="61.5" customHeight="1" x14ac:dyDescent="0.25">
      <c r="B38" s="547" t="s">
        <v>20</v>
      </c>
    </row>
    <row r="39" spans="2:2" ht="41.25" customHeight="1" x14ac:dyDescent="0.25">
      <c r="B39" s="547" t="s">
        <v>21</v>
      </c>
    </row>
    <row r="40" spans="2:2" x14ac:dyDescent="0.25">
      <c r="B40" s="547" t="s">
        <v>22</v>
      </c>
    </row>
    <row r="41" spans="2:2" ht="12.95" customHeight="1" x14ac:dyDescent="0.25"/>
    <row r="42" spans="2:2" ht="52.5" customHeight="1" x14ac:dyDescent="0.25">
      <c r="B42" s="546" t="s">
        <v>23</v>
      </c>
    </row>
    <row r="43" spans="2:2" ht="27.75" customHeight="1" x14ac:dyDescent="0.25">
      <c r="B43" s="547" t="s">
        <v>24</v>
      </c>
    </row>
    <row r="44" spans="2:2" ht="57" customHeight="1" x14ac:dyDescent="0.25">
      <c r="B44" s="547" t="s">
        <v>25</v>
      </c>
    </row>
    <row r="45" spans="2:2" ht="105" customHeight="1" x14ac:dyDescent="0.25">
      <c r="B45" s="547" t="s">
        <v>26</v>
      </c>
    </row>
    <row r="46" spans="2:2" s="541" customFormat="1" ht="12.95" customHeight="1" x14ac:dyDescent="0.25"/>
    <row r="47" spans="2:2" ht="47.25" x14ac:dyDescent="0.25">
      <c r="B47" s="546" t="s">
        <v>27</v>
      </c>
    </row>
    <row r="48" spans="2:2" ht="66.75" customHeight="1" x14ac:dyDescent="0.25">
      <c r="B48" s="546" t="s">
        <v>28</v>
      </c>
    </row>
    <row r="49" spans="2:2" ht="72.75" customHeight="1" x14ac:dyDescent="0.25">
      <c r="B49" s="547" t="s">
        <v>29</v>
      </c>
    </row>
    <row r="50" spans="2:2" ht="108" customHeight="1" x14ac:dyDescent="0.25">
      <c r="B50" s="547" t="s">
        <v>30</v>
      </c>
    </row>
    <row r="51" spans="2:2" ht="95.25" customHeight="1" x14ac:dyDescent="0.25">
      <c r="B51" s="547" t="s">
        <v>31</v>
      </c>
    </row>
    <row r="52" spans="2:2" ht="12.95" customHeight="1" x14ac:dyDescent="0.25"/>
    <row r="53" spans="2:2" ht="47.25" x14ac:dyDescent="0.25">
      <c r="B53" s="546" t="s">
        <v>32</v>
      </c>
    </row>
    <row r="54" spans="2:2" ht="38.25" customHeight="1" x14ac:dyDescent="0.25">
      <c r="B54" s="547" t="s">
        <v>33</v>
      </c>
    </row>
    <row r="55" spans="2:2" ht="34.5" customHeight="1" x14ac:dyDescent="0.25">
      <c r="B55" s="547" t="s">
        <v>34</v>
      </c>
    </row>
    <row r="56" spans="2:2" ht="12.95" customHeight="1" x14ac:dyDescent="0.25"/>
    <row r="57" spans="2:2" ht="71.25" customHeight="1" x14ac:dyDescent="0.25">
      <c r="B57" s="546" t="s">
        <v>35</v>
      </c>
    </row>
    <row r="58" spans="2:2" ht="21.75" customHeight="1" x14ac:dyDescent="0.25">
      <c r="B58" s="547" t="s">
        <v>36</v>
      </c>
    </row>
    <row r="59" spans="2:2" ht="12.95" customHeight="1" x14ac:dyDescent="0.25">
      <c r="B59" s="548"/>
    </row>
    <row r="60" spans="2:2" ht="57.75" customHeight="1" x14ac:dyDescent="0.25">
      <c r="B60" s="546" t="s">
        <v>37</v>
      </c>
    </row>
    <row r="61" spans="2:2" ht="41.25" customHeight="1" x14ac:dyDescent="0.25">
      <c r="B61" s="547" t="s">
        <v>38</v>
      </c>
    </row>
    <row r="62" spans="2:2" ht="72" customHeight="1" x14ac:dyDescent="0.25">
      <c r="B62" s="547" t="s">
        <v>39</v>
      </c>
    </row>
    <row r="63" spans="2:2" ht="27" customHeight="1" x14ac:dyDescent="0.25">
      <c r="B63" s="547" t="s">
        <v>40</v>
      </c>
    </row>
    <row r="64" spans="2:2" ht="44.25" customHeight="1" x14ac:dyDescent="0.25">
      <c r="B64" s="547" t="s">
        <v>41</v>
      </c>
    </row>
    <row r="65" spans="2:2" ht="12.95" customHeight="1" x14ac:dyDescent="0.25"/>
    <row r="66" spans="2:2" ht="38.25" customHeight="1" x14ac:dyDescent="0.25">
      <c r="B66" s="546" t="s">
        <v>42</v>
      </c>
    </row>
    <row r="67" spans="2:2" s="549" customFormat="1" ht="30.75" customHeight="1" x14ac:dyDescent="0.25">
      <c r="B67" s="547" t="s">
        <v>43</v>
      </c>
    </row>
    <row r="68" spans="2:2" ht="12.95" customHeight="1" x14ac:dyDescent="0.25"/>
    <row r="69" spans="2:2" ht="52.5" customHeight="1" x14ac:dyDescent="0.25">
      <c r="B69" s="546" t="s">
        <v>44</v>
      </c>
    </row>
    <row r="70" spans="2:2" s="549" customFormat="1" ht="39.75" customHeight="1" x14ac:dyDescent="0.25">
      <c r="B70" s="547" t="s">
        <v>45</v>
      </c>
    </row>
    <row r="71" spans="2:2" ht="12.95" customHeight="1" x14ac:dyDescent="0.25"/>
    <row r="72" spans="2:2" ht="68.25" customHeight="1" x14ac:dyDescent="0.25">
      <c r="B72" s="546" t="s">
        <v>46</v>
      </c>
    </row>
    <row r="73" spans="2:2" ht="57" customHeight="1" x14ac:dyDescent="0.25">
      <c r="B73" s="547" t="s">
        <v>47</v>
      </c>
    </row>
    <row r="74" spans="2:2" ht="44.25" customHeight="1" x14ac:dyDescent="0.25">
      <c r="B74" s="547" t="s">
        <v>48</v>
      </c>
    </row>
    <row r="75" spans="2:2" ht="12.95" customHeight="1" x14ac:dyDescent="0.25"/>
    <row r="76" spans="2:2" ht="78.75" x14ac:dyDescent="0.25">
      <c r="B76" s="546" t="s">
        <v>49</v>
      </c>
    </row>
    <row r="77" spans="2:2" ht="72.75" customHeight="1" x14ac:dyDescent="0.25">
      <c r="B77" s="547" t="s">
        <v>50</v>
      </c>
    </row>
    <row r="78" spans="2:2" ht="90" customHeight="1" x14ac:dyDescent="0.25">
      <c r="B78" s="547" t="s">
        <v>51</v>
      </c>
    </row>
    <row r="79" spans="2:2" ht="70.5" customHeight="1" x14ac:dyDescent="0.25">
      <c r="B79" s="547" t="s">
        <v>52</v>
      </c>
    </row>
    <row r="80" spans="2:2" ht="87" customHeight="1" x14ac:dyDescent="0.25">
      <c r="B80" s="547" t="s">
        <v>53</v>
      </c>
    </row>
    <row r="81" spans="2:2" ht="110.25" x14ac:dyDescent="0.25">
      <c r="B81" s="547" t="s">
        <v>54</v>
      </c>
    </row>
    <row r="82" spans="2:2" ht="55.5" customHeight="1" x14ac:dyDescent="0.25">
      <c r="B82" s="547" t="s">
        <v>55</v>
      </c>
    </row>
    <row r="83" spans="2:2" ht="96.75" customHeight="1" x14ac:dyDescent="0.25">
      <c r="B83" s="547" t="s">
        <v>56</v>
      </c>
    </row>
    <row r="84" spans="2:2" ht="111.75" customHeight="1" x14ac:dyDescent="0.25">
      <c r="B84" s="547" t="s">
        <v>57</v>
      </c>
    </row>
    <row r="85" spans="2:2" ht="123.75" customHeight="1" x14ac:dyDescent="0.25">
      <c r="B85" s="547" t="s">
        <v>58</v>
      </c>
    </row>
    <row r="86" spans="2:2" ht="26.25" customHeight="1" x14ac:dyDescent="0.25">
      <c r="B86" s="547" t="s">
        <v>59</v>
      </c>
    </row>
    <row r="87" spans="2:2" ht="57.75" customHeight="1" x14ac:dyDescent="0.25">
      <c r="B87" s="547" t="s">
        <v>60</v>
      </c>
    </row>
    <row r="88" spans="2:2" ht="57.75" customHeight="1" x14ac:dyDescent="0.25">
      <c r="B88" s="547" t="s">
        <v>61</v>
      </c>
    </row>
    <row r="89" spans="2:2" ht="91.5" customHeight="1" x14ac:dyDescent="0.25">
      <c r="B89" s="547" t="s">
        <v>62</v>
      </c>
    </row>
    <row r="90" spans="2:2" ht="75" customHeight="1" x14ac:dyDescent="0.25">
      <c r="B90" s="547" t="s">
        <v>63</v>
      </c>
    </row>
    <row r="91" spans="2:2" ht="69" customHeight="1" x14ac:dyDescent="0.25">
      <c r="B91" s="547" t="s">
        <v>64</v>
      </c>
    </row>
    <row r="92" spans="2:2" ht="39" customHeight="1" x14ac:dyDescent="0.25">
      <c r="B92" s="547" t="s">
        <v>65</v>
      </c>
    </row>
    <row r="93" spans="2:2" ht="12.95" customHeight="1" x14ac:dyDescent="0.25"/>
    <row r="94" spans="2:2" ht="63" x14ac:dyDescent="0.25">
      <c r="B94" s="546" t="s">
        <v>66</v>
      </c>
    </row>
    <row r="95" spans="2:2" ht="75.75" customHeight="1" x14ac:dyDescent="0.25">
      <c r="B95" s="547" t="s">
        <v>67</v>
      </c>
    </row>
    <row r="96" spans="2:2" ht="23.25" customHeight="1" x14ac:dyDescent="0.25">
      <c r="B96" s="547" t="s">
        <v>68</v>
      </c>
    </row>
    <row r="97" spans="2:2" ht="27" customHeight="1" x14ac:dyDescent="0.25">
      <c r="B97" s="547" t="s">
        <v>69</v>
      </c>
    </row>
    <row r="98" spans="2:2" ht="42" customHeight="1" x14ac:dyDescent="0.25">
      <c r="B98" s="550" t="s">
        <v>70</v>
      </c>
    </row>
    <row r="99" spans="2:2" ht="108" customHeight="1" x14ac:dyDescent="0.25">
      <c r="B99" s="550" t="s">
        <v>71</v>
      </c>
    </row>
    <row r="100" spans="2:2" ht="88.5" customHeight="1" x14ac:dyDescent="0.25">
      <c r="B100" s="550" t="s">
        <v>72</v>
      </c>
    </row>
    <row r="101" spans="2:2" ht="98.25" customHeight="1" x14ac:dyDescent="0.25">
      <c r="B101" s="547" t="s">
        <v>73</v>
      </c>
    </row>
    <row r="102" spans="2:2" ht="68.25" customHeight="1" x14ac:dyDescent="0.25">
      <c r="B102" s="547" t="s">
        <v>74</v>
      </c>
    </row>
    <row r="103" spans="2:2" ht="12.95" customHeight="1" x14ac:dyDescent="0.25"/>
    <row r="104" spans="2:2" ht="94.5" x14ac:dyDescent="0.25">
      <c r="B104" s="546" t="s">
        <v>75</v>
      </c>
    </row>
    <row r="105" spans="2:2" ht="78.75" x14ac:dyDescent="0.25">
      <c r="B105" s="551" t="s">
        <v>76</v>
      </c>
    </row>
    <row r="106" spans="2:2" ht="63" x14ac:dyDescent="0.25">
      <c r="B106" s="547" t="s">
        <v>77</v>
      </c>
    </row>
    <row r="107" spans="2:2" ht="39.75" customHeight="1" x14ac:dyDescent="0.25">
      <c r="B107" s="547" t="s">
        <v>78</v>
      </c>
    </row>
    <row r="108" spans="2:2" ht="12.95" customHeight="1" x14ac:dyDescent="0.25">
      <c r="B108" s="540"/>
    </row>
    <row r="109" spans="2:2" ht="47.25" x14ac:dyDescent="0.25">
      <c r="B109" s="546" t="s">
        <v>79</v>
      </c>
    </row>
    <row r="110" spans="2:2" ht="12.95" customHeight="1" x14ac:dyDescent="0.25">
      <c r="B110" s="540"/>
    </row>
    <row r="111" spans="2:2" ht="47.25" x14ac:dyDescent="0.25">
      <c r="B111" s="546" t="s">
        <v>80</v>
      </c>
    </row>
    <row r="112" spans="2:2" x14ac:dyDescent="0.25">
      <c r="B112" s="540"/>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00B0F0"/>
    <pageSetUpPr fitToPage="1"/>
  </sheetPr>
  <dimension ref="A1:Y39"/>
  <sheetViews>
    <sheetView workbookViewId="0">
      <selection activeCell="M1" sqref="M1"/>
    </sheetView>
  </sheetViews>
  <sheetFormatPr defaultRowHeight="15.75" x14ac:dyDescent="0.25"/>
  <cols>
    <col min="1" max="1" width="1.3984375" style="160" customWidth="1"/>
    <col min="2" max="2" width="18.69921875" style="160" customWidth="1"/>
    <col min="3" max="3" width="8.796875" style="160"/>
    <col min="4" max="4" width="7.8984375" style="160" customWidth="1"/>
    <col min="5" max="5" width="8.796875" style="160"/>
    <col min="6" max="6" width="16.19921875" style="160" customWidth="1"/>
    <col min="7" max="16384" width="8.796875" style="160"/>
  </cols>
  <sheetData>
    <row r="1" spans="1:12" x14ac:dyDescent="0.25">
      <c r="A1" s="181"/>
      <c r="B1" s="158">
        <f>inputPrYr!$D$4</f>
        <v>0</v>
      </c>
      <c r="C1" s="159"/>
      <c r="D1" s="159"/>
      <c r="E1" s="159"/>
      <c r="F1" s="159"/>
      <c r="G1" s="159"/>
      <c r="H1" s="159"/>
      <c r="I1" s="159"/>
      <c r="J1" s="35"/>
      <c r="K1" s="35"/>
      <c r="L1" s="140">
        <f>inputPrYr!D10</f>
        <v>2025</v>
      </c>
    </row>
    <row r="2" spans="1:12" x14ac:dyDescent="0.25">
      <c r="A2" s="181"/>
      <c r="B2" s="158">
        <f>inputPrYr!$D$5</f>
        <v>0</v>
      </c>
      <c r="C2" s="159"/>
      <c r="D2" s="159"/>
      <c r="E2" s="159"/>
      <c r="F2" s="159"/>
      <c r="G2" s="159"/>
      <c r="H2" s="159"/>
      <c r="I2" s="159"/>
      <c r="J2" s="35"/>
      <c r="K2" s="35"/>
      <c r="L2" s="136"/>
    </row>
    <row r="3" spans="1:12" x14ac:dyDescent="0.25">
      <c r="A3" s="181"/>
      <c r="B3" s="741" t="s">
        <v>241</v>
      </c>
      <c r="C3" s="677"/>
      <c r="D3" s="677"/>
      <c r="E3" s="677"/>
      <c r="F3" s="677"/>
      <c r="G3" s="677"/>
      <c r="H3" s="677"/>
      <c r="I3" s="677"/>
      <c r="J3" s="677"/>
      <c r="K3" s="677"/>
      <c r="L3" s="677"/>
    </row>
    <row r="4" spans="1:12" x14ac:dyDescent="0.25">
      <c r="A4" s="181"/>
      <c r="B4" s="159"/>
      <c r="C4" s="159"/>
      <c r="D4" s="159"/>
      <c r="E4" s="159"/>
      <c r="F4" s="159"/>
      <c r="G4" s="159"/>
      <c r="H4" s="159"/>
      <c r="I4" s="159"/>
      <c r="J4" s="159"/>
      <c r="K4" s="159"/>
      <c r="L4" s="159"/>
    </row>
    <row r="5" spans="1:12" x14ac:dyDescent="0.25">
      <c r="A5" s="181"/>
      <c r="B5" s="142" t="s">
        <v>242</v>
      </c>
      <c r="C5" s="142" t="s">
        <v>243</v>
      </c>
      <c r="D5" s="142" t="s">
        <v>244</v>
      </c>
      <c r="E5" s="142"/>
      <c r="F5" s="142" t="s">
        <v>245</v>
      </c>
      <c r="G5" s="161"/>
      <c r="H5" s="162"/>
      <c r="I5" s="161" t="s">
        <v>246</v>
      </c>
      <c r="J5" s="162"/>
      <c r="K5" s="161" t="s">
        <v>246</v>
      </c>
      <c r="L5" s="162"/>
    </row>
    <row r="6" spans="1:12" x14ac:dyDescent="0.25">
      <c r="A6" s="181"/>
      <c r="B6" s="163" t="s">
        <v>247</v>
      </c>
      <c r="C6" s="163" t="s">
        <v>247</v>
      </c>
      <c r="D6" s="163" t="s">
        <v>125</v>
      </c>
      <c r="E6" s="163" t="s">
        <v>245</v>
      </c>
      <c r="F6" s="163" t="s">
        <v>248</v>
      </c>
      <c r="G6" s="164" t="s">
        <v>249</v>
      </c>
      <c r="H6" s="165"/>
      <c r="I6" s="164">
        <f>L1-1</f>
        <v>2024</v>
      </c>
      <c r="J6" s="165"/>
      <c r="K6" s="164">
        <f>L1</f>
        <v>2025</v>
      </c>
      <c r="L6" s="165"/>
    </row>
    <row r="7" spans="1:12" x14ac:dyDescent="0.25">
      <c r="A7" s="181"/>
      <c r="B7" s="620" t="s">
        <v>250</v>
      </c>
      <c r="C7" s="620" t="s">
        <v>251</v>
      </c>
      <c r="D7" s="620" t="s">
        <v>100</v>
      </c>
      <c r="E7" s="620" t="s">
        <v>252</v>
      </c>
      <c r="F7" s="166" t="str">
        <f>CONCATENATE("Jan 1, ",L1-1,"")</f>
        <v>Jan 1, 2024</v>
      </c>
      <c r="G7" s="51" t="s">
        <v>244</v>
      </c>
      <c r="H7" s="51" t="s">
        <v>253</v>
      </c>
      <c r="I7" s="51" t="s">
        <v>244</v>
      </c>
      <c r="J7" s="51" t="s">
        <v>253</v>
      </c>
      <c r="K7" s="51" t="s">
        <v>244</v>
      </c>
      <c r="L7" s="51" t="s">
        <v>253</v>
      </c>
    </row>
    <row r="8" spans="1:12" x14ac:dyDescent="0.25">
      <c r="A8" s="181"/>
      <c r="B8" s="167" t="s">
        <v>254</v>
      </c>
      <c r="C8" s="168"/>
      <c r="D8" s="167"/>
      <c r="E8" s="167"/>
      <c r="F8" s="167"/>
      <c r="G8" s="169"/>
      <c r="H8" s="169"/>
      <c r="I8" s="167"/>
      <c r="J8" s="167"/>
      <c r="K8" s="167"/>
      <c r="L8" s="167"/>
    </row>
    <row r="9" spans="1:12" x14ac:dyDescent="0.25">
      <c r="A9" s="181"/>
      <c r="B9" s="170"/>
      <c r="C9" s="237"/>
      <c r="D9" s="172"/>
      <c r="E9" s="106"/>
      <c r="F9" s="173"/>
      <c r="G9" s="174"/>
      <c r="H9" s="174"/>
      <c r="I9" s="173"/>
      <c r="J9" s="173"/>
      <c r="K9" s="173"/>
      <c r="L9" s="173"/>
    </row>
    <row r="10" spans="1:12" x14ac:dyDescent="0.25">
      <c r="A10" s="181"/>
      <c r="B10" s="170"/>
      <c r="C10" s="237"/>
      <c r="D10" s="172"/>
      <c r="E10" s="106"/>
      <c r="F10" s="173"/>
      <c r="G10" s="174"/>
      <c r="H10" s="174"/>
      <c r="I10" s="173"/>
      <c r="J10" s="173"/>
      <c r="K10" s="173"/>
      <c r="L10" s="173"/>
    </row>
    <row r="11" spans="1:12" x14ac:dyDescent="0.25">
      <c r="A11" s="181"/>
      <c r="B11" s="132" t="s">
        <v>255</v>
      </c>
      <c r="C11" s="175"/>
      <c r="D11" s="176"/>
      <c r="E11" s="157"/>
      <c r="F11" s="53">
        <f>SUM(F9:F10)</f>
        <v>0</v>
      </c>
      <c r="G11" s="53"/>
      <c r="H11" s="53"/>
      <c r="I11" s="53">
        <f>SUM(I9:I10)</f>
        <v>0</v>
      </c>
      <c r="J11" s="53">
        <f>SUM(J9:J10)</f>
        <v>0</v>
      </c>
      <c r="K11" s="53">
        <f>SUM(K9:K10)</f>
        <v>0</v>
      </c>
      <c r="L11" s="53">
        <f>SUM(L9:L10)</f>
        <v>0</v>
      </c>
    </row>
    <row r="12" spans="1:12" x14ac:dyDescent="0.25">
      <c r="A12" s="181"/>
      <c r="B12" s="132" t="s">
        <v>256</v>
      </c>
      <c r="C12" s="175"/>
      <c r="D12" s="176"/>
      <c r="E12" s="157"/>
      <c r="F12" s="53"/>
      <c r="G12" s="177"/>
      <c r="H12" s="177"/>
      <c r="I12" s="53"/>
      <c r="J12" s="53"/>
      <c r="K12" s="53"/>
      <c r="L12" s="53"/>
    </row>
    <row r="13" spans="1:12" x14ac:dyDescent="0.25">
      <c r="A13" s="181"/>
      <c r="B13" s="170"/>
      <c r="C13" s="237"/>
      <c r="D13" s="172"/>
      <c r="E13" s="106"/>
      <c r="F13" s="173"/>
      <c r="G13" s="174"/>
      <c r="H13" s="174"/>
      <c r="I13" s="173"/>
      <c r="J13" s="173"/>
      <c r="K13" s="173"/>
      <c r="L13" s="173"/>
    </row>
    <row r="14" spans="1:12" x14ac:dyDescent="0.25">
      <c r="A14" s="181"/>
      <c r="B14" s="170"/>
      <c r="C14" s="237"/>
      <c r="D14" s="172"/>
      <c r="E14" s="106"/>
      <c r="F14" s="173"/>
      <c r="G14" s="174"/>
      <c r="H14" s="174"/>
      <c r="I14" s="173"/>
      <c r="J14" s="173"/>
      <c r="K14" s="173"/>
      <c r="L14" s="173"/>
    </row>
    <row r="15" spans="1:12" x14ac:dyDescent="0.25">
      <c r="A15" s="181"/>
      <c r="B15" s="132" t="s">
        <v>257</v>
      </c>
      <c r="C15" s="175"/>
      <c r="D15" s="176"/>
      <c r="E15" s="157"/>
      <c r="F15" s="53">
        <f>SUM(F13:F14)</f>
        <v>0</v>
      </c>
      <c r="G15" s="53"/>
      <c r="H15" s="53"/>
      <c r="I15" s="53">
        <f>SUM(I13:I14)</f>
        <v>0</v>
      </c>
      <c r="J15" s="53">
        <f>SUM(J13:J14)</f>
        <v>0</v>
      </c>
      <c r="K15" s="53">
        <f>SUM(K13:K14)</f>
        <v>0</v>
      </c>
      <c r="L15" s="53">
        <f>SUM(L13:L14)</f>
        <v>0</v>
      </c>
    </row>
    <row r="16" spans="1:12" x14ac:dyDescent="0.25">
      <c r="A16" s="181"/>
      <c r="B16" s="178" t="s">
        <v>258</v>
      </c>
      <c r="C16" s="303"/>
      <c r="D16" s="304"/>
      <c r="E16" s="305"/>
      <c r="F16" s="586">
        <f>SUM(F11+F15)</f>
        <v>0</v>
      </c>
      <c r="G16" s="586"/>
      <c r="H16" s="586"/>
      <c r="I16" s="586">
        <f>SUM(I11+I15)</f>
        <v>0</v>
      </c>
      <c r="J16" s="586">
        <f>SUM(J11+J15)</f>
        <v>0</v>
      </c>
      <c r="K16" s="586">
        <f>SUM(K11+K15)</f>
        <v>0</v>
      </c>
      <c r="L16" s="586">
        <f>SUM(L11+L15)</f>
        <v>0</v>
      </c>
    </row>
    <row r="17" spans="1:25" x14ac:dyDescent="0.25">
      <c r="A17" s="181"/>
      <c r="B17" s="35"/>
      <c r="C17" s="35"/>
      <c r="D17" s="35"/>
      <c r="E17" s="35"/>
      <c r="F17" s="35"/>
      <c r="G17" s="35"/>
      <c r="H17" s="35"/>
      <c r="I17" s="35"/>
      <c r="J17" s="35"/>
      <c r="K17" s="35"/>
      <c r="L17" s="35"/>
      <c r="M17" s="65"/>
      <c r="N17" s="65"/>
      <c r="O17" s="65"/>
      <c r="P17" s="65"/>
      <c r="Q17" s="65"/>
      <c r="R17" s="65"/>
      <c r="S17" s="65"/>
      <c r="T17" s="65"/>
      <c r="U17" s="65"/>
      <c r="V17" s="65"/>
      <c r="W17" s="65"/>
      <c r="X17" s="65"/>
      <c r="Y17" s="65"/>
    </row>
    <row r="18" spans="1:25" s="182" customFormat="1" x14ac:dyDescent="0.25">
      <c r="A18" s="181"/>
      <c r="B18" s="741" t="s">
        <v>259</v>
      </c>
      <c r="C18" s="677"/>
      <c r="D18" s="677"/>
      <c r="E18" s="677"/>
      <c r="F18" s="677"/>
      <c r="G18" s="677"/>
      <c r="H18" s="677"/>
      <c r="I18" s="677"/>
      <c r="J18" s="180"/>
      <c r="K18" s="180"/>
      <c r="L18" s="181"/>
    </row>
    <row r="19" spans="1:25" s="182" customFormat="1" x14ac:dyDescent="0.25">
      <c r="A19" s="181"/>
      <c r="B19" s="35"/>
      <c r="C19" s="183"/>
      <c r="D19" s="183"/>
      <c r="E19" s="183"/>
      <c r="F19" s="183"/>
      <c r="G19" s="183"/>
      <c r="H19" s="183"/>
      <c r="I19" s="183"/>
      <c r="J19" s="184"/>
      <c r="K19" s="184"/>
      <c r="L19" s="181"/>
    </row>
    <row r="20" spans="1:25" s="182" customFormat="1" x14ac:dyDescent="0.25">
      <c r="A20" s="181"/>
      <c r="B20" s="131"/>
      <c r="C20" s="131"/>
      <c r="D20" s="142" t="s">
        <v>260</v>
      </c>
      <c r="E20" s="131"/>
      <c r="F20" s="142" t="s">
        <v>126</v>
      </c>
      <c r="G20" s="131"/>
      <c r="H20" s="131"/>
      <c r="I20" s="131"/>
      <c r="J20" s="185"/>
      <c r="K20" s="181"/>
      <c r="L20" s="181"/>
    </row>
    <row r="21" spans="1:25" s="182" customFormat="1" x14ac:dyDescent="0.25">
      <c r="A21" s="181"/>
      <c r="B21" s="40"/>
      <c r="C21" s="163"/>
      <c r="D21" s="163" t="s">
        <v>247</v>
      </c>
      <c r="E21" s="163" t="s">
        <v>244</v>
      </c>
      <c r="F21" s="163" t="s">
        <v>245</v>
      </c>
      <c r="G21" s="163" t="s">
        <v>253</v>
      </c>
      <c r="H21" s="163" t="s">
        <v>261</v>
      </c>
      <c r="I21" s="163" t="s">
        <v>261</v>
      </c>
      <c r="J21" s="181"/>
      <c r="K21" s="181"/>
      <c r="L21" s="181"/>
    </row>
    <row r="22" spans="1:25" s="182" customFormat="1" x14ac:dyDescent="0.25">
      <c r="A22" s="181"/>
      <c r="B22" s="163" t="s">
        <v>262</v>
      </c>
      <c r="C22" s="163" t="s">
        <v>263</v>
      </c>
      <c r="D22" s="163" t="s">
        <v>264</v>
      </c>
      <c r="E22" s="163" t="s">
        <v>125</v>
      </c>
      <c r="F22" s="163" t="s">
        <v>265</v>
      </c>
      <c r="G22" s="163" t="s">
        <v>266</v>
      </c>
      <c r="H22" s="163" t="s">
        <v>267</v>
      </c>
      <c r="I22" s="163" t="s">
        <v>267</v>
      </c>
      <c r="J22" s="181"/>
      <c r="K22" s="181"/>
      <c r="L22" s="181"/>
    </row>
    <row r="23" spans="1:25" s="182" customFormat="1" x14ac:dyDescent="0.25">
      <c r="A23" s="181"/>
      <c r="B23" s="620" t="s">
        <v>268</v>
      </c>
      <c r="C23" s="620" t="s">
        <v>243</v>
      </c>
      <c r="D23" s="186" t="s">
        <v>269</v>
      </c>
      <c r="E23" s="620" t="s">
        <v>100</v>
      </c>
      <c r="F23" s="186" t="s">
        <v>270</v>
      </c>
      <c r="G23" s="166" t="str">
        <f>CONCATENATE("Jan 1, ",L1-1,"")</f>
        <v>Jan 1, 2024</v>
      </c>
      <c r="H23" s="620">
        <f>L1-1</f>
        <v>2024</v>
      </c>
      <c r="I23" s="620">
        <f>L1</f>
        <v>2025</v>
      </c>
      <c r="J23" s="181"/>
      <c r="K23" s="181"/>
      <c r="L23" s="181"/>
    </row>
    <row r="24" spans="1:25" s="182" customFormat="1" x14ac:dyDescent="0.25">
      <c r="A24" s="181"/>
      <c r="B24" s="170"/>
      <c r="C24" s="171"/>
      <c r="D24" s="187"/>
      <c r="E24" s="172"/>
      <c r="F24" s="106"/>
      <c r="G24" s="106"/>
      <c r="H24" s="106"/>
      <c r="I24" s="106"/>
      <c r="J24" s="181"/>
      <c r="K24" s="181"/>
      <c r="L24" s="181"/>
    </row>
    <row r="25" spans="1:25" s="182" customFormat="1" x14ac:dyDescent="0.25">
      <c r="A25" s="181"/>
      <c r="B25" s="170"/>
      <c r="C25" s="171"/>
      <c r="D25" s="187"/>
      <c r="E25" s="172"/>
      <c r="F25" s="106"/>
      <c r="G25" s="106"/>
      <c r="H25" s="106"/>
      <c r="I25" s="106"/>
      <c r="J25" s="181"/>
      <c r="K25" s="181"/>
      <c r="L25" s="181"/>
    </row>
    <row r="26" spans="1:25" s="182" customFormat="1" x14ac:dyDescent="0.25">
      <c r="A26" s="181"/>
      <c r="B26" s="170"/>
      <c r="C26" s="171"/>
      <c r="D26" s="187"/>
      <c r="E26" s="172"/>
      <c r="F26" s="106"/>
      <c r="G26" s="106"/>
      <c r="H26" s="106"/>
      <c r="I26" s="106"/>
      <c r="J26" s="181"/>
      <c r="K26" s="181"/>
      <c r="L26" s="181"/>
    </row>
    <row r="27" spans="1:25" s="182" customFormat="1" x14ac:dyDescent="0.25">
      <c r="A27" s="181"/>
      <c r="B27" s="170"/>
      <c r="C27" s="171"/>
      <c r="D27" s="187"/>
      <c r="E27" s="172"/>
      <c r="F27" s="106"/>
      <c r="G27" s="106"/>
      <c r="H27" s="106"/>
      <c r="I27" s="106"/>
      <c r="J27" s="181"/>
      <c r="K27" s="181"/>
      <c r="L27" s="181"/>
    </row>
    <row r="28" spans="1:25" s="182" customFormat="1" x14ac:dyDescent="0.25">
      <c r="A28" s="181"/>
      <c r="B28" s="170"/>
      <c r="C28" s="171"/>
      <c r="D28" s="187"/>
      <c r="E28" s="172"/>
      <c r="F28" s="106"/>
      <c r="G28" s="106"/>
      <c r="H28" s="106"/>
      <c r="I28" s="106"/>
      <c r="J28" s="181"/>
      <c r="K28" s="181"/>
      <c r="L28" s="181"/>
    </row>
    <row r="29" spans="1:25" s="182" customFormat="1" x14ac:dyDescent="0.25">
      <c r="A29" s="181"/>
      <c r="B29" s="170"/>
      <c r="C29" s="171"/>
      <c r="D29" s="187"/>
      <c r="E29" s="172"/>
      <c r="F29" s="106"/>
      <c r="G29" s="106"/>
      <c r="H29" s="106"/>
      <c r="I29" s="106"/>
      <c r="J29" s="181"/>
      <c r="K29" s="181"/>
      <c r="L29" s="181"/>
    </row>
    <row r="30" spans="1:25" s="182" customFormat="1" x14ac:dyDescent="0.25">
      <c r="A30" s="181"/>
      <c r="B30" s="170"/>
      <c r="C30" s="171"/>
      <c r="D30" s="187"/>
      <c r="E30" s="172"/>
      <c r="F30" s="106"/>
      <c r="G30" s="106"/>
      <c r="H30" s="106"/>
      <c r="I30" s="106"/>
      <c r="J30" s="181"/>
      <c r="K30" s="181"/>
      <c r="L30" s="181"/>
    </row>
    <row r="31" spans="1:25" s="182" customFormat="1" x14ac:dyDescent="0.25">
      <c r="A31" s="181"/>
      <c r="B31" s="170"/>
      <c r="C31" s="171"/>
      <c r="D31" s="187"/>
      <c r="E31" s="172"/>
      <c r="F31" s="106"/>
      <c r="G31" s="106"/>
      <c r="H31" s="106"/>
      <c r="I31" s="106"/>
      <c r="J31" s="181"/>
      <c r="K31" s="181"/>
      <c r="L31" s="181"/>
    </row>
    <row r="32" spans="1:25" s="182" customFormat="1" x14ac:dyDescent="0.25">
      <c r="A32" s="181"/>
      <c r="B32" s="170"/>
      <c r="C32" s="171"/>
      <c r="D32" s="187"/>
      <c r="E32" s="172"/>
      <c r="F32" s="106"/>
      <c r="G32" s="106"/>
      <c r="H32" s="106"/>
      <c r="I32" s="106"/>
      <c r="J32" s="181"/>
      <c r="K32" s="181"/>
      <c r="L32" s="181"/>
    </row>
    <row r="33" spans="1:12" s="182" customFormat="1" x14ac:dyDescent="0.25">
      <c r="A33" s="181"/>
      <c r="B33" s="170"/>
      <c r="C33" s="171"/>
      <c r="D33" s="187"/>
      <c r="E33" s="172"/>
      <c r="F33" s="106"/>
      <c r="G33" s="106"/>
      <c r="H33" s="106"/>
      <c r="I33" s="106"/>
      <c r="J33" s="181"/>
      <c r="K33" s="181"/>
      <c r="L33" s="181"/>
    </row>
    <row r="34" spans="1:12" s="182" customFormat="1" x14ac:dyDescent="0.25">
      <c r="A34" s="181"/>
      <c r="B34" s="170"/>
      <c r="C34" s="171"/>
      <c r="D34" s="187"/>
      <c r="E34" s="172"/>
      <c r="F34" s="106"/>
      <c r="G34" s="106"/>
      <c r="H34" s="106"/>
      <c r="I34" s="106"/>
      <c r="J34" s="181"/>
      <c r="K34" s="181"/>
      <c r="L34" s="181"/>
    </row>
    <row r="35" spans="1:12" s="182" customFormat="1" x14ac:dyDescent="0.25">
      <c r="A35" s="181"/>
      <c r="B35" s="170"/>
      <c r="C35" s="171"/>
      <c r="D35" s="187"/>
      <c r="E35" s="172"/>
      <c r="F35" s="106"/>
      <c r="G35" s="106"/>
      <c r="H35" s="106"/>
      <c r="I35" s="106"/>
      <c r="J35" s="181"/>
      <c r="K35" s="181"/>
      <c r="L35" s="181"/>
    </row>
    <row r="36" spans="1:12" x14ac:dyDescent="0.25">
      <c r="A36" s="181"/>
      <c r="B36" s="181"/>
      <c r="C36" s="179"/>
      <c r="D36" s="179"/>
      <c r="E36" s="188"/>
      <c r="F36" s="306" t="s">
        <v>258</v>
      </c>
      <c r="G36" s="586">
        <f>SUM(G24:G35)</f>
        <v>0</v>
      </c>
      <c r="H36" s="586">
        <f>SUM(H24:H35)</f>
        <v>0</v>
      </c>
      <c r="I36" s="586">
        <f>SUM(I24:I35)</f>
        <v>0</v>
      </c>
      <c r="J36" s="159"/>
      <c r="K36" s="159"/>
      <c r="L36" s="113"/>
    </row>
    <row r="37" spans="1:12" x14ac:dyDescent="0.25">
      <c r="A37" s="181"/>
      <c r="B37" s="159"/>
      <c r="C37" s="159"/>
      <c r="D37" s="159"/>
      <c r="E37" s="159"/>
      <c r="F37" s="159"/>
      <c r="G37" s="159"/>
      <c r="H37" s="159"/>
      <c r="I37" s="159"/>
      <c r="J37" s="159"/>
      <c r="K37" s="159"/>
      <c r="L37" s="159"/>
    </row>
    <row r="38" spans="1:12" x14ac:dyDescent="0.25">
      <c r="A38" s="181"/>
      <c r="B38" s="742" t="s">
        <v>271</v>
      </c>
      <c r="C38" s="742"/>
      <c r="D38" s="742"/>
      <c r="E38" s="742"/>
      <c r="F38" s="742"/>
      <c r="G38" s="742"/>
      <c r="H38" s="742"/>
      <c r="I38" s="742"/>
      <c r="J38" s="159"/>
      <c r="K38" s="159"/>
      <c r="L38" s="159"/>
    </row>
    <row r="39" spans="1:12" x14ac:dyDescent="0.25">
      <c r="B39" s="189"/>
    </row>
  </sheetData>
  <sheetProtection sheet="1"/>
  <mergeCells count="3">
    <mergeCell ref="B18:I18"/>
    <mergeCell ref="B3:L3"/>
    <mergeCell ref="B38:I38"/>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00B0F0"/>
  </sheetPr>
  <dimension ref="B1:I108"/>
  <sheetViews>
    <sheetView zoomScaleNormal="100" workbookViewId="0">
      <selection activeCell="N33" sqref="N33"/>
    </sheetView>
  </sheetViews>
  <sheetFormatPr defaultRowHeight="15" x14ac:dyDescent="0.2"/>
  <cols>
    <col min="1" max="1" width="2.296875" style="314" customWidth="1"/>
    <col min="2" max="4" width="8.796875" style="314"/>
    <col min="5" max="5" width="8.69921875" style="314" customWidth="1"/>
    <col min="6" max="6" width="8.796875" style="314"/>
    <col min="7" max="7" width="8.69921875" style="314" customWidth="1"/>
    <col min="8" max="16384" width="8.796875" style="314"/>
  </cols>
  <sheetData>
    <row r="1" spans="2:9" ht="15.75" x14ac:dyDescent="0.25">
      <c r="B1" s="313"/>
      <c r="C1" s="313"/>
      <c r="D1" s="313"/>
      <c r="E1" s="313"/>
      <c r="F1" s="313"/>
      <c r="G1" s="313"/>
      <c r="H1" s="313"/>
      <c r="I1" s="313"/>
    </row>
    <row r="2" spans="2:9" ht="15.75" x14ac:dyDescent="0.2">
      <c r="B2" s="745" t="s">
        <v>272</v>
      </c>
      <c r="C2" s="745"/>
      <c r="D2" s="745"/>
      <c r="E2" s="745"/>
      <c r="F2" s="745"/>
      <c r="G2" s="745"/>
      <c r="H2" s="745"/>
      <c r="I2" s="745"/>
    </row>
    <row r="3" spans="2:9" ht="15.75" x14ac:dyDescent="0.2">
      <c r="B3" s="745" t="s">
        <v>273</v>
      </c>
      <c r="C3" s="745"/>
      <c r="D3" s="745"/>
      <c r="E3" s="745"/>
      <c r="F3" s="745"/>
      <c r="G3" s="745"/>
      <c r="H3" s="745"/>
      <c r="I3" s="745"/>
    </row>
    <row r="4" spans="2:9" ht="15.75" x14ac:dyDescent="0.2">
      <c r="B4" s="315"/>
      <c r="C4" s="315"/>
      <c r="D4" s="315"/>
      <c r="E4" s="315"/>
      <c r="F4" s="315"/>
      <c r="G4" s="315"/>
      <c r="H4" s="315"/>
      <c r="I4" s="315"/>
    </row>
    <row r="5" spans="2:9" ht="15.75" x14ac:dyDescent="0.2">
      <c r="B5" s="746" t="str">
        <f>CONCATENATE("Budgeted Year: ",inputPrYr!D10,"")</f>
        <v>Budgeted Year: 2025</v>
      </c>
      <c r="C5" s="746"/>
      <c r="D5" s="746"/>
      <c r="E5" s="746"/>
      <c r="F5" s="746"/>
      <c r="G5" s="746"/>
      <c r="H5" s="746"/>
      <c r="I5" s="746"/>
    </row>
    <row r="6" spans="2:9" ht="15.75" x14ac:dyDescent="0.2">
      <c r="B6" s="316"/>
      <c r="C6" s="315"/>
      <c r="D6" s="315"/>
      <c r="E6" s="315"/>
      <c r="F6" s="315"/>
      <c r="G6" s="315"/>
      <c r="H6" s="315"/>
      <c r="I6" s="315"/>
    </row>
    <row r="7" spans="2:9" ht="15.75" x14ac:dyDescent="0.2">
      <c r="B7" s="316" t="str">
        <f>CONCATENATE("Library found in: ",inputPrYr!D4,"")</f>
        <v xml:space="preserve">Library found in: </v>
      </c>
      <c r="C7" s="315"/>
      <c r="D7" s="315"/>
      <c r="E7" s="315"/>
      <c r="F7" s="315"/>
      <c r="G7" s="315"/>
      <c r="H7" s="315"/>
      <c r="I7" s="315"/>
    </row>
    <row r="8" spans="2:9" ht="15.75" x14ac:dyDescent="0.2">
      <c r="B8" s="316">
        <f>inputPrYr!D5</f>
        <v>0</v>
      </c>
      <c r="C8" s="315"/>
      <c r="D8" s="315"/>
      <c r="E8" s="315"/>
      <c r="F8" s="315"/>
      <c r="G8" s="315"/>
      <c r="H8" s="315"/>
      <c r="I8" s="315"/>
    </row>
    <row r="9" spans="2:9" ht="15.75" x14ac:dyDescent="0.2">
      <c r="B9" s="315"/>
      <c r="C9" s="315"/>
      <c r="D9" s="315"/>
      <c r="E9" s="315"/>
      <c r="F9" s="315"/>
      <c r="G9" s="315"/>
      <c r="H9" s="315"/>
      <c r="I9" s="315"/>
    </row>
    <row r="10" spans="2:9" ht="39" customHeight="1" x14ac:dyDescent="0.2">
      <c r="B10" s="747" t="s">
        <v>274</v>
      </c>
      <c r="C10" s="747"/>
      <c r="D10" s="747"/>
      <c r="E10" s="747"/>
      <c r="F10" s="747"/>
      <c r="G10" s="747"/>
      <c r="H10" s="747"/>
      <c r="I10" s="747"/>
    </row>
    <row r="11" spans="2:9" ht="15.75" x14ac:dyDescent="0.2">
      <c r="B11" s="315"/>
      <c r="C11" s="315"/>
      <c r="D11" s="315"/>
      <c r="E11" s="315"/>
      <c r="F11" s="315"/>
      <c r="G11" s="315"/>
      <c r="H11" s="315"/>
      <c r="I11" s="315"/>
    </row>
    <row r="12" spans="2:9" ht="15.75" x14ac:dyDescent="0.2">
      <c r="B12" s="317" t="s">
        <v>275</v>
      </c>
      <c r="C12" s="315"/>
      <c r="D12" s="315"/>
      <c r="E12" s="315"/>
      <c r="F12" s="315"/>
      <c r="G12" s="315"/>
      <c r="H12" s="315"/>
      <c r="I12" s="315"/>
    </row>
    <row r="13" spans="2:9" ht="15.75" x14ac:dyDescent="0.2">
      <c r="B13" s="315"/>
      <c r="C13" s="315"/>
      <c r="D13" s="315"/>
      <c r="E13" s="318" t="s">
        <v>276</v>
      </c>
      <c r="F13" s="315"/>
      <c r="G13" s="318" t="s">
        <v>277</v>
      </c>
      <c r="H13" s="315"/>
      <c r="I13" s="315"/>
    </row>
    <row r="14" spans="2:9" ht="15.75" x14ac:dyDescent="0.2">
      <c r="B14" s="315"/>
      <c r="C14" s="315"/>
      <c r="D14" s="315"/>
      <c r="E14" s="319">
        <f>inputPrYr!D10-1</f>
        <v>2024</v>
      </c>
      <c r="F14" s="315"/>
      <c r="G14" s="319">
        <f>inputPrYr!D10</f>
        <v>2025</v>
      </c>
      <c r="H14" s="315"/>
      <c r="I14" s="315"/>
    </row>
    <row r="15" spans="2:9" ht="15.75" x14ac:dyDescent="0.2">
      <c r="B15" s="316" t="str">
        <f>'DebtSvs-Library'!B49</f>
        <v>Ad Valorem Tax</v>
      </c>
      <c r="C15" s="315"/>
      <c r="D15" s="315"/>
      <c r="E15" s="320">
        <f>'DebtSvs-Library'!D49</f>
        <v>0</v>
      </c>
      <c r="F15" s="315"/>
      <c r="G15" s="320">
        <f>'DebtSvs-Library'!E82</f>
        <v>0</v>
      </c>
      <c r="H15" s="315"/>
      <c r="I15" s="315"/>
    </row>
    <row r="16" spans="2:9" ht="15.75" x14ac:dyDescent="0.2">
      <c r="B16" s="316" t="str">
        <f>'DebtSvs-Library'!B50</f>
        <v>Delinquent Tax</v>
      </c>
      <c r="C16" s="315"/>
      <c r="D16" s="315"/>
      <c r="E16" s="320">
        <f>'DebtSvs-Library'!D50</f>
        <v>0</v>
      </c>
      <c r="F16" s="315"/>
      <c r="G16" s="320">
        <f>'DebtSvs-Library'!E50</f>
        <v>0</v>
      </c>
      <c r="H16" s="315"/>
      <c r="I16" s="315"/>
    </row>
    <row r="17" spans="2:9" ht="15.75" x14ac:dyDescent="0.2">
      <c r="B17" s="316" t="str">
        <f>'DebtSvs-Library'!B51</f>
        <v>Motor Vehicle Tax</v>
      </c>
      <c r="C17" s="315"/>
      <c r="D17" s="315"/>
      <c r="E17" s="320">
        <f>'DebtSvs-Library'!D51</f>
        <v>0</v>
      </c>
      <c r="F17" s="315"/>
      <c r="G17" s="320">
        <f>'DebtSvs-Library'!E51</f>
        <v>0</v>
      </c>
      <c r="H17" s="315"/>
      <c r="I17" s="315"/>
    </row>
    <row r="18" spans="2:9" ht="15.75" x14ac:dyDescent="0.2">
      <c r="B18" s="316" t="str">
        <f>'DebtSvs-Library'!B52</f>
        <v>Recreational Vehicle Tax</v>
      </c>
      <c r="C18" s="315"/>
      <c r="D18" s="315"/>
      <c r="E18" s="320">
        <f>'DebtSvs-Library'!D52</f>
        <v>0</v>
      </c>
      <c r="F18" s="315"/>
      <c r="G18" s="320">
        <f>'DebtSvs-Library'!E52</f>
        <v>0</v>
      </c>
      <c r="H18" s="315"/>
      <c r="I18" s="315"/>
    </row>
    <row r="19" spans="2:9" ht="15.75" x14ac:dyDescent="0.2">
      <c r="B19" s="316" t="str">
        <f>'DebtSvs-Library'!B53</f>
        <v>16/20M Vehicle Tax</v>
      </c>
      <c r="C19" s="315"/>
      <c r="D19" s="315"/>
      <c r="E19" s="320">
        <f>'DebtSvs-Library'!D53</f>
        <v>0</v>
      </c>
      <c r="F19" s="315"/>
      <c r="G19" s="320">
        <f>'DebtSvs-Library'!E53</f>
        <v>0</v>
      </c>
      <c r="H19" s="315"/>
      <c r="I19" s="315"/>
    </row>
    <row r="20" spans="2:9" ht="15.75" x14ac:dyDescent="0.2">
      <c r="B20" s="315" t="s">
        <v>138</v>
      </c>
      <c r="C20" s="315"/>
      <c r="D20" s="315"/>
      <c r="E20" s="320">
        <v>0</v>
      </c>
      <c r="F20" s="315"/>
      <c r="G20" s="320">
        <v>0</v>
      </c>
      <c r="H20" s="315"/>
      <c r="I20" s="315"/>
    </row>
    <row r="21" spans="2:9" ht="15.75" x14ac:dyDescent="0.2">
      <c r="B21" s="315"/>
      <c r="C21" s="315"/>
      <c r="D21" s="315"/>
      <c r="E21" s="320">
        <v>0</v>
      </c>
      <c r="F21" s="315"/>
      <c r="G21" s="320">
        <v>0</v>
      </c>
      <c r="H21" s="315"/>
      <c r="I21" s="315"/>
    </row>
    <row r="22" spans="2:9" ht="15.75" x14ac:dyDescent="0.2">
      <c r="B22" s="315" t="s">
        <v>278</v>
      </c>
      <c r="C22" s="315"/>
      <c r="D22" s="315"/>
      <c r="E22" s="321">
        <f>SUM(E15:E21)</f>
        <v>0</v>
      </c>
      <c r="F22" s="315"/>
      <c r="G22" s="321">
        <f>SUM(G15:G21)</f>
        <v>0</v>
      </c>
      <c r="H22" s="315"/>
      <c r="I22" s="315"/>
    </row>
    <row r="23" spans="2:9" ht="15.75" x14ac:dyDescent="0.2">
      <c r="B23" s="315" t="s">
        <v>279</v>
      </c>
      <c r="C23" s="315"/>
      <c r="D23" s="315"/>
      <c r="E23" s="322">
        <f>G22-E22</f>
        <v>0</v>
      </c>
      <c r="F23" s="315"/>
      <c r="G23" s="320"/>
      <c r="H23" s="315"/>
      <c r="I23" s="315"/>
    </row>
    <row r="24" spans="2:9" ht="15.75" x14ac:dyDescent="0.2">
      <c r="B24" s="315" t="s">
        <v>280</v>
      </c>
      <c r="C24" s="315"/>
      <c r="D24" s="631" t="str">
        <f>IF((G22-E22)&gt;=0,"Qualify","Not Qualify")</f>
        <v>Qualify</v>
      </c>
      <c r="E24" s="315"/>
      <c r="F24" s="315"/>
      <c r="G24" s="315"/>
      <c r="H24" s="315"/>
      <c r="I24" s="315"/>
    </row>
    <row r="25" spans="2:9" ht="15.75" x14ac:dyDescent="0.2">
      <c r="B25" s="315"/>
      <c r="C25" s="315"/>
      <c r="D25" s="315"/>
      <c r="E25" s="315"/>
      <c r="F25" s="315"/>
      <c r="G25" s="315"/>
      <c r="H25" s="315"/>
      <c r="I25" s="315"/>
    </row>
    <row r="26" spans="2:9" ht="15.75" x14ac:dyDescent="0.2">
      <c r="B26" s="317" t="s">
        <v>281</v>
      </c>
      <c r="C26" s="315"/>
      <c r="D26" s="315"/>
      <c r="E26" s="315"/>
      <c r="F26" s="315"/>
      <c r="G26" s="315"/>
      <c r="H26" s="315"/>
      <c r="I26" s="315"/>
    </row>
    <row r="27" spans="2:9" ht="15.75" x14ac:dyDescent="0.2">
      <c r="B27" s="315" t="s">
        <v>282</v>
      </c>
      <c r="C27" s="315"/>
      <c r="D27" s="315"/>
      <c r="E27" s="320">
        <f>'Budget Hearing Notice'!D42</f>
        <v>0</v>
      </c>
      <c r="F27" s="315"/>
      <c r="G27" s="320">
        <f>'Budget Hearing Notice'!F42</f>
        <v>0</v>
      </c>
      <c r="H27" s="315"/>
      <c r="I27" s="315"/>
    </row>
    <row r="28" spans="2:9" ht="15.75" x14ac:dyDescent="0.2">
      <c r="B28" s="315" t="s">
        <v>283</v>
      </c>
      <c r="C28" s="315"/>
      <c r="D28" s="315"/>
      <c r="E28" s="632" t="str">
        <f>IF(G27-E27&gt;=0,"No","Yes")</f>
        <v>No</v>
      </c>
      <c r="F28" s="315"/>
      <c r="G28" s="315"/>
      <c r="H28" s="315"/>
      <c r="I28" s="315"/>
    </row>
    <row r="29" spans="2:9" ht="15.75" x14ac:dyDescent="0.2">
      <c r="B29" s="315" t="s">
        <v>284</v>
      </c>
      <c r="C29" s="315"/>
      <c r="D29" s="315"/>
      <c r="E29" s="323" t="str">
        <f>'Budget Hearing Notice'!E20</f>
        <v xml:space="preserve">  </v>
      </c>
      <c r="F29" s="315"/>
      <c r="G29" s="323" t="str">
        <f>'Budget Hearing Notice'!H20</f>
        <v xml:space="preserve"> </v>
      </c>
      <c r="H29" s="315"/>
      <c r="I29" s="315"/>
    </row>
    <row r="30" spans="2:9" ht="15.75" x14ac:dyDescent="0.2">
      <c r="B30" s="315" t="s">
        <v>285</v>
      </c>
      <c r="C30" s="315"/>
      <c r="D30" s="315"/>
      <c r="E30" s="633" t="e">
        <f>G29-E29</f>
        <v>#VALUE!</v>
      </c>
      <c r="F30" s="315"/>
      <c r="G30" s="315"/>
      <c r="H30" s="315"/>
      <c r="I30" s="315"/>
    </row>
    <row r="31" spans="2:9" ht="15.75" x14ac:dyDescent="0.2">
      <c r="B31" s="315" t="s">
        <v>280</v>
      </c>
      <c r="C31" s="315"/>
      <c r="D31" s="634" t="e">
        <f>IF(E30&gt;=0,"Qualify","Not Qualify")</f>
        <v>#VALUE!</v>
      </c>
      <c r="E31" s="315"/>
      <c r="F31" s="315"/>
      <c r="G31" s="315"/>
      <c r="H31" s="315"/>
      <c r="I31" s="315"/>
    </row>
    <row r="32" spans="2:9" ht="15.75" x14ac:dyDescent="0.2">
      <c r="B32" s="315"/>
      <c r="C32" s="315"/>
      <c r="D32" s="315"/>
      <c r="E32" s="315"/>
      <c r="F32" s="315"/>
      <c r="G32" s="315"/>
      <c r="H32" s="315"/>
      <c r="I32" s="315"/>
    </row>
    <row r="33" spans="2:9" ht="15.75" x14ac:dyDescent="0.2">
      <c r="B33" s="315" t="s">
        <v>286</v>
      </c>
      <c r="C33" s="315"/>
      <c r="D33" s="315"/>
      <c r="E33" s="315"/>
      <c r="F33" s="635" t="str">
        <f>IF(D24="Not Qualify",IF(D31="Not Qualify",IF(D31="Not Qualify","Not Qualify","Qualify"),"Qualify"),"Qualify")</f>
        <v>Qualify</v>
      </c>
      <c r="G33" s="315"/>
      <c r="H33" s="315"/>
      <c r="I33" s="315"/>
    </row>
    <row r="34" spans="2:9" ht="15.75" x14ac:dyDescent="0.2">
      <c r="B34" s="315"/>
      <c r="C34" s="315"/>
      <c r="D34" s="315"/>
      <c r="E34" s="315"/>
      <c r="F34" s="315"/>
      <c r="G34" s="315"/>
      <c r="H34" s="315"/>
      <c r="I34" s="315"/>
    </row>
    <row r="35" spans="2:9" ht="15.75" x14ac:dyDescent="0.2">
      <c r="B35" s="315"/>
      <c r="C35" s="315"/>
      <c r="D35" s="315"/>
      <c r="E35" s="315"/>
      <c r="F35" s="315"/>
      <c r="G35" s="315"/>
      <c r="H35" s="315"/>
      <c r="I35" s="315"/>
    </row>
    <row r="36" spans="2:9" ht="37.5" customHeight="1" x14ac:dyDescent="0.2">
      <c r="B36" s="747" t="s">
        <v>287</v>
      </c>
      <c r="C36" s="747"/>
      <c r="D36" s="747"/>
      <c r="E36" s="747"/>
      <c r="F36" s="747"/>
      <c r="G36" s="747"/>
      <c r="H36" s="747"/>
      <c r="I36" s="747"/>
    </row>
    <row r="37" spans="2:9" ht="15.75" x14ac:dyDescent="0.2">
      <c r="B37" s="315"/>
      <c r="C37" s="315"/>
      <c r="D37" s="315"/>
      <c r="E37" s="315"/>
      <c r="F37" s="315"/>
      <c r="G37" s="315"/>
      <c r="H37" s="315"/>
      <c r="I37" s="315"/>
    </row>
    <row r="38" spans="2:9" ht="15.75" x14ac:dyDescent="0.2">
      <c r="B38" s="315"/>
      <c r="C38" s="315"/>
      <c r="D38" s="315"/>
      <c r="E38" s="315"/>
      <c r="F38" s="315"/>
      <c r="G38" s="315"/>
      <c r="H38" s="315"/>
      <c r="I38" s="315"/>
    </row>
    <row r="39" spans="2:9" ht="15.75" x14ac:dyDescent="0.2">
      <c r="B39" s="315"/>
      <c r="C39" s="315"/>
      <c r="D39" s="315"/>
      <c r="E39" s="315"/>
      <c r="F39" s="315"/>
      <c r="G39" s="315"/>
      <c r="H39" s="315"/>
      <c r="I39" s="315"/>
    </row>
    <row r="40" spans="2:9" ht="15.75" x14ac:dyDescent="0.2">
      <c r="B40" s="315"/>
      <c r="C40" s="315"/>
      <c r="D40" s="315"/>
      <c r="E40" s="324" t="s">
        <v>288</v>
      </c>
      <c r="F40" s="325">
        <v>5</v>
      </c>
      <c r="G40" s="315"/>
      <c r="H40" s="315"/>
      <c r="I40" s="315"/>
    </row>
    <row r="41" spans="2:9" ht="15.75" x14ac:dyDescent="0.2">
      <c r="B41" s="315"/>
      <c r="C41" s="315"/>
      <c r="D41" s="315"/>
      <c r="E41" s="315"/>
      <c r="F41" s="315"/>
      <c r="G41" s="315"/>
      <c r="H41" s="315"/>
      <c r="I41" s="315"/>
    </row>
    <row r="42" spans="2:9" ht="15.75" x14ac:dyDescent="0.2">
      <c r="B42" s="315"/>
      <c r="C42" s="315"/>
      <c r="D42" s="315"/>
      <c r="E42" s="315"/>
      <c r="F42" s="315"/>
      <c r="G42" s="315"/>
      <c r="H42" s="315"/>
      <c r="I42" s="315"/>
    </row>
    <row r="43" spans="2:9" ht="15.75" x14ac:dyDescent="0.25">
      <c r="B43" s="743" t="s">
        <v>289</v>
      </c>
      <c r="C43" s="744"/>
      <c r="D43" s="744"/>
      <c r="E43" s="744"/>
      <c r="F43" s="744"/>
      <c r="G43" s="744"/>
      <c r="H43" s="744"/>
      <c r="I43" s="744"/>
    </row>
    <row r="44" spans="2:9" ht="15.75" x14ac:dyDescent="0.2">
      <c r="B44" s="315"/>
      <c r="C44" s="315"/>
      <c r="D44" s="315"/>
      <c r="E44" s="315"/>
      <c r="F44" s="315"/>
      <c r="G44" s="315"/>
      <c r="H44" s="315"/>
      <c r="I44" s="315"/>
    </row>
    <row r="45" spans="2:9" ht="15.75" x14ac:dyDescent="0.25">
      <c r="B45" s="326" t="s">
        <v>290</v>
      </c>
      <c r="C45" s="315"/>
      <c r="D45" s="315"/>
      <c r="E45" s="315"/>
      <c r="F45" s="315"/>
      <c r="G45" s="315"/>
      <c r="H45" s="315"/>
      <c r="I45" s="315"/>
    </row>
    <row r="46" spans="2:9" ht="15.75" x14ac:dyDescent="0.25">
      <c r="B46" s="326" t="str">
        <f>CONCATENATE("sources in your ",G14," library fund is not equal to or greater than the amount from the same")</f>
        <v>sources in your 2025 library fund is not equal to or greater than the amount from the same</v>
      </c>
      <c r="C46" s="315"/>
      <c r="D46" s="315"/>
      <c r="E46" s="315"/>
      <c r="F46" s="315"/>
      <c r="G46" s="315"/>
      <c r="H46" s="315"/>
      <c r="I46" s="315"/>
    </row>
    <row r="47" spans="2:9" ht="15.75" x14ac:dyDescent="0.25">
      <c r="B47" s="326" t="str">
        <f>CONCATENATE("sources in ",E14,".")</f>
        <v>sources in 2024.</v>
      </c>
      <c r="C47" s="313"/>
      <c r="D47" s="313"/>
      <c r="E47" s="313"/>
      <c r="F47" s="313"/>
      <c r="G47" s="313"/>
      <c r="H47" s="313"/>
      <c r="I47" s="313"/>
    </row>
    <row r="48" spans="2:9" ht="15.75" x14ac:dyDescent="0.25">
      <c r="B48" s="313"/>
      <c r="C48" s="313"/>
      <c r="D48" s="313"/>
      <c r="E48" s="313"/>
      <c r="F48" s="313"/>
      <c r="G48" s="313"/>
      <c r="H48" s="313"/>
      <c r="I48" s="313"/>
    </row>
    <row r="49" spans="2:9" ht="15.75" x14ac:dyDescent="0.25">
      <c r="B49" s="326" t="s">
        <v>291</v>
      </c>
      <c r="C49" s="326"/>
      <c r="D49" s="327"/>
      <c r="E49" s="327"/>
      <c r="F49" s="327"/>
      <c r="G49" s="327"/>
      <c r="H49" s="327"/>
      <c r="I49" s="327"/>
    </row>
    <row r="50" spans="2:9" ht="15.75" x14ac:dyDescent="0.25">
      <c r="B50" s="326" t="s">
        <v>292</v>
      </c>
      <c r="C50" s="326"/>
      <c r="D50" s="327"/>
      <c r="E50" s="327"/>
      <c r="F50" s="327"/>
      <c r="G50" s="327"/>
      <c r="H50" s="327"/>
      <c r="I50" s="327"/>
    </row>
    <row r="51" spans="2:9" ht="15.75" x14ac:dyDescent="0.25">
      <c r="B51" s="326" t="s">
        <v>293</v>
      </c>
      <c r="C51" s="326"/>
      <c r="D51" s="327"/>
      <c r="E51" s="327"/>
      <c r="F51" s="327"/>
      <c r="G51" s="327"/>
      <c r="H51" s="327"/>
      <c r="I51" s="327"/>
    </row>
    <row r="52" spans="2:9" x14ac:dyDescent="0.2">
      <c r="B52" s="327"/>
      <c r="C52" s="327"/>
      <c r="D52" s="327"/>
      <c r="E52" s="327"/>
      <c r="F52" s="327"/>
      <c r="G52" s="327"/>
      <c r="H52" s="327"/>
      <c r="I52" s="327"/>
    </row>
    <row r="53" spans="2:9" ht="15.75" x14ac:dyDescent="0.25">
      <c r="B53" s="328" t="s">
        <v>294</v>
      </c>
      <c r="C53" s="327"/>
      <c r="D53" s="327"/>
      <c r="E53" s="327"/>
      <c r="F53" s="327"/>
      <c r="G53" s="327"/>
      <c r="H53" s="327"/>
      <c r="I53" s="327"/>
    </row>
    <row r="54" spans="2:9" x14ac:dyDescent="0.2">
      <c r="B54" s="327"/>
      <c r="C54" s="327"/>
      <c r="D54" s="327"/>
      <c r="E54" s="327"/>
      <c r="F54" s="327"/>
      <c r="G54" s="327"/>
      <c r="H54" s="327"/>
      <c r="I54" s="327"/>
    </row>
    <row r="55" spans="2:9" ht="15.75" x14ac:dyDescent="0.25">
      <c r="B55" s="326" t="s">
        <v>295</v>
      </c>
      <c r="C55" s="327"/>
      <c r="D55" s="327"/>
      <c r="E55" s="327"/>
      <c r="F55" s="327"/>
      <c r="G55" s="327"/>
      <c r="H55" s="327"/>
      <c r="I55" s="327"/>
    </row>
    <row r="56" spans="2:9" ht="15.75" x14ac:dyDescent="0.25">
      <c r="B56" s="326" t="s">
        <v>296</v>
      </c>
      <c r="C56" s="327"/>
      <c r="D56" s="327"/>
      <c r="E56" s="327"/>
      <c r="F56" s="327"/>
      <c r="G56" s="327"/>
      <c r="H56" s="327"/>
      <c r="I56" s="327"/>
    </row>
    <row r="57" spans="2:9" x14ac:dyDescent="0.2">
      <c r="B57" s="327"/>
      <c r="C57" s="327"/>
      <c r="D57" s="327"/>
      <c r="E57" s="327"/>
      <c r="F57" s="327"/>
      <c r="G57" s="327"/>
      <c r="H57" s="327"/>
      <c r="I57" s="327"/>
    </row>
    <row r="58" spans="2:9" ht="15.75" x14ac:dyDescent="0.25">
      <c r="B58" s="328" t="s">
        <v>297</v>
      </c>
      <c r="C58" s="326"/>
      <c r="D58" s="326"/>
      <c r="E58" s="326"/>
      <c r="F58" s="326"/>
      <c r="G58" s="327"/>
      <c r="H58" s="327"/>
      <c r="I58" s="327"/>
    </row>
    <row r="59" spans="2:9" ht="15.75" x14ac:dyDescent="0.25">
      <c r="B59" s="326"/>
      <c r="C59" s="326"/>
      <c r="D59" s="326"/>
      <c r="E59" s="326"/>
      <c r="F59" s="326"/>
      <c r="G59" s="327"/>
      <c r="H59" s="327"/>
      <c r="I59" s="327"/>
    </row>
    <row r="60" spans="2:9" ht="15.75" x14ac:dyDescent="0.25">
      <c r="B60" s="326" t="s">
        <v>298</v>
      </c>
      <c r="C60" s="326"/>
      <c r="D60" s="326"/>
      <c r="E60" s="326"/>
      <c r="F60" s="326"/>
      <c r="G60" s="327"/>
      <c r="H60" s="327"/>
      <c r="I60" s="327"/>
    </row>
    <row r="61" spans="2:9" ht="15.75" x14ac:dyDescent="0.25">
      <c r="B61" s="326" t="s">
        <v>299</v>
      </c>
      <c r="C61" s="326"/>
      <c r="D61" s="326"/>
      <c r="E61" s="326"/>
      <c r="F61" s="326"/>
      <c r="G61" s="327"/>
      <c r="H61" s="327"/>
      <c r="I61" s="327"/>
    </row>
    <row r="62" spans="2:9" ht="15.75" x14ac:dyDescent="0.25">
      <c r="B62" s="326" t="s">
        <v>300</v>
      </c>
      <c r="C62" s="326"/>
      <c r="D62" s="326"/>
      <c r="E62" s="326"/>
      <c r="F62" s="326"/>
      <c r="G62" s="327"/>
      <c r="H62" s="327"/>
      <c r="I62" s="327"/>
    </row>
    <row r="63" spans="2:9" ht="15.75" x14ac:dyDescent="0.25">
      <c r="B63" s="326" t="s">
        <v>301</v>
      </c>
      <c r="C63" s="326"/>
      <c r="D63" s="326"/>
      <c r="E63" s="326"/>
      <c r="F63" s="326"/>
      <c r="G63" s="327"/>
      <c r="H63" s="327"/>
      <c r="I63" s="327"/>
    </row>
    <row r="64" spans="2:9" x14ac:dyDescent="0.2">
      <c r="B64" s="329"/>
      <c r="C64" s="329"/>
      <c r="D64" s="329"/>
      <c r="E64" s="329"/>
      <c r="F64" s="329"/>
      <c r="G64" s="327"/>
      <c r="H64" s="327"/>
      <c r="I64" s="327"/>
    </row>
    <row r="65" spans="2:9" ht="15.75" x14ac:dyDescent="0.25">
      <c r="B65" s="326" t="s">
        <v>302</v>
      </c>
      <c r="C65" s="329"/>
      <c r="D65" s="329"/>
      <c r="E65" s="329"/>
      <c r="F65" s="329"/>
      <c r="G65" s="327"/>
      <c r="H65" s="327"/>
      <c r="I65" s="327"/>
    </row>
    <row r="66" spans="2:9" ht="15.75" x14ac:dyDescent="0.25">
      <c r="B66" s="326" t="s">
        <v>303</v>
      </c>
      <c r="C66" s="329"/>
      <c r="D66" s="329"/>
      <c r="E66" s="329"/>
      <c r="F66" s="329"/>
      <c r="G66" s="327"/>
      <c r="H66" s="327"/>
      <c r="I66" s="327"/>
    </row>
    <row r="67" spans="2:9" x14ac:dyDescent="0.2">
      <c r="B67" s="329"/>
      <c r="C67" s="329"/>
      <c r="D67" s="329"/>
      <c r="E67" s="329"/>
      <c r="F67" s="329"/>
      <c r="G67" s="327"/>
      <c r="H67" s="327"/>
      <c r="I67" s="327"/>
    </row>
    <row r="68" spans="2:9" ht="15.75" x14ac:dyDescent="0.25">
      <c r="B68" s="326" t="s">
        <v>304</v>
      </c>
      <c r="C68" s="329"/>
      <c r="D68" s="329"/>
      <c r="E68" s="329"/>
      <c r="F68" s="329"/>
      <c r="G68" s="327"/>
      <c r="H68" s="327"/>
      <c r="I68" s="327"/>
    </row>
    <row r="69" spans="2:9" ht="15.75" x14ac:dyDescent="0.25">
      <c r="B69" s="326" t="s">
        <v>305</v>
      </c>
      <c r="C69" s="329"/>
      <c r="D69" s="329"/>
      <c r="E69" s="329"/>
      <c r="F69" s="329"/>
      <c r="G69" s="327"/>
      <c r="H69" s="327"/>
      <c r="I69" s="327"/>
    </row>
    <row r="70" spans="2:9" x14ac:dyDescent="0.2">
      <c r="B70" s="329"/>
      <c r="C70" s="329"/>
      <c r="D70" s="329"/>
      <c r="E70" s="329"/>
      <c r="F70" s="329"/>
      <c r="G70" s="327"/>
      <c r="H70" s="327"/>
      <c r="I70" s="327"/>
    </row>
    <row r="71" spans="2:9" ht="15.75" x14ac:dyDescent="0.25">
      <c r="B71" s="328" t="s">
        <v>306</v>
      </c>
      <c r="C71" s="329"/>
      <c r="D71" s="329"/>
      <c r="E71" s="329"/>
      <c r="F71" s="329"/>
      <c r="G71" s="327"/>
      <c r="H71" s="327"/>
      <c r="I71" s="327"/>
    </row>
    <row r="72" spans="2:9" x14ac:dyDescent="0.2">
      <c r="B72" s="329"/>
      <c r="C72" s="329"/>
      <c r="D72" s="329"/>
      <c r="E72" s="329"/>
      <c r="F72" s="329"/>
      <c r="G72" s="327"/>
      <c r="H72" s="327"/>
      <c r="I72" s="327"/>
    </row>
    <row r="73" spans="2:9" ht="15.75" x14ac:dyDescent="0.25">
      <c r="B73" s="326" t="s">
        <v>307</v>
      </c>
      <c r="C73" s="329"/>
      <c r="D73" s="329"/>
      <c r="E73" s="329"/>
      <c r="F73" s="329"/>
      <c r="G73" s="327"/>
      <c r="H73" s="327"/>
      <c r="I73" s="327"/>
    </row>
    <row r="74" spans="2:9" ht="15.75" x14ac:dyDescent="0.25">
      <c r="B74" s="326" t="s">
        <v>308</v>
      </c>
      <c r="C74" s="329"/>
      <c r="D74" s="329"/>
      <c r="E74" s="329"/>
      <c r="F74" s="329"/>
      <c r="G74" s="327"/>
      <c r="H74" s="327"/>
      <c r="I74" s="327"/>
    </row>
    <row r="75" spans="2:9" x14ac:dyDescent="0.2">
      <c r="B75" s="329"/>
      <c r="C75" s="329"/>
      <c r="D75" s="329"/>
      <c r="E75" s="329"/>
      <c r="F75" s="329"/>
      <c r="G75" s="327"/>
      <c r="H75" s="327"/>
      <c r="I75" s="327"/>
    </row>
    <row r="76" spans="2:9" ht="15.75" x14ac:dyDescent="0.25">
      <c r="B76" s="328" t="s">
        <v>309</v>
      </c>
      <c r="C76" s="329"/>
      <c r="D76" s="329"/>
      <c r="E76" s="329"/>
      <c r="F76" s="329"/>
      <c r="G76" s="327"/>
      <c r="H76" s="327"/>
      <c r="I76" s="327"/>
    </row>
    <row r="77" spans="2:9" x14ac:dyDescent="0.2">
      <c r="B77" s="329"/>
      <c r="C77" s="329"/>
      <c r="D77" s="329"/>
      <c r="E77" s="329"/>
      <c r="F77" s="329"/>
      <c r="G77" s="327"/>
      <c r="H77" s="327"/>
      <c r="I77" s="327"/>
    </row>
    <row r="78" spans="2:9" ht="15.75" x14ac:dyDescent="0.25">
      <c r="B78" s="326" t="str">
        <f>CONCATENATE("If the ",G14," municipal budget has not been published and has not been submitted to the County")</f>
        <v>If the 2025 municipal budget has not been published and has not been submitted to the County</v>
      </c>
      <c r="C78" s="329"/>
      <c r="D78" s="329"/>
      <c r="E78" s="329"/>
      <c r="F78" s="329"/>
      <c r="G78" s="327"/>
      <c r="H78" s="327"/>
      <c r="I78" s="327"/>
    </row>
    <row r="79" spans="2:9" ht="15.75" x14ac:dyDescent="0.25">
      <c r="B79" s="326" t="s">
        <v>310</v>
      </c>
      <c r="C79" s="329"/>
      <c r="D79" s="329"/>
      <c r="E79" s="329"/>
      <c r="F79" s="329"/>
      <c r="G79" s="327"/>
      <c r="H79" s="327"/>
      <c r="I79" s="327"/>
    </row>
    <row r="80" spans="2:9" x14ac:dyDescent="0.2">
      <c r="B80" s="329"/>
      <c r="C80" s="329"/>
      <c r="D80" s="329"/>
      <c r="E80" s="329"/>
      <c r="F80" s="329"/>
      <c r="G80" s="327"/>
      <c r="H80" s="327"/>
      <c r="I80" s="327"/>
    </row>
    <row r="81" spans="2:9" ht="15.75" x14ac:dyDescent="0.25">
      <c r="B81" s="328" t="s">
        <v>311</v>
      </c>
      <c r="C81" s="329"/>
      <c r="D81" s="329"/>
      <c r="E81" s="329"/>
      <c r="F81" s="329"/>
      <c r="G81" s="327"/>
      <c r="H81" s="327"/>
      <c r="I81" s="327"/>
    </row>
    <row r="82" spans="2:9" x14ac:dyDescent="0.2">
      <c r="B82" s="329"/>
      <c r="C82" s="329"/>
      <c r="D82" s="329"/>
      <c r="E82" s="329"/>
      <c r="F82" s="329"/>
      <c r="G82" s="327"/>
      <c r="H82" s="327"/>
      <c r="I82" s="327"/>
    </row>
    <row r="83" spans="2:9" ht="15.75" x14ac:dyDescent="0.25">
      <c r="B83" s="326" t="s">
        <v>312</v>
      </c>
      <c r="C83" s="329"/>
      <c r="D83" s="329"/>
      <c r="E83" s="329"/>
      <c r="F83" s="329"/>
      <c r="G83" s="327"/>
      <c r="H83" s="327"/>
      <c r="I83" s="327"/>
    </row>
    <row r="84" spans="2:9" ht="15.75" x14ac:dyDescent="0.25">
      <c r="B84" s="326" t="str">
        <f>CONCATENATE("Budget Year ",G14," is equal to or greater than that for Current Year Estimate ",E14,".")</f>
        <v>Budget Year 2025 is equal to or greater than that for Current Year Estimate 2024.</v>
      </c>
      <c r="C84" s="329"/>
      <c r="D84" s="329"/>
      <c r="E84" s="329"/>
      <c r="F84" s="329"/>
      <c r="G84" s="327"/>
      <c r="H84" s="327"/>
      <c r="I84" s="327"/>
    </row>
    <row r="85" spans="2:9" x14ac:dyDescent="0.2">
      <c r="B85" s="329"/>
      <c r="C85" s="329"/>
      <c r="D85" s="329"/>
      <c r="E85" s="329"/>
      <c r="F85" s="329"/>
      <c r="G85" s="327"/>
      <c r="H85" s="327"/>
      <c r="I85" s="327"/>
    </row>
    <row r="86" spans="2:9" ht="15.75" x14ac:dyDescent="0.25">
      <c r="B86" s="326" t="s">
        <v>313</v>
      </c>
      <c r="C86" s="329"/>
      <c r="D86" s="329"/>
      <c r="E86" s="329"/>
      <c r="F86" s="329"/>
      <c r="G86" s="327"/>
      <c r="H86" s="327"/>
      <c r="I86" s="327"/>
    </row>
    <row r="87" spans="2:9" ht="15.75" x14ac:dyDescent="0.25">
      <c r="B87" s="326" t="s">
        <v>314</v>
      </c>
      <c r="C87" s="329"/>
      <c r="D87" s="329"/>
      <c r="E87" s="329"/>
      <c r="F87" s="329"/>
      <c r="G87" s="327"/>
      <c r="H87" s="327"/>
      <c r="I87" s="327"/>
    </row>
    <row r="88" spans="2:9" ht="15.75" x14ac:dyDescent="0.25">
      <c r="B88" s="326" t="s">
        <v>315</v>
      </c>
      <c r="C88" s="329"/>
      <c r="D88" s="329"/>
      <c r="E88" s="329"/>
      <c r="F88" s="329"/>
      <c r="G88" s="327"/>
      <c r="H88" s="327"/>
      <c r="I88" s="327"/>
    </row>
    <row r="89" spans="2:9" ht="15.75" x14ac:dyDescent="0.25">
      <c r="B89" s="326" t="str">
        <f>CONCATENATE("purpose for the previous (",E14,") year.")</f>
        <v>purpose for the previous (2024) year.</v>
      </c>
      <c r="C89" s="329"/>
      <c r="D89" s="329"/>
      <c r="E89" s="329"/>
      <c r="F89" s="329"/>
      <c r="G89" s="327"/>
      <c r="H89" s="327"/>
      <c r="I89" s="327"/>
    </row>
    <row r="90" spans="2:9" x14ac:dyDescent="0.2">
      <c r="B90" s="329"/>
      <c r="C90" s="329"/>
      <c r="D90" s="329"/>
      <c r="E90" s="329"/>
      <c r="F90" s="329"/>
      <c r="G90" s="327"/>
      <c r="H90" s="327"/>
      <c r="I90" s="327"/>
    </row>
    <row r="91" spans="2:9" ht="15.75" x14ac:dyDescent="0.25">
      <c r="B91" s="326" t="str">
        <f>CONCATENATE("Next, look to see if delinquent tax for ",G14," is budgeted. Often this line is budgeted at $0 or left")</f>
        <v>Next, look to see if delinquent tax for 2025 is budgeted. Often this line is budgeted at $0 or left</v>
      </c>
      <c r="C91" s="329"/>
      <c r="D91" s="329"/>
      <c r="E91" s="329"/>
      <c r="F91" s="329"/>
      <c r="G91" s="327"/>
      <c r="H91" s="327"/>
      <c r="I91" s="327"/>
    </row>
    <row r="92" spans="2:9" ht="15.75" x14ac:dyDescent="0.25">
      <c r="B92" s="326" t="s">
        <v>316</v>
      </c>
      <c r="C92" s="329"/>
      <c r="D92" s="329"/>
      <c r="E92" s="329"/>
      <c r="F92" s="329"/>
      <c r="G92" s="327"/>
      <c r="H92" s="327"/>
      <c r="I92" s="327"/>
    </row>
    <row r="93" spans="2:9" ht="15.75" x14ac:dyDescent="0.25">
      <c r="B93" s="326" t="s">
        <v>317</v>
      </c>
      <c r="C93" s="329"/>
      <c r="D93" s="329"/>
      <c r="E93" s="329"/>
      <c r="F93" s="329"/>
      <c r="G93" s="327"/>
      <c r="H93" s="327"/>
      <c r="I93" s="327"/>
    </row>
    <row r="94" spans="2:9" ht="15.75" x14ac:dyDescent="0.25">
      <c r="B94" s="326" t="s">
        <v>318</v>
      </c>
      <c r="C94" s="329"/>
      <c r="D94" s="329"/>
      <c r="E94" s="329"/>
      <c r="F94" s="329"/>
      <c r="G94" s="327"/>
      <c r="H94" s="327"/>
      <c r="I94" s="327"/>
    </row>
    <row r="95" spans="2:9" x14ac:dyDescent="0.2">
      <c r="B95" s="329"/>
      <c r="C95" s="329"/>
      <c r="D95" s="329"/>
      <c r="E95" s="329"/>
      <c r="F95" s="329"/>
      <c r="G95" s="327"/>
      <c r="H95" s="327"/>
      <c r="I95" s="327"/>
    </row>
    <row r="96" spans="2:9" ht="15.75" x14ac:dyDescent="0.25">
      <c r="B96" s="328" t="s">
        <v>319</v>
      </c>
      <c r="C96" s="329"/>
      <c r="D96" s="329"/>
      <c r="E96" s="329"/>
      <c r="F96" s="329"/>
      <c r="G96" s="327"/>
      <c r="H96" s="327"/>
      <c r="I96" s="327"/>
    </row>
    <row r="97" spans="2:9" x14ac:dyDescent="0.2">
      <c r="B97" s="329"/>
      <c r="C97" s="329"/>
      <c r="D97" s="329"/>
      <c r="E97" s="329"/>
      <c r="F97" s="329"/>
      <c r="G97" s="327"/>
      <c r="H97" s="327"/>
      <c r="I97" s="327"/>
    </row>
    <row r="98" spans="2:9" ht="15.75" x14ac:dyDescent="0.25">
      <c r="B98" s="326" t="s">
        <v>320</v>
      </c>
      <c r="C98" s="329"/>
      <c r="D98" s="329"/>
      <c r="E98" s="329"/>
      <c r="F98" s="329"/>
      <c r="G98" s="327"/>
      <c r="H98" s="327"/>
      <c r="I98" s="327"/>
    </row>
    <row r="99" spans="2:9" ht="15.75" x14ac:dyDescent="0.25">
      <c r="B99" s="326" t="s">
        <v>321</v>
      </c>
      <c r="C99" s="329"/>
      <c r="D99" s="329"/>
      <c r="E99" s="329"/>
      <c r="F99" s="329"/>
      <c r="G99" s="327"/>
      <c r="H99" s="327"/>
      <c r="I99" s="327"/>
    </row>
    <row r="100" spans="2:9" x14ac:dyDescent="0.2">
      <c r="B100" s="329"/>
      <c r="C100" s="329"/>
      <c r="D100" s="329"/>
      <c r="E100" s="329"/>
      <c r="F100" s="329"/>
      <c r="G100" s="327"/>
      <c r="H100" s="327"/>
      <c r="I100" s="327"/>
    </row>
    <row r="101" spans="2:9" ht="15.75" x14ac:dyDescent="0.25">
      <c r="B101" s="326" t="s">
        <v>322</v>
      </c>
      <c r="C101" s="329"/>
      <c r="D101" s="329"/>
      <c r="E101" s="329"/>
      <c r="F101" s="329"/>
      <c r="G101" s="327"/>
      <c r="H101" s="327"/>
      <c r="I101" s="327"/>
    </row>
    <row r="102" spans="2:9" ht="15.75" x14ac:dyDescent="0.25">
      <c r="B102" s="326" t="s">
        <v>323</v>
      </c>
      <c r="C102" s="329"/>
      <c r="D102" s="329"/>
      <c r="E102" s="329"/>
      <c r="F102" s="329"/>
      <c r="G102" s="327"/>
      <c r="H102" s="327"/>
      <c r="I102" s="327"/>
    </row>
    <row r="103" spans="2:9" ht="15.75" x14ac:dyDescent="0.25">
      <c r="B103" s="326" t="s">
        <v>324</v>
      </c>
      <c r="C103" s="329"/>
      <c r="D103" s="329"/>
      <c r="E103" s="329"/>
      <c r="F103" s="329"/>
      <c r="G103" s="327"/>
      <c r="H103" s="327"/>
      <c r="I103" s="327"/>
    </row>
    <row r="104" spans="2:9" ht="15.75" x14ac:dyDescent="0.25">
      <c r="B104" s="326" t="s">
        <v>325</v>
      </c>
      <c r="C104" s="329"/>
      <c r="D104" s="329"/>
      <c r="E104" s="329"/>
      <c r="F104" s="329"/>
      <c r="G104" s="327"/>
      <c r="H104" s="327"/>
      <c r="I104" s="327"/>
    </row>
    <row r="105" spans="2:9" ht="15.75" x14ac:dyDescent="0.25">
      <c r="B105" s="461" t="s">
        <v>326</v>
      </c>
      <c r="C105" s="418"/>
      <c r="D105" s="418"/>
      <c r="E105" s="418"/>
      <c r="F105" s="418"/>
      <c r="G105" s="327"/>
      <c r="H105" s="327"/>
      <c r="I105" s="327"/>
    </row>
    <row r="108" spans="2:9" x14ac:dyDescent="0.2">
      <c r="G108" s="330"/>
    </row>
  </sheetData>
  <sheetProtection sheet="1" objects="1" scenarios="1"/>
  <mergeCells count="6">
    <mergeCell ref="B43:I43"/>
    <mergeCell ref="B2:I2"/>
    <mergeCell ref="B3:I3"/>
    <mergeCell ref="B5:I5"/>
    <mergeCell ref="B10:I10"/>
    <mergeCell ref="B36:I36"/>
  </mergeCells>
  <hyperlinks>
    <hyperlink ref="B105" r:id="rId1" xr:uid="{00000000-0004-0000-0A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pageSetUpPr fitToPage="1"/>
  </sheetPr>
  <dimension ref="B1:K77"/>
  <sheetViews>
    <sheetView workbookViewId="0">
      <selection activeCell="B15" sqref="B15:E15"/>
    </sheetView>
  </sheetViews>
  <sheetFormatPr defaultRowHeight="15.75" x14ac:dyDescent="0.25"/>
  <cols>
    <col min="1" max="1" width="2.3984375" style="99" customWidth="1"/>
    <col min="2" max="2" width="31" style="99" customWidth="1"/>
    <col min="3" max="4" width="15.69921875" style="99" customWidth="1"/>
    <col min="5" max="5" width="13.69921875" style="99" customWidth="1"/>
    <col min="6" max="6" width="8.796875" style="99"/>
    <col min="7" max="7" width="7" style="99" customWidth="1"/>
    <col min="8" max="8" width="8.796875" style="99"/>
    <col min="9" max="9" width="6.5" style="99" customWidth="1"/>
    <col min="10" max="10" width="9.09765625" style="99" customWidth="1"/>
    <col min="11" max="16384" width="8.796875" style="99"/>
  </cols>
  <sheetData>
    <row r="1" spans="2:5" x14ac:dyDescent="0.25">
      <c r="B1" s="72">
        <f>inputPrYr!D4</f>
        <v>0</v>
      </c>
      <c r="C1" s="35"/>
      <c r="D1" s="35"/>
      <c r="E1" s="140">
        <f>inputPrYr!D10</f>
        <v>2025</v>
      </c>
    </row>
    <row r="2" spans="2:5" x14ac:dyDescent="0.25">
      <c r="B2" s="288" t="s">
        <v>327</v>
      </c>
      <c r="C2" s="35"/>
      <c r="D2" s="35"/>
      <c r="E2" s="190"/>
    </row>
    <row r="3" spans="2:5" x14ac:dyDescent="0.25">
      <c r="B3" s="35"/>
      <c r="C3" s="42"/>
      <c r="D3" s="42"/>
      <c r="E3" s="191"/>
    </row>
    <row r="4" spans="2:5" x14ac:dyDescent="0.25">
      <c r="B4" s="39" t="s">
        <v>328</v>
      </c>
      <c r="C4" s="238" t="s">
        <v>329</v>
      </c>
      <c r="D4" s="241" t="s">
        <v>276</v>
      </c>
      <c r="E4" s="625" t="s">
        <v>330</v>
      </c>
    </row>
    <row r="5" spans="2:5" x14ac:dyDescent="0.25">
      <c r="B5" s="246" t="str">
        <f>inputPrYr!B21</f>
        <v>General</v>
      </c>
      <c r="C5" s="239" t="str">
        <f>CONCATENATE("Actual for ",$E$1-2,"")</f>
        <v>Actual for 2023</v>
      </c>
      <c r="D5" s="239" t="str">
        <f>CONCATENATE("Estimate for ",$E$1-1,"")</f>
        <v>Estimate for 2024</v>
      </c>
      <c r="E5" s="626" t="str">
        <f>CONCATENATE("Year for ",$E$1,"")</f>
        <v>Year for 2025</v>
      </c>
    </row>
    <row r="6" spans="2:5" x14ac:dyDescent="0.25">
      <c r="B6" s="43" t="s">
        <v>331</v>
      </c>
      <c r="C6" s="192"/>
      <c r="D6" s="240">
        <f>C50</f>
        <v>0</v>
      </c>
      <c r="E6" s="157">
        <f>D50</f>
        <v>0</v>
      </c>
    </row>
    <row r="7" spans="2:5" x14ac:dyDescent="0.25">
      <c r="B7" s="43" t="s">
        <v>332</v>
      </c>
      <c r="C7" s="240"/>
      <c r="D7" s="240"/>
      <c r="E7" s="194"/>
    </row>
    <row r="8" spans="2:5" x14ac:dyDescent="0.25">
      <c r="B8" s="43" t="s">
        <v>96</v>
      </c>
      <c r="C8" s="192"/>
      <c r="D8" s="240">
        <f>IF(inputPrYr!H22&gt;0,inputPrYr!G23,inputPrYr!E21)</f>
        <v>0</v>
      </c>
      <c r="E8" s="194" t="s">
        <v>185</v>
      </c>
    </row>
    <row r="9" spans="2:5" x14ac:dyDescent="0.25">
      <c r="B9" s="43" t="s">
        <v>333</v>
      </c>
      <c r="C9" s="192"/>
      <c r="D9" s="192"/>
      <c r="E9" s="106"/>
    </row>
    <row r="10" spans="2:5" x14ac:dyDescent="0.25">
      <c r="B10" s="43" t="s">
        <v>334</v>
      </c>
      <c r="C10" s="192"/>
      <c r="D10" s="192"/>
      <c r="E10" s="157">
        <f>Mvalloc!D11+Mvalloc!E11</f>
        <v>0</v>
      </c>
    </row>
    <row r="11" spans="2:5" x14ac:dyDescent="0.25">
      <c r="B11" s="43" t="s">
        <v>335</v>
      </c>
      <c r="C11" s="192"/>
      <c r="D11" s="192"/>
      <c r="E11" s="157">
        <f>Mvalloc!F11+Mvalloc!G11</f>
        <v>0</v>
      </c>
    </row>
    <row r="12" spans="2:5" x14ac:dyDescent="0.25">
      <c r="B12" s="195" t="s">
        <v>130</v>
      </c>
      <c r="C12" s="192"/>
      <c r="D12" s="192"/>
      <c r="E12" s="157">
        <f>Mvalloc!H11+Mvalloc!I11</f>
        <v>0</v>
      </c>
    </row>
    <row r="13" spans="2:5" x14ac:dyDescent="0.25">
      <c r="B13" s="472" t="s">
        <v>336</v>
      </c>
      <c r="C13" s="192"/>
      <c r="D13" s="192"/>
      <c r="E13" s="157">
        <f>Mvalloc!J11+Mvalloc!K11</f>
        <v>0</v>
      </c>
    </row>
    <row r="14" spans="2:5" x14ac:dyDescent="0.25">
      <c r="B14" s="472" t="s">
        <v>337</v>
      </c>
      <c r="C14" s="192"/>
      <c r="D14" s="192"/>
      <c r="E14" s="157">
        <f>Mvalloc!L11+Mvalloc!M11</f>
        <v>0</v>
      </c>
    </row>
    <row r="15" spans="2:5" x14ac:dyDescent="0.25">
      <c r="B15" s="43" t="s">
        <v>338</v>
      </c>
      <c r="C15" s="192"/>
      <c r="D15" s="192"/>
      <c r="E15" s="157">
        <f>inputOth!E32</f>
        <v>0</v>
      </c>
    </row>
    <row r="16" spans="2:5" x14ac:dyDescent="0.25">
      <c r="B16" s="197"/>
      <c r="C16" s="192"/>
      <c r="D16" s="192"/>
      <c r="E16" s="106"/>
    </row>
    <row r="17" spans="2:10" x14ac:dyDescent="0.25">
      <c r="B17" s="196"/>
      <c r="C17" s="192"/>
      <c r="D17" s="192"/>
      <c r="E17" s="106"/>
    </row>
    <row r="18" spans="2:10" x14ac:dyDescent="0.25">
      <c r="B18" s="196"/>
      <c r="C18" s="192"/>
      <c r="D18" s="192"/>
      <c r="E18" s="106"/>
    </row>
    <row r="19" spans="2:10" x14ac:dyDescent="0.25">
      <c r="B19" s="197"/>
      <c r="C19" s="192"/>
      <c r="D19" s="192"/>
      <c r="E19" s="106"/>
    </row>
    <row r="20" spans="2:10" x14ac:dyDescent="0.25">
      <c r="B20" s="197"/>
      <c r="C20" s="192"/>
      <c r="D20" s="192"/>
      <c r="E20" s="106"/>
    </row>
    <row r="21" spans="2:10" x14ac:dyDescent="0.25">
      <c r="B21" s="196"/>
      <c r="C21" s="192"/>
      <c r="D21" s="192"/>
      <c r="E21" s="106"/>
    </row>
    <row r="22" spans="2:10" x14ac:dyDescent="0.25">
      <c r="B22" s="197" t="s">
        <v>339</v>
      </c>
      <c r="C22" s="192"/>
      <c r="D22" s="192"/>
      <c r="E22" s="106"/>
    </row>
    <row r="23" spans="2:10" x14ac:dyDescent="0.25">
      <c r="B23" s="195" t="s">
        <v>191</v>
      </c>
      <c r="C23" s="192"/>
      <c r="D23" s="192"/>
      <c r="E23" s="157">
        <f>'NR Rebate'!E6*-1</f>
        <v>0</v>
      </c>
    </row>
    <row r="24" spans="2:10" x14ac:dyDescent="0.25">
      <c r="B24" s="198" t="s">
        <v>340</v>
      </c>
      <c r="C24" s="192"/>
      <c r="D24" s="192"/>
      <c r="E24" s="106"/>
    </row>
    <row r="25" spans="2:10" x14ac:dyDescent="0.25">
      <c r="B25" s="198" t="s">
        <v>341</v>
      </c>
      <c r="C25" s="242" t="str">
        <f>IF(C26*0.1&lt;C24,"Exceed 10% Rule","")</f>
        <v/>
      </c>
      <c r="D25" s="242" t="str">
        <f>IF(D26*0.1&lt;D24,"Exceed 10% Rule","")</f>
        <v/>
      </c>
      <c r="E25" s="201" t="str">
        <f>IF((E56+E26)*0.1&lt;E24,"Exceed 10% Rule","")</f>
        <v/>
      </c>
      <c r="G25" s="754" t="str">
        <f>CONCATENATE("Desired Carryover Into ",E1+1,"")</f>
        <v>Desired Carryover Into 2026</v>
      </c>
      <c r="H25" s="755"/>
      <c r="I25" s="755"/>
      <c r="J25" s="756"/>
    </row>
    <row r="26" spans="2:10" x14ac:dyDescent="0.25">
      <c r="B26" s="200" t="s">
        <v>342</v>
      </c>
      <c r="C26" s="206">
        <f>SUM(C8:C24)</f>
        <v>0</v>
      </c>
      <c r="D26" s="206">
        <f>SUM(D8:D24)</f>
        <v>0</v>
      </c>
      <c r="E26" s="206">
        <f>SUM(E8:E24)</f>
        <v>0</v>
      </c>
      <c r="G26" s="252"/>
      <c r="H26" s="35"/>
      <c r="I26" s="292"/>
      <c r="J26" s="253"/>
    </row>
    <row r="27" spans="2:10" x14ac:dyDescent="0.25">
      <c r="B27" s="60" t="s">
        <v>344</v>
      </c>
      <c r="C27" s="206">
        <f>C26+C6</f>
        <v>0</v>
      </c>
      <c r="D27" s="206">
        <f>D26+D6</f>
        <v>0</v>
      </c>
      <c r="E27" s="206">
        <f>E26+E6</f>
        <v>0</v>
      </c>
      <c r="G27" s="254" t="s">
        <v>343</v>
      </c>
      <c r="H27" s="292"/>
      <c r="I27" s="292"/>
      <c r="J27" s="255">
        <v>0</v>
      </c>
    </row>
    <row r="28" spans="2:10" x14ac:dyDescent="0.25">
      <c r="B28" s="43" t="s">
        <v>346</v>
      </c>
      <c r="C28" s="240"/>
      <c r="D28" s="240"/>
      <c r="E28" s="157"/>
      <c r="G28" s="252" t="s">
        <v>345</v>
      </c>
      <c r="H28" s="35"/>
      <c r="I28" s="35"/>
      <c r="J28" s="409" t="str">
        <f>IF(J27=0,"",ROUND((J27+E56-G40)/inputOth!E11*1000,3)-G45)</f>
        <v/>
      </c>
    </row>
    <row r="29" spans="2:10" x14ac:dyDescent="0.25">
      <c r="B29" s="196"/>
      <c r="C29" s="192"/>
      <c r="D29" s="192"/>
      <c r="E29" s="106"/>
      <c r="G29" s="410" t="str">
        <f>CONCATENATE("",E1," Tot Exp/Non-Appr Must Be:")</f>
        <v>2025 Tot Exp/Non-Appr Must Be:</v>
      </c>
      <c r="H29" s="285"/>
      <c r="I29" s="407"/>
      <c r="J29" s="411">
        <f>IF(J27&gt;0,IF(E53&lt;E22,IF(J27=G40,E53,((J27-G40)*(1-D55))+E22),E53+(J27-G40)),0)</f>
        <v>0</v>
      </c>
    </row>
    <row r="30" spans="2:10" x14ac:dyDescent="0.25">
      <c r="B30" s="197" t="s">
        <v>348</v>
      </c>
      <c r="C30" s="192"/>
      <c r="D30" s="192"/>
      <c r="E30" s="106"/>
      <c r="G30" s="412" t="s">
        <v>347</v>
      </c>
      <c r="H30" s="413"/>
      <c r="I30" s="413"/>
      <c r="J30" s="414">
        <f>IF(J27&gt;0,J29-E53,0)</f>
        <v>0</v>
      </c>
    </row>
    <row r="31" spans="2:10" x14ac:dyDescent="0.25">
      <c r="B31" s="197" t="s">
        <v>349</v>
      </c>
      <c r="C31" s="192"/>
      <c r="D31" s="192"/>
      <c r="E31" s="106"/>
    </row>
    <row r="32" spans="2:10" x14ac:dyDescent="0.25">
      <c r="B32" s="197" t="s">
        <v>350</v>
      </c>
      <c r="C32" s="192"/>
      <c r="D32" s="192"/>
      <c r="E32" s="106"/>
      <c r="G32" s="754" t="str">
        <f>CONCATENATE("Projected Carryover Into ",E1+1,"")</f>
        <v>Projected Carryover Into 2026</v>
      </c>
      <c r="H32" s="755"/>
      <c r="I32" s="755"/>
      <c r="J32" s="756"/>
    </row>
    <row r="33" spans="2:11" x14ac:dyDescent="0.25">
      <c r="B33" s="197" t="s">
        <v>351</v>
      </c>
      <c r="C33" s="192"/>
      <c r="D33" s="192"/>
      <c r="E33" s="106"/>
      <c r="G33" s="251"/>
      <c r="H33" s="35"/>
      <c r="I33" s="35"/>
      <c r="J33" s="47"/>
    </row>
    <row r="34" spans="2:11" x14ac:dyDescent="0.25">
      <c r="B34" s="196" t="s">
        <v>352</v>
      </c>
      <c r="C34" s="192"/>
      <c r="D34" s="192"/>
      <c r="E34" s="106"/>
      <c r="G34" s="289">
        <f>D50</f>
        <v>0</v>
      </c>
      <c r="H34" s="290" t="str">
        <f>CONCATENATE("",E1-1," Ending Cash Balance (est.)")</f>
        <v>2024 Ending Cash Balance (est.)</v>
      </c>
      <c r="I34" s="291"/>
      <c r="J34" s="47"/>
    </row>
    <row r="35" spans="2:11" x14ac:dyDescent="0.25">
      <c r="B35" s="196" t="s">
        <v>353</v>
      </c>
      <c r="C35" s="192"/>
      <c r="D35" s="192"/>
      <c r="E35" s="106"/>
      <c r="G35" s="289">
        <f>E26</f>
        <v>0</v>
      </c>
      <c r="H35" s="292" t="str">
        <f>CONCATENATE("",E1," Non-AV Receipts (est.)")</f>
        <v>2025 Non-AV Receipts (est.)</v>
      </c>
      <c r="I35" s="292"/>
      <c r="J35" s="47"/>
    </row>
    <row r="36" spans="2:11" x14ac:dyDescent="0.2">
      <c r="B36" s="197" t="s">
        <v>354</v>
      </c>
      <c r="C36" s="192"/>
      <c r="D36" s="192"/>
      <c r="E36" s="106"/>
      <c r="G36" s="293">
        <f>IF(D55&gt;0,E54,E56)</f>
        <v>0</v>
      </c>
      <c r="H36" s="292" t="str">
        <f>CONCATENATE("",E1," Ad Valorem Tax (est.)")</f>
        <v>2025 Ad Valorem Tax (est.)</v>
      </c>
      <c r="I36" s="292"/>
      <c r="J36" s="47"/>
      <c r="K36" s="636" t="str">
        <f>IF(G36=E56,"","Note: Does not include Delinquent Taxes")</f>
        <v/>
      </c>
    </row>
    <row r="37" spans="2:11" x14ac:dyDescent="0.25">
      <c r="B37" s="197"/>
      <c r="C37" s="192"/>
      <c r="D37" s="192"/>
      <c r="E37" s="106"/>
      <c r="G37" s="289">
        <f>SUM(G34:G36)</f>
        <v>0</v>
      </c>
      <c r="H37" s="292" t="str">
        <f>CONCATENATE("Total ",E1," Resources Available")</f>
        <v>Total 2025 Resources Available</v>
      </c>
      <c r="I37" s="292"/>
      <c r="J37" s="47"/>
    </row>
    <row r="38" spans="2:11" x14ac:dyDescent="0.25">
      <c r="B38" s="197"/>
      <c r="C38" s="192"/>
      <c r="D38" s="192"/>
      <c r="E38" s="106"/>
      <c r="G38" s="294"/>
      <c r="H38" s="292"/>
      <c r="I38" s="292"/>
      <c r="J38" s="47"/>
    </row>
    <row r="39" spans="2:11" x14ac:dyDescent="0.25">
      <c r="B39" s="197"/>
      <c r="C39" s="192"/>
      <c r="D39" s="192"/>
      <c r="E39" s="106"/>
      <c r="G39" s="293">
        <f>ROUND(C49*0.05+C49,0)</f>
        <v>0</v>
      </c>
      <c r="H39" s="292" t="str">
        <f>CONCATENATE("Less ",E1-2," Expenditures + 5%")</f>
        <v>Less 2023 Expenditures + 5%</v>
      </c>
      <c r="I39" s="292"/>
      <c r="J39" s="47"/>
    </row>
    <row r="40" spans="2:11" x14ac:dyDescent="0.25">
      <c r="B40" s="197"/>
      <c r="C40" s="192"/>
      <c r="D40" s="192"/>
      <c r="E40" s="106"/>
      <c r="G40" s="295">
        <f>G37-G39</f>
        <v>0</v>
      </c>
      <c r="H40" s="296" t="str">
        <f>CONCATENATE("Projected ",E1+1," Carryover (est.)")</f>
        <v>Projected 2026 Carryover (est.)</v>
      </c>
      <c r="I40" s="297"/>
      <c r="J40" s="298"/>
    </row>
    <row r="41" spans="2:11" x14ac:dyDescent="0.25">
      <c r="B41" s="196"/>
      <c r="C41" s="192"/>
      <c r="D41" s="192"/>
      <c r="E41" s="106"/>
    </row>
    <row r="42" spans="2:11" x14ac:dyDescent="0.25">
      <c r="B42" s="195" t="str">
        <f>CONCATENATE("Cash Reserve (",E1," column)")</f>
        <v>Cash Reserve (2025 column)</v>
      </c>
      <c r="C42" s="192"/>
      <c r="D42" s="192"/>
      <c r="E42" s="106"/>
      <c r="G42" s="757" t="s">
        <v>355</v>
      </c>
      <c r="H42" s="758"/>
      <c r="I42" s="758"/>
      <c r="J42" s="759"/>
    </row>
    <row r="43" spans="2:11" x14ac:dyDescent="0.25">
      <c r="B43" s="195" t="s">
        <v>356</v>
      </c>
      <c r="C43" s="192"/>
      <c r="D43" s="192"/>
      <c r="E43" s="106"/>
      <c r="G43" s="760"/>
      <c r="H43" s="761"/>
      <c r="I43" s="761"/>
      <c r="J43" s="762"/>
    </row>
    <row r="44" spans="2:11" x14ac:dyDescent="0.25">
      <c r="B44" s="195" t="s">
        <v>357</v>
      </c>
      <c r="C44" s="242" t="str">
        <f>IF(AND($C$43&gt;0,$C$8&gt;0),"Not Authorized","")</f>
        <v/>
      </c>
      <c r="D44" s="242" t="str">
        <f>IF(AND($D$43&gt;0,$D$8&gt;0),"Not Authorized","")</f>
        <v/>
      </c>
      <c r="E44" s="201" t="str">
        <f>IF(AND(E56&gt;0,$E$43&gt;0),"Not Authorized","")</f>
        <v/>
      </c>
      <c r="G44" s="587" t="str">
        <f>'Budget Hearing Notice'!H18</f>
        <v xml:space="preserve"> </v>
      </c>
      <c r="H44" s="588" t="str">
        <f>CONCATENATE("",E1," Estimated Fund Mill Rate")</f>
        <v>2025 Estimated Fund Mill Rate</v>
      </c>
      <c r="I44" s="589"/>
      <c r="J44" s="590"/>
    </row>
    <row r="45" spans="2:11" x14ac:dyDescent="0.25">
      <c r="B45" s="43" t="s">
        <v>358</v>
      </c>
      <c r="C45" s="192"/>
      <c r="D45" s="192"/>
      <c r="E45" s="106"/>
      <c r="G45" s="591" t="str">
        <f>'Budget Hearing Notice'!E18</f>
        <v xml:space="preserve">  </v>
      </c>
      <c r="H45" s="588" t="str">
        <f>CONCATENATE("",E1-1," Fund Mill Rate")</f>
        <v>2024 Fund Mill Rate</v>
      </c>
      <c r="I45" s="589"/>
      <c r="J45" s="590"/>
    </row>
    <row r="46" spans="2:11" x14ac:dyDescent="0.25">
      <c r="B46" s="43" t="s">
        <v>360</v>
      </c>
      <c r="C46" s="242" t="str">
        <f>IF(C27*0.25&lt;C45,"Exceeds 25%","")</f>
        <v/>
      </c>
      <c r="D46" s="242" t="str">
        <f>IF(D27*0.25&lt;D45,"Exceeds 25%","")</f>
        <v/>
      </c>
      <c r="E46" s="201" t="str">
        <f>IF(E27*0.25+E56&lt;E45,"Exceeds 25%","")</f>
        <v/>
      </c>
      <c r="G46" s="592">
        <f>'Budget Hearing Notice'!M30</f>
        <v>0</v>
      </c>
      <c r="H46" s="593" t="s">
        <v>359</v>
      </c>
      <c r="I46" s="589"/>
      <c r="J46" s="590"/>
    </row>
    <row r="47" spans="2:11" x14ac:dyDescent="0.25">
      <c r="B47" s="195" t="s">
        <v>340</v>
      </c>
      <c r="C47" s="192"/>
      <c r="D47" s="192"/>
      <c r="E47" s="106"/>
      <c r="G47" s="592">
        <f>SUM('Budget Hearing Notice'!H18:H20,'Budget Hearing Notice'!H25:H29)</f>
        <v>0</v>
      </c>
      <c r="H47" s="593" t="s">
        <v>361</v>
      </c>
      <c r="I47" s="589"/>
      <c r="J47" s="590"/>
    </row>
    <row r="48" spans="2:11" x14ac:dyDescent="0.25">
      <c r="B48" s="195" t="s">
        <v>362</v>
      </c>
      <c r="C48" s="242" t="str">
        <f>IF(C49*0.1&lt;C47,"Exceed 10% Rule","")</f>
        <v/>
      </c>
      <c r="D48" s="242" t="str">
        <f>IF(D49*0.1&lt;D47,"Exceed 10% Rule","")</f>
        <v/>
      </c>
      <c r="E48" s="201" t="str">
        <f>IF(E49*0.1&lt;E47,"Exceed 10% Rule","")</f>
        <v/>
      </c>
      <c r="G48" s="587">
        <f>'Budget Hearing Notice'!H36</f>
        <v>0</v>
      </c>
      <c r="H48" s="588" t="str">
        <f>CONCATENATE(E1," Estimated Total Mill Rate")</f>
        <v>2025 Estimated Total Mill Rate</v>
      </c>
      <c r="I48" s="589"/>
      <c r="J48" s="590"/>
    </row>
    <row r="49" spans="2:10" x14ac:dyDescent="0.25">
      <c r="B49" s="60" t="s">
        <v>363</v>
      </c>
      <c r="C49" s="206">
        <f>SUM(C29:C43,C45,C47:C47)</f>
        <v>0</v>
      </c>
      <c r="D49" s="206">
        <f>SUM(D29:D43,D45,D47:D47)</f>
        <v>0</v>
      </c>
      <c r="E49" s="206">
        <f>SUM(E29:E43,E47:E47,E45)</f>
        <v>0</v>
      </c>
      <c r="G49" s="594">
        <f>'Budget Hearing Notice'!E36</f>
        <v>0</v>
      </c>
      <c r="H49" s="588" t="str">
        <f>CONCATENATE(E1-1," Total Mill Rate")</f>
        <v>2024 Total Mill Rate</v>
      </c>
      <c r="I49" s="589"/>
      <c r="J49" s="590"/>
    </row>
    <row r="50" spans="2:10" x14ac:dyDescent="0.25">
      <c r="B50" s="43" t="s">
        <v>364</v>
      </c>
      <c r="C50" s="157">
        <f>C27-C49</f>
        <v>0</v>
      </c>
      <c r="D50" s="157">
        <f>D27-D49</f>
        <v>0</v>
      </c>
      <c r="E50" s="194" t="s">
        <v>185</v>
      </c>
      <c r="G50" s="595"/>
      <c r="H50" s="471"/>
      <c r="I50" s="471"/>
      <c r="J50" s="596"/>
    </row>
    <row r="51" spans="2:10" x14ac:dyDescent="0.25">
      <c r="B51" s="68" t="str">
        <f>CONCATENATE("",E1-2,"/",E1-1,"/",E1," Budget Authority Amount:")</f>
        <v>2023/2024/2025 Budget Authority Amount:</v>
      </c>
      <c r="C51" s="427">
        <f>inputOth!B91</f>
        <v>0</v>
      </c>
      <c r="D51" s="427">
        <f>inputPrYr!D21</f>
        <v>0</v>
      </c>
      <c r="E51" s="157">
        <f>E49</f>
        <v>0</v>
      </c>
      <c r="G51" s="763" t="s">
        <v>365</v>
      </c>
      <c r="H51" s="764"/>
      <c r="I51" s="764"/>
      <c r="J51" s="767" t="str">
        <f>IF(G47&gt;G46, "Yes", "No")</f>
        <v>No</v>
      </c>
    </row>
    <row r="52" spans="2:10" x14ac:dyDescent="0.25">
      <c r="B52" s="140"/>
      <c r="C52" s="748" t="s">
        <v>366</v>
      </c>
      <c r="D52" s="749"/>
      <c r="E52" s="106"/>
      <c r="F52" s="202"/>
      <c r="G52" s="765"/>
      <c r="H52" s="766"/>
      <c r="I52" s="766"/>
      <c r="J52" s="768"/>
    </row>
    <row r="53" spans="2:10" x14ac:dyDescent="0.25">
      <c r="B53" s="637" t="str">
        <f>CONCATENATE(C75,"      ",D75)</f>
        <v xml:space="preserve">      </v>
      </c>
      <c r="C53" s="750" t="s">
        <v>367</v>
      </c>
      <c r="D53" s="751"/>
      <c r="E53" s="157">
        <f>E49+E52</f>
        <v>0</v>
      </c>
      <c r="F53" s="202" t="str">
        <f>IF(E49/0.95-E49&lt;E52,"Exceeds 5%","")</f>
        <v/>
      </c>
      <c r="G53" s="769" t="str">
        <f>IF(J51="Yes", "Follow procedure prescribed by KSA 79-2988 to exceed the Revenue Neutral Rate.", " ")</f>
        <v xml:space="preserve"> </v>
      </c>
      <c r="H53" s="769"/>
      <c r="I53" s="769"/>
      <c r="J53" s="769"/>
    </row>
    <row r="54" spans="2:10" x14ac:dyDescent="0.25">
      <c r="B54" s="637" t="str">
        <f>CONCATENATE(C76,"       ",D76)</f>
        <v xml:space="preserve">       </v>
      </c>
      <c r="C54" s="638"/>
      <c r="D54" s="250" t="s">
        <v>368</v>
      </c>
      <c r="E54" s="157">
        <f>IF(E53-E27&gt;0,E53-E27,0)</f>
        <v>0</v>
      </c>
      <c r="G54" s="770"/>
      <c r="H54" s="770"/>
      <c r="I54" s="770"/>
      <c r="J54" s="770"/>
    </row>
    <row r="55" spans="2:10" x14ac:dyDescent="0.25">
      <c r="B55" s="136"/>
      <c r="C55" s="621" t="s">
        <v>369</v>
      </c>
      <c r="D55" s="408">
        <f>inputOth!$E$85</f>
        <v>0</v>
      </c>
      <c r="E55" s="157">
        <f>ROUND(IF(D55&gt;0,(E54*D55),0),0)</f>
        <v>0</v>
      </c>
      <c r="G55" s="770"/>
      <c r="H55" s="770"/>
      <c r="I55" s="770"/>
      <c r="J55" s="770"/>
    </row>
    <row r="56" spans="2:10" x14ac:dyDescent="0.25">
      <c r="B56" s="35"/>
      <c r="C56" s="752" t="str">
        <f>CONCATENATE("Amount of  ",$E$1-1," Ad Valorem Tax")</f>
        <v>Amount of  2024 Ad Valorem Tax</v>
      </c>
      <c r="D56" s="753"/>
      <c r="E56" s="157">
        <f>E54+E55</f>
        <v>0</v>
      </c>
    </row>
    <row r="57" spans="2:10" x14ac:dyDescent="0.25">
      <c r="B57" s="35"/>
      <c r="C57" s="35"/>
      <c r="D57" s="35"/>
      <c r="E57" s="35"/>
    </row>
    <row r="58" spans="2:10" x14ac:dyDescent="0.25">
      <c r="B58" s="490" t="s">
        <v>203</v>
      </c>
      <c r="C58" s="436"/>
      <c r="D58" s="436"/>
      <c r="E58" s="45"/>
    </row>
    <row r="59" spans="2:10" x14ac:dyDescent="0.25">
      <c r="B59" s="251"/>
      <c r="C59" s="35"/>
      <c r="D59" s="35"/>
      <c r="E59" s="47"/>
    </row>
    <row r="60" spans="2:10" x14ac:dyDescent="0.25">
      <c r="B60" s="491"/>
      <c r="C60" s="42"/>
      <c r="D60" s="435"/>
      <c r="E60" s="52"/>
    </row>
    <row r="61" spans="2:10" x14ac:dyDescent="0.25">
      <c r="B61" s="35"/>
      <c r="C61" s="35"/>
      <c r="D61" s="97"/>
      <c r="E61" s="35"/>
    </row>
    <row r="62" spans="2:10" x14ac:dyDescent="0.25">
      <c r="B62" s="136" t="s">
        <v>370</v>
      </c>
      <c r="C62" s="442"/>
      <c r="D62" s="35"/>
      <c r="E62" s="35"/>
    </row>
    <row r="64" spans="2:10" x14ac:dyDescent="0.25">
      <c r="B64" s="62"/>
    </row>
    <row r="75" spans="3:4" x14ac:dyDescent="0.25">
      <c r="C75" s="99" t="str">
        <f>IF(C49&gt;C51,"See Tab A","")</f>
        <v/>
      </c>
      <c r="D75" s="99" t="str">
        <f>IF(D49&gt;D51,"See Tab C","")</f>
        <v/>
      </c>
    </row>
    <row r="76" spans="3:4" hidden="1" x14ac:dyDescent="0.25">
      <c r="C76" s="99" t="str">
        <f>IF(C50&lt;0,"See Tab B","")</f>
        <v/>
      </c>
      <c r="D76" s="99" t="str">
        <f>IF(D50&lt;0,"See Tab D","")</f>
        <v/>
      </c>
    </row>
    <row r="77" spans="3:4" hidden="1" x14ac:dyDescent="0.25"/>
  </sheetData>
  <sheetProtection sheet="1"/>
  <mergeCells count="9">
    <mergeCell ref="C52:D52"/>
    <mergeCell ref="C53:D53"/>
    <mergeCell ref="C56:D56"/>
    <mergeCell ref="G25:J25"/>
    <mergeCell ref="G32:J32"/>
    <mergeCell ref="G42:J43"/>
    <mergeCell ref="G51:I52"/>
    <mergeCell ref="J51:J52"/>
    <mergeCell ref="G53:J55"/>
  </mergeCells>
  <phoneticPr fontId="0" type="noConversion"/>
  <conditionalFormatting sqref="C24">
    <cfRule type="cellIs" dxfId="198" priority="7" stopIfTrue="1" operator="greaterThan">
      <formula>$C$26*0.1</formula>
    </cfRule>
  </conditionalFormatting>
  <conditionalFormatting sqref="C43">
    <cfRule type="expression" dxfId="197" priority="20" stopIfTrue="1">
      <formula>$C$8&gt;0</formula>
    </cfRule>
  </conditionalFormatting>
  <conditionalFormatting sqref="C45">
    <cfRule type="cellIs" dxfId="196" priority="16" stopIfTrue="1" operator="greaterThan">
      <formula>$C$27*0.25</formula>
    </cfRule>
  </conditionalFormatting>
  <conditionalFormatting sqref="C47">
    <cfRule type="cellIs" dxfId="195" priority="12" stopIfTrue="1" operator="greaterThan">
      <formula>$C$49*0.1</formula>
    </cfRule>
  </conditionalFormatting>
  <conditionalFormatting sqref="C49">
    <cfRule type="expression" dxfId="194" priority="4">
      <formula>$C$49&gt;$C$51</formula>
    </cfRule>
  </conditionalFormatting>
  <conditionalFormatting sqref="C50">
    <cfRule type="expression" dxfId="193" priority="3">
      <formula>$C$50&lt;0</formula>
    </cfRule>
  </conditionalFormatting>
  <conditionalFormatting sqref="D24">
    <cfRule type="cellIs" dxfId="192" priority="8" stopIfTrue="1" operator="greaterThan">
      <formula>$D$26*0.1</formula>
    </cfRule>
  </conditionalFormatting>
  <conditionalFormatting sqref="D43">
    <cfRule type="expression" dxfId="191" priority="18" stopIfTrue="1">
      <formula>$D$8&gt;0</formula>
    </cfRule>
  </conditionalFormatting>
  <conditionalFormatting sqref="D45">
    <cfRule type="cellIs" dxfId="190" priority="17" stopIfTrue="1" operator="greaterThan">
      <formula>$D$27*0.25</formula>
    </cfRule>
  </conditionalFormatting>
  <conditionalFormatting sqref="D47">
    <cfRule type="cellIs" dxfId="189" priority="11" stopIfTrue="1" operator="greaterThan">
      <formula>$D$49*0.1</formula>
    </cfRule>
  </conditionalFormatting>
  <conditionalFormatting sqref="D49">
    <cfRule type="expression" dxfId="188" priority="2">
      <formula>$D$49&gt;$D$51</formula>
    </cfRule>
  </conditionalFormatting>
  <conditionalFormatting sqref="D50">
    <cfRule type="cellIs" dxfId="187" priority="1" operator="lessThan">
      <formula>0</formula>
    </cfRule>
  </conditionalFormatting>
  <conditionalFormatting sqref="E24">
    <cfRule type="cellIs" dxfId="186" priority="28" stopIfTrue="1" operator="greaterThan">
      <formula>$E$26*0.1+$E$56</formula>
    </cfRule>
  </conditionalFormatting>
  <conditionalFormatting sqref="E43">
    <cfRule type="expression" dxfId="185" priority="22" stopIfTrue="1">
      <formula>$E$56&gt;0</formula>
    </cfRule>
  </conditionalFormatting>
  <conditionalFormatting sqref="E45">
    <cfRule type="cellIs" dxfId="184" priority="29" stopIfTrue="1" operator="greaterThan">
      <formula>$E$27*0.25+$E$56</formula>
    </cfRule>
  </conditionalFormatting>
  <conditionalFormatting sqref="E47">
    <cfRule type="cellIs" dxfId="183" priority="10" stopIfTrue="1" operator="greaterThan">
      <formula>$E$49*0.1</formula>
    </cfRule>
  </conditionalFormatting>
  <conditionalFormatting sqref="E52">
    <cfRule type="cellIs" dxfId="182" priority="9" stopIfTrue="1" operator="greaterThan">
      <formula>$E$49/0.95-$E$49</formula>
    </cfRule>
  </conditionalFormatting>
  <conditionalFormatting sqref="J51">
    <cfRule type="containsText" dxfId="181" priority="5" operator="containsText" text="Yes">
      <formula>NOT(ISERROR(SEARCH("Yes",J51)))</formula>
    </cfRule>
  </conditionalFormatting>
  <pageMargins left="0.9" right="0.9" top="0.96" bottom="0.5" header="0.41" footer="0.3"/>
  <pageSetup scale="78" orientation="portrait" blackAndWhite="1"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00B0F0"/>
    <pageSetUpPr fitToPage="1"/>
  </sheetPr>
  <dimension ref="B1:K101"/>
  <sheetViews>
    <sheetView zoomScaleNormal="100" workbookViewId="0">
      <selection activeCell="B32" sqref="B32"/>
    </sheetView>
  </sheetViews>
  <sheetFormatPr defaultRowHeight="15.75" x14ac:dyDescent="0.25"/>
  <cols>
    <col min="1" max="1" width="2.19921875" style="334" customWidth="1"/>
    <col min="2" max="2" width="28.59765625" style="334" customWidth="1"/>
    <col min="3" max="4" width="14.19921875" style="334" customWidth="1"/>
    <col min="5" max="5" width="14.59765625" style="334" customWidth="1"/>
    <col min="6" max="6" width="7.296875" style="334" customWidth="1"/>
    <col min="7" max="7" width="9.19921875" style="334" customWidth="1"/>
    <col min="8" max="8" width="8.796875" style="334"/>
    <col min="9" max="9" width="4.5" style="334" customWidth="1"/>
    <col min="10" max="10" width="12" style="334" customWidth="1"/>
    <col min="11" max="16384" width="8.796875" style="334"/>
  </cols>
  <sheetData>
    <row r="1" spans="2:10" x14ac:dyDescent="0.25">
      <c r="B1" s="331">
        <f>inputPrYr!D4</f>
        <v>0</v>
      </c>
      <c r="C1" s="331"/>
      <c r="D1" s="332"/>
      <c r="E1" s="333">
        <f>inputPrYr!D10</f>
        <v>2025</v>
      </c>
    </row>
    <row r="2" spans="2:10" x14ac:dyDescent="0.25">
      <c r="B2" s="332"/>
      <c r="C2" s="332"/>
      <c r="D2" s="332"/>
      <c r="E2" s="335"/>
    </row>
    <row r="3" spans="2:10" x14ac:dyDescent="0.25">
      <c r="B3" s="336" t="s">
        <v>327</v>
      </c>
      <c r="C3" s="336"/>
      <c r="D3" s="337"/>
      <c r="E3" s="338"/>
    </row>
    <row r="4" spans="2:10" x14ac:dyDescent="0.25">
      <c r="B4" s="339" t="s">
        <v>328</v>
      </c>
      <c r="C4" s="340" t="s">
        <v>371</v>
      </c>
      <c r="D4" s="341" t="s">
        <v>372</v>
      </c>
      <c r="E4" s="342" t="s">
        <v>373</v>
      </c>
    </row>
    <row r="5" spans="2:10" x14ac:dyDescent="0.25">
      <c r="B5" s="343" t="str">
        <f>inputPrYr!B22</f>
        <v>Debt Service</v>
      </c>
      <c r="C5" s="344" t="str">
        <f>CONCATENATE("Actual for ",$E$1-2,"")</f>
        <v>Actual for 2023</v>
      </c>
      <c r="D5" s="345" t="str">
        <f>CONCATENATE("Estimate for ",$E$1-1,"")</f>
        <v>Estimate for 2024</v>
      </c>
      <c r="E5" s="346" t="str">
        <f>CONCATENATE("Year for ",$E$1,"")</f>
        <v>Year for 2025</v>
      </c>
    </row>
    <row r="6" spans="2:10" x14ac:dyDescent="0.25">
      <c r="B6" s="347" t="s">
        <v>374</v>
      </c>
      <c r="C6" s="348"/>
      <c r="D6" s="349">
        <f>C35</f>
        <v>0</v>
      </c>
      <c r="E6" s="350">
        <f>D35</f>
        <v>0</v>
      </c>
    </row>
    <row r="7" spans="2:10" x14ac:dyDescent="0.25">
      <c r="B7" s="347" t="s">
        <v>332</v>
      </c>
      <c r="C7" s="351"/>
      <c r="D7" s="349"/>
      <c r="E7" s="350"/>
    </row>
    <row r="8" spans="2:10" x14ac:dyDescent="0.25">
      <c r="B8" s="347" t="s">
        <v>96</v>
      </c>
      <c r="C8" s="352"/>
      <c r="D8" s="349">
        <f>IF(inputPrYr!H22&gt;0,inputPrYr!G24,inputPrYr!E22)</f>
        <v>0</v>
      </c>
      <c r="E8" s="353" t="s">
        <v>185</v>
      </c>
    </row>
    <row r="9" spans="2:10" x14ac:dyDescent="0.25">
      <c r="B9" s="347" t="s">
        <v>333</v>
      </c>
      <c r="C9" s="352"/>
      <c r="D9" s="354"/>
      <c r="E9" s="355"/>
    </row>
    <row r="10" spans="2:10" x14ac:dyDescent="0.25">
      <c r="B10" s="347" t="s">
        <v>334</v>
      </c>
      <c r="C10" s="352"/>
      <c r="D10" s="354"/>
      <c r="E10" s="350">
        <f>Mvalloc!D12+Mvalloc!E12</f>
        <v>0</v>
      </c>
      <c r="G10" s="775" t="str">
        <f>CONCATENATE("Desired Carryover Into ",E1+1,"")</f>
        <v>Desired Carryover Into 2026</v>
      </c>
      <c r="H10" s="776"/>
      <c r="I10" s="776"/>
      <c r="J10" s="777"/>
    </row>
    <row r="11" spans="2:10" x14ac:dyDescent="0.25">
      <c r="B11" s="347" t="s">
        <v>335</v>
      </c>
      <c r="C11" s="352"/>
      <c r="D11" s="354"/>
      <c r="E11" s="350">
        <f>Mvalloc!F12+Mvalloc!G12</f>
        <v>0</v>
      </c>
      <c r="G11" s="365"/>
      <c r="H11" s="332"/>
      <c r="I11" s="366"/>
      <c r="J11" s="367"/>
    </row>
    <row r="12" spans="2:10" x14ac:dyDescent="0.25">
      <c r="B12" s="356" t="s">
        <v>375</v>
      </c>
      <c r="C12" s="352"/>
      <c r="D12" s="354"/>
      <c r="E12" s="350">
        <f>Mvalloc!H12+Mvalloc!I12</f>
        <v>0</v>
      </c>
      <c r="G12" s="368" t="s">
        <v>343</v>
      </c>
      <c r="H12" s="366"/>
      <c r="I12" s="366"/>
      <c r="J12" s="369">
        <v>0</v>
      </c>
    </row>
    <row r="13" spans="2:10" x14ac:dyDescent="0.25">
      <c r="B13" s="472" t="s">
        <v>336</v>
      </c>
      <c r="C13" s="352"/>
      <c r="D13" s="354"/>
      <c r="E13" s="350">
        <f>Mvalloc!J12+Mvalloc!K12</f>
        <v>0</v>
      </c>
      <c r="G13" s="365" t="s">
        <v>345</v>
      </c>
      <c r="H13" s="332"/>
      <c r="I13" s="332"/>
      <c r="J13" s="370" t="str">
        <f>IF(J12=0,"",ROUND((J12+E41-G25)/inputOth!E11*1000,3)-G30)</f>
        <v/>
      </c>
    </row>
    <row r="14" spans="2:10" x14ac:dyDescent="0.25">
      <c r="B14" s="472" t="s">
        <v>337</v>
      </c>
      <c r="C14" s="352"/>
      <c r="D14" s="354"/>
      <c r="E14" s="350">
        <f>Mvalloc!L12+Mvalloc!M12</f>
        <v>0</v>
      </c>
      <c r="G14" s="371" t="str">
        <f>CONCATENATE("",E1," Tot Exp/Non-Appr Must Be:")</f>
        <v>2025 Tot Exp/Non-Appr Must Be:</v>
      </c>
      <c r="H14" s="372"/>
      <c r="I14" s="373"/>
      <c r="J14" s="374">
        <f>IF(J12&gt;0,IF(E38&lt;E23,IF(J12=G25,E38,((J12-G25)*(1-D40))+E23),E38+(J12-G25)),0)</f>
        <v>0</v>
      </c>
    </row>
    <row r="15" spans="2:10" x14ac:dyDescent="0.25">
      <c r="B15" s="357"/>
      <c r="C15" s="352"/>
      <c r="D15" s="354"/>
      <c r="E15" s="358"/>
      <c r="G15" s="375" t="s">
        <v>347</v>
      </c>
      <c r="H15" s="376"/>
      <c r="I15" s="376"/>
      <c r="J15" s="377">
        <f>IF(J12&gt;0,J14-E38,0)</f>
        <v>0</v>
      </c>
    </row>
    <row r="16" spans="2:10" x14ac:dyDescent="0.25">
      <c r="B16" s="357"/>
      <c r="C16" s="352"/>
      <c r="D16" s="354"/>
      <c r="E16" s="355"/>
    </row>
    <row r="17" spans="2:11" x14ac:dyDescent="0.25">
      <c r="B17" s="357"/>
      <c r="C17" s="352"/>
      <c r="D17" s="354"/>
      <c r="E17" s="355"/>
      <c r="G17" s="775" t="str">
        <f>CONCATENATE("Projected Carryover Into ",E1+1,"")</f>
        <v>Projected Carryover Into 2026</v>
      </c>
      <c r="H17" s="780"/>
      <c r="I17" s="780"/>
      <c r="J17" s="779"/>
    </row>
    <row r="18" spans="2:11" x14ac:dyDescent="0.25">
      <c r="B18" s="359" t="s">
        <v>339</v>
      </c>
      <c r="C18" s="352"/>
      <c r="D18" s="354"/>
      <c r="E18" s="355"/>
      <c r="G18" s="365"/>
      <c r="H18" s="366"/>
      <c r="I18" s="366"/>
      <c r="J18" s="379"/>
    </row>
    <row r="19" spans="2:11" x14ac:dyDescent="0.25">
      <c r="B19" s="378" t="s">
        <v>191</v>
      </c>
      <c r="C19" s="352"/>
      <c r="D19" s="354"/>
      <c r="E19" s="429">
        <f>'NR Rebate'!E7*-1</f>
        <v>0</v>
      </c>
      <c r="G19" s="380">
        <f>D35</f>
        <v>0</v>
      </c>
      <c r="H19" s="381" t="str">
        <f>CONCATENATE("",E1-1," Ending Cash Balance (est.)")</f>
        <v>2024 Ending Cash Balance (est.)</v>
      </c>
      <c r="I19" s="382"/>
      <c r="J19" s="379"/>
    </row>
    <row r="20" spans="2:11" x14ac:dyDescent="0.25">
      <c r="B20" s="347" t="s">
        <v>340</v>
      </c>
      <c r="C20" s="360"/>
      <c r="D20" s="354"/>
      <c r="E20" s="355"/>
      <c r="G20" s="380">
        <f>E22</f>
        <v>0</v>
      </c>
      <c r="H20" s="366" t="str">
        <f>CONCATENATE("",E1," Non-AV Receipts (est.)")</f>
        <v>2025 Non-AV Receipts (est.)</v>
      </c>
      <c r="I20" s="382"/>
      <c r="J20" s="379"/>
    </row>
    <row r="21" spans="2:11" x14ac:dyDescent="0.25">
      <c r="B21" s="347" t="s">
        <v>376</v>
      </c>
      <c r="C21" s="361" t="str">
        <f>IF(C22*0.1&lt;C20,"Exceed 10% Rule","")</f>
        <v/>
      </c>
      <c r="D21" s="361" t="str">
        <f>IF(D22*0.1&lt;D20,"Exceeds 10% Rule","")</f>
        <v/>
      </c>
      <c r="E21" s="362" t="str">
        <f>IF((E41+E22)*0.1&lt;E20,"Exceed 10% Rule","")</f>
        <v/>
      </c>
      <c r="G21" s="386">
        <f>IF(E40&gt;0,E39,E41)</f>
        <v>0</v>
      </c>
      <c r="H21" s="366" t="str">
        <f>CONCATENATE("",E1," Ad Valorem Tax (est.)")</f>
        <v>2025 Ad Valorem Tax (est.)</v>
      </c>
      <c r="I21" s="366"/>
      <c r="J21" s="379"/>
      <c r="K21" s="639" t="str">
        <f>IF(G21=E41,"","Note: Does not include Delinquent Taxes")</f>
        <v/>
      </c>
    </row>
    <row r="22" spans="2:11" x14ac:dyDescent="0.25">
      <c r="B22" s="363" t="s">
        <v>342</v>
      </c>
      <c r="C22" s="597">
        <f>SUM(C8:C20)</f>
        <v>0</v>
      </c>
      <c r="D22" s="597">
        <f>SUM(D8:D20)</f>
        <v>0</v>
      </c>
      <c r="E22" s="597">
        <f>SUM(E9:E20)</f>
        <v>0</v>
      </c>
      <c r="G22" s="380">
        <f>SUM(G19:G21)</f>
        <v>0</v>
      </c>
      <c r="H22" s="366" t="str">
        <f>CONCATENATE("Total ",E1," Resources Available")</f>
        <v>Total 2025 Resources Available</v>
      </c>
      <c r="I22" s="382"/>
      <c r="J22" s="379"/>
    </row>
    <row r="23" spans="2:11" x14ac:dyDescent="0.25">
      <c r="B23" s="363" t="s">
        <v>344</v>
      </c>
      <c r="C23" s="597">
        <f>C6+C22</f>
        <v>0</v>
      </c>
      <c r="D23" s="597">
        <f>D6+D22</f>
        <v>0</v>
      </c>
      <c r="E23" s="597">
        <f>E6+E22</f>
        <v>0</v>
      </c>
      <c r="G23" s="387"/>
      <c r="H23" s="366"/>
      <c r="I23" s="366"/>
      <c r="J23" s="379"/>
    </row>
    <row r="24" spans="2:11" x14ac:dyDescent="0.25">
      <c r="B24" s="347" t="s">
        <v>346</v>
      </c>
      <c r="C24" s="347"/>
      <c r="D24" s="349"/>
      <c r="E24" s="350"/>
      <c r="G24" s="386">
        <f>C34</f>
        <v>0</v>
      </c>
      <c r="H24" s="366" t="str">
        <f>CONCATENATE("Less ",E1-2," Expenditures")</f>
        <v>Less 2023 Expenditures</v>
      </c>
      <c r="I24" s="366"/>
      <c r="J24" s="379"/>
    </row>
    <row r="25" spans="2:11" x14ac:dyDescent="0.25">
      <c r="B25" s="357"/>
      <c r="C25" s="352"/>
      <c r="D25" s="354"/>
      <c r="E25" s="355"/>
      <c r="G25" s="390">
        <f>G22-G24</f>
        <v>0</v>
      </c>
      <c r="H25" s="391" t="str">
        <f>CONCATENATE("Projected ",E1+1," carryover (est.)")</f>
        <v>Projected 2026 carryover (est.)</v>
      </c>
      <c r="I25" s="392"/>
      <c r="J25" s="393"/>
    </row>
    <row r="26" spans="2:11" x14ac:dyDescent="0.25">
      <c r="B26" s="357"/>
      <c r="C26" s="352"/>
      <c r="D26" s="354"/>
      <c r="E26" s="355"/>
    </row>
    <row r="27" spans="2:11" x14ac:dyDescent="0.25">
      <c r="B27" s="357"/>
      <c r="C27" s="354"/>
      <c r="D27" s="354"/>
      <c r="E27" s="355"/>
      <c r="G27" s="757" t="s">
        <v>355</v>
      </c>
      <c r="H27" s="758"/>
      <c r="I27" s="758"/>
      <c r="J27" s="759"/>
    </row>
    <row r="28" spans="2:11" x14ac:dyDescent="0.25">
      <c r="B28" s="357"/>
      <c r="C28" s="352"/>
      <c r="D28" s="354"/>
      <c r="E28" s="355"/>
      <c r="G28" s="760"/>
      <c r="H28" s="761"/>
      <c r="I28" s="761"/>
      <c r="J28" s="762"/>
    </row>
    <row r="29" spans="2:11" x14ac:dyDescent="0.25">
      <c r="B29" s="357"/>
      <c r="C29" s="352"/>
      <c r="D29" s="354"/>
      <c r="E29" s="355"/>
      <c r="G29" s="587" t="str">
        <f>'Budget Hearing Notice'!H19</f>
        <v xml:space="preserve"> </v>
      </c>
      <c r="H29" s="588" t="str">
        <f>CONCATENATE("",E1," Estimated Fund Mill Rate")</f>
        <v>2025 Estimated Fund Mill Rate</v>
      </c>
      <c r="I29" s="589"/>
      <c r="J29" s="590"/>
    </row>
    <row r="30" spans="2:11" x14ac:dyDescent="0.25">
      <c r="B30" s="357"/>
      <c r="C30" s="352"/>
      <c r="D30" s="354"/>
      <c r="E30" s="355"/>
      <c r="G30" s="591" t="str">
        <f>'Budget Hearing Notice'!E19</f>
        <v xml:space="preserve">  </v>
      </c>
      <c r="H30" s="588" t="str">
        <f>CONCATENATE("",E1-1," Fund Mill Rate")</f>
        <v>2024 Fund Mill Rate</v>
      </c>
      <c r="I30" s="589"/>
      <c r="J30" s="590"/>
    </row>
    <row r="31" spans="2:11" x14ac:dyDescent="0.25">
      <c r="B31" s="378" t="str">
        <f>CONCATENATE("Cash Reserve (",E1," column)")</f>
        <v>Cash Reserve (2025 column)</v>
      </c>
      <c r="C31" s="352"/>
      <c r="D31" s="354"/>
      <c r="E31" s="355"/>
      <c r="G31" s="592">
        <f>inputOth!E36</f>
        <v>0</v>
      </c>
      <c r="H31" s="593" t="s">
        <v>359</v>
      </c>
      <c r="I31" s="589"/>
      <c r="J31" s="590"/>
    </row>
    <row r="32" spans="2:11" x14ac:dyDescent="0.25">
      <c r="B32" s="378" t="s">
        <v>340</v>
      </c>
      <c r="C32" s="360"/>
      <c r="D32" s="354"/>
      <c r="E32" s="355"/>
      <c r="G32" s="592">
        <f>SUM('Budget Hearing Notice'!H18:H20,'Budget Hearing Notice'!H25:H29)</f>
        <v>0</v>
      </c>
      <c r="H32" s="593" t="s">
        <v>361</v>
      </c>
      <c r="I32" s="589"/>
      <c r="J32" s="590"/>
    </row>
    <row r="33" spans="2:10" x14ac:dyDescent="0.25">
      <c r="B33" s="378" t="s">
        <v>362</v>
      </c>
      <c r="C33" s="361" t="str">
        <f>IF(C34*0.1&lt;C32,"Exceed 10% Rule","")</f>
        <v/>
      </c>
      <c r="D33" s="361" t="str">
        <f>IF(D34*0.1&lt;D32,"Exceed 10% Rule","")</f>
        <v/>
      </c>
      <c r="E33" s="362" t="str">
        <f>IF(E34*0.1&lt;E32,"Exceed 10% Rule","")</f>
        <v/>
      </c>
      <c r="G33" s="587">
        <f>'Budget Hearing Notice'!H36</f>
        <v>0</v>
      </c>
      <c r="H33" s="588" t="str">
        <f>CONCATENATE(E1," Estimated Total Mill Rate")</f>
        <v>2025 Estimated Total Mill Rate</v>
      </c>
      <c r="I33" s="589"/>
      <c r="J33" s="590"/>
    </row>
    <row r="34" spans="2:10" x14ac:dyDescent="0.25">
      <c r="B34" s="363" t="s">
        <v>363</v>
      </c>
      <c r="C34" s="597">
        <f>SUM(C25:C32)</f>
        <v>0</v>
      </c>
      <c r="D34" s="597">
        <f>SUM(D25:D32)</f>
        <v>0</v>
      </c>
      <c r="E34" s="597">
        <f>SUM(E25:E32)</f>
        <v>0</v>
      </c>
      <c r="G34" s="594">
        <f>'Budget Hearing Notice'!E36</f>
        <v>0</v>
      </c>
      <c r="H34" s="588" t="str">
        <f>CONCATENATE(E1-1," Total Mill Rate")</f>
        <v>2024 Total Mill Rate</v>
      </c>
      <c r="I34" s="589"/>
      <c r="J34" s="590"/>
    </row>
    <row r="35" spans="2:10" x14ac:dyDescent="0.25">
      <c r="B35" s="347" t="s">
        <v>364</v>
      </c>
      <c r="C35" s="429">
        <f>C23-C34</f>
        <v>0</v>
      </c>
      <c r="D35" s="429">
        <f>D23-D34</f>
        <v>0</v>
      </c>
      <c r="E35" s="353" t="s">
        <v>185</v>
      </c>
      <c r="F35" s="383"/>
      <c r="G35" s="595"/>
      <c r="H35" s="471"/>
      <c r="I35" s="471"/>
      <c r="J35" s="596"/>
    </row>
    <row r="36" spans="2:10" x14ac:dyDescent="0.25">
      <c r="B36" s="430" t="str">
        <f>CONCATENATE("",E1-2,"/",E1-1,"/",E1," Budget Authority Amount:")</f>
        <v>2023/2024/2025 Budget Authority Amount:</v>
      </c>
      <c r="C36" s="429">
        <f>inputOth!B92</f>
        <v>0</v>
      </c>
      <c r="D36" s="428">
        <f>inputPrYr!D22</f>
        <v>0</v>
      </c>
      <c r="E36" s="350">
        <f>E34</f>
        <v>0</v>
      </c>
      <c r="F36" s="385"/>
      <c r="G36" s="763" t="s">
        <v>365</v>
      </c>
      <c r="H36" s="764"/>
      <c r="I36" s="764"/>
      <c r="J36" s="767" t="str">
        <f>IF(G32&gt;G31, "Yes", "No")</f>
        <v>No</v>
      </c>
    </row>
    <row r="37" spans="2:10" x14ac:dyDescent="0.25">
      <c r="B37" s="384"/>
      <c r="C37" s="748" t="s">
        <v>366</v>
      </c>
      <c r="D37" s="749"/>
      <c r="E37" s="355"/>
      <c r="F37" s="640" t="str">
        <f>IF(E34/0.95-E34&lt;E37,"Exceeds 5%","")</f>
        <v/>
      </c>
      <c r="G37" s="765"/>
      <c r="H37" s="766"/>
      <c r="I37" s="766"/>
      <c r="J37" s="768"/>
    </row>
    <row r="38" spans="2:10" x14ac:dyDescent="0.25">
      <c r="B38" s="641" t="str">
        <f>CONCATENATE(C98,"     ",D98)</f>
        <v xml:space="preserve">     </v>
      </c>
      <c r="C38" s="750" t="s">
        <v>367</v>
      </c>
      <c r="D38" s="751"/>
      <c r="E38" s="350">
        <f>E34+E37</f>
        <v>0</v>
      </c>
      <c r="F38" s="383"/>
      <c r="G38" s="769" t="str">
        <f>IF(J36="Yes", "Follow procedure prescribed by KSA 79-2988 to exceed the Revenue Neutral Rate.", " ")</f>
        <v xml:space="preserve"> </v>
      </c>
      <c r="H38" s="769"/>
      <c r="I38" s="769"/>
      <c r="J38" s="769"/>
    </row>
    <row r="39" spans="2:10" x14ac:dyDescent="0.25">
      <c r="B39" s="641" t="str">
        <f>CONCATENATE(C99,"     ",D99)</f>
        <v xml:space="preserve">     </v>
      </c>
      <c r="C39" s="388"/>
      <c r="D39" s="335" t="s">
        <v>368</v>
      </c>
      <c r="E39" s="429">
        <f>IF(E38-E23&gt;0,E38-E23,0)</f>
        <v>0</v>
      </c>
      <c r="F39" s="383"/>
      <c r="G39" s="770"/>
      <c r="H39" s="770"/>
      <c r="I39" s="770"/>
      <c r="J39" s="770"/>
    </row>
    <row r="40" spans="2:10" x14ac:dyDescent="0.25">
      <c r="B40" s="335"/>
      <c r="C40" s="621" t="s">
        <v>369</v>
      </c>
      <c r="D40" s="389">
        <f>inputOth!E85</f>
        <v>0</v>
      </c>
      <c r="E40" s="350">
        <f>ROUND(IF(D40&gt;0,(E39*D40),0),0)</f>
        <v>0</v>
      </c>
      <c r="F40" s="383"/>
      <c r="G40" s="770"/>
      <c r="H40" s="770"/>
      <c r="I40" s="770"/>
      <c r="J40" s="770"/>
    </row>
    <row r="41" spans="2:10" x14ac:dyDescent="0.25">
      <c r="B41" s="332"/>
      <c r="C41" s="771" t="str">
        <f>CONCATENATE("Amount of  ",E1-1," Ad Valorem Tax")</f>
        <v>Amount of  2024 Ad Valorem Tax</v>
      </c>
      <c r="D41" s="772"/>
      <c r="E41" s="429">
        <f>SUM(E39:E40)</f>
        <v>0</v>
      </c>
      <c r="F41" s="383"/>
    </row>
    <row r="42" spans="2:10" x14ac:dyDescent="0.25">
      <c r="B42" s="332"/>
      <c r="C42" s="771"/>
      <c r="D42" s="772"/>
      <c r="E42" s="394"/>
      <c r="F42" s="383"/>
    </row>
    <row r="43" spans="2:10" x14ac:dyDescent="0.25">
      <c r="B43" s="332"/>
      <c r="C43" s="623"/>
      <c r="D43" s="332"/>
      <c r="E43" s="332"/>
      <c r="F43" s="383"/>
    </row>
    <row r="44" spans="2:10" x14ac:dyDescent="0.25">
      <c r="B44" s="339"/>
      <c r="C44" s="339"/>
      <c r="D44" s="337"/>
      <c r="E44" s="337"/>
      <c r="F44" s="383"/>
    </row>
    <row r="45" spans="2:10" x14ac:dyDescent="0.25">
      <c r="B45" s="339" t="s">
        <v>328</v>
      </c>
      <c r="C45" s="340" t="s">
        <v>371</v>
      </c>
      <c r="D45" s="341" t="s">
        <v>372</v>
      </c>
      <c r="E45" s="342" t="s">
        <v>373</v>
      </c>
      <c r="F45" s="383"/>
    </row>
    <row r="46" spans="2:10" x14ac:dyDescent="0.25">
      <c r="B46" s="395" t="str">
        <f>inputPrYr!B23</f>
        <v>Library</v>
      </c>
      <c r="C46" s="344" t="str">
        <f>CONCATENATE("Actual for ",$E$1-2,"")</f>
        <v>Actual for 2023</v>
      </c>
      <c r="D46" s="345" t="str">
        <f>CONCATENATE("Estimate for ",$E$1-1,"")</f>
        <v>Estimate for 2024</v>
      </c>
      <c r="E46" s="346" t="str">
        <f>CONCATENATE("Year for ",$E$1,"")</f>
        <v>Year for 2025</v>
      </c>
      <c r="F46" s="383"/>
    </row>
    <row r="47" spans="2:10" x14ac:dyDescent="0.25">
      <c r="B47" s="347" t="s">
        <v>374</v>
      </c>
      <c r="C47" s="352">
        <v>0</v>
      </c>
      <c r="D47" s="349">
        <f>C76</f>
        <v>0</v>
      </c>
      <c r="E47" s="350">
        <f>D76</f>
        <v>0</v>
      </c>
      <c r="F47" s="383"/>
    </row>
    <row r="48" spans="2:10" x14ac:dyDescent="0.25">
      <c r="B48" s="396" t="s">
        <v>332</v>
      </c>
      <c r="C48" s="347"/>
      <c r="D48" s="349"/>
      <c r="E48" s="350"/>
      <c r="F48" s="383"/>
    </row>
    <row r="49" spans="2:11" x14ac:dyDescent="0.25">
      <c r="B49" s="347" t="s">
        <v>96</v>
      </c>
      <c r="C49" s="360"/>
      <c r="D49" s="349">
        <f>IF(inputPrYr!H22&gt;0,inputPrYr!G25,inputPrYr!E23)</f>
        <v>0</v>
      </c>
      <c r="E49" s="353" t="s">
        <v>185</v>
      </c>
      <c r="F49" s="383"/>
    </row>
    <row r="50" spans="2:11" x14ac:dyDescent="0.25">
      <c r="B50" s="347" t="s">
        <v>333</v>
      </c>
      <c r="C50" s="360"/>
      <c r="D50" s="354"/>
      <c r="E50" s="355"/>
      <c r="F50" s="383"/>
    </row>
    <row r="51" spans="2:11" x14ac:dyDescent="0.25">
      <c r="B51" s="347" t="s">
        <v>334</v>
      </c>
      <c r="C51" s="360"/>
      <c r="D51" s="354"/>
      <c r="E51" s="350">
        <f>Mvalloc!D13+Mvalloc!E13</f>
        <v>0</v>
      </c>
      <c r="F51" s="383"/>
    </row>
    <row r="52" spans="2:11" x14ac:dyDescent="0.25">
      <c r="B52" s="347" t="s">
        <v>335</v>
      </c>
      <c r="C52" s="360"/>
      <c r="D52" s="354"/>
      <c r="E52" s="350">
        <f>Mvalloc!F13+Mvalloc!G13</f>
        <v>0</v>
      </c>
      <c r="F52" s="383"/>
      <c r="G52" s="775" t="str">
        <f>CONCATENATE("Desired Carryover Into ",E1+1,"")</f>
        <v>Desired Carryover Into 2026</v>
      </c>
      <c r="H52" s="776"/>
      <c r="I52" s="776"/>
      <c r="J52" s="777"/>
    </row>
    <row r="53" spans="2:11" x14ac:dyDescent="0.25">
      <c r="B53" s="356" t="s">
        <v>375</v>
      </c>
      <c r="C53" s="360"/>
      <c r="D53" s="354"/>
      <c r="E53" s="350">
        <f>Mvalloc!H13+Mvalloc!I13</f>
        <v>0</v>
      </c>
      <c r="G53" s="365"/>
      <c r="H53" s="332"/>
      <c r="I53" s="366"/>
      <c r="J53" s="367"/>
    </row>
    <row r="54" spans="2:11" x14ac:dyDescent="0.25">
      <c r="B54" s="472" t="s">
        <v>336</v>
      </c>
      <c r="C54" s="360"/>
      <c r="D54" s="354"/>
      <c r="E54" s="350">
        <f>Mvalloc!J13+Mvalloc!K13</f>
        <v>0</v>
      </c>
      <c r="G54" s="368" t="s">
        <v>343</v>
      </c>
      <c r="H54" s="366"/>
      <c r="I54" s="366"/>
      <c r="J54" s="369">
        <v>0</v>
      </c>
    </row>
    <row r="55" spans="2:11" x14ac:dyDescent="0.25">
      <c r="B55" s="472" t="s">
        <v>337</v>
      </c>
      <c r="C55" s="360"/>
      <c r="D55" s="354"/>
      <c r="E55" s="350">
        <f>Mvalloc!L13+Mvalloc!M13</f>
        <v>0</v>
      </c>
      <c r="G55" s="365" t="s">
        <v>345</v>
      </c>
      <c r="H55" s="332"/>
      <c r="I55" s="332"/>
      <c r="J55" s="370" t="str">
        <f>IF(J54=0,"",ROUND((J54+E82-G67)/inputOth!E11*1000,3)-G72)</f>
        <v/>
      </c>
    </row>
    <row r="56" spans="2:11" x14ac:dyDescent="0.25">
      <c r="B56" s="357"/>
      <c r="C56" s="360"/>
      <c r="D56" s="354"/>
      <c r="E56" s="358"/>
      <c r="G56" s="371" t="str">
        <f>CONCATENATE("",E1," Tot Exp/Non-Appr Must Be:")</f>
        <v>2025 Tot Exp/Non-Appr Must Be:</v>
      </c>
      <c r="H56" s="372"/>
      <c r="I56" s="373"/>
      <c r="J56" s="374">
        <f>IF(J54&gt;0,IF(E79&lt;E64,IF(J54=G67,E79,((J54-G67)*(1-D81))+E64),E79+(J54-G67)),0)</f>
        <v>0</v>
      </c>
    </row>
    <row r="57" spans="2:11" x14ac:dyDescent="0.25">
      <c r="B57" s="357"/>
      <c r="C57" s="360"/>
      <c r="D57" s="354"/>
      <c r="E57" s="355"/>
      <c r="G57" s="375" t="s">
        <v>347</v>
      </c>
      <c r="H57" s="376"/>
      <c r="I57" s="376"/>
      <c r="J57" s="377">
        <f>IF(J54&gt;0,J56-E79,0)</f>
        <v>0</v>
      </c>
    </row>
    <row r="58" spans="2:11" x14ac:dyDescent="0.25">
      <c r="B58" s="357"/>
      <c r="C58" s="360"/>
      <c r="D58" s="354"/>
      <c r="E58" s="355"/>
    </row>
    <row r="59" spans="2:11" x14ac:dyDescent="0.25">
      <c r="B59" s="359" t="s">
        <v>339</v>
      </c>
      <c r="C59" s="360"/>
      <c r="D59" s="354"/>
      <c r="E59" s="355"/>
      <c r="G59" s="775" t="str">
        <f>CONCATENATE("Projected Carryover Into ",E1+1,"")</f>
        <v>Projected Carryover Into 2026</v>
      </c>
      <c r="H59" s="778"/>
      <c r="I59" s="778"/>
      <c r="J59" s="779"/>
    </row>
    <row r="60" spans="2:11" x14ac:dyDescent="0.25">
      <c r="B60" s="356" t="s">
        <v>191</v>
      </c>
      <c r="C60" s="360"/>
      <c r="D60" s="354"/>
      <c r="E60" s="350">
        <f>'NR Rebate'!E8*-1</f>
        <v>0</v>
      </c>
      <c r="G60" s="398"/>
      <c r="H60" s="332"/>
      <c r="I60" s="332"/>
      <c r="J60" s="399"/>
    </row>
    <row r="61" spans="2:11" x14ac:dyDescent="0.25">
      <c r="B61" s="347" t="s">
        <v>340</v>
      </c>
      <c r="C61" s="360"/>
      <c r="D61" s="360"/>
      <c r="E61" s="397"/>
      <c r="G61" s="380">
        <f>D76</f>
        <v>0</v>
      </c>
      <c r="H61" s="381" t="str">
        <f>CONCATENATE("",E1-1," Ending Cash Balance (est.)")</f>
        <v>2024 Ending Cash Balance (est.)</v>
      </c>
      <c r="I61" s="382"/>
      <c r="J61" s="399"/>
    </row>
    <row r="62" spans="2:11" x14ac:dyDescent="0.25">
      <c r="B62" s="347" t="s">
        <v>376</v>
      </c>
      <c r="C62" s="361" t="str">
        <f>IF(C63*0.1&lt;C61,"Exceed 10% Rule","")</f>
        <v/>
      </c>
      <c r="D62" s="361" t="str">
        <f>IF(D63*0.1&lt;D61,"Exceeds 10% Rule","")</f>
        <v/>
      </c>
      <c r="E62" s="362" t="str">
        <f>IF((E82+E63)*0.1&lt;E61,"Exceed 10% Rule","")</f>
        <v/>
      </c>
      <c r="G62" s="380">
        <f>E63</f>
        <v>0</v>
      </c>
      <c r="H62" s="366" t="str">
        <f>CONCATENATE("",E1," Non-AV Receipts (est.)")</f>
        <v>2025 Non-AV Receipts (est.)</v>
      </c>
      <c r="I62" s="382"/>
      <c r="J62" s="399"/>
    </row>
    <row r="63" spans="2:11" x14ac:dyDescent="0.25">
      <c r="B63" s="363" t="s">
        <v>342</v>
      </c>
      <c r="C63" s="364">
        <f>SUM(C49:C61)</f>
        <v>0</v>
      </c>
      <c r="D63" s="364">
        <f>SUM(D49:D61)</f>
        <v>0</v>
      </c>
      <c r="E63" s="364">
        <f>SUM(E50:E61)</f>
        <v>0</v>
      </c>
      <c r="G63" s="386">
        <f>IF(E81&gt;0,E80,E82)</f>
        <v>0</v>
      </c>
      <c r="H63" s="366" t="str">
        <f>CONCATENATE("",E1," Ad Valorem Tax (est.)")</f>
        <v>2025 Ad Valorem Tax (est.)</v>
      </c>
      <c r="I63" s="366"/>
      <c r="J63" s="399"/>
      <c r="K63" s="639" t="str">
        <f>IF(G63=E82,"","Note: Does not include Delinquent Taxes")</f>
        <v/>
      </c>
    </row>
    <row r="64" spans="2:11" x14ac:dyDescent="0.25">
      <c r="B64" s="363" t="s">
        <v>344</v>
      </c>
      <c r="C64" s="364">
        <f>C47+C63</f>
        <v>0</v>
      </c>
      <c r="D64" s="364">
        <f>D47+D63</f>
        <v>0</v>
      </c>
      <c r="E64" s="364">
        <f>E47+E63</f>
        <v>0</v>
      </c>
      <c r="G64" s="400">
        <f>SUM(G61:G63)</f>
        <v>0</v>
      </c>
      <c r="H64" s="366" t="str">
        <f>CONCATENATE("Total ",E1," Resources Available")</f>
        <v>Total 2025 Resources Available</v>
      </c>
      <c r="I64" s="401"/>
      <c r="J64" s="399"/>
    </row>
    <row r="65" spans="2:10" x14ac:dyDescent="0.25">
      <c r="B65" s="347" t="s">
        <v>346</v>
      </c>
      <c r="C65" s="347"/>
      <c r="D65" s="349"/>
      <c r="E65" s="350"/>
      <c r="G65" s="402"/>
      <c r="H65" s="403"/>
      <c r="I65" s="332"/>
      <c r="J65" s="399"/>
    </row>
    <row r="66" spans="2:10" x14ac:dyDescent="0.25">
      <c r="B66" s="357"/>
      <c r="C66" s="352"/>
      <c r="D66" s="354"/>
      <c r="E66" s="355"/>
      <c r="G66" s="386">
        <f>ROUND(C75*0.05+C75,0)</f>
        <v>0</v>
      </c>
      <c r="H66" s="366" t="str">
        <f>CONCATENATE("Less ",E1-2," Expenditures + 5%")</f>
        <v>Less 2023 Expenditures + 5%</v>
      </c>
      <c r="I66" s="401"/>
      <c r="J66" s="399"/>
    </row>
    <row r="67" spans="2:10" x14ac:dyDescent="0.25">
      <c r="B67" s="357"/>
      <c r="C67" s="352"/>
      <c r="D67" s="354"/>
      <c r="E67" s="355"/>
      <c r="G67" s="390">
        <f>G64-G66</f>
        <v>0</v>
      </c>
      <c r="H67" s="391" t="str">
        <f>CONCATENATE("Projected ",E1+1," carryover (est.)")</f>
        <v>Projected 2026 carryover (est.)</v>
      </c>
      <c r="I67" s="404"/>
      <c r="J67" s="405"/>
    </row>
    <row r="68" spans="2:10" x14ac:dyDescent="0.25">
      <c r="B68" s="357"/>
      <c r="C68" s="352"/>
      <c r="D68" s="354"/>
      <c r="E68" s="355"/>
    </row>
    <row r="69" spans="2:10" x14ac:dyDescent="0.25">
      <c r="B69" s="357"/>
      <c r="C69" s="352"/>
      <c r="D69" s="354"/>
      <c r="E69" s="355"/>
      <c r="G69" s="757" t="s">
        <v>355</v>
      </c>
      <c r="H69" s="758"/>
      <c r="I69" s="758"/>
      <c r="J69" s="759"/>
    </row>
    <row r="70" spans="2:10" x14ac:dyDescent="0.25">
      <c r="B70" s="357"/>
      <c r="C70" s="352"/>
      <c r="D70" s="354"/>
      <c r="E70" s="355"/>
      <c r="G70" s="760"/>
      <c r="H70" s="761"/>
      <c r="I70" s="761"/>
      <c r="J70" s="762"/>
    </row>
    <row r="71" spans="2:10" x14ac:dyDescent="0.25">
      <c r="B71" s="357"/>
      <c r="C71" s="352"/>
      <c r="D71" s="354"/>
      <c r="E71" s="355"/>
      <c r="G71" s="587" t="str">
        <f>'Budget Hearing Notice'!H20</f>
        <v xml:space="preserve"> </v>
      </c>
      <c r="H71" s="588" t="str">
        <f>CONCATENATE("",2023," Estimated Fund Mill Rate")</f>
        <v>2023 Estimated Fund Mill Rate</v>
      </c>
      <c r="I71" s="589"/>
      <c r="J71" s="590"/>
    </row>
    <row r="72" spans="2:10" x14ac:dyDescent="0.25">
      <c r="B72" s="357"/>
      <c r="C72" s="352"/>
      <c r="D72" s="354"/>
      <c r="E72" s="355"/>
      <c r="F72" s="383"/>
      <c r="G72" s="591" t="str">
        <f>'Budget Hearing Notice'!E20</f>
        <v xml:space="preserve">  </v>
      </c>
      <c r="H72" s="588" t="str">
        <f>CONCATENATE("",2023-1," Fund Mill Rate")</f>
        <v>2022 Fund Mill Rate</v>
      </c>
      <c r="I72" s="589"/>
      <c r="J72" s="590"/>
    </row>
    <row r="73" spans="2:10" x14ac:dyDescent="0.25">
      <c r="B73" s="356" t="s">
        <v>340</v>
      </c>
      <c r="C73" s="360"/>
      <c r="D73" s="354"/>
      <c r="E73" s="355"/>
      <c r="F73" s="383"/>
      <c r="G73" s="592">
        <f>inputOth!E36</f>
        <v>0</v>
      </c>
      <c r="H73" s="593" t="s">
        <v>359</v>
      </c>
      <c r="I73" s="589"/>
      <c r="J73" s="590"/>
    </row>
    <row r="74" spans="2:10" x14ac:dyDescent="0.25">
      <c r="B74" s="356" t="s">
        <v>362</v>
      </c>
      <c r="C74" s="361" t="str">
        <f>IF(C75*0.1&lt;C73,"Exceed 10% Rule","")</f>
        <v/>
      </c>
      <c r="D74" s="361" t="str">
        <f>IF(D75*0.1&lt;D73,"Exceed 10% Rule","")</f>
        <v/>
      </c>
      <c r="E74" s="362" t="str">
        <f>IF(E75*0.1&lt;E73,"Exceed 10% Rule","")</f>
        <v/>
      </c>
      <c r="F74" s="383"/>
      <c r="G74" s="592">
        <f>SUM('Budget Hearing Notice'!H18:H20,'Budget Hearing Notice'!H25:H29)</f>
        <v>0</v>
      </c>
      <c r="H74" s="593" t="s">
        <v>361</v>
      </c>
      <c r="I74" s="589"/>
      <c r="J74" s="590"/>
    </row>
    <row r="75" spans="2:10" x14ac:dyDescent="0.25">
      <c r="B75" s="363" t="s">
        <v>363</v>
      </c>
      <c r="C75" s="364">
        <f>SUM(C66:C73)</f>
        <v>0</v>
      </c>
      <c r="D75" s="364">
        <f>SUM(D66:D73)</f>
        <v>0</v>
      </c>
      <c r="E75" s="364">
        <f>SUM(E66:E73)</f>
        <v>0</v>
      </c>
      <c r="F75" s="383"/>
      <c r="G75" s="587">
        <f>'Budget Hearing Notice'!H36</f>
        <v>0</v>
      </c>
      <c r="H75" s="588" t="str">
        <f>CONCATENATE(2023," Estimated Total Mill Rate")</f>
        <v>2023 Estimated Total Mill Rate</v>
      </c>
      <c r="I75" s="589"/>
      <c r="J75" s="590"/>
    </row>
    <row r="76" spans="2:10" x14ac:dyDescent="0.25">
      <c r="B76" s="347" t="s">
        <v>364</v>
      </c>
      <c r="C76" s="350">
        <f>C64-C75</f>
        <v>0</v>
      </c>
      <c r="D76" s="350">
        <f>D64-D75</f>
        <v>0</v>
      </c>
      <c r="E76" s="353" t="s">
        <v>185</v>
      </c>
      <c r="F76" s="383"/>
      <c r="G76" s="594">
        <f>'Budget Hearing Notice'!E36</f>
        <v>0</v>
      </c>
      <c r="H76" s="588" t="str">
        <f>CONCATENATE(2023-1," Total Mill Rate")</f>
        <v>2022 Total Mill Rate</v>
      </c>
      <c r="I76" s="589"/>
      <c r="J76" s="590"/>
    </row>
    <row r="77" spans="2:10" x14ac:dyDescent="0.25">
      <c r="B77" s="430" t="str">
        <f>CONCATENATE("",E1-2,"/",E1-1,"/",E1," Budget Authority Amount:")</f>
        <v>2023/2024/2025 Budget Authority Amount:</v>
      </c>
      <c r="C77" s="429">
        <f>inputOth!B93</f>
        <v>0</v>
      </c>
      <c r="D77" s="429">
        <f>inputPrYr!D23</f>
        <v>0</v>
      </c>
      <c r="E77" s="350">
        <f>E75</f>
        <v>0</v>
      </c>
      <c r="F77" s="385"/>
      <c r="G77" s="595"/>
      <c r="H77" s="471"/>
      <c r="I77" s="471"/>
      <c r="J77" s="596"/>
    </row>
    <row r="78" spans="2:10" x14ac:dyDescent="0.25">
      <c r="B78" s="384"/>
      <c r="C78" s="748" t="s">
        <v>366</v>
      </c>
      <c r="D78" s="749"/>
      <c r="E78" s="355"/>
      <c r="F78" s="642" t="str">
        <f>IF(E75/0.95-E75&lt;E78,"Exceeds 5%","")</f>
        <v/>
      </c>
      <c r="G78" s="763" t="s">
        <v>365</v>
      </c>
      <c r="H78" s="764"/>
      <c r="I78" s="764"/>
      <c r="J78" s="773" t="str">
        <f>IF(G75&gt;G73, "Yes", "No")</f>
        <v>No</v>
      </c>
    </row>
    <row r="79" spans="2:10" x14ac:dyDescent="0.25">
      <c r="B79" s="641" t="str">
        <f>CONCATENATE(C100,"     ",D100)</f>
        <v xml:space="preserve">     </v>
      </c>
      <c r="C79" s="750" t="s">
        <v>367</v>
      </c>
      <c r="D79" s="751"/>
      <c r="E79" s="350">
        <f>E75+E78</f>
        <v>0</v>
      </c>
      <c r="F79" s="383"/>
      <c r="G79" s="765"/>
      <c r="H79" s="766"/>
      <c r="I79" s="766"/>
      <c r="J79" s="774"/>
    </row>
    <row r="80" spans="2:10" x14ac:dyDescent="0.25">
      <c r="B80" s="641" t="str">
        <f>CONCATENATE(C101,"     ",D101)</f>
        <v xml:space="preserve">     </v>
      </c>
      <c r="C80" s="388"/>
      <c r="D80" s="335" t="s">
        <v>368</v>
      </c>
      <c r="E80" s="350">
        <f>IF(E79-E64&gt;0,E79-E64,0)</f>
        <v>0</v>
      </c>
      <c r="F80" s="383"/>
      <c r="G80" s="769" t="str">
        <f>IF(J78="Yes", "Follow procedure prescribed by KSA 79-2988 to exceed the Revenue Neutral Rate.", " ")</f>
        <v xml:space="preserve"> </v>
      </c>
      <c r="H80" s="769"/>
      <c r="I80" s="769"/>
      <c r="J80" s="769"/>
    </row>
    <row r="81" spans="2:10" x14ac:dyDescent="0.25">
      <c r="B81" s="335"/>
      <c r="C81" s="621" t="s">
        <v>369</v>
      </c>
      <c r="D81" s="389">
        <f>inputOth!E85</f>
        <v>0</v>
      </c>
      <c r="E81" s="350">
        <f>ROUND(IF(E80&gt;0,(E80*D81),0),0)</f>
        <v>0</v>
      </c>
      <c r="F81" s="383"/>
      <c r="G81" s="770"/>
      <c r="H81" s="770"/>
      <c r="I81" s="770"/>
      <c r="J81" s="770"/>
    </row>
    <row r="82" spans="2:10" x14ac:dyDescent="0.25">
      <c r="B82" s="332"/>
      <c r="C82" s="771" t="str">
        <f>CONCATENATE("Amount of  ",E1-1," Ad Valorem Tax")</f>
        <v>Amount of  2024 Ad Valorem Tax</v>
      </c>
      <c r="D82" s="772"/>
      <c r="E82" s="350">
        <f>E80+E81</f>
        <v>0</v>
      </c>
      <c r="F82" s="643" t="str">
        <f>IF('Library Grant'!F33="","",IF('Library Grant'!F33="Qualify","Qualifies for State Library Grant","See 'Library Grant' tab"))</f>
        <v>Qualifies for State Library Grant</v>
      </c>
      <c r="G82" s="770"/>
      <c r="H82" s="770"/>
      <c r="I82" s="770"/>
      <c r="J82" s="770"/>
    </row>
    <row r="83" spans="2:10" x14ac:dyDescent="0.25">
      <c r="B83" s="335"/>
      <c r="C83" s="771"/>
      <c r="D83" s="772"/>
      <c r="E83" s="394"/>
      <c r="F83" s="383"/>
    </row>
    <row r="84" spans="2:10" x14ac:dyDescent="0.25">
      <c r="B84" s="513" t="s">
        <v>203</v>
      </c>
      <c r="C84" s="514"/>
      <c r="D84" s="514"/>
      <c r="E84" s="515"/>
    </row>
    <row r="85" spans="2:10" x14ac:dyDescent="0.25">
      <c r="B85" s="516"/>
      <c r="C85" s="517"/>
      <c r="D85" s="517"/>
      <c r="E85" s="518"/>
      <c r="F85" s="383"/>
    </row>
    <row r="86" spans="2:10" x14ac:dyDescent="0.25">
      <c r="B86" s="519"/>
      <c r="C86" s="520"/>
      <c r="D86" s="520"/>
      <c r="E86" s="521"/>
    </row>
    <row r="87" spans="2:10" x14ac:dyDescent="0.25">
      <c r="B87" s="335"/>
      <c r="C87" s="335"/>
      <c r="D87" s="335"/>
      <c r="E87" s="335"/>
    </row>
    <row r="88" spans="2:10" x14ac:dyDescent="0.25">
      <c r="B88" s="335" t="s">
        <v>370</v>
      </c>
      <c r="C88" s="462"/>
      <c r="D88" s="335"/>
      <c r="E88" s="335"/>
    </row>
    <row r="93" spans="2:10" x14ac:dyDescent="0.25">
      <c r="C93" s="406" t="s">
        <v>377</v>
      </c>
      <c r="D93" s="406" t="s">
        <v>377</v>
      </c>
    </row>
    <row r="94" spans="2:10" x14ac:dyDescent="0.25">
      <c r="C94" s="406" t="s">
        <v>377</v>
      </c>
      <c r="D94" s="406" t="s">
        <v>377</v>
      </c>
    </row>
    <row r="95" spans="2:10" hidden="1" x14ac:dyDescent="0.25"/>
    <row r="96" spans="2:10" hidden="1" x14ac:dyDescent="0.25">
      <c r="C96" s="406" t="s">
        <v>377</v>
      </c>
      <c r="D96" s="406" t="s">
        <v>377</v>
      </c>
    </row>
    <row r="97" spans="3:4" hidden="1" x14ac:dyDescent="0.25">
      <c r="C97" s="406" t="s">
        <v>377</v>
      </c>
      <c r="D97" s="406" t="s">
        <v>377</v>
      </c>
    </row>
    <row r="98" spans="3:4" hidden="1" x14ac:dyDescent="0.25">
      <c r="C98" s="644" t="str">
        <f>IF(C34&gt;C36,"See Tab A","")</f>
        <v/>
      </c>
      <c r="D98" s="644" t="str">
        <f>IF(D34&gt;D36,"See Tab C","")</f>
        <v/>
      </c>
    </row>
    <row r="99" spans="3:4" x14ac:dyDescent="0.25">
      <c r="C99" s="644" t="str">
        <f>IF(C35&lt;0,"See Tab B","")</f>
        <v/>
      </c>
      <c r="D99" s="644" t="str">
        <f>IF(D35&lt;0,"See Tab D","")</f>
        <v/>
      </c>
    </row>
    <row r="100" spans="3:4" x14ac:dyDescent="0.25">
      <c r="C100" s="645" t="str">
        <f>IF(C75&gt;C77,"See Tab A","")</f>
        <v/>
      </c>
      <c r="D100" s="645" t="str">
        <f>IF(D75&gt;D77,"See Tab C","")</f>
        <v/>
      </c>
    </row>
    <row r="101" spans="3:4" x14ac:dyDescent="0.25">
      <c r="C101" s="645" t="str">
        <f>IF(C76&lt;0,"See Tab B","")</f>
        <v/>
      </c>
      <c r="D101" s="645" t="str">
        <f>IF(D76&lt;0,"See Tab D","")</f>
        <v/>
      </c>
    </row>
  </sheetData>
  <sheetProtection sheet="1" objects="1" scenarios="1"/>
  <mergeCells count="20">
    <mergeCell ref="G10:J10"/>
    <mergeCell ref="G17:J17"/>
    <mergeCell ref="C37:D37"/>
    <mergeCell ref="C38:D38"/>
    <mergeCell ref="C41:D41"/>
    <mergeCell ref="C79:D79"/>
    <mergeCell ref="C82:D82"/>
    <mergeCell ref="C83:D83"/>
    <mergeCell ref="G27:J28"/>
    <mergeCell ref="G36:I37"/>
    <mergeCell ref="J36:J37"/>
    <mergeCell ref="G38:J40"/>
    <mergeCell ref="G69:J70"/>
    <mergeCell ref="G78:I79"/>
    <mergeCell ref="J78:J79"/>
    <mergeCell ref="G80:J82"/>
    <mergeCell ref="C42:D42"/>
    <mergeCell ref="G52:J52"/>
    <mergeCell ref="G59:J59"/>
    <mergeCell ref="C78:D78"/>
  </mergeCells>
  <conditionalFormatting sqref="C20 C61:E61">
    <cfRule type="cellIs" dxfId="180" priority="19" stopIfTrue="1" operator="greaterThan">
      <formula>$C$22*0.1</formula>
    </cfRule>
  </conditionalFormatting>
  <conditionalFormatting sqref="C32">
    <cfRule type="cellIs" dxfId="179" priority="22" stopIfTrue="1" operator="greaterThan">
      <formula>$C$34*0.1</formula>
    </cfRule>
  </conditionalFormatting>
  <conditionalFormatting sqref="C34">
    <cfRule type="expression" dxfId="178" priority="8">
      <formula>$C$34&gt;$C$36</formula>
    </cfRule>
  </conditionalFormatting>
  <conditionalFormatting sqref="C35">
    <cfRule type="expression" dxfId="177" priority="6">
      <formula>$C$35&lt;0</formula>
    </cfRule>
  </conditionalFormatting>
  <conditionalFormatting sqref="C73">
    <cfRule type="cellIs" dxfId="176" priority="16" stopIfTrue="1" operator="greaterThan">
      <formula>$C$75*0.1</formula>
    </cfRule>
  </conditionalFormatting>
  <conditionalFormatting sqref="C75">
    <cfRule type="expression" dxfId="175" priority="4">
      <formula>$C$75&gt;$C$77</formula>
    </cfRule>
  </conditionalFormatting>
  <conditionalFormatting sqref="C76">
    <cfRule type="expression" dxfId="174" priority="3">
      <formula>$C$76&lt;0</formula>
    </cfRule>
  </conditionalFormatting>
  <conditionalFormatting sqref="D20">
    <cfRule type="cellIs" dxfId="173" priority="18" stopIfTrue="1" operator="greaterThan">
      <formula>$D$22*0.1</formula>
    </cfRule>
  </conditionalFormatting>
  <conditionalFormatting sqref="D32">
    <cfRule type="cellIs" dxfId="172" priority="21" stopIfTrue="1" operator="greaterThan">
      <formula>$D$34*0.1</formula>
    </cfRule>
  </conditionalFormatting>
  <conditionalFormatting sqref="D34">
    <cfRule type="expression" dxfId="171" priority="7">
      <formula>$D$34&gt;$D$36</formula>
    </cfRule>
  </conditionalFormatting>
  <conditionalFormatting sqref="D35">
    <cfRule type="expression" dxfId="170" priority="5">
      <formula>$D$35&lt;0</formula>
    </cfRule>
  </conditionalFormatting>
  <conditionalFormatting sqref="D73">
    <cfRule type="cellIs" dxfId="169" priority="15" stopIfTrue="1" operator="greaterThan">
      <formula>$D$75*0.1</formula>
    </cfRule>
  </conditionalFormatting>
  <conditionalFormatting sqref="D75">
    <cfRule type="expression" dxfId="168" priority="2">
      <formula>$D$75&gt;$D$77</formula>
    </cfRule>
  </conditionalFormatting>
  <conditionalFormatting sqref="D76">
    <cfRule type="expression" dxfId="167" priority="1">
      <formula>$D$76&lt;0</formula>
    </cfRule>
  </conditionalFormatting>
  <conditionalFormatting sqref="E20">
    <cfRule type="cellIs" dxfId="166" priority="36" stopIfTrue="1" operator="greaterThan">
      <formula>$E$22*0.1+$E$41</formula>
    </cfRule>
  </conditionalFormatting>
  <conditionalFormatting sqref="E32">
    <cfRule type="cellIs" dxfId="165" priority="20" stopIfTrue="1" operator="greaterThan">
      <formula>$E$34*0.1</formula>
    </cfRule>
  </conditionalFormatting>
  <conditionalFormatting sqref="E37">
    <cfRule type="cellIs" dxfId="164" priority="13" stopIfTrue="1" operator="greaterThan">
      <formula>$E$34/0.95-$E$34</formula>
    </cfRule>
  </conditionalFormatting>
  <conditionalFormatting sqref="E73">
    <cfRule type="cellIs" dxfId="163" priority="14" stopIfTrue="1" operator="greaterThan">
      <formula>$E$75*0.1</formula>
    </cfRule>
  </conditionalFormatting>
  <conditionalFormatting sqref="E78">
    <cfRule type="cellIs" dxfId="162" priority="12" stopIfTrue="1" operator="greaterThan">
      <formula>$E$75/0.98-$E$75</formula>
    </cfRule>
  </conditionalFormatting>
  <conditionalFormatting sqref="J36">
    <cfRule type="containsText" dxfId="161" priority="11" operator="containsText" text="Yes">
      <formula>NOT(ISERROR(SEARCH("Yes",J36)))</formula>
    </cfRule>
  </conditionalFormatting>
  <conditionalFormatting sqref="J78">
    <cfRule type="containsText" dxfId="160" priority="10" operator="containsText" text="Yes">
      <formula>NOT(ISERROR(SEARCH("Yes",J78)))</formula>
    </cfRule>
  </conditionalFormatting>
  <pageMargins left="0.75" right="0.75" top="1" bottom="1" header="0.5" footer="0.5"/>
  <pageSetup scale="53"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F0"/>
    <pageSetUpPr fitToPage="1"/>
  </sheetPr>
  <dimension ref="B1:K77"/>
  <sheetViews>
    <sheetView zoomScaleNormal="100" workbookViewId="0">
      <selection activeCell="F1" sqref="F1"/>
    </sheetView>
  </sheetViews>
  <sheetFormatPr defaultRowHeight="15.75" x14ac:dyDescent="0.25"/>
  <cols>
    <col min="1" max="1" width="2.3984375" style="99" customWidth="1"/>
    <col min="2" max="2" width="31" style="99" customWidth="1"/>
    <col min="3" max="4" width="15.69921875" style="99" customWidth="1"/>
    <col min="5" max="5" width="12.69921875" style="99" customWidth="1"/>
    <col min="6" max="6" width="7.296875" style="99" customWidth="1"/>
    <col min="7" max="7" width="9.19921875" style="99" customWidth="1"/>
    <col min="8" max="8" width="8.796875" style="99"/>
    <col min="9" max="9" width="4.5" style="99" customWidth="1"/>
    <col min="10" max="10" width="9" style="99" customWidth="1"/>
    <col min="11" max="16384" width="8.796875" style="99"/>
  </cols>
  <sheetData>
    <row r="1" spans="2:5" x14ac:dyDescent="0.25">
      <c r="B1" s="72">
        <f>inputPrYr!D4</f>
        <v>0</v>
      </c>
      <c r="C1" s="35"/>
      <c r="D1" s="35"/>
      <c r="E1" s="140">
        <f>inputPrYr!D10</f>
        <v>2025</v>
      </c>
    </row>
    <row r="2" spans="2:5" x14ac:dyDescent="0.25">
      <c r="B2" s="288" t="s">
        <v>327</v>
      </c>
      <c r="C2" s="35"/>
      <c r="D2" s="133"/>
      <c r="E2" s="37"/>
    </row>
    <row r="3" spans="2:5" x14ac:dyDescent="0.25">
      <c r="B3" s="39" t="s">
        <v>328</v>
      </c>
      <c r="C3" s="38"/>
      <c r="D3" s="38"/>
      <c r="E3" s="38"/>
    </row>
    <row r="4" spans="2:5" x14ac:dyDescent="0.25">
      <c r="B4" s="35"/>
      <c r="C4" s="238" t="s">
        <v>329</v>
      </c>
      <c r="D4" s="241" t="s">
        <v>276</v>
      </c>
      <c r="E4" s="625" t="s">
        <v>330</v>
      </c>
    </row>
    <row r="5" spans="2:5" x14ac:dyDescent="0.25">
      <c r="B5" s="246" t="str">
        <f>inputPrYr!B24</f>
        <v>Road</v>
      </c>
      <c r="C5" s="239" t="str">
        <f>General!C5</f>
        <v>Actual for 2023</v>
      </c>
      <c r="D5" s="239" t="str">
        <f>General!D5</f>
        <v>Estimate for 2024</v>
      </c>
      <c r="E5" s="626" t="str">
        <f>General!E5</f>
        <v>Year for 2025</v>
      </c>
    </row>
    <row r="6" spans="2:5" x14ac:dyDescent="0.25">
      <c r="B6" s="43" t="s">
        <v>331</v>
      </c>
      <c r="C6" s="192"/>
      <c r="D6" s="240">
        <f>C44</f>
        <v>0</v>
      </c>
      <c r="E6" s="157">
        <f>D44</f>
        <v>0</v>
      </c>
    </row>
    <row r="7" spans="2:5" x14ac:dyDescent="0.25">
      <c r="B7" s="43" t="s">
        <v>332</v>
      </c>
      <c r="C7" s="240"/>
      <c r="D7" s="240"/>
      <c r="E7" s="194"/>
    </row>
    <row r="8" spans="2:5" x14ac:dyDescent="0.25">
      <c r="B8" s="43" t="s">
        <v>96</v>
      </c>
      <c r="C8" s="192"/>
      <c r="D8" s="240">
        <f>IF(inputPrYr!H22&gt;0,inputPrYr!G26,inputPrYr!E24)</f>
        <v>0</v>
      </c>
      <c r="E8" s="194" t="s">
        <v>185</v>
      </c>
    </row>
    <row r="9" spans="2:5" x14ac:dyDescent="0.25">
      <c r="B9" s="43" t="s">
        <v>333</v>
      </c>
      <c r="C9" s="192"/>
      <c r="D9" s="192"/>
      <c r="E9" s="106"/>
    </row>
    <row r="10" spans="2:5" x14ac:dyDescent="0.25">
      <c r="B10" s="43" t="s">
        <v>334</v>
      </c>
      <c r="C10" s="192"/>
      <c r="D10" s="192"/>
      <c r="E10" s="157">
        <f>Mvalloc!D14</f>
        <v>0</v>
      </c>
    </row>
    <row r="11" spans="2:5" x14ac:dyDescent="0.25">
      <c r="B11" s="43" t="s">
        <v>335</v>
      </c>
      <c r="C11" s="192"/>
      <c r="D11" s="192"/>
      <c r="E11" s="157">
        <f>Mvalloc!F14</f>
        <v>0</v>
      </c>
    </row>
    <row r="12" spans="2:5" x14ac:dyDescent="0.25">
      <c r="B12" s="43" t="s">
        <v>375</v>
      </c>
      <c r="C12" s="192"/>
      <c r="D12" s="192"/>
      <c r="E12" s="157">
        <f>Mvalloc!H14</f>
        <v>0</v>
      </c>
    </row>
    <row r="13" spans="2:5" x14ac:dyDescent="0.25">
      <c r="B13" s="472" t="s">
        <v>336</v>
      </c>
      <c r="C13" s="192"/>
      <c r="D13" s="192"/>
      <c r="E13" s="157">
        <f>Mvalloc!J14</f>
        <v>0</v>
      </c>
    </row>
    <row r="14" spans="2:5" x14ac:dyDescent="0.25">
      <c r="B14" s="472" t="s">
        <v>337</v>
      </c>
      <c r="C14" s="192"/>
      <c r="D14" s="192"/>
      <c r="E14" s="157">
        <f>Mvalloc!L14</f>
        <v>0</v>
      </c>
    </row>
    <row r="15" spans="2:5" x14ac:dyDescent="0.25">
      <c r="B15" s="43" t="s">
        <v>139</v>
      </c>
      <c r="C15" s="192"/>
      <c r="D15" s="192"/>
      <c r="E15" s="157">
        <f>inputOth!E80</f>
        <v>0</v>
      </c>
    </row>
    <row r="16" spans="2:5" x14ac:dyDescent="0.25">
      <c r="B16" s="197"/>
      <c r="C16" s="192"/>
      <c r="D16" s="192"/>
      <c r="E16" s="106"/>
    </row>
    <row r="17" spans="2:11" x14ac:dyDescent="0.25">
      <c r="B17" s="197"/>
      <c r="C17" s="192"/>
      <c r="D17" s="192"/>
      <c r="E17" s="106"/>
    </row>
    <row r="18" spans="2:11" x14ac:dyDescent="0.25">
      <c r="B18" s="197"/>
      <c r="C18" s="192"/>
      <c r="D18" s="192"/>
      <c r="E18" s="106"/>
      <c r="G18" s="754" t="str">
        <f>CONCATENATE("Desired Carryover Into ",E1+1,"")</f>
        <v>Desired Carryover Into 2026</v>
      </c>
      <c r="H18" s="755"/>
      <c r="I18" s="755"/>
      <c r="J18" s="756"/>
    </row>
    <row r="19" spans="2:11" x14ac:dyDescent="0.25">
      <c r="B19" s="197"/>
      <c r="C19" s="192"/>
      <c r="D19" s="192"/>
      <c r="E19" s="106"/>
      <c r="G19" s="252"/>
      <c r="H19" s="35"/>
      <c r="I19" s="292"/>
      <c r="J19" s="253"/>
    </row>
    <row r="20" spans="2:11" x14ac:dyDescent="0.25">
      <c r="B20" s="197" t="s">
        <v>339</v>
      </c>
      <c r="C20" s="192"/>
      <c r="D20" s="192"/>
      <c r="E20" s="106"/>
      <c r="G20" s="254" t="s">
        <v>343</v>
      </c>
      <c r="H20" s="292"/>
      <c r="I20" s="292"/>
      <c r="J20" s="255">
        <v>0</v>
      </c>
    </row>
    <row r="21" spans="2:11" x14ac:dyDescent="0.25">
      <c r="B21" s="195" t="s">
        <v>191</v>
      </c>
      <c r="C21" s="192"/>
      <c r="D21" s="192"/>
      <c r="E21" s="427">
        <f>'NR Rebate'!E9*-1</f>
        <v>0</v>
      </c>
      <c r="G21" s="252" t="s">
        <v>345</v>
      </c>
      <c r="H21" s="35"/>
      <c r="I21" s="35"/>
      <c r="J21" s="409" t="str">
        <f>IF(J20=0,"",ROUND((J20+E50-G33)/inputOth!E11*1000,3)-G38)</f>
        <v/>
      </c>
    </row>
    <row r="22" spans="2:11" x14ac:dyDescent="0.25">
      <c r="B22" s="198" t="s">
        <v>340</v>
      </c>
      <c r="C22" s="192"/>
      <c r="D22" s="192"/>
      <c r="E22" s="106"/>
      <c r="G22" s="410" t="str">
        <f>CONCATENATE("",E1," Tot Exp/Non-Appr Must Be:")</f>
        <v>2025 Tot Exp/Non-Appr Must Be:</v>
      </c>
      <c r="H22" s="285"/>
      <c r="I22" s="407"/>
      <c r="J22" s="411">
        <f>IF(J20&gt;0,IF(E47&lt;E25,IF(J20=G33,E47,((J20-G33)*(1-D49))+E25),E47+(J20-G33)),0)</f>
        <v>0</v>
      </c>
    </row>
    <row r="23" spans="2:11" x14ac:dyDescent="0.25">
      <c r="B23" s="198" t="s">
        <v>341</v>
      </c>
      <c r="C23" s="242" t="str">
        <f>IF(C24*0.1&lt;C22,"Exceed 10% Rule","")</f>
        <v/>
      </c>
      <c r="D23" s="242" t="str">
        <f>IF(D24*0.1&lt;D22,"Exceed 10% Rule","")</f>
        <v/>
      </c>
      <c r="E23" s="201" t="str">
        <f>IF((E50+E24)*0.1&lt;E22,"Exceed 10% Rule","")</f>
        <v/>
      </c>
      <c r="G23" s="412" t="s">
        <v>347</v>
      </c>
      <c r="H23" s="413"/>
      <c r="I23" s="413"/>
      <c r="J23" s="414">
        <f>IF(J20&gt;0,J22-E47,0)</f>
        <v>0</v>
      </c>
    </row>
    <row r="24" spans="2:11" x14ac:dyDescent="0.25">
      <c r="B24" s="200" t="s">
        <v>342</v>
      </c>
      <c r="C24" s="206">
        <f>SUM(C8:C22)</f>
        <v>0</v>
      </c>
      <c r="D24" s="206">
        <f>SUM(D8:D22)</f>
        <v>0</v>
      </c>
      <c r="E24" s="206">
        <f>SUM(E8:E22)</f>
        <v>0</v>
      </c>
    </row>
    <row r="25" spans="2:11" x14ac:dyDescent="0.25">
      <c r="B25" s="60" t="s">
        <v>344</v>
      </c>
      <c r="C25" s="206">
        <f>C24+C6</f>
        <v>0</v>
      </c>
      <c r="D25" s="206">
        <f>D24+D6</f>
        <v>0</v>
      </c>
      <c r="E25" s="206">
        <f>E24+E6</f>
        <v>0</v>
      </c>
      <c r="G25" s="754" t="str">
        <f>CONCATENATE("Projected Carryover Into ",E1+1,"")</f>
        <v>Projected Carryover Into 2026</v>
      </c>
      <c r="H25" s="755"/>
      <c r="I25" s="755"/>
      <c r="J25" s="756"/>
    </row>
    <row r="26" spans="2:11" x14ac:dyDescent="0.25">
      <c r="B26" s="43" t="s">
        <v>346</v>
      </c>
      <c r="C26" s="240"/>
      <c r="D26" s="240"/>
      <c r="E26" s="157"/>
      <c r="G26" s="251"/>
      <c r="H26" s="35"/>
      <c r="I26" s="35"/>
      <c r="J26" s="47"/>
    </row>
    <row r="27" spans="2:11" x14ac:dyDescent="0.25">
      <c r="B27" s="197"/>
      <c r="C27" s="192"/>
      <c r="D27" s="192"/>
      <c r="E27" s="106"/>
      <c r="G27" s="289">
        <f>D44</f>
        <v>0</v>
      </c>
      <c r="H27" s="290" t="str">
        <f>CONCATENATE("",E1-1," Ending Cash Balance (est.)")</f>
        <v>2024 Ending Cash Balance (est.)</v>
      </c>
      <c r="I27" s="291"/>
      <c r="J27" s="47"/>
    </row>
    <row r="28" spans="2:11" x14ac:dyDescent="0.25">
      <c r="B28" s="197" t="s">
        <v>348</v>
      </c>
      <c r="C28" s="192"/>
      <c r="D28" s="192"/>
      <c r="E28" s="106"/>
      <c r="G28" s="289">
        <f>E24</f>
        <v>0</v>
      </c>
      <c r="H28" s="292" t="str">
        <f>CONCATENATE("",E1," Non-AV Receipts (est.)")</f>
        <v>2025 Non-AV Receipts (est.)</v>
      </c>
      <c r="I28" s="291"/>
      <c r="J28" s="47"/>
    </row>
    <row r="29" spans="2:11" x14ac:dyDescent="0.2">
      <c r="B29" s="197" t="s">
        <v>349</v>
      </c>
      <c r="C29" s="192"/>
      <c r="D29" s="192"/>
      <c r="E29" s="106"/>
      <c r="G29" s="293">
        <f>IF(D49&gt;0,E48,E50)</f>
        <v>0</v>
      </c>
      <c r="H29" s="292" t="str">
        <f>CONCATENATE("",E1," Ad Valorem Tax (est.)")</f>
        <v>2025 Ad Valorem Tax (est.)</v>
      </c>
      <c r="I29" s="292"/>
      <c r="J29" s="47"/>
      <c r="K29" s="636" t="str">
        <f>IF(G29=E50,"","Note: Does not include Delinquent Taxes")</f>
        <v/>
      </c>
    </row>
    <row r="30" spans="2:11" x14ac:dyDescent="0.25">
      <c r="B30" s="196" t="s">
        <v>350</v>
      </c>
      <c r="C30" s="192"/>
      <c r="D30" s="192"/>
      <c r="E30" s="106"/>
      <c r="G30" s="289">
        <f>SUM(G27:G29)</f>
        <v>0</v>
      </c>
      <c r="H30" s="292" t="str">
        <f>CONCATENATE("Total ",E1," Resources Available")</f>
        <v>Total 2025 Resources Available</v>
      </c>
      <c r="I30" s="291"/>
      <c r="J30" s="47"/>
    </row>
    <row r="31" spans="2:11" x14ac:dyDescent="0.25">
      <c r="B31" s="197" t="s">
        <v>378</v>
      </c>
      <c r="C31" s="192"/>
      <c r="D31" s="192"/>
      <c r="E31" s="106"/>
      <c r="G31" s="294"/>
      <c r="H31" s="292"/>
      <c r="I31" s="292"/>
      <c r="J31" s="47"/>
    </row>
    <row r="32" spans="2:11" x14ac:dyDescent="0.25">
      <c r="B32" s="197" t="s">
        <v>379</v>
      </c>
      <c r="C32" s="192"/>
      <c r="D32" s="192"/>
      <c r="E32" s="106"/>
      <c r="G32" s="293">
        <f>ROUND(C43*0.05+C43,0)</f>
        <v>0</v>
      </c>
      <c r="H32" s="292" t="str">
        <f>CONCATENATE("Less ",E1-2," Expenditures + 5%")</f>
        <v>Less 2023 Expenditures + 5%</v>
      </c>
      <c r="I32" s="291"/>
      <c r="J32" s="47"/>
    </row>
    <row r="33" spans="2:10" x14ac:dyDescent="0.25">
      <c r="B33" s="197" t="s">
        <v>352</v>
      </c>
      <c r="C33" s="192"/>
      <c r="D33" s="192"/>
      <c r="E33" s="106"/>
      <c r="G33" s="295">
        <f>G30-G32</f>
        <v>0</v>
      </c>
      <c r="H33" s="296" t="str">
        <f>CONCATENATE("Projected ",E1+1," Carryover (est.)")</f>
        <v>Projected 2026 Carryover (est.)</v>
      </c>
      <c r="I33" s="297"/>
      <c r="J33" s="298"/>
    </row>
    <row r="34" spans="2:10" x14ac:dyDescent="0.25">
      <c r="B34" s="197"/>
      <c r="C34" s="192"/>
      <c r="D34" s="192"/>
      <c r="E34" s="106"/>
    </row>
    <row r="35" spans="2:10" x14ac:dyDescent="0.25">
      <c r="B35" s="197"/>
      <c r="C35" s="192"/>
      <c r="D35" s="192"/>
      <c r="E35" s="106"/>
      <c r="G35" s="757" t="s">
        <v>355</v>
      </c>
      <c r="H35" s="758"/>
      <c r="I35" s="758"/>
      <c r="J35" s="759"/>
    </row>
    <row r="36" spans="2:10" x14ac:dyDescent="0.25">
      <c r="B36" s="197"/>
      <c r="C36" s="192"/>
      <c r="D36" s="192"/>
      <c r="E36" s="106"/>
      <c r="G36" s="760"/>
      <c r="H36" s="761"/>
      <c r="I36" s="761"/>
      <c r="J36" s="762"/>
    </row>
    <row r="37" spans="2:10" x14ac:dyDescent="0.25">
      <c r="B37" s="196"/>
      <c r="C37" s="192"/>
      <c r="D37" s="192"/>
      <c r="E37" s="106"/>
      <c r="G37" s="587" t="str">
        <f>'Budget Hearing Notice'!H21</f>
        <v xml:space="preserve"> </v>
      </c>
      <c r="H37" s="588" t="str">
        <f>CONCATENATE("",E1," Estimated Fund Mill Rate")</f>
        <v>2025 Estimated Fund Mill Rate</v>
      </c>
      <c r="I37" s="589"/>
      <c r="J37" s="590"/>
    </row>
    <row r="38" spans="2:10" x14ac:dyDescent="0.25">
      <c r="B38" s="43" t="str">
        <f>CONCATENATE("Cash Reserve (",E1," column)")</f>
        <v>Cash Reserve (2025 column)</v>
      </c>
      <c r="C38" s="192"/>
      <c r="D38" s="192"/>
      <c r="E38" s="106"/>
      <c r="G38" s="591" t="str">
        <f>'Budget Hearing Notice'!E21</f>
        <v xml:space="preserve">  </v>
      </c>
      <c r="H38" s="588" t="str">
        <f>CONCATENATE("",E1-1," Fund Mill Rate")</f>
        <v>2024 Fund Mill Rate</v>
      </c>
      <c r="I38" s="589"/>
      <c r="J38" s="590"/>
    </row>
    <row r="39" spans="2:10" x14ac:dyDescent="0.25">
      <c r="B39" s="43" t="s">
        <v>380</v>
      </c>
      <c r="C39" s="192"/>
      <c r="D39" s="192"/>
      <c r="E39" s="106"/>
      <c r="G39" s="592">
        <f>inputOth!D36</f>
        <v>0</v>
      </c>
      <c r="H39" s="593" t="s">
        <v>381</v>
      </c>
      <c r="I39" s="589"/>
      <c r="J39" s="590"/>
    </row>
    <row r="40" spans="2:10" x14ac:dyDescent="0.25">
      <c r="B40" s="43" t="s">
        <v>382</v>
      </c>
      <c r="C40" s="242" t="str">
        <f>IF(C25*0.25&lt;C39,"Exceeds 25%","")</f>
        <v/>
      </c>
      <c r="D40" s="242" t="str">
        <f>IF(D25*0.25&lt;D39,"Exceeds 25%","")</f>
        <v/>
      </c>
      <c r="E40" s="201" t="str">
        <f>IF(E25*0.25+E50&lt;E39,"Exceeds 25%","")</f>
        <v/>
      </c>
      <c r="G40" s="592">
        <f>SUM('Budget Hearing Notice'!H21:H24)</f>
        <v>0</v>
      </c>
      <c r="H40" s="593" t="s">
        <v>383</v>
      </c>
      <c r="I40" s="589"/>
      <c r="J40" s="590"/>
    </row>
    <row r="41" spans="2:10" x14ac:dyDescent="0.25">
      <c r="B41" s="195" t="s">
        <v>340</v>
      </c>
      <c r="C41" s="192"/>
      <c r="D41" s="192"/>
      <c r="E41" s="106"/>
      <c r="G41" s="587">
        <f>'Budget Hearing Notice'!H36</f>
        <v>0</v>
      </c>
      <c r="H41" s="588" t="str">
        <f>CONCATENATE(E1," Estimated Total Mill Rate")</f>
        <v>2025 Estimated Total Mill Rate</v>
      </c>
      <c r="I41" s="589"/>
      <c r="J41" s="590"/>
    </row>
    <row r="42" spans="2:10" x14ac:dyDescent="0.25">
      <c r="B42" s="195" t="s">
        <v>362</v>
      </c>
      <c r="C42" s="242" t="str">
        <f>IF(C43*0.1&lt;C41,"Exceed 10% Rule","")</f>
        <v/>
      </c>
      <c r="D42" s="242" t="str">
        <f>IF(D43*0.1&lt;D41,"Exceed 10% Rule","")</f>
        <v/>
      </c>
      <c r="E42" s="201" t="str">
        <f>IF(E43*0.1&lt;E41,"Exceed 10% Rule","")</f>
        <v/>
      </c>
      <c r="G42" s="594">
        <f>'Budget Hearing Notice'!E36</f>
        <v>0</v>
      </c>
      <c r="H42" s="588" t="str">
        <f>CONCATENATE(E1-1," Total Mill Rate")</f>
        <v>2024 Total Mill Rate</v>
      </c>
      <c r="I42" s="589"/>
      <c r="J42" s="590"/>
    </row>
    <row r="43" spans="2:10" x14ac:dyDescent="0.25">
      <c r="B43" s="60" t="s">
        <v>363</v>
      </c>
      <c r="C43" s="206">
        <f>SUM(C27:C41)</f>
        <v>0</v>
      </c>
      <c r="D43" s="206">
        <f>SUM(D27:D41)</f>
        <v>0</v>
      </c>
      <c r="E43" s="206">
        <f>SUM(E27:E39,E41)</f>
        <v>0</v>
      </c>
      <c r="G43" s="595"/>
      <c r="H43" s="471"/>
      <c r="I43" s="471"/>
      <c r="J43" s="596"/>
    </row>
    <row r="44" spans="2:10" x14ac:dyDescent="0.25">
      <c r="B44" s="43" t="s">
        <v>364</v>
      </c>
      <c r="C44" s="157">
        <f>C25-C43</f>
        <v>0</v>
      </c>
      <c r="D44" s="157">
        <f>D25-D43</f>
        <v>0</v>
      </c>
      <c r="E44" s="194" t="s">
        <v>185</v>
      </c>
      <c r="G44" s="763" t="s">
        <v>365</v>
      </c>
      <c r="H44" s="764"/>
      <c r="I44" s="764"/>
      <c r="J44" s="767" t="str">
        <f>IF(G40&gt;G39, "Yes", "No")</f>
        <v>No</v>
      </c>
    </row>
    <row r="45" spans="2:10" x14ac:dyDescent="0.25">
      <c r="B45" s="68" t="str">
        <f>CONCATENATE("",E1-2,"/",E1-1,"/",E1," Budget Authority Amount:")</f>
        <v>2023/2024/2025 Budget Authority Amount:</v>
      </c>
      <c r="C45" s="427">
        <f>inputOth!B94</f>
        <v>0</v>
      </c>
      <c r="D45" s="427">
        <f>inputPrYr!D24</f>
        <v>0</v>
      </c>
      <c r="E45" s="157">
        <f>E43</f>
        <v>0</v>
      </c>
      <c r="F45" s="202"/>
      <c r="G45" s="765"/>
      <c r="H45" s="766"/>
      <c r="I45" s="766"/>
      <c r="J45" s="768"/>
    </row>
    <row r="46" spans="2:10" x14ac:dyDescent="0.25">
      <c r="B46" s="140"/>
      <c r="C46" s="748" t="s">
        <v>366</v>
      </c>
      <c r="D46" s="749"/>
      <c r="E46" s="106"/>
      <c r="F46" s="415" t="str">
        <f>IF(E43/0.95-E43&lt;E46,"Exceeds 5%","")</f>
        <v/>
      </c>
      <c r="G46" s="769" t="str">
        <f>IF(J44="Yes", "Follow procedure prescribed by KSA 79-2988 to exceed the Revenue Neutral Rate.", " ")</f>
        <v xml:space="preserve"> </v>
      </c>
      <c r="H46" s="769"/>
      <c r="I46" s="769"/>
      <c r="J46" s="769"/>
    </row>
    <row r="47" spans="2:10" x14ac:dyDescent="0.25">
      <c r="B47" s="637" t="str">
        <f>CONCATENATE(C76,"     ",D76)</f>
        <v xml:space="preserve">     </v>
      </c>
      <c r="C47" s="750" t="s">
        <v>367</v>
      </c>
      <c r="D47" s="751"/>
      <c r="E47" s="157">
        <f>E43+E46</f>
        <v>0</v>
      </c>
      <c r="G47" s="770"/>
      <c r="H47" s="770"/>
      <c r="I47" s="770"/>
      <c r="J47" s="770"/>
    </row>
    <row r="48" spans="2:10" x14ac:dyDescent="0.25">
      <c r="B48" s="637" t="str">
        <f>CONCATENATE(C77,"     ",D77)</f>
        <v xml:space="preserve">     </v>
      </c>
      <c r="C48" s="638"/>
      <c r="D48" s="250" t="s">
        <v>368</v>
      </c>
      <c r="E48" s="157">
        <f>IF(E47-E25&gt;0,E47-E25,0)</f>
        <v>0</v>
      </c>
      <c r="G48" s="770"/>
      <c r="H48" s="770"/>
      <c r="I48" s="770"/>
      <c r="J48" s="770"/>
    </row>
    <row r="49" spans="2:5" x14ac:dyDescent="0.25">
      <c r="B49" s="136"/>
      <c r="C49" s="621" t="s">
        <v>369</v>
      </c>
      <c r="D49" s="408">
        <f>inputOth!$E$85</f>
        <v>0</v>
      </c>
      <c r="E49" s="157">
        <f>ROUND(IF(D49&gt;0,(E48*D49),0),0)</f>
        <v>0</v>
      </c>
    </row>
    <row r="50" spans="2:5" x14ac:dyDescent="0.25">
      <c r="B50" s="35"/>
      <c r="C50" s="752" t="str">
        <f>CONCATENATE("Amount of  ",$E$1-1," Ad Valorem Tax")</f>
        <v>Amount of  2024 Ad Valorem Tax</v>
      </c>
      <c r="D50" s="753"/>
      <c r="E50" s="157">
        <f>E48+E49</f>
        <v>0</v>
      </c>
    </row>
    <row r="51" spans="2:5" x14ac:dyDescent="0.25">
      <c r="B51" s="35"/>
      <c r="C51" s="35"/>
      <c r="D51" s="35"/>
      <c r="E51" s="35"/>
    </row>
    <row r="52" spans="2:5" x14ac:dyDescent="0.25">
      <c r="B52" s="35"/>
      <c r="C52" s="35"/>
      <c r="D52" s="35"/>
      <c r="E52" s="35"/>
    </row>
    <row r="53" spans="2:5" x14ac:dyDescent="0.25">
      <c r="B53" s="100" t="s">
        <v>384</v>
      </c>
      <c r="C53" s="130">
        <f>E1-2</f>
        <v>2023</v>
      </c>
      <c r="D53" s="35"/>
      <c r="E53" s="35"/>
    </row>
    <row r="54" spans="2:5" x14ac:dyDescent="0.25">
      <c r="B54" s="41" t="s">
        <v>385</v>
      </c>
      <c r="C54" s="626" t="s">
        <v>220</v>
      </c>
      <c r="D54" s="35"/>
      <c r="E54" s="35"/>
    </row>
    <row r="55" spans="2:5" x14ac:dyDescent="0.25">
      <c r="B55" s="61" t="s">
        <v>386</v>
      </c>
      <c r="C55" s="249"/>
      <c r="D55" s="35"/>
      <c r="E55" s="35"/>
    </row>
    <row r="56" spans="2:5" x14ac:dyDescent="0.25">
      <c r="B56" s="61" t="s">
        <v>387</v>
      </c>
      <c r="C56" s="211"/>
      <c r="D56" s="35"/>
      <c r="E56" s="35"/>
    </row>
    <row r="57" spans="2:5" x14ac:dyDescent="0.25">
      <c r="B57" s="61" t="s">
        <v>388</v>
      </c>
      <c r="C57" s="157">
        <f>IF(C39&gt;0,C39,0)</f>
        <v>0</v>
      </c>
      <c r="D57" s="204" t="str">
        <f>IF(C39&gt;(C25*0.25),"Exceeds 25% of Resources Available","")</f>
        <v/>
      </c>
      <c r="E57" s="35"/>
    </row>
    <row r="58" spans="2:5" x14ac:dyDescent="0.25">
      <c r="B58" s="61" t="s">
        <v>389</v>
      </c>
      <c r="C58" s="157">
        <f>IF(General!C43&gt;0,General!C43,0)</f>
        <v>0</v>
      </c>
      <c r="D58" s="781" t="str">
        <f>IF(AND(General!C43&gt;0,General!C45&gt;0),"Not Auth. Two General Transfers - Only One","")</f>
        <v/>
      </c>
      <c r="E58" s="35"/>
    </row>
    <row r="59" spans="2:5" x14ac:dyDescent="0.25">
      <c r="B59" s="61" t="s">
        <v>390</v>
      </c>
      <c r="C59" s="157">
        <f>IF(General!C45&gt;0,General!C45,0)</f>
        <v>0</v>
      </c>
      <c r="D59" s="782"/>
      <c r="E59" s="35"/>
    </row>
    <row r="60" spans="2:5" x14ac:dyDescent="0.25">
      <c r="B60" s="108"/>
      <c r="C60" s="249"/>
      <c r="D60" s="35"/>
      <c r="E60" s="35"/>
    </row>
    <row r="61" spans="2:5" x14ac:dyDescent="0.25">
      <c r="B61" s="108" t="s">
        <v>339</v>
      </c>
      <c r="C61" s="249"/>
      <c r="D61" s="35"/>
      <c r="E61" s="35"/>
    </row>
    <row r="62" spans="2:5" x14ac:dyDescent="0.25">
      <c r="B62" s="108" t="s">
        <v>256</v>
      </c>
      <c r="C62" s="249"/>
      <c r="D62" s="35"/>
      <c r="E62" s="35"/>
    </row>
    <row r="63" spans="2:5" x14ac:dyDescent="0.25">
      <c r="B63" s="205" t="s">
        <v>344</v>
      </c>
      <c r="C63" s="248">
        <f>SUM(C55,C57:C62)</f>
        <v>0</v>
      </c>
      <c r="D63" s="35"/>
      <c r="E63" s="35"/>
    </row>
    <row r="64" spans="2:5" x14ac:dyDescent="0.25">
      <c r="B64" s="205" t="s">
        <v>363</v>
      </c>
      <c r="C64" s="249"/>
      <c r="D64" s="35"/>
      <c r="E64" s="35"/>
    </row>
    <row r="65" spans="2:5" x14ac:dyDescent="0.25">
      <c r="B65" s="205" t="s">
        <v>391</v>
      </c>
      <c r="C65" s="248">
        <f>C63-C64</f>
        <v>0</v>
      </c>
      <c r="D65" s="35"/>
      <c r="E65" s="35"/>
    </row>
    <row r="66" spans="2:5" x14ac:dyDescent="0.25">
      <c r="B66" s="100"/>
      <c r="C66" s="492"/>
      <c r="D66" s="35"/>
      <c r="E66" s="35"/>
    </row>
    <row r="67" spans="2:5" x14ac:dyDescent="0.25">
      <c r="B67" s="493" t="s">
        <v>203</v>
      </c>
      <c r="C67" s="494"/>
      <c r="D67" s="436"/>
      <c r="E67" s="45"/>
    </row>
    <row r="68" spans="2:5" x14ac:dyDescent="0.25">
      <c r="B68" s="495"/>
      <c r="C68" s="492"/>
      <c r="D68" s="35"/>
      <c r="E68" s="47"/>
    </row>
    <row r="69" spans="2:5" x14ac:dyDescent="0.25">
      <c r="B69" s="496"/>
      <c r="C69" s="497"/>
      <c r="D69" s="42"/>
      <c r="E69" s="52"/>
    </row>
    <row r="70" spans="2:5" x14ac:dyDescent="0.25">
      <c r="B70" s="35"/>
      <c r="C70" s="35"/>
      <c r="D70" s="35"/>
      <c r="E70" s="35"/>
    </row>
    <row r="71" spans="2:5" x14ac:dyDescent="0.25">
      <c r="B71" s="136" t="s">
        <v>370</v>
      </c>
      <c r="C71" s="441"/>
      <c r="D71" s="35"/>
      <c r="E71" s="35"/>
    </row>
    <row r="73" spans="2:5" x14ac:dyDescent="0.25">
      <c r="B73" s="62"/>
    </row>
    <row r="76" spans="2:5" hidden="1" x14ac:dyDescent="0.25">
      <c r="C76" s="99" t="str">
        <f>IF(C43&gt;C45,"See Tab A","")</f>
        <v/>
      </c>
      <c r="D76" s="99" t="str">
        <f>IF(D43&gt;D45,"See Tab C","")</f>
        <v/>
      </c>
    </row>
    <row r="77" spans="2:5" hidden="1" x14ac:dyDescent="0.25">
      <c r="C77" s="99" t="str">
        <f>IF(C44&lt;0,"See Tab B","")</f>
        <v/>
      </c>
      <c r="D77" s="99" t="str">
        <f>IF(D44&lt;0,"See Tab D","")</f>
        <v/>
      </c>
    </row>
  </sheetData>
  <sheetProtection sheet="1" objects="1" scenarios="1"/>
  <mergeCells count="10">
    <mergeCell ref="D58:D59"/>
    <mergeCell ref="C46:D46"/>
    <mergeCell ref="C47:D47"/>
    <mergeCell ref="C50:D50"/>
    <mergeCell ref="G18:J18"/>
    <mergeCell ref="G25:J25"/>
    <mergeCell ref="G35:J36"/>
    <mergeCell ref="G44:I45"/>
    <mergeCell ref="J44:J45"/>
    <mergeCell ref="G46:J48"/>
  </mergeCells>
  <phoneticPr fontId="0" type="noConversion"/>
  <conditionalFormatting sqref="C22">
    <cfRule type="cellIs" dxfId="159" priority="10" stopIfTrue="1" operator="greaterThan">
      <formula>$C$24*0.1</formula>
    </cfRule>
  </conditionalFormatting>
  <conditionalFormatting sqref="C39">
    <cfRule type="cellIs" dxfId="158" priority="12" stopIfTrue="1" operator="greaterThan">
      <formula>$C$25*0.25</formula>
    </cfRule>
  </conditionalFormatting>
  <conditionalFormatting sqref="C41">
    <cfRule type="cellIs" dxfId="157" priority="7" stopIfTrue="1" operator="greaterThan">
      <formula>$C$43*0.1</formula>
    </cfRule>
  </conditionalFormatting>
  <conditionalFormatting sqref="C43">
    <cfRule type="expression" dxfId="156" priority="4">
      <formula>$C$43&gt;$C$45</formula>
    </cfRule>
  </conditionalFormatting>
  <conditionalFormatting sqref="C44">
    <cfRule type="expression" dxfId="155" priority="3">
      <formula>$C$44&lt;0</formula>
    </cfRule>
  </conditionalFormatting>
  <conditionalFormatting sqref="D22">
    <cfRule type="cellIs" dxfId="154" priority="11" stopIfTrue="1" operator="greaterThan">
      <formula>$D$24*0.1</formula>
    </cfRule>
  </conditionalFormatting>
  <conditionalFormatting sqref="D39">
    <cfRule type="cellIs" dxfId="153" priority="17" stopIfTrue="1" operator="greaterThan">
      <formula>$D$25*0.25</formula>
    </cfRule>
  </conditionalFormatting>
  <conditionalFormatting sqref="D41">
    <cfRule type="cellIs" dxfId="152" priority="8" stopIfTrue="1" operator="greaterThan">
      <formula>$D$43*0.1</formula>
    </cfRule>
  </conditionalFormatting>
  <conditionalFormatting sqref="D43">
    <cfRule type="expression" dxfId="151" priority="2">
      <formula>$D$43&gt;$D$45</formula>
    </cfRule>
  </conditionalFormatting>
  <conditionalFormatting sqref="D44">
    <cfRule type="expression" dxfId="150" priority="1">
      <formula>$D$44&lt;0</formula>
    </cfRule>
  </conditionalFormatting>
  <conditionalFormatting sqref="E22">
    <cfRule type="cellIs" dxfId="149" priority="32" stopIfTrue="1" operator="greaterThan">
      <formula>$E$24*0.1+$E$50</formula>
    </cfRule>
  </conditionalFormatting>
  <conditionalFormatting sqref="E39">
    <cfRule type="cellIs" dxfId="148" priority="31" stopIfTrue="1" operator="greaterThan">
      <formula>$E$25*0.25+$E$50</formula>
    </cfRule>
  </conditionalFormatting>
  <conditionalFormatting sqref="E41">
    <cfRule type="cellIs" dxfId="147" priority="9" stopIfTrue="1" operator="greaterThan">
      <formula>$E$43*0.1</formula>
    </cfRule>
  </conditionalFormatting>
  <conditionalFormatting sqref="E46">
    <cfRule type="cellIs" dxfId="146" priority="13" stopIfTrue="1" operator="greaterThan">
      <formula>$E$43/0.95-$E$43</formula>
    </cfRule>
  </conditionalFormatting>
  <conditionalFormatting sqref="J44">
    <cfRule type="containsText" dxfId="145" priority="5" operator="containsText" text="Yes">
      <formula>NOT(ISERROR(SEARCH("Yes",J44)))</formula>
    </cfRule>
  </conditionalFormatting>
  <pageMargins left="0.9" right="0.9" top="0.96" bottom="0.5" header="0.41" footer="0.3"/>
  <pageSetup scale="69" orientation="portrait" blackAndWhite="1" horizontalDpi="4294967292" verticalDpi="96"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pageSetUpPr fitToPage="1"/>
  </sheetPr>
  <dimension ref="B1:K95"/>
  <sheetViews>
    <sheetView zoomScaleNormal="100" workbookViewId="0">
      <selection activeCell="F1" sqref="F1"/>
    </sheetView>
  </sheetViews>
  <sheetFormatPr defaultRowHeight="15.75" x14ac:dyDescent="0.25"/>
  <cols>
    <col min="1" max="1" width="2.3984375" style="99" customWidth="1"/>
    <col min="2" max="2" width="31" style="99" customWidth="1"/>
    <col min="3" max="4" width="15.69921875" style="99" customWidth="1"/>
    <col min="5" max="5" width="12.69921875" style="99" customWidth="1"/>
    <col min="6" max="6" width="7.296875" style="99" customWidth="1"/>
    <col min="7" max="7" width="9.19921875" style="99" customWidth="1"/>
    <col min="8" max="8" width="8.796875" style="99"/>
    <col min="9" max="9" width="4.5" style="99" customWidth="1"/>
    <col min="10" max="10" width="9" style="99" customWidth="1"/>
    <col min="11" max="16384" width="8.796875" style="99"/>
  </cols>
  <sheetData>
    <row r="1" spans="2:11" x14ac:dyDescent="0.25">
      <c r="B1" s="72">
        <f>inputPrYr!D4</f>
        <v>0</v>
      </c>
      <c r="C1" s="39" t="s">
        <v>392</v>
      </c>
      <c r="D1" s="35"/>
      <c r="E1" s="140">
        <f>inputPrYr!D10</f>
        <v>2025</v>
      </c>
    </row>
    <row r="2" spans="2:11" x14ac:dyDescent="0.25">
      <c r="B2" s="288" t="s">
        <v>327</v>
      </c>
      <c r="C2" s="35"/>
      <c r="D2" s="35"/>
      <c r="E2" s="37"/>
    </row>
    <row r="3" spans="2:11" x14ac:dyDescent="0.25">
      <c r="B3" s="35"/>
      <c r="C3" s="38"/>
      <c r="D3" s="38"/>
      <c r="E3" s="35"/>
    </row>
    <row r="4" spans="2:11" x14ac:dyDescent="0.25">
      <c r="B4" s="39" t="s">
        <v>328</v>
      </c>
      <c r="C4" s="238" t="s">
        <v>329</v>
      </c>
      <c r="D4" s="241" t="s">
        <v>276</v>
      </c>
      <c r="E4" s="625" t="s">
        <v>330</v>
      </c>
    </row>
    <row r="5" spans="2:11" x14ac:dyDescent="0.25">
      <c r="B5" s="246" t="str">
        <f>inputPrYr!B25</f>
        <v>Special Road</v>
      </c>
      <c r="C5" s="239" t="str">
        <f>General!C5</f>
        <v>Actual for 2023</v>
      </c>
      <c r="D5" s="239" t="str">
        <f>General!D5</f>
        <v>Estimate for 2024</v>
      </c>
      <c r="E5" s="626" t="str">
        <f>General!E5</f>
        <v>Year for 2025</v>
      </c>
    </row>
    <row r="6" spans="2:11" x14ac:dyDescent="0.25">
      <c r="B6" s="43" t="s">
        <v>331</v>
      </c>
      <c r="C6" s="192"/>
      <c r="D6" s="240">
        <f>C35</f>
        <v>0</v>
      </c>
      <c r="E6" s="157">
        <f>D35</f>
        <v>0</v>
      </c>
    </row>
    <row r="7" spans="2:11" x14ac:dyDescent="0.25">
      <c r="B7" s="43" t="s">
        <v>332</v>
      </c>
      <c r="C7" s="240"/>
      <c r="D7" s="240"/>
      <c r="E7" s="194"/>
    </row>
    <row r="8" spans="2:11" x14ac:dyDescent="0.25">
      <c r="B8" s="43" t="s">
        <v>96</v>
      </c>
      <c r="C8" s="192"/>
      <c r="D8" s="240">
        <f>IF(inputPrYr!H22&gt;0,inputPrYr!G27,inputPrYr!E25)</f>
        <v>0</v>
      </c>
      <c r="E8" s="194" t="s">
        <v>185</v>
      </c>
    </row>
    <row r="9" spans="2:11" x14ac:dyDescent="0.25">
      <c r="B9" s="43" t="s">
        <v>333</v>
      </c>
      <c r="C9" s="192"/>
      <c r="D9" s="192"/>
      <c r="E9" s="106"/>
      <c r="G9" s="775" t="str">
        <f>CONCATENATE("Desired Carryover Into ",E1+1,"")</f>
        <v>Desired Carryover Into 2026</v>
      </c>
      <c r="H9" s="776"/>
      <c r="I9" s="776"/>
      <c r="J9" s="777"/>
      <c r="K9" s="334"/>
    </row>
    <row r="10" spans="2:11" x14ac:dyDescent="0.25">
      <c r="B10" s="43" t="s">
        <v>334</v>
      </c>
      <c r="C10" s="192"/>
      <c r="D10" s="192"/>
      <c r="E10" s="157">
        <f>Mvalloc!D15</f>
        <v>0</v>
      </c>
      <c r="G10" s="365"/>
      <c r="H10" s="332"/>
      <c r="I10" s="366"/>
      <c r="J10" s="367"/>
      <c r="K10" s="334"/>
    </row>
    <row r="11" spans="2:11" x14ac:dyDescent="0.25">
      <c r="B11" s="43" t="s">
        <v>335</v>
      </c>
      <c r="C11" s="192"/>
      <c r="D11" s="192"/>
      <c r="E11" s="157">
        <f>Mvalloc!F15</f>
        <v>0</v>
      </c>
      <c r="G11" s="368" t="s">
        <v>343</v>
      </c>
      <c r="H11" s="366"/>
      <c r="I11" s="366"/>
      <c r="J11" s="369">
        <v>0</v>
      </c>
      <c r="K11" s="334"/>
    </row>
    <row r="12" spans="2:11" x14ac:dyDescent="0.25">
      <c r="B12" s="195" t="s">
        <v>130</v>
      </c>
      <c r="C12" s="192"/>
      <c r="D12" s="192"/>
      <c r="E12" s="157">
        <f>Mvalloc!H15</f>
        <v>0</v>
      </c>
      <c r="G12" s="365" t="s">
        <v>345</v>
      </c>
      <c r="H12" s="332"/>
      <c r="I12" s="332"/>
      <c r="J12" s="370" t="str">
        <f>IF(J11=0,"",ROUND((J11+E41-G24)/inputOth!E11*1000,3)-G29)</f>
        <v/>
      </c>
      <c r="K12" s="334"/>
    </row>
    <row r="13" spans="2:11" x14ac:dyDescent="0.25">
      <c r="B13" s="472" t="s">
        <v>336</v>
      </c>
      <c r="C13" s="192"/>
      <c r="D13" s="192"/>
      <c r="E13" s="157">
        <f>Mvalloc!J15</f>
        <v>0</v>
      </c>
      <c r="G13" s="371" t="str">
        <f>CONCATENATE("",E1," Tot Exp/Non-Appr Must Be:")</f>
        <v>2025 Tot Exp/Non-Appr Must Be:</v>
      </c>
      <c r="H13" s="372"/>
      <c r="I13" s="373"/>
      <c r="J13" s="374">
        <f>IF(J11&gt;0,IF(E38&lt;E23,IF(J11=G24,E38,((J11-G24)*(1-D40))+E23),E38+(J11-G24)),0)</f>
        <v>0</v>
      </c>
      <c r="K13" s="334"/>
    </row>
    <row r="14" spans="2:11" x14ac:dyDescent="0.25">
      <c r="B14" s="472" t="s">
        <v>337</v>
      </c>
      <c r="C14" s="192"/>
      <c r="D14" s="192"/>
      <c r="E14" s="157">
        <f>Mvalloc!L15</f>
        <v>0</v>
      </c>
      <c r="G14" s="375" t="s">
        <v>347</v>
      </c>
      <c r="H14" s="376"/>
      <c r="I14" s="376"/>
      <c r="J14" s="377">
        <f>IF(J11&gt;0,J13-E38,0)</f>
        <v>0</v>
      </c>
      <c r="K14" s="334"/>
    </row>
    <row r="15" spans="2:11" x14ac:dyDescent="0.25">
      <c r="B15" s="197"/>
      <c r="C15" s="192"/>
      <c r="D15" s="192"/>
      <c r="E15" s="106"/>
      <c r="G15" s="334"/>
      <c r="H15" s="334"/>
      <c r="I15" s="334"/>
      <c r="J15" s="334"/>
      <c r="K15" s="334"/>
    </row>
    <row r="16" spans="2:11" x14ac:dyDescent="0.25">
      <c r="B16" s="197"/>
      <c r="C16" s="192"/>
      <c r="D16" s="192"/>
      <c r="E16" s="106"/>
      <c r="G16" s="775" t="str">
        <f>CONCATENATE("Projected Carryover Into ",E1+1,"")</f>
        <v>Projected Carryover Into 2026</v>
      </c>
      <c r="H16" s="780"/>
      <c r="I16" s="780"/>
      <c r="J16" s="779"/>
      <c r="K16" s="334"/>
    </row>
    <row r="17" spans="2:11" x14ac:dyDescent="0.25">
      <c r="B17" s="197"/>
      <c r="C17" s="192"/>
      <c r="D17" s="192"/>
      <c r="E17" s="106"/>
      <c r="G17" s="365"/>
      <c r="H17" s="366"/>
      <c r="I17" s="366"/>
      <c r="J17" s="379"/>
      <c r="K17" s="334"/>
    </row>
    <row r="18" spans="2:11" x14ac:dyDescent="0.25">
      <c r="B18" s="197" t="s">
        <v>339</v>
      </c>
      <c r="C18" s="192"/>
      <c r="D18" s="192"/>
      <c r="E18" s="106"/>
      <c r="G18" s="380">
        <f>D35</f>
        <v>0</v>
      </c>
      <c r="H18" s="381" t="str">
        <f>CONCATENATE("",E1-1," Ending Cash Balance (est.)")</f>
        <v>2024 Ending Cash Balance (est.)</v>
      </c>
      <c r="I18" s="382"/>
      <c r="J18" s="379"/>
      <c r="K18" s="334"/>
    </row>
    <row r="19" spans="2:11" x14ac:dyDescent="0.25">
      <c r="B19" s="195" t="s">
        <v>191</v>
      </c>
      <c r="C19" s="192"/>
      <c r="D19" s="192"/>
      <c r="E19" s="157">
        <f>'NR Rebate'!E10*-1</f>
        <v>0</v>
      </c>
      <c r="G19" s="380">
        <f>E22</f>
        <v>0</v>
      </c>
      <c r="H19" s="366" t="str">
        <f>CONCATENATE("",E1," Non-AV Receipts (est.)")</f>
        <v>2025 Non-AV Receipts (est.)</v>
      </c>
      <c r="I19" s="382"/>
      <c r="J19" s="379"/>
      <c r="K19" s="334"/>
    </row>
    <row r="20" spans="2:11" x14ac:dyDescent="0.2">
      <c r="B20" s="198" t="s">
        <v>340</v>
      </c>
      <c r="C20" s="192"/>
      <c r="D20" s="192"/>
      <c r="E20" s="106"/>
      <c r="G20" s="386">
        <f>IF(E40&gt;0,E39,E41)</f>
        <v>0</v>
      </c>
      <c r="H20" s="366" t="str">
        <f>CONCATENATE("",E1," Ad Valorem Tax (est.)")</f>
        <v>2025 Ad Valorem Tax (est.)</v>
      </c>
      <c r="I20" s="366"/>
      <c r="J20" s="379"/>
      <c r="K20" s="639" t="str">
        <f>IF(G20=E41,"","Note: Does not include Delinquent Taxes")</f>
        <v/>
      </c>
    </row>
    <row r="21" spans="2:11" x14ac:dyDescent="0.25">
      <c r="B21" s="198" t="s">
        <v>341</v>
      </c>
      <c r="C21" s="242" t="str">
        <f>IF(C22*0.1&lt;C20,"Exceed 10% Rule","")</f>
        <v/>
      </c>
      <c r="D21" s="242" t="str">
        <f>IF(D22*0.1&lt;D20,"Exceed 10% Rule","")</f>
        <v/>
      </c>
      <c r="E21" s="201" t="str">
        <f>IF((E41+E22)*0.1&lt;E20,"Exceed 10% Rule","")</f>
        <v/>
      </c>
      <c r="G21" s="380">
        <f>SUM(G18:G20)</f>
        <v>0</v>
      </c>
      <c r="H21" s="366" t="str">
        <f>CONCATENATE("Total ",E1," Resources Available")</f>
        <v>Total 2025 Resources Available</v>
      </c>
      <c r="I21" s="382"/>
      <c r="J21" s="379"/>
      <c r="K21" s="334"/>
    </row>
    <row r="22" spans="2:11" x14ac:dyDescent="0.25">
      <c r="B22" s="200" t="s">
        <v>342</v>
      </c>
      <c r="C22" s="206">
        <f>SUM(C8:C20)</f>
        <v>0</v>
      </c>
      <c r="D22" s="206">
        <f>SUM(D8:D20)</f>
        <v>0</v>
      </c>
      <c r="E22" s="206">
        <f>SUM(E8:E20)</f>
        <v>0</v>
      </c>
      <c r="G22" s="387"/>
      <c r="H22" s="366"/>
      <c r="I22" s="366"/>
      <c r="J22" s="379"/>
      <c r="K22" s="334"/>
    </row>
    <row r="23" spans="2:11" x14ac:dyDescent="0.25">
      <c r="B23" s="60" t="s">
        <v>344</v>
      </c>
      <c r="C23" s="206">
        <f>C22+C6</f>
        <v>0</v>
      </c>
      <c r="D23" s="206">
        <f>D22+D6</f>
        <v>0</v>
      </c>
      <c r="E23" s="206">
        <f>E22+E6</f>
        <v>0</v>
      </c>
      <c r="G23" s="386">
        <f>C34*0.05+C34</f>
        <v>0</v>
      </c>
      <c r="H23" s="366" t="str">
        <f>CONCATENATE("Less ",E1-2," Expenditures + 5%")</f>
        <v>Less 2023 Expenditures + 5%</v>
      </c>
      <c r="I23" s="366"/>
      <c r="J23" s="379"/>
      <c r="K23" s="334"/>
    </row>
    <row r="24" spans="2:11" x14ac:dyDescent="0.25">
      <c r="B24" s="43" t="s">
        <v>346</v>
      </c>
      <c r="C24" s="240"/>
      <c r="D24" s="240"/>
      <c r="E24" s="157"/>
      <c r="G24" s="390">
        <f>G21-G23</f>
        <v>0</v>
      </c>
      <c r="H24" s="391" t="str">
        <f>CONCATENATE("Projected ",E1+1," carryover (est.)")</f>
        <v>Projected 2026 carryover (est.)</v>
      </c>
      <c r="I24" s="392"/>
      <c r="J24" s="393"/>
      <c r="K24" s="334"/>
    </row>
    <row r="25" spans="2:11" x14ac:dyDescent="0.25">
      <c r="B25" s="197"/>
      <c r="C25" s="192"/>
      <c r="D25" s="192"/>
      <c r="E25" s="106"/>
      <c r="G25" s="334"/>
      <c r="H25" s="334"/>
      <c r="I25" s="334"/>
      <c r="J25" s="334"/>
      <c r="K25" s="334"/>
    </row>
    <row r="26" spans="2:11" x14ac:dyDescent="0.25">
      <c r="B26" s="197"/>
      <c r="C26" s="192"/>
      <c r="D26" s="192"/>
      <c r="E26" s="106"/>
      <c r="G26" s="757" t="s">
        <v>355</v>
      </c>
      <c r="H26" s="758"/>
      <c r="I26" s="758"/>
      <c r="J26" s="759"/>
      <c r="K26" s="334"/>
    </row>
    <row r="27" spans="2:11" x14ac:dyDescent="0.25">
      <c r="B27" s="197"/>
      <c r="C27" s="192"/>
      <c r="D27" s="192"/>
      <c r="E27" s="106"/>
      <c r="G27" s="760"/>
      <c r="H27" s="761"/>
      <c r="I27" s="761"/>
      <c r="J27" s="762"/>
      <c r="K27" s="334"/>
    </row>
    <row r="28" spans="2:11" x14ac:dyDescent="0.25">
      <c r="B28" s="197"/>
      <c r="C28" s="192"/>
      <c r="D28" s="192"/>
      <c r="E28" s="106"/>
      <c r="G28" s="587" t="str">
        <f>'Budget Hearing Notice'!H22</f>
        <v xml:space="preserve"> </v>
      </c>
      <c r="H28" s="588" t="str">
        <f>CONCATENATE("",E1," Estimated Fund Mill Rate")</f>
        <v>2025 Estimated Fund Mill Rate</v>
      </c>
      <c r="I28" s="589"/>
      <c r="J28" s="590"/>
      <c r="K28" s="334"/>
    </row>
    <row r="29" spans="2:11" x14ac:dyDescent="0.25">
      <c r="B29" s="197"/>
      <c r="C29" s="192"/>
      <c r="D29" s="192"/>
      <c r="E29" s="106"/>
      <c r="G29" s="591" t="str">
        <f>'Budget Hearing Notice'!E22</f>
        <v xml:space="preserve">  </v>
      </c>
      <c r="H29" s="588" t="str">
        <f>CONCATENATE("",E1-1," Fund Mill Rate")</f>
        <v>2024 Fund Mill Rate</v>
      </c>
      <c r="I29" s="589"/>
      <c r="J29" s="590"/>
      <c r="K29" s="334"/>
    </row>
    <row r="30" spans="2:11" x14ac:dyDescent="0.25">
      <c r="B30" s="197"/>
      <c r="C30" s="192"/>
      <c r="D30" s="192"/>
      <c r="E30" s="106"/>
      <c r="G30" s="592">
        <f>'Budget Hearing Notice'!H37</f>
        <v>0</v>
      </c>
      <c r="H30" s="593" t="s">
        <v>381</v>
      </c>
      <c r="I30" s="589"/>
      <c r="J30" s="590"/>
      <c r="K30" s="334"/>
    </row>
    <row r="31" spans="2:11" x14ac:dyDescent="0.25">
      <c r="B31" s="195" t="str">
        <f>CONCATENATE("Cash Reserve (",E1," column)")</f>
        <v>Cash Reserve (2025 column)</v>
      </c>
      <c r="C31" s="192"/>
      <c r="D31" s="192"/>
      <c r="E31" s="106"/>
      <c r="G31" s="592">
        <f>SUM('Budget Hearing Notice'!H21:H24)</f>
        <v>0</v>
      </c>
      <c r="H31" s="593" t="s">
        <v>383</v>
      </c>
      <c r="I31" s="589"/>
      <c r="J31" s="590"/>
      <c r="K31" s="334"/>
    </row>
    <row r="32" spans="2:11" x14ac:dyDescent="0.25">
      <c r="B32" s="195" t="s">
        <v>340</v>
      </c>
      <c r="C32" s="192"/>
      <c r="D32" s="192"/>
      <c r="E32" s="106"/>
      <c r="G32" s="587">
        <f>'Budget Hearing Notice'!H36</f>
        <v>0</v>
      </c>
      <c r="H32" s="588" t="str">
        <f>CONCATENATE(E1," Estimated Total Mill Rate")</f>
        <v>2025 Estimated Total Mill Rate</v>
      </c>
      <c r="I32" s="589"/>
      <c r="J32" s="590"/>
      <c r="K32" s="334"/>
    </row>
    <row r="33" spans="2:11" x14ac:dyDescent="0.25">
      <c r="B33" s="195" t="s">
        <v>362</v>
      </c>
      <c r="C33" s="242" t="str">
        <f>IF(C34*0.1&lt;C32,"Exceed 10% Rule","")</f>
        <v/>
      </c>
      <c r="D33" s="242" t="str">
        <f>IF(D34*0.1&lt;D32,"Exceed 10% Rule","")</f>
        <v/>
      </c>
      <c r="E33" s="201" t="str">
        <f>IF(E34*0.1&lt;E32,"Exceed 10% Rule","")</f>
        <v/>
      </c>
      <c r="G33" s="594">
        <f>'Budget Hearing Notice'!E36</f>
        <v>0</v>
      </c>
      <c r="H33" s="588" t="str">
        <f>CONCATENATE(E1-1," Total Mill Rate")</f>
        <v>2024 Total Mill Rate</v>
      </c>
      <c r="I33" s="589"/>
      <c r="J33" s="590"/>
    </row>
    <row r="34" spans="2:11" x14ac:dyDescent="0.25">
      <c r="B34" s="60" t="s">
        <v>363</v>
      </c>
      <c r="C34" s="206">
        <f>SUM(C25:C32)</f>
        <v>0</v>
      </c>
      <c r="D34" s="206">
        <f>SUM(D25:D32)</f>
        <v>0</v>
      </c>
      <c r="E34" s="206">
        <f>SUM(E25:E32)</f>
        <v>0</v>
      </c>
      <c r="G34" s="595"/>
      <c r="H34" s="471"/>
      <c r="I34" s="471"/>
      <c r="J34" s="596"/>
    </row>
    <row r="35" spans="2:11" x14ac:dyDescent="0.25">
      <c r="B35" s="43" t="s">
        <v>364</v>
      </c>
      <c r="C35" s="157">
        <f>C23-C34</f>
        <v>0</v>
      </c>
      <c r="D35" s="157">
        <f>D23-D34</f>
        <v>0</v>
      </c>
      <c r="E35" s="194" t="s">
        <v>185</v>
      </c>
      <c r="G35" s="763" t="s">
        <v>365</v>
      </c>
      <c r="H35" s="764"/>
      <c r="I35" s="764"/>
      <c r="J35" s="767" t="str">
        <f>IF(G31&gt;G30, "Yes", "No")</f>
        <v>No</v>
      </c>
    </row>
    <row r="36" spans="2:11" x14ac:dyDescent="0.25">
      <c r="B36" s="68" t="str">
        <f>CONCATENATE("",E1-2,"/",E1-1,"/",E1," Budget Authority Amount:")</f>
        <v>2023/2024/2025 Budget Authority Amount:</v>
      </c>
      <c r="C36" s="427">
        <f>inputOth!$B95</f>
        <v>0</v>
      </c>
      <c r="D36" s="427">
        <f>inputPrYr!$D25</f>
        <v>0</v>
      </c>
      <c r="E36" s="157">
        <f>E34</f>
        <v>0</v>
      </c>
      <c r="F36" s="202"/>
      <c r="G36" s="765"/>
      <c r="H36" s="766"/>
      <c r="I36" s="766"/>
      <c r="J36" s="768"/>
      <c r="K36" s="334"/>
    </row>
    <row r="37" spans="2:11" x14ac:dyDescent="0.25">
      <c r="B37" s="140"/>
      <c r="C37" s="748" t="s">
        <v>366</v>
      </c>
      <c r="D37" s="749"/>
      <c r="E37" s="106"/>
      <c r="F37" s="415" t="str">
        <f>IF(E34/0.95-E34&lt;E37,"Exceeds 5%","")</f>
        <v/>
      </c>
      <c r="G37" s="769" t="str">
        <f>IF(J35="Yes", "Follow procedure prescribed by KSA 79-2988 to exceed the Revenue Neutral Rate.", " ")</f>
        <v xml:space="preserve"> </v>
      </c>
      <c r="H37" s="769"/>
      <c r="I37" s="769"/>
      <c r="J37" s="769"/>
      <c r="K37" s="334"/>
    </row>
    <row r="38" spans="2:11" x14ac:dyDescent="0.25">
      <c r="B38" s="637" t="str">
        <f>CONCATENATE(C92,"     ",D92)</f>
        <v xml:space="preserve">     </v>
      </c>
      <c r="C38" s="750" t="s">
        <v>367</v>
      </c>
      <c r="D38" s="751"/>
      <c r="E38" s="157">
        <f>E34+E37</f>
        <v>0</v>
      </c>
      <c r="G38" s="770"/>
      <c r="H38" s="770"/>
      <c r="I38" s="770"/>
      <c r="J38" s="770"/>
      <c r="K38" s="334"/>
    </row>
    <row r="39" spans="2:11" x14ac:dyDescent="0.25">
      <c r="B39" s="637" t="str">
        <f>CONCATENATE(C93,"     ",D93)</f>
        <v xml:space="preserve">     </v>
      </c>
      <c r="C39" s="638"/>
      <c r="D39" s="250" t="s">
        <v>368</v>
      </c>
      <c r="E39" s="157">
        <f>IF(E38-E23&gt;0,E38-E23,0)</f>
        <v>0</v>
      </c>
      <c r="G39" s="770"/>
      <c r="H39" s="770"/>
      <c r="I39" s="770"/>
      <c r="J39" s="770"/>
      <c r="K39" s="334"/>
    </row>
    <row r="40" spans="2:11" x14ac:dyDescent="0.25">
      <c r="B40" s="136"/>
      <c r="C40" s="621" t="s">
        <v>369</v>
      </c>
      <c r="D40" s="408">
        <f>inputOth!$E$85</f>
        <v>0</v>
      </c>
      <c r="E40" s="157">
        <f>ROUND(IF(D40&gt;0,(E39*D40),0),0)</f>
        <v>0</v>
      </c>
      <c r="G40" s="334"/>
      <c r="H40" s="334"/>
      <c r="I40" s="334"/>
      <c r="J40" s="334"/>
      <c r="K40" s="334"/>
    </row>
    <row r="41" spans="2:11" x14ac:dyDescent="0.25">
      <c r="B41" s="35"/>
      <c r="C41" s="752" t="str">
        <f>CONCATENATE("Amount of  ",$E$1-1," Ad Valorem Tax")</f>
        <v>Amount of  2024 Ad Valorem Tax</v>
      </c>
      <c r="D41" s="753"/>
      <c r="E41" s="157">
        <f>E39+E40</f>
        <v>0</v>
      </c>
      <c r="G41" s="334"/>
      <c r="H41" s="334"/>
      <c r="I41" s="334"/>
      <c r="J41" s="334"/>
      <c r="K41" s="334"/>
    </row>
    <row r="42" spans="2:11" x14ac:dyDescent="0.25">
      <c r="B42" s="35"/>
      <c r="C42" s="622"/>
      <c r="D42" s="35"/>
      <c r="E42" s="35"/>
      <c r="G42" s="334"/>
      <c r="H42" s="334"/>
      <c r="I42" s="334"/>
      <c r="J42" s="334"/>
      <c r="K42" s="334"/>
    </row>
    <row r="43" spans="2:11" x14ac:dyDescent="0.25">
      <c r="B43" s="35"/>
      <c r="C43" s="622"/>
      <c r="D43" s="35"/>
      <c r="E43" s="35"/>
      <c r="G43" s="334"/>
      <c r="H43" s="334"/>
      <c r="I43" s="334"/>
      <c r="J43" s="334"/>
      <c r="K43" s="334"/>
    </row>
    <row r="44" spans="2:11" x14ac:dyDescent="0.25">
      <c r="B44" s="39" t="s">
        <v>328</v>
      </c>
      <c r="C44" s="38"/>
      <c r="D44" s="38"/>
      <c r="E44" s="38"/>
      <c r="G44" s="334"/>
      <c r="H44" s="334"/>
      <c r="I44" s="334"/>
      <c r="J44" s="334"/>
      <c r="K44" s="334"/>
    </row>
    <row r="45" spans="2:11" x14ac:dyDescent="0.25">
      <c r="B45" s="35"/>
      <c r="C45" s="238" t="s">
        <v>329</v>
      </c>
      <c r="D45" s="241" t="s">
        <v>276</v>
      </c>
      <c r="E45" s="625" t="s">
        <v>330</v>
      </c>
      <c r="G45" s="334"/>
      <c r="H45" s="334"/>
      <c r="I45" s="334"/>
      <c r="J45" s="334"/>
      <c r="K45" s="334"/>
    </row>
    <row r="46" spans="2:11" x14ac:dyDescent="0.25">
      <c r="B46" s="247" t="str">
        <f>inputPrYr!B26</f>
        <v>Noxious Weed</v>
      </c>
      <c r="C46" s="239" t="str">
        <f>C5</f>
        <v>Actual for 2023</v>
      </c>
      <c r="D46" s="239" t="str">
        <f>D5</f>
        <v>Estimate for 2024</v>
      </c>
      <c r="E46" s="626" t="str">
        <f>E5</f>
        <v>Year for 2025</v>
      </c>
      <c r="G46" s="334"/>
      <c r="H46" s="334"/>
      <c r="I46" s="334"/>
      <c r="J46" s="334"/>
      <c r="K46" s="334"/>
    </row>
    <row r="47" spans="2:11" x14ac:dyDescent="0.25">
      <c r="B47" s="43" t="s">
        <v>331</v>
      </c>
      <c r="C47" s="192"/>
      <c r="D47" s="240">
        <f>C76</f>
        <v>0</v>
      </c>
      <c r="E47" s="157">
        <f>D76</f>
        <v>0</v>
      </c>
      <c r="G47" s="334"/>
      <c r="H47" s="334"/>
      <c r="I47" s="334"/>
      <c r="J47" s="334"/>
      <c r="K47" s="334"/>
    </row>
    <row r="48" spans="2:11" x14ac:dyDescent="0.25">
      <c r="B48" s="43" t="s">
        <v>332</v>
      </c>
      <c r="C48" s="240"/>
      <c r="D48" s="240"/>
      <c r="E48" s="194"/>
      <c r="G48" s="334"/>
      <c r="H48" s="334"/>
      <c r="I48" s="334"/>
      <c r="J48" s="334"/>
      <c r="K48" s="334"/>
    </row>
    <row r="49" spans="2:11" x14ac:dyDescent="0.25">
      <c r="B49" s="43" t="s">
        <v>96</v>
      </c>
      <c r="C49" s="192"/>
      <c r="D49" s="240">
        <f>IF(inputPrYr!H22&gt;0,inputPrYr!G28,inputPrYr!E26)</f>
        <v>0</v>
      </c>
      <c r="E49" s="194" t="s">
        <v>185</v>
      </c>
      <c r="G49" s="334"/>
      <c r="H49" s="334"/>
      <c r="I49" s="334"/>
      <c r="J49" s="334"/>
      <c r="K49" s="334"/>
    </row>
    <row r="50" spans="2:11" x14ac:dyDescent="0.25">
      <c r="B50" s="43" t="s">
        <v>333</v>
      </c>
      <c r="C50" s="192"/>
      <c r="D50" s="192"/>
      <c r="E50" s="106"/>
      <c r="G50" s="334"/>
      <c r="H50" s="334"/>
      <c r="I50" s="334"/>
      <c r="J50" s="334"/>
      <c r="K50" s="334"/>
    </row>
    <row r="51" spans="2:11" x14ac:dyDescent="0.25">
      <c r="B51" s="43" t="s">
        <v>334</v>
      </c>
      <c r="C51" s="192"/>
      <c r="D51" s="192"/>
      <c r="E51" s="157">
        <f>Mvalloc!D16</f>
        <v>0</v>
      </c>
      <c r="G51" s="775" t="str">
        <f>CONCATENATE("Desired Carryover Into ",E1+1,"")</f>
        <v>Desired Carryover Into 2026</v>
      </c>
      <c r="H51" s="776"/>
      <c r="I51" s="776"/>
      <c r="J51" s="777"/>
      <c r="K51" s="334"/>
    </row>
    <row r="52" spans="2:11" x14ac:dyDescent="0.25">
      <c r="B52" s="43" t="s">
        <v>335</v>
      </c>
      <c r="C52" s="192"/>
      <c r="D52" s="192"/>
      <c r="E52" s="157">
        <f>Mvalloc!F16</f>
        <v>0</v>
      </c>
      <c r="G52" s="365"/>
      <c r="H52" s="332"/>
      <c r="I52" s="366"/>
      <c r="J52" s="367"/>
      <c r="K52" s="334"/>
    </row>
    <row r="53" spans="2:11" x14ac:dyDescent="0.25">
      <c r="B53" s="43" t="s">
        <v>375</v>
      </c>
      <c r="C53" s="192"/>
      <c r="D53" s="192"/>
      <c r="E53" s="157">
        <f>Mvalloc!H16</f>
        <v>0</v>
      </c>
      <c r="G53" s="368" t="s">
        <v>343</v>
      </c>
      <c r="H53" s="366"/>
      <c r="I53" s="366"/>
      <c r="J53" s="369">
        <v>0</v>
      </c>
      <c r="K53" s="334"/>
    </row>
    <row r="54" spans="2:11" x14ac:dyDescent="0.25">
      <c r="B54" s="472" t="s">
        <v>336</v>
      </c>
      <c r="C54" s="192"/>
      <c r="D54" s="192"/>
      <c r="E54" s="157">
        <f>Mvalloc!J16</f>
        <v>0</v>
      </c>
      <c r="G54" s="365" t="s">
        <v>345</v>
      </c>
      <c r="H54" s="332"/>
      <c r="I54" s="332"/>
      <c r="J54" s="370" t="str">
        <f>IF(J53=0,"",ROUND((J53+E82-G66)/inputOth!E11*1000,3)-G71)</f>
        <v/>
      </c>
      <c r="K54" s="334"/>
    </row>
    <row r="55" spans="2:11" x14ac:dyDescent="0.25">
      <c r="B55" s="472" t="s">
        <v>337</v>
      </c>
      <c r="C55" s="192"/>
      <c r="D55" s="192"/>
      <c r="E55" s="157">
        <f>Mvalloc!L16</f>
        <v>0</v>
      </c>
      <c r="G55" s="371" t="str">
        <f>CONCATENATE("",E1," Tot Exp/Non-Appr Must Be:")</f>
        <v>2025 Tot Exp/Non-Appr Must Be:</v>
      </c>
      <c r="H55" s="372"/>
      <c r="I55" s="373"/>
      <c r="J55" s="374">
        <f>IF(J53&gt;0,IF(E79&lt;E64,IF(J53=G66,E79,((J53-G66)*(1-D81))+E64),E79+(J53-G66)),0)</f>
        <v>0</v>
      </c>
      <c r="K55" s="334"/>
    </row>
    <row r="56" spans="2:11" x14ac:dyDescent="0.25">
      <c r="B56" s="196"/>
      <c r="C56" s="192"/>
      <c r="D56" s="192"/>
      <c r="E56" s="106"/>
      <c r="G56" s="375" t="s">
        <v>347</v>
      </c>
      <c r="H56" s="376"/>
      <c r="I56" s="376"/>
      <c r="J56" s="377">
        <f>IF(J53&gt;0,J55-E79,0)</f>
        <v>0</v>
      </c>
      <c r="K56" s="334"/>
    </row>
    <row r="57" spans="2:11" x14ac:dyDescent="0.25">
      <c r="B57" s="196"/>
      <c r="C57" s="192"/>
      <c r="D57" s="192"/>
      <c r="E57" s="106"/>
      <c r="G57" s="334"/>
      <c r="H57" s="334"/>
      <c r="I57" s="334"/>
      <c r="J57" s="334"/>
      <c r="K57" s="334"/>
    </row>
    <row r="58" spans="2:11" x14ac:dyDescent="0.25">
      <c r="B58" s="197"/>
      <c r="C58" s="192"/>
      <c r="D58" s="192"/>
      <c r="E58" s="106"/>
      <c r="G58" s="775" t="str">
        <f>CONCATENATE("Projected Carryover Into ",E1+1,"")</f>
        <v>Projected Carryover Into 2026</v>
      </c>
      <c r="H58" s="778"/>
      <c r="I58" s="778"/>
      <c r="J58" s="779"/>
      <c r="K58" s="334"/>
    </row>
    <row r="59" spans="2:11" x14ac:dyDescent="0.25">
      <c r="B59" s="197" t="s">
        <v>339</v>
      </c>
      <c r="C59" s="192"/>
      <c r="D59" s="192"/>
      <c r="E59" s="106"/>
      <c r="G59" s="398"/>
      <c r="H59" s="332"/>
      <c r="I59" s="332"/>
      <c r="J59" s="399"/>
      <c r="K59" s="334"/>
    </row>
    <row r="60" spans="2:11" x14ac:dyDescent="0.25">
      <c r="B60" s="195" t="s">
        <v>191</v>
      </c>
      <c r="C60" s="192"/>
      <c r="D60" s="192"/>
      <c r="E60" s="157">
        <f>'NR Rebate'!E11*-1</f>
        <v>0</v>
      </c>
      <c r="G60" s="380">
        <f>D76</f>
        <v>0</v>
      </c>
      <c r="H60" s="381" t="str">
        <f>CONCATENATE("",E1-1," Ending Cash Balance (est.)")</f>
        <v>2024 Ending Cash Balance (est.)</v>
      </c>
      <c r="I60" s="382"/>
      <c r="J60" s="399"/>
      <c r="K60" s="334"/>
    </row>
    <row r="61" spans="2:11" x14ac:dyDescent="0.25">
      <c r="B61" s="198" t="s">
        <v>340</v>
      </c>
      <c r="C61" s="192"/>
      <c r="D61" s="192"/>
      <c r="E61" s="106"/>
      <c r="G61" s="380">
        <f>E63</f>
        <v>0</v>
      </c>
      <c r="H61" s="366" t="str">
        <f>CONCATENATE("",E1," Non-AV Receipts (est.)")</f>
        <v>2025 Non-AV Receipts (est.)</v>
      </c>
      <c r="I61" s="382"/>
      <c r="J61" s="399"/>
      <c r="K61" s="639" t="str">
        <f>IF(G62=E82,"","Note: Does not include Delinquent Taxes")</f>
        <v/>
      </c>
    </row>
    <row r="62" spans="2:11" x14ac:dyDescent="0.25">
      <c r="B62" s="198" t="s">
        <v>341</v>
      </c>
      <c r="C62" s="242" t="str">
        <f>IF(C63*0.1&lt;C61,"Exceed 10% Rule","")</f>
        <v/>
      </c>
      <c r="D62" s="242" t="str">
        <f>IF(D63*0.1&lt;D61,"Exceed 10% Rule","")</f>
        <v/>
      </c>
      <c r="E62" s="201" t="str">
        <f>IF((E82+E63)*0.1&lt;E61,"Exceed 10% Rule","")</f>
        <v/>
      </c>
      <c r="G62" s="386">
        <f>IF(E81&gt;0,E80,E82)</f>
        <v>0</v>
      </c>
      <c r="H62" s="366" t="str">
        <f>CONCATENATE("",E1," Ad Valorem Tax (est.)")</f>
        <v>2025 Ad Valorem Tax (est.)</v>
      </c>
      <c r="I62" s="366"/>
      <c r="J62" s="399"/>
      <c r="K62" s="334"/>
    </row>
    <row r="63" spans="2:11" x14ac:dyDescent="0.25">
      <c r="B63" s="200" t="s">
        <v>342</v>
      </c>
      <c r="C63" s="206">
        <f>SUM(C49:C61)</f>
        <v>0</v>
      </c>
      <c r="D63" s="206">
        <f>SUM(D49:D61)</f>
        <v>0</v>
      </c>
      <c r="E63" s="206">
        <f>SUM(E49:E61)</f>
        <v>0</v>
      </c>
      <c r="G63" s="400">
        <f>SUM(G60:G62)</f>
        <v>0</v>
      </c>
      <c r="H63" s="366" t="str">
        <f>CONCATENATE("Total ",E1," Resources Available")</f>
        <v>Total 2025 Resources Available</v>
      </c>
      <c r="I63" s="401"/>
      <c r="J63" s="399"/>
      <c r="K63" s="334"/>
    </row>
    <row r="64" spans="2:11" x14ac:dyDescent="0.25">
      <c r="B64" s="60" t="s">
        <v>344</v>
      </c>
      <c r="C64" s="206">
        <f>C63+C47</f>
        <v>0</v>
      </c>
      <c r="D64" s="206">
        <f>D63+D47</f>
        <v>0</v>
      </c>
      <c r="E64" s="206">
        <f>E63+E47</f>
        <v>0</v>
      </c>
      <c r="G64" s="402"/>
      <c r="H64" s="403"/>
      <c r="I64" s="332"/>
      <c r="J64" s="399"/>
      <c r="K64" s="334"/>
    </row>
    <row r="65" spans="2:11" x14ac:dyDescent="0.25">
      <c r="B65" s="43" t="s">
        <v>346</v>
      </c>
      <c r="C65" s="240"/>
      <c r="D65" s="240"/>
      <c r="E65" s="157"/>
      <c r="G65" s="386">
        <f>ROUND(C75*0.05+C75,0)</f>
        <v>0</v>
      </c>
      <c r="H65" s="366" t="str">
        <f>CONCATENATE("Less ",E1-2," Expenditures + 5%")</f>
        <v>Less 2023 Expenditures + 5%</v>
      </c>
      <c r="I65" s="401"/>
      <c r="J65" s="399"/>
      <c r="K65" s="334"/>
    </row>
    <row r="66" spans="2:11" x14ac:dyDescent="0.25">
      <c r="B66" s="197"/>
      <c r="C66" s="192"/>
      <c r="D66" s="192"/>
      <c r="E66" s="106"/>
      <c r="G66" s="390">
        <f>G63-G65</f>
        <v>0</v>
      </c>
      <c r="H66" s="391" t="str">
        <f>CONCATENATE("Projected ",E1+1," carryover (est.)")</f>
        <v>Projected 2026 carryover (est.)</v>
      </c>
      <c r="I66" s="404"/>
      <c r="J66" s="405"/>
      <c r="K66" s="334"/>
    </row>
    <row r="67" spans="2:11" x14ac:dyDescent="0.25">
      <c r="B67" s="197"/>
      <c r="C67" s="192"/>
      <c r="D67" s="192"/>
      <c r="E67" s="106"/>
      <c r="G67" s="334"/>
      <c r="H67" s="334"/>
      <c r="I67" s="334"/>
      <c r="J67" s="334"/>
      <c r="K67" s="334"/>
    </row>
    <row r="68" spans="2:11" x14ac:dyDescent="0.25">
      <c r="B68" s="197"/>
      <c r="C68" s="192"/>
      <c r="D68" s="192"/>
      <c r="E68" s="106"/>
      <c r="G68" s="757" t="s">
        <v>355</v>
      </c>
      <c r="H68" s="758"/>
      <c r="I68" s="758"/>
      <c r="J68" s="759"/>
      <c r="K68" s="334"/>
    </row>
    <row r="69" spans="2:11" x14ac:dyDescent="0.25">
      <c r="B69" s="197"/>
      <c r="C69" s="192"/>
      <c r="D69" s="192"/>
      <c r="E69" s="106"/>
      <c r="G69" s="760"/>
      <c r="H69" s="761"/>
      <c r="I69" s="761"/>
      <c r="J69" s="762"/>
      <c r="K69" s="334"/>
    </row>
    <row r="70" spans="2:11" x14ac:dyDescent="0.25">
      <c r="B70" s="197"/>
      <c r="C70" s="192"/>
      <c r="D70" s="192"/>
      <c r="E70" s="106"/>
      <c r="G70" s="587" t="str">
        <f>'Budget Hearing Notice'!H23</f>
        <v xml:space="preserve"> </v>
      </c>
      <c r="H70" s="588" t="str">
        <f>CONCATENATE("",E1," Estimated Fund Mill Rate")</f>
        <v>2025 Estimated Fund Mill Rate</v>
      </c>
      <c r="I70" s="589"/>
      <c r="J70" s="590"/>
      <c r="K70" s="334"/>
    </row>
    <row r="71" spans="2:11" x14ac:dyDescent="0.25">
      <c r="B71" s="197"/>
      <c r="C71" s="192"/>
      <c r="D71" s="192"/>
      <c r="E71" s="106"/>
      <c r="G71" s="591" t="str">
        <f>'Budget Hearing Notice'!E23</f>
        <v xml:space="preserve">  </v>
      </c>
      <c r="H71" s="588" t="str">
        <f>CONCATENATE("",E1-1," Fund Mill Rate")</f>
        <v>2024 Fund Mill Rate</v>
      </c>
      <c r="I71" s="589"/>
      <c r="J71" s="590"/>
      <c r="K71" s="334"/>
    </row>
    <row r="72" spans="2:11" x14ac:dyDescent="0.25">
      <c r="B72" s="195" t="str">
        <f>CONCATENATE("Cash Reserve (",E1," column)")</f>
        <v>Cash Reserve (2025 column)</v>
      </c>
      <c r="C72" s="192"/>
      <c r="D72" s="192"/>
      <c r="E72" s="106"/>
      <c r="G72" s="592">
        <f>inputOth!D36</f>
        <v>0</v>
      </c>
      <c r="H72" s="593" t="s">
        <v>381</v>
      </c>
      <c r="I72" s="589"/>
      <c r="J72" s="590"/>
      <c r="K72" s="334"/>
    </row>
    <row r="73" spans="2:11" x14ac:dyDescent="0.25">
      <c r="B73" s="195" t="s">
        <v>340</v>
      </c>
      <c r="C73" s="192"/>
      <c r="D73" s="192"/>
      <c r="E73" s="106"/>
      <c r="G73" s="592">
        <f>SUM('Budget Hearing Notice'!H21:H24)</f>
        <v>0</v>
      </c>
      <c r="H73" s="593" t="s">
        <v>383</v>
      </c>
      <c r="I73" s="589"/>
      <c r="J73" s="590"/>
    </row>
    <row r="74" spans="2:11" x14ac:dyDescent="0.25">
      <c r="B74" s="195" t="s">
        <v>362</v>
      </c>
      <c r="C74" s="242" t="str">
        <f>IF(C75*0.1&lt;C73,"Exceed 10% Rule","")</f>
        <v/>
      </c>
      <c r="D74" s="242" t="str">
        <f>IF(D75*0.1&lt;D73,"Exceed 10% Rule","")</f>
        <v/>
      </c>
      <c r="E74" s="201" t="str">
        <f>IF(E75*0.1&lt;E73,"Exceed 10% Rule","")</f>
        <v/>
      </c>
      <c r="G74" s="587">
        <f>'Budget Hearing Notice'!H36</f>
        <v>0</v>
      </c>
      <c r="H74" s="588" t="str">
        <f>CONCATENATE(E1," Estimated Total Mill Rate")</f>
        <v>2025 Estimated Total Mill Rate</v>
      </c>
      <c r="I74" s="589"/>
      <c r="J74" s="590"/>
    </row>
    <row r="75" spans="2:11" x14ac:dyDescent="0.25">
      <c r="B75" s="60" t="s">
        <v>363</v>
      </c>
      <c r="C75" s="206">
        <f>SUM(C66:C73)</f>
        <v>0</v>
      </c>
      <c r="D75" s="206">
        <f>SUM(D66:D73)</f>
        <v>0</v>
      </c>
      <c r="E75" s="206">
        <f>SUM(E66:E73)</f>
        <v>0</v>
      </c>
      <c r="G75" s="594">
        <f>'Budget Hearing Notice'!E36</f>
        <v>0</v>
      </c>
      <c r="H75" s="588" t="str">
        <f>CONCATENATE(E1-1," Total Mill Rate")</f>
        <v>2024 Total Mill Rate</v>
      </c>
      <c r="I75" s="589"/>
      <c r="J75" s="590"/>
    </row>
    <row r="76" spans="2:11" x14ac:dyDescent="0.25">
      <c r="B76" s="43" t="s">
        <v>364</v>
      </c>
      <c r="C76" s="157">
        <f>C64-C75</f>
        <v>0</v>
      </c>
      <c r="D76" s="157">
        <f>D64-D75</f>
        <v>0</v>
      </c>
      <c r="E76" s="194" t="s">
        <v>185</v>
      </c>
      <c r="G76" s="595"/>
      <c r="H76" s="471"/>
      <c r="I76" s="471"/>
      <c r="J76" s="596"/>
    </row>
    <row r="77" spans="2:11" x14ac:dyDescent="0.25">
      <c r="B77" s="68" t="str">
        <f>CONCATENATE("",E1-2,"/",E1-1,"/",E1," Budget Authority Amount:")</f>
        <v>2023/2024/2025 Budget Authority Amount:</v>
      </c>
      <c r="C77" s="427">
        <f>inputOth!$B96</f>
        <v>0</v>
      </c>
      <c r="D77" s="427">
        <f>inputPrYr!$D26</f>
        <v>0</v>
      </c>
      <c r="E77" s="157">
        <f>E75</f>
        <v>0</v>
      </c>
      <c r="F77" s="202"/>
      <c r="G77" s="763" t="s">
        <v>365</v>
      </c>
      <c r="H77" s="764"/>
      <c r="I77" s="764"/>
      <c r="J77" s="767" t="str">
        <f>IF(G73&gt;G72, "Yes", "No")</f>
        <v>No</v>
      </c>
    </row>
    <row r="78" spans="2:11" x14ac:dyDescent="0.25">
      <c r="B78" s="140"/>
      <c r="C78" s="748" t="s">
        <v>366</v>
      </c>
      <c r="D78" s="749"/>
      <c r="E78" s="106"/>
      <c r="F78" s="415" t="str">
        <f>IF(E75/0.95-E75&lt;E78,"Exceeds 5%","")</f>
        <v/>
      </c>
      <c r="G78" s="765"/>
      <c r="H78" s="766"/>
      <c r="I78" s="766"/>
      <c r="J78" s="768"/>
    </row>
    <row r="79" spans="2:11" x14ac:dyDescent="0.25">
      <c r="B79" s="637" t="str">
        <f>CONCATENATE(C94,"     ",D94)</f>
        <v xml:space="preserve">     </v>
      </c>
      <c r="C79" s="750" t="s">
        <v>367</v>
      </c>
      <c r="D79" s="751"/>
      <c r="E79" s="157">
        <f>E75+E78</f>
        <v>0</v>
      </c>
      <c r="G79" s="769" t="str">
        <f>IF(J77="Yes", "Follow procedure prescribed by KSA 79-2988 to exceed the Revenue Neutral Rate.", " ")</f>
        <v xml:space="preserve"> </v>
      </c>
      <c r="H79" s="769"/>
      <c r="I79" s="769"/>
      <c r="J79" s="769"/>
    </row>
    <row r="80" spans="2:11" x14ac:dyDescent="0.25">
      <c r="B80" s="637" t="str">
        <f>CONCATENATE(C95,"     ",D95)</f>
        <v xml:space="preserve">     </v>
      </c>
      <c r="C80" s="638"/>
      <c r="D80" s="250" t="s">
        <v>368</v>
      </c>
      <c r="E80" s="157">
        <f>IF(E79-E64&gt;0,E79-E64,0)</f>
        <v>0</v>
      </c>
      <c r="G80" s="770"/>
      <c r="H80" s="770"/>
      <c r="I80" s="770"/>
      <c r="J80" s="770"/>
    </row>
    <row r="81" spans="2:10" x14ac:dyDescent="0.25">
      <c r="B81" s="136"/>
      <c r="C81" s="621" t="s">
        <v>369</v>
      </c>
      <c r="D81" s="408">
        <f>inputOth!$E$85</f>
        <v>0</v>
      </c>
      <c r="E81" s="157">
        <f>ROUND(IF(D81&gt;0,(E80*D81),0),0)</f>
        <v>0</v>
      </c>
      <c r="G81" s="770"/>
      <c r="H81" s="770"/>
      <c r="I81" s="770"/>
      <c r="J81" s="770"/>
    </row>
    <row r="82" spans="2:10" x14ac:dyDescent="0.25">
      <c r="B82" s="35"/>
      <c r="C82" s="752" t="str">
        <f>CONCATENATE("Amount of  ",$E$1-1," Ad Valorem Tax")</f>
        <v>Amount of  2024 Ad Valorem Tax</v>
      </c>
      <c r="D82" s="753"/>
      <c r="E82" s="157">
        <f>E80+E81</f>
        <v>0</v>
      </c>
    </row>
    <row r="83" spans="2:10" x14ac:dyDescent="0.25">
      <c r="B83" s="35"/>
      <c r="C83" s="622"/>
      <c r="D83" s="622"/>
      <c r="E83" s="622"/>
    </row>
    <row r="84" spans="2:10" x14ac:dyDescent="0.25">
      <c r="B84" s="490" t="s">
        <v>203</v>
      </c>
      <c r="C84" s="498"/>
      <c r="D84" s="498"/>
      <c r="E84" s="499"/>
    </row>
    <row r="85" spans="2:10" x14ac:dyDescent="0.25">
      <c r="B85" s="251"/>
      <c r="C85" s="622"/>
      <c r="D85" s="622"/>
      <c r="E85" s="500"/>
    </row>
    <row r="86" spans="2:10" x14ac:dyDescent="0.25">
      <c r="B86" s="491"/>
      <c r="C86" s="501"/>
      <c r="D86" s="501"/>
      <c r="E86" s="502"/>
    </row>
    <row r="87" spans="2:10" x14ac:dyDescent="0.25">
      <c r="B87" s="35"/>
      <c r="C87" s="622"/>
      <c r="D87" s="622"/>
      <c r="E87" s="622"/>
    </row>
    <row r="88" spans="2:10" x14ac:dyDescent="0.25">
      <c r="B88" s="136" t="s">
        <v>370</v>
      </c>
      <c r="C88" s="460"/>
      <c r="D88" s="35"/>
      <c r="E88" s="35"/>
    </row>
    <row r="89" spans="2:10" x14ac:dyDescent="0.25">
      <c r="B89" s="65"/>
    </row>
    <row r="92" spans="2:10" hidden="1" x14ac:dyDescent="0.25">
      <c r="C92" s="99" t="str">
        <f>IF(C34&gt;C36,"See Tab A","")</f>
        <v/>
      </c>
      <c r="D92" s="99" t="str">
        <f>IF(D34&gt;D36,"See Tab C","")</f>
        <v/>
      </c>
    </row>
    <row r="93" spans="2:10" hidden="1" x14ac:dyDescent="0.25">
      <c r="C93" s="99" t="str">
        <f>IF(C35&lt;0,"See Tab B","")</f>
        <v/>
      </c>
      <c r="D93" s="99" t="str">
        <f>IF(D35&lt;0,"See Tab D","")</f>
        <v/>
      </c>
    </row>
    <row r="94" spans="2:10" hidden="1" x14ac:dyDescent="0.25">
      <c r="C94" s="99" t="str">
        <f>IF(C75&gt;C77,"See Tab A","")</f>
        <v/>
      </c>
      <c r="D94" s="99" t="str">
        <f>IF(D75&gt;D77,"See Tab C","")</f>
        <v/>
      </c>
    </row>
    <row r="95" spans="2:10" hidden="1" x14ac:dyDescent="0.25">
      <c r="C95" s="99" t="str">
        <f>IF(C76&lt;0,"See Tab B","")</f>
        <v/>
      </c>
      <c r="D95" s="99" t="str">
        <f>IF(D76&lt;0,"See Tab D","")</f>
        <v/>
      </c>
    </row>
  </sheetData>
  <sheetProtection sheet="1"/>
  <mergeCells count="18">
    <mergeCell ref="G9:J9"/>
    <mergeCell ref="G16:J16"/>
    <mergeCell ref="G51:J51"/>
    <mergeCell ref="G58:J58"/>
    <mergeCell ref="C37:D37"/>
    <mergeCell ref="C38:D38"/>
    <mergeCell ref="G26:J27"/>
    <mergeCell ref="G35:I36"/>
    <mergeCell ref="J35:J36"/>
    <mergeCell ref="G37:J39"/>
    <mergeCell ref="G68:J69"/>
    <mergeCell ref="C78:D78"/>
    <mergeCell ref="C79:D79"/>
    <mergeCell ref="C82:D82"/>
    <mergeCell ref="C41:D41"/>
    <mergeCell ref="G77:I78"/>
    <mergeCell ref="J77:J78"/>
    <mergeCell ref="G79:J81"/>
  </mergeCells>
  <phoneticPr fontId="0" type="noConversion"/>
  <conditionalFormatting sqref="C20">
    <cfRule type="cellIs" dxfId="144" priority="22" stopIfTrue="1" operator="greaterThan">
      <formula>$C$22*0.1</formula>
    </cfRule>
  </conditionalFormatting>
  <conditionalFormatting sqref="C32">
    <cfRule type="cellIs" dxfId="143" priority="19" stopIfTrue="1" operator="greaterThan">
      <formula>$C$34*0.1</formula>
    </cfRule>
  </conditionalFormatting>
  <conditionalFormatting sqref="C34">
    <cfRule type="expression" dxfId="142" priority="8">
      <formula>$C$34&gt;$C$36</formula>
    </cfRule>
  </conditionalFormatting>
  <conditionalFormatting sqref="C35">
    <cfRule type="expression" dxfId="141" priority="7">
      <formula>$C$35&lt;0</formula>
    </cfRule>
  </conditionalFormatting>
  <conditionalFormatting sqref="C61">
    <cfRule type="cellIs" dxfId="140" priority="15" stopIfTrue="1" operator="greaterThan">
      <formula>$C$63*0.1</formula>
    </cfRule>
  </conditionalFormatting>
  <conditionalFormatting sqref="C73">
    <cfRule type="cellIs" dxfId="139" priority="13" stopIfTrue="1" operator="greaterThan">
      <formula>$C$75*0.1</formula>
    </cfRule>
  </conditionalFormatting>
  <conditionalFormatting sqref="C75">
    <cfRule type="expression" dxfId="138" priority="4">
      <formula>$C$75&gt;$C$77</formula>
    </cfRule>
  </conditionalFormatting>
  <conditionalFormatting sqref="C76">
    <cfRule type="expression" dxfId="137" priority="3">
      <formula>$C$76&lt;0</formula>
    </cfRule>
  </conditionalFormatting>
  <conditionalFormatting sqref="D20">
    <cfRule type="cellIs" dxfId="136" priority="23" stopIfTrue="1" operator="greaterThan">
      <formula>$D$22*0.1</formula>
    </cfRule>
  </conditionalFormatting>
  <conditionalFormatting sqref="D32">
    <cfRule type="cellIs" dxfId="135" priority="20" stopIfTrue="1" operator="greaterThan">
      <formula>$D$34*0.1</formula>
    </cfRule>
  </conditionalFormatting>
  <conditionalFormatting sqref="D34">
    <cfRule type="expression" dxfId="134" priority="6">
      <formula>$D$34&gt;$D$36</formula>
    </cfRule>
  </conditionalFormatting>
  <conditionalFormatting sqref="D35">
    <cfRule type="expression" dxfId="133" priority="5">
      <formula>$D$35&lt;0</formula>
    </cfRule>
  </conditionalFormatting>
  <conditionalFormatting sqref="D61">
    <cfRule type="cellIs" dxfId="132" priority="16" stopIfTrue="1" operator="greaterThan">
      <formula>$D$63*0.1</formula>
    </cfRule>
  </conditionalFormatting>
  <conditionalFormatting sqref="D73">
    <cfRule type="cellIs" dxfId="131" priority="14" stopIfTrue="1" operator="greaterThan">
      <formula>$D$75*0.1</formula>
    </cfRule>
  </conditionalFormatting>
  <conditionalFormatting sqref="D75">
    <cfRule type="expression" dxfId="130" priority="2">
      <formula>$D$75&gt;$D$77</formula>
    </cfRule>
  </conditionalFormatting>
  <conditionalFormatting sqref="D76">
    <cfRule type="expression" dxfId="129" priority="1">
      <formula>$D$76&lt;0</formula>
    </cfRule>
  </conditionalFormatting>
  <conditionalFormatting sqref="E20">
    <cfRule type="cellIs" dxfId="128" priority="38" stopIfTrue="1" operator="greaterThan">
      <formula>$E$22*0.1+$E$41</formula>
    </cfRule>
  </conditionalFormatting>
  <conditionalFormatting sqref="E32">
    <cfRule type="cellIs" dxfId="127" priority="21" stopIfTrue="1" operator="greaterThan">
      <formula>$E$34*0.1</formula>
    </cfRule>
  </conditionalFormatting>
  <conditionalFormatting sqref="E37">
    <cfRule type="cellIs" dxfId="126" priority="24" stopIfTrue="1" operator="greaterThan">
      <formula>$E$34/0.95-$E$34</formula>
    </cfRule>
  </conditionalFormatting>
  <conditionalFormatting sqref="E61">
    <cfRule type="cellIs" dxfId="125" priority="17" stopIfTrue="1" operator="greaterThan">
      <formula>(E82+$E$63)*0.1</formula>
    </cfRule>
  </conditionalFormatting>
  <conditionalFormatting sqref="E73">
    <cfRule type="cellIs" dxfId="124" priority="31" stopIfTrue="1" operator="greaterThan">
      <formula>$E$75*0.1</formula>
    </cfRule>
  </conditionalFormatting>
  <conditionalFormatting sqref="E78">
    <cfRule type="cellIs" dxfId="123" priority="18" stopIfTrue="1" operator="greaterThan">
      <formula>$E$75/0.95-$E$75</formula>
    </cfRule>
  </conditionalFormatting>
  <conditionalFormatting sqref="J35">
    <cfRule type="containsText" dxfId="122" priority="10" operator="containsText" text="Yes">
      <formula>NOT(ISERROR(SEARCH("Yes",J35)))</formula>
    </cfRule>
  </conditionalFormatting>
  <conditionalFormatting sqref="J77">
    <cfRule type="containsText" dxfId="121" priority="9" operator="containsText" text="Yes">
      <formula>NOT(ISERROR(SEARCH("Yes",J77)))</formula>
    </cfRule>
  </conditionalFormatting>
  <pageMargins left="0.9" right="0.9" top="0.96" bottom="0.5" header="0.41" footer="0.3"/>
  <pageSetup scale="52"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F0"/>
    <pageSetUpPr fitToPage="1"/>
  </sheetPr>
  <dimension ref="B1:K95"/>
  <sheetViews>
    <sheetView zoomScaleNormal="100" workbookViewId="0">
      <selection activeCell="D27" sqref="D27"/>
    </sheetView>
  </sheetViews>
  <sheetFormatPr defaultRowHeight="15.75" x14ac:dyDescent="0.25"/>
  <cols>
    <col min="1" max="1" width="2.3984375" style="99" customWidth="1"/>
    <col min="2" max="2" width="31" style="99" customWidth="1"/>
    <col min="3" max="4" width="15.69921875" style="99" customWidth="1"/>
    <col min="5" max="5" width="12.69921875" style="99" customWidth="1"/>
    <col min="6" max="6" width="7.296875" style="99" customWidth="1"/>
    <col min="7" max="7" width="9.19921875" style="99" customWidth="1"/>
    <col min="8" max="8" width="8.796875" style="99"/>
    <col min="9" max="9" width="4.5" style="99" customWidth="1"/>
    <col min="10" max="10" width="13" style="99" customWidth="1"/>
    <col min="11" max="16384" width="8.796875" style="99"/>
  </cols>
  <sheetData>
    <row r="1" spans="2:11" x14ac:dyDescent="0.25">
      <c r="B1" s="72">
        <f>inputPrYr!D4</f>
        <v>0</v>
      </c>
      <c r="C1" s="35"/>
      <c r="D1" s="35"/>
      <c r="E1" s="140">
        <f>inputPrYr!D10</f>
        <v>2025</v>
      </c>
    </row>
    <row r="2" spans="2:11" x14ac:dyDescent="0.25">
      <c r="B2" s="288" t="s">
        <v>327</v>
      </c>
      <c r="C2" s="35"/>
      <c r="D2" s="133"/>
      <c r="E2" s="207"/>
    </row>
    <row r="3" spans="2:11" x14ac:dyDescent="0.25">
      <c r="B3" s="35"/>
      <c r="C3" s="38"/>
      <c r="D3" s="38"/>
      <c r="E3" s="38"/>
    </row>
    <row r="4" spans="2:11" x14ac:dyDescent="0.25">
      <c r="B4" s="39" t="s">
        <v>328</v>
      </c>
      <c r="C4" s="238" t="s">
        <v>329</v>
      </c>
      <c r="D4" s="241" t="s">
        <v>276</v>
      </c>
      <c r="E4" s="625" t="s">
        <v>330</v>
      </c>
    </row>
    <row r="5" spans="2:11" x14ac:dyDescent="0.25">
      <c r="B5" s="246" t="str">
        <f>inputPrYr!B27</f>
        <v>Fire Protection</v>
      </c>
      <c r="C5" s="239" t="str">
        <f>General!C5</f>
        <v>Actual for 2023</v>
      </c>
      <c r="D5" s="239" t="str">
        <f>General!D5</f>
        <v>Estimate for 2024</v>
      </c>
      <c r="E5" s="626" t="str">
        <f>General!E5</f>
        <v>Year for 2025</v>
      </c>
    </row>
    <row r="6" spans="2:11" x14ac:dyDescent="0.25">
      <c r="B6" s="43" t="s">
        <v>331</v>
      </c>
      <c r="C6" s="192"/>
      <c r="D6" s="240">
        <f>C35</f>
        <v>0</v>
      </c>
      <c r="E6" s="157">
        <f>D35</f>
        <v>0</v>
      </c>
    </row>
    <row r="7" spans="2:11" x14ac:dyDescent="0.25">
      <c r="B7" s="43" t="s">
        <v>332</v>
      </c>
      <c r="C7" s="240"/>
      <c r="D7" s="240"/>
      <c r="E7" s="194"/>
    </row>
    <row r="8" spans="2:11" x14ac:dyDescent="0.25">
      <c r="B8" s="43" t="s">
        <v>96</v>
      </c>
      <c r="C8" s="192"/>
      <c r="D8" s="240">
        <f>IF(inputPrYr!H22&gt;0,inputPrYr!G29,inputPrYr!E27)</f>
        <v>0</v>
      </c>
      <c r="E8" s="194" t="s">
        <v>185</v>
      </c>
      <c r="G8" s="775" t="str">
        <f>CONCATENATE("Desired Carryover Into ",E1+1,"")</f>
        <v>Desired Carryover Into 2026</v>
      </c>
      <c r="H8" s="776"/>
      <c r="I8" s="776"/>
      <c r="J8" s="777"/>
      <c r="K8" s="334"/>
    </row>
    <row r="9" spans="2:11" x14ac:dyDescent="0.25">
      <c r="B9" s="43" t="s">
        <v>333</v>
      </c>
      <c r="C9" s="192"/>
      <c r="D9" s="192"/>
      <c r="E9" s="106"/>
      <c r="G9" s="365"/>
      <c r="H9" s="332"/>
      <c r="I9" s="366"/>
      <c r="J9" s="367"/>
      <c r="K9" s="334"/>
    </row>
    <row r="10" spans="2:11" x14ac:dyDescent="0.25">
      <c r="B10" s="43" t="s">
        <v>334</v>
      </c>
      <c r="C10" s="192"/>
      <c r="D10" s="192"/>
      <c r="E10" s="157">
        <f>Mvalloc!D17</f>
        <v>0</v>
      </c>
      <c r="G10" s="368" t="s">
        <v>343</v>
      </c>
      <c r="H10" s="366"/>
      <c r="I10" s="366"/>
      <c r="J10" s="369">
        <v>0</v>
      </c>
      <c r="K10" s="334"/>
    </row>
    <row r="11" spans="2:11" x14ac:dyDescent="0.25">
      <c r="B11" s="43" t="s">
        <v>335</v>
      </c>
      <c r="C11" s="192"/>
      <c r="D11" s="192"/>
      <c r="E11" s="157">
        <f>Mvalloc!F17</f>
        <v>0</v>
      </c>
      <c r="G11" s="365" t="s">
        <v>345</v>
      </c>
      <c r="H11" s="332"/>
      <c r="I11" s="332"/>
      <c r="J11" s="370" t="str">
        <f>IF(J10=0,"",ROUND((J10+E41-G23)/inputOth!E11*1000,3)-G28)</f>
        <v/>
      </c>
      <c r="K11" s="334"/>
    </row>
    <row r="12" spans="2:11" x14ac:dyDescent="0.25">
      <c r="B12" s="43" t="s">
        <v>375</v>
      </c>
      <c r="C12" s="192"/>
      <c r="D12" s="192"/>
      <c r="E12" s="157">
        <f>Mvalloc!H17</f>
        <v>0</v>
      </c>
      <c r="G12" s="371" t="str">
        <f>CONCATENATE("",E1," Tot Exp/Non-Appr Must Be:")</f>
        <v>2025 Tot Exp/Non-Appr Must Be:</v>
      </c>
      <c r="H12" s="372"/>
      <c r="I12" s="373"/>
      <c r="J12" s="374">
        <f>IF(J10&gt;0,IF(E38&lt;E23,IF(J10=G23,E38,((J10-G23)*(1-D40))+E23),E38+(J10-G23)),0)</f>
        <v>0</v>
      </c>
      <c r="K12" s="334"/>
    </row>
    <row r="13" spans="2:11" x14ac:dyDescent="0.25">
      <c r="B13" s="472" t="s">
        <v>336</v>
      </c>
      <c r="C13" s="192"/>
      <c r="D13" s="192"/>
      <c r="E13" s="157">
        <f>Mvalloc!J17</f>
        <v>0</v>
      </c>
      <c r="G13" s="375" t="s">
        <v>347</v>
      </c>
      <c r="H13" s="376"/>
      <c r="I13" s="376"/>
      <c r="J13" s="377">
        <f>IF(J10&gt;0,J12-E38,0)</f>
        <v>0</v>
      </c>
      <c r="K13" s="334"/>
    </row>
    <row r="14" spans="2:11" x14ac:dyDescent="0.25">
      <c r="B14" s="472" t="s">
        <v>337</v>
      </c>
      <c r="C14" s="192"/>
      <c r="D14" s="192"/>
      <c r="E14" s="157">
        <f>Mvalloc!L17</f>
        <v>0</v>
      </c>
      <c r="G14" s="334"/>
      <c r="H14" s="334"/>
      <c r="I14" s="334"/>
      <c r="J14" s="334"/>
      <c r="K14" s="334"/>
    </row>
    <row r="15" spans="2:11" x14ac:dyDescent="0.25">
      <c r="B15" s="196"/>
      <c r="C15" s="192"/>
      <c r="D15" s="192"/>
      <c r="E15" s="106"/>
      <c r="G15" s="775" t="str">
        <f>CONCATENATE("Projected Carryover Into ",E1+1,"")</f>
        <v>Projected Carryover Into 2026</v>
      </c>
      <c r="H15" s="780"/>
      <c r="I15" s="780"/>
      <c r="J15" s="779"/>
      <c r="K15" s="334"/>
    </row>
    <row r="16" spans="2:11" x14ac:dyDescent="0.25">
      <c r="B16" s="196"/>
      <c r="C16" s="192"/>
      <c r="D16" s="192"/>
      <c r="E16" s="106"/>
      <c r="G16" s="365"/>
      <c r="H16" s="366"/>
      <c r="I16" s="366"/>
      <c r="J16" s="379"/>
      <c r="K16" s="334"/>
    </row>
    <row r="17" spans="2:11" x14ac:dyDescent="0.25">
      <c r="B17" s="197"/>
      <c r="C17" s="192"/>
      <c r="D17" s="192"/>
      <c r="E17" s="106"/>
      <c r="G17" s="380">
        <f>D35</f>
        <v>0</v>
      </c>
      <c r="H17" s="381" t="str">
        <f>CONCATENATE("",E1-1," Ending Cash Balance (est.)")</f>
        <v>2024 Ending Cash Balance (est.)</v>
      </c>
      <c r="I17" s="382"/>
      <c r="J17" s="379"/>
      <c r="K17" s="334"/>
    </row>
    <row r="18" spans="2:11" x14ac:dyDescent="0.25">
      <c r="B18" s="197" t="s">
        <v>339</v>
      </c>
      <c r="C18" s="192"/>
      <c r="D18" s="192"/>
      <c r="E18" s="106"/>
      <c r="G18" s="380">
        <f>E22</f>
        <v>0</v>
      </c>
      <c r="H18" s="366" t="str">
        <f>CONCATENATE("",E1," Non-AV Receipts (est.)")</f>
        <v>2025 Non-AV Receipts (est.)</v>
      </c>
      <c r="I18" s="382"/>
      <c r="J18" s="379"/>
      <c r="K18" s="334"/>
    </row>
    <row r="19" spans="2:11" x14ac:dyDescent="0.2">
      <c r="B19" s="195" t="s">
        <v>191</v>
      </c>
      <c r="C19" s="192"/>
      <c r="D19" s="192"/>
      <c r="E19" s="157">
        <f>'NR Rebate'!E12*-1</f>
        <v>0</v>
      </c>
      <c r="G19" s="386">
        <f>IF(E40&gt;0,E39,E41)</f>
        <v>0</v>
      </c>
      <c r="H19" s="366" t="str">
        <f>CONCATENATE("",E1," Ad Valorem Tax (est.)")</f>
        <v>2025 Ad Valorem Tax (est.)</v>
      </c>
      <c r="I19" s="366"/>
      <c r="J19" s="379"/>
      <c r="K19" s="639" t="str">
        <f>IF(G19=E41,"","Note: Does not include Delinquent Taxes")</f>
        <v/>
      </c>
    </row>
    <row r="20" spans="2:11" x14ac:dyDescent="0.25">
      <c r="B20" s="198" t="s">
        <v>340</v>
      </c>
      <c r="C20" s="192"/>
      <c r="D20" s="192"/>
      <c r="E20" s="106"/>
      <c r="G20" s="380">
        <f>SUM(G17:G19)</f>
        <v>0</v>
      </c>
      <c r="H20" s="366" t="str">
        <f>CONCATENATE("Total ",E1," Resources Available")</f>
        <v>Total 2025 Resources Available</v>
      </c>
      <c r="I20" s="382"/>
      <c r="J20" s="379"/>
      <c r="K20" s="334"/>
    </row>
    <row r="21" spans="2:11" x14ac:dyDescent="0.25">
      <c r="B21" s="198" t="s">
        <v>341</v>
      </c>
      <c r="C21" s="242" t="str">
        <f>IF(C22*0.1&lt;C20,"Exceed 10% Rule","")</f>
        <v/>
      </c>
      <c r="D21" s="242" t="str">
        <f>IF(D22*0.1&lt;D20,"Exceed 10% Rule","")</f>
        <v/>
      </c>
      <c r="E21" s="201" t="str">
        <f>IF((E41+E22)*0.1&lt;E20,"Exceed 10% Rule","")</f>
        <v/>
      </c>
      <c r="G21" s="387"/>
      <c r="H21" s="366"/>
      <c r="I21" s="366"/>
      <c r="J21" s="379"/>
      <c r="K21" s="334"/>
    </row>
    <row r="22" spans="2:11" x14ac:dyDescent="0.25">
      <c r="B22" s="200" t="s">
        <v>342</v>
      </c>
      <c r="C22" s="206">
        <f>SUM(C8:C20)</f>
        <v>0</v>
      </c>
      <c r="D22" s="206">
        <f>SUM(D8:D20)</f>
        <v>0</v>
      </c>
      <c r="E22" s="206">
        <f>SUM(E8:E20)</f>
        <v>0</v>
      </c>
      <c r="G22" s="386">
        <f>C34*0.05+C34</f>
        <v>0</v>
      </c>
      <c r="H22" s="366" t="str">
        <f>CONCATENATE("Less ",E1-2," Expenditures + 5%")</f>
        <v>Less 2023 Expenditures + 5%</v>
      </c>
      <c r="I22" s="366"/>
      <c r="J22" s="379"/>
      <c r="K22" s="334"/>
    </row>
    <row r="23" spans="2:11" x14ac:dyDescent="0.25">
      <c r="B23" s="60" t="s">
        <v>344</v>
      </c>
      <c r="C23" s="206">
        <f>C22+C6</f>
        <v>0</v>
      </c>
      <c r="D23" s="206">
        <f>D22+D6</f>
        <v>0</v>
      </c>
      <c r="E23" s="206">
        <f>E22+E6</f>
        <v>0</v>
      </c>
      <c r="G23" s="390">
        <f>G20-G22</f>
        <v>0</v>
      </c>
      <c r="H23" s="391" t="str">
        <f>CONCATENATE("Projected ",E1+1," carryover (est.)")</f>
        <v>Projected 2026 carryover (est.)</v>
      </c>
      <c r="I23" s="392"/>
      <c r="J23" s="393"/>
      <c r="K23" s="334"/>
    </row>
    <row r="24" spans="2:11" x14ac:dyDescent="0.25">
      <c r="B24" s="43" t="s">
        <v>346</v>
      </c>
      <c r="C24" s="240"/>
      <c r="D24" s="240"/>
      <c r="E24" s="157"/>
      <c r="G24" s="334"/>
      <c r="H24" s="334"/>
      <c r="I24" s="334"/>
      <c r="J24" s="334"/>
      <c r="K24" s="334"/>
    </row>
    <row r="25" spans="2:11" x14ac:dyDescent="0.25">
      <c r="B25" s="197"/>
      <c r="C25" s="192"/>
      <c r="D25" s="192"/>
      <c r="E25" s="106"/>
      <c r="G25" s="757" t="s">
        <v>355</v>
      </c>
      <c r="H25" s="758"/>
      <c r="I25" s="758"/>
      <c r="J25" s="759"/>
      <c r="K25" s="334"/>
    </row>
    <row r="26" spans="2:11" x14ac:dyDescent="0.25">
      <c r="B26" s="197"/>
      <c r="C26" s="192"/>
      <c r="D26" s="192"/>
      <c r="E26" s="106"/>
      <c r="G26" s="760"/>
      <c r="H26" s="761"/>
      <c r="I26" s="761"/>
      <c r="J26" s="762"/>
      <c r="K26" s="334"/>
    </row>
    <row r="27" spans="2:11" x14ac:dyDescent="0.25">
      <c r="B27" s="197"/>
      <c r="C27" s="192"/>
      <c r="D27" s="192"/>
      <c r="E27" s="106"/>
      <c r="G27" s="587" t="str">
        <f>'Budget Hearing Notice'!H24</f>
        <v xml:space="preserve"> </v>
      </c>
      <c r="H27" s="588" t="str">
        <f>CONCATENATE("",E1," Estimated Fund Mill Rate")</f>
        <v>2025 Estimated Fund Mill Rate</v>
      </c>
      <c r="I27" s="589"/>
      <c r="J27" s="590"/>
      <c r="K27" s="334"/>
    </row>
    <row r="28" spans="2:11" x14ac:dyDescent="0.25">
      <c r="B28" s="197"/>
      <c r="C28" s="192"/>
      <c r="D28" s="192"/>
      <c r="E28" s="106"/>
      <c r="G28" s="591" t="str">
        <f>'Budget Hearing Notice'!E24</f>
        <v xml:space="preserve">  </v>
      </c>
      <c r="H28" s="588" t="str">
        <f>CONCATENATE("",E1-1," Fund Mill Rate")</f>
        <v>2024 Fund Mill Rate</v>
      </c>
      <c r="I28" s="589"/>
      <c r="J28" s="590"/>
      <c r="K28" s="334"/>
    </row>
    <row r="29" spans="2:11" x14ac:dyDescent="0.25">
      <c r="B29" s="197"/>
      <c r="C29" s="192"/>
      <c r="D29" s="192"/>
      <c r="E29" s="106"/>
      <c r="G29" s="592">
        <f>'Budget Hearing Notice'!H37</f>
        <v>0</v>
      </c>
      <c r="H29" s="593" t="s">
        <v>381</v>
      </c>
      <c r="I29" s="589"/>
      <c r="J29" s="590"/>
      <c r="K29" s="334"/>
    </row>
    <row r="30" spans="2:11" x14ac:dyDescent="0.25">
      <c r="B30" s="197"/>
      <c r="C30" s="192"/>
      <c r="D30" s="192"/>
      <c r="E30" s="106"/>
      <c r="G30" s="592">
        <f>SUM('Budget Hearing Notice'!H21:H24)</f>
        <v>0</v>
      </c>
      <c r="H30" s="593" t="s">
        <v>383</v>
      </c>
      <c r="I30" s="589"/>
      <c r="J30" s="590"/>
      <c r="K30" s="334"/>
    </row>
    <row r="31" spans="2:11" x14ac:dyDescent="0.25">
      <c r="B31" s="195" t="str">
        <f>CONCATENATE("Cash Reserve (",E1," column)")</f>
        <v>Cash Reserve (2025 column)</v>
      </c>
      <c r="C31" s="192"/>
      <c r="D31" s="192"/>
      <c r="E31" s="106"/>
      <c r="G31" s="587">
        <f>'Budget Hearing Notice'!H36</f>
        <v>0</v>
      </c>
      <c r="H31" s="588" t="str">
        <f>CONCATENATE(E1," Estimated Total Mill Rate")</f>
        <v>2025 Estimated Total Mill Rate</v>
      </c>
      <c r="I31" s="589"/>
      <c r="J31" s="590"/>
      <c r="K31" s="334"/>
    </row>
    <row r="32" spans="2:11" ht="15.75" customHeight="1" x14ac:dyDescent="0.25">
      <c r="B32" s="195" t="s">
        <v>340</v>
      </c>
      <c r="C32" s="192"/>
      <c r="D32" s="192"/>
      <c r="E32" s="106"/>
      <c r="G32" s="594">
        <f>'Budget Hearing Notice'!E36</f>
        <v>0</v>
      </c>
      <c r="H32" s="588" t="str">
        <f>CONCATENATE(E1-1," Total Mill Rate")</f>
        <v>2024 Total Mill Rate</v>
      </c>
      <c r="I32" s="589"/>
      <c r="J32" s="590"/>
    </row>
    <row r="33" spans="2:11" x14ac:dyDescent="0.25">
      <c r="B33" s="195" t="s">
        <v>362</v>
      </c>
      <c r="C33" s="242" t="str">
        <f>IF(C34*0.1&lt;C32,"Exceed 10% Rule","")</f>
        <v/>
      </c>
      <c r="D33" s="242" t="str">
        <f>IF(D34*0.1&lt;D32,"Exceed 10% Rule","")</f>
        <v/>
      </c>
      <c r="E33" s="201" t="str">
        <f>IF(E34*0.1&lt;E32,"Exceed 10% Rule","")</f>
        <v/>
      </c>
      <c r="G33" s="595"/>
      <c r="H33" s="471"/>
      <c r="I33" s="471"/>
      <c r="J33" s="596"/>
    </row>
    <row r="34" spans="2:11" x14ac:dyDescent="0.25">
      <c r="B34" s="60" t="s">
        <v>363</v>
      </c>
      <c r="C34" s="206">
        <f>SUM(C25:C32)</f>
        <v>0</v>
      </c>
      <c r="D34" s="206">
        <f>SUM(D25:D32)</f>
        <v>0</v>
      </c>
      <c r="E34" s="206">
        <f>SUM(E25:E32)</f>
        <v>0</v>
      </c>
      <c r="G34" s="763" t="s">
        <v>365</v>
      </c>
      <c r="H34" s="764"/>
      <c r="I34" s="764"/>
      <c r="J34" s="767" t="str">
        <f>IF(G30&gt;G29, "Yes", "No")</f>
        <v>No</v>
      </c>
    </row>
    <row r="35" spans="2:11" x14ac:dyDescent="0.25">
      <c r="B35" s="43" t="s">
        <v>364</v>
      </c>
      <c r="C35" s="427">
        <f>C23-C34</f>
        <v>0</v>
      </c>
      <c r="D35" s="427">
        <f>D23-D34</f>
        <v>0</v>
      </c>
      <c r="E35" s="194" t="s">
        <v>185</v>
      </c>
      <c r="G35" s="765"/>
      <c r="H35" s="766"/>
      <c r="I35" s="766"/>
      <c r="J35" s="768"/>
      <c r="K35" s="334"/>
    </row>
    <row r="36" spans="2:11" x14ac:dyDescent="0.25">
      <c r="B36" s="68" t="str">
        <f>CONCATENATE("",E1-2,"/",E1-1,"/",E1," Budget Authority Amount:")</f>
        <v>2023/2024/2025 Budget Authority Amount:</v>
      </c>
      <c r="C36" s="427">
        <f>inputOth!$B97</f>
        <v>0</v>
      </c>
      <c r="D36" s="427">
        <f>inputPrYr!$D27</f>
        <v>0</v>
      </c>
      <c r="E36" s="157">
        <f>E34</f>
        <v>0</v>
      </c>
      <c r="F36" s="202"/>
      <c r="G36" s="769" t="str">
        <f>IF(J34="Yes", "Follow procedure prescribed by KSA 79-2988 to exceed the Revenue Neutral Rate.", " ")</f>
        <v xml:space="preserve"> </v>
      </c>
      <c r="H36" s="769"/>
      <c r="I36" s="769"/>
      <c r="J36" s="769"/>
      <c r="K36" s="334"/>
    </row>
    <row r="37" spans="2:11" x14ac:dyDescent="0.25">
      <c r="B37" s="140"/>
      <c r="C37" s="748" t="s">
        <v>366</v>
      </c>
      <c r="D37" s="749"/>
      <c r="E37" s="106"/>
      <c r="F37" s="415" t="str">
        <f>IF(E34/0.95-E34&lt;E37,"Exceeds 5%","")</f>
        <v/>
      </c>
      <c r="G37" s="770"/>
      <c r="H37" s="770"/>
      <c r="I37" s="770"/>
      <c r="J37" s="770"/>
      <c r="K37" s="334"/>
    </row>
    <row r="38" spans="2:11" x14ac:dyDescent="0.25">
      <c r="B38" s="637" t="str">
        <f>CONCATENATE(C92,"     ",D92)</f>
        <v xml:space="preserve">     </v>
      </c>
      <c r="C38" s="750" t="s">
        <v>367</v>
      </c>
      <c r="D38" s="751"/>
      <c r="E38" s="157">
        <f>E34+E37</f>
        <v>0</v>
      </c>
      <c r="G38" s="770"/>
      <c r="H38" s="770"/>
      <c r="I38" s="770"/>
      <c r="J38" s="770"/>
      <c r="K38" s="334"/>
    </row>
    <row r="39" spans="2:11" x14ac:dyDescent="0.25">
      <c r="B39" s="637" t="str">
        <f>CONCATENATE(C93,"     ",D93)</f>
        <v xml:space="preserve">     </v>
      </c>
      <c r="C39" s="638"/>
      <c r="D39" s="250" t="s">
        <v>368</v>
      </c>
      <c r="E39" s="427">
        <f>IF(E38-E23&gt;0,E38-E23,0)</f>
        <v>0</v>
      </c>
      <c r="G39" s="334"/>
      <c r="H39" s="334"/>
      <c r="I39" s="334"/>
      <c r="J39" s="334"/>
      <c r="K39" s="334"/>
    </row>
    <row r="40" spans="2:11" ht="15.75" customHeight="1" x14ac:dyDescent="0.25">
      <c r="B40" s="136"/>
      <c r="C40" s="621" t="s">
        <v>369</v>
      </c>
      <c r="D40" s="408">
        <f>inputOth!$E$85</f>
        <v>0</v>
      </c>
      <c r="E40" s="157">
        <f>ROUND(IF(D40&gt;0,(E39*D40),0),0)</f>
        <v>0</v>
      </c>
      <c r="G40" s="334"/>
      <c r="H40" s="334"/>
      <c r="I40" s="334"/>
      <c r="J40" s="334"/>
      <c r="K40" s="334"/>
    </row>
    <row r="41" spans="2:11" ht="15.75" customHeight="1" x14ac:dyDescent="0.25">
      <c r="B41" s="35"/>
      <c r="C41" s="752" t="str">
        <f>CONCATENATE("Amount of  ",$E$1-1," Ad Valorem Tax")</f>
        <v>Amount of  2024 Ad Valorem Tax</v>
      </c>
      <c r="D41" s="753"/>
      <c r="E41" s="427">
        <f>E39+E40</f>
        <v>0</v>
      </c>
      <c r="G41" s="334"/>
      <c r="H41" s="334"/>
      <c r="I41" s="334"/>
      <c r="J41" s="334"/>
      <c r="K41" s="334"/>
    </row>
    <row r="42" spans="2:11" x14ac:dyDescent="0.25">
      <c r="B42" s="35"/>
      <c r="C42" s="622"/>
      <c r="D42" s="35"/>
      <c r="E42" s="35"/>
      <c r="G42" s="334"/>
      <c r="H42" s="334"/>
      <c r="I42" s="334"/>
      <c r="J42" s="334"/>
      <c r="K42" s="334"/>
    </row>
    <row r="43" spans="2:11" x14ac:dyDescent="0.25">
      <c r="B43" s="35"/>
      <c r="C43" s="622"/>
      <c r="D43" s="35"/>
      <c r="E43" s="35"/>
      <c r="G43" s="334"/>
      <c r="H43" s="334"/>
      <c r="I43" s="334"/>
      <c r="J43" s="334"/>
      <c r="K43" s="334"/>
    </row>
    <row r="44" spans="2:11" x14ac:dyDescent="0.25">
      <c r="B44" s="39" t="s">
        <v>328</v>
      </c>
      <c r="C44" s="38"/>
      <c r="D44" s="38"/>
      <c r="E44" s="38"/>
      <c r="G44" s="334"/>
      <c r="H44" s="334"/>
      <c r="I44" s="334"/>
      <c r="J44" s="334"/>
      <c r="K44" s="334"/>
    </row>
    <row r="45" spans="2:11" x14ac:dyDescent="0.25">
      <c r="B45" s="35"/>
      <c r="C45" s="238" t="s">
        <v>329</v>
      </c>
      <c r="D45" s="241" t="s">
        <v>276</v>
      </c>
      <c r="E45" s="625" t="s">
        <v>330</v>
      </c>
      <c r="G45" s="334"/>
      <c r="H45" s="334"/>
      <c r="I45" s="334"/>
      <c r="J45" s="334"/>
      <c r="K45" s="334"/>
    </row>
    <row r="46" spans="2:11" x14ac:dyDescent="0.25">
      <c r="B46" s="247">
        <f>inputPrYr!B28</f>
        <v>0</v>
      </c>
      <c r="C46" s="239" t="str">
        <f>C5</f>
        <v>Actual for 2023</v>
      </c>
      <c r="D46" s="239" t="str">
        <f>D5</f>
        <v>Estimate for 2024</v>
      </c>
      <c r="E46" s="626" t="str">
        <f>E5</f>
        <v>Year for 2025</v>
      </c>
      <c r="G46" s="334"/>
      <c r="H46" s="334"/>
      <c r="I46" s="334"/>
      <c r="J46" s="334"/>
      <c r="K46" s="334"/>
    </row>
    <row r="47" spans="2:11" x14ac:dyDescent="0.25">
      <c r="B47" s="43" t="s">
        <v>331</v>
      </c>
      <c r="C47" s="192"/>
      <c r="D47" s="240">
        <f>C76</f>
        <v>0</v>
      </c>
      <c r="E47" s="157">
        <f>D76</f>
        <v>0</v>
      </c>
      <c r="G47" s="334"/>
      <c r="H47" s="334"/>
      <c r="I47" s="334"/>
      <c r="J47" s="334"/>
      <c r="K47" s="334"/>
    </row>
    <row r="48" spans="2:11" x14ac:dyDescent="0.25">
      <c r="B48" s="43" t="s">
        <v>332</v>
      </c>
      <c r="C48" s="240"/>
      <c r="D48" s="240"/>
      <c r="E48" s="194"/>
      <c r="G48" s="334"/>
      <c r="H48" s="334"/>
      <c r="I48" s="334"/>
      <c r="J48" s="334"/>
      <c r="K48" s="334"/>
    </row>
    <row r="49" spans="2:11" x14ac:dyDescent="0.25">
      <c r="B49" s="43" t="s">
        <v>96</v>
      </c>
      <c r="C49" s="192"/>
      <c r="D49" s="240">
        <f>IF(inputPrYr!H22&gt;0,inputPrYr!G30,inputPrYr!E28)</f>
        <v>0</v>
      </c>
      <c r="E49" s="194" t="s">
        <v>185</v>
      </c>
      <c r="G49" s="334"/>
      <c r="H49" s="334"/>
      <c r="I49" s="334"/>
      <c r="J49" s="334"/>
      <c r="K49" s="334"/>
    </row>
    <row r="50" spans="2:11" x14ac:dyDescent="0.25">
      <c r="B50" s="43" t="s">
        <v>333</v>
      </c>
      <c r="C50" s="192"/>
      <c r="D50" s="192"/>
      <c r="E50" s="106"/>
      <c r="G50" s="775" t="str">
        <f>CONCATENATE("Desired Carryover Into ",E1+1,"")</f>
        <v>Desired Carryover Into 2026</v>
      </c>
      <c r="H50" s="776"/>
      <c r="I50" s="776"/>
      <c r="J50" s="777"/>
      <c r="K50" s="334"/>
    </row>
    <row r="51" spans="2:11" x14ac:dyDescent="0.25">
      <c r="B51" s="43" t="s">
        <v>334</v>
      </c>
      <c r="C51" s="192"/>
      <c r="D51" s="192"/>
      <c r="E51" s="157">
        <f>Mvalloc!D18+Mvalloc!E18</f>
        <v>0</v>
      </c>
      <c r="G51" s="365"/>
      <c r="H51" s="332"/>
      <c r="I51" s="366"/>
      <c r="J51" s="367"/>
      <c r="K51" s="334"/>
    </row>
    <row r="52" spans="2:11" x14ac:dyDescent="0.25">
      <c r="B52" s="43" t="s">
        <v>335</v>
      </c>
      <c r="C52" s="192"/>
      <c r="D52" s="192"/>
      <c r="E52" s="157">
        <f>Mvalloc!F18+Mvalloc!G18</f>
        <v>0</v>
      </c>
      <c r="G52" s="368" t="s">
        <v>343</v>
      </c>
      <c r="H52" s="366"/>
      <c r="I52" s="366"/>
      <c r="J52" s="369">
        <v>0</v>
      </c>
      <c r="K52" s="334"/>
    </row>
    <row r="53" spans="2:11" x14ac:dyDescent="0.25">
      <c r="B53" s="43" t="s">
        <v>375</v>
      </c>
      <c r="C53" s="192"/>
      <c r="D53" s="192"/>
      <c r="E53" s="157">
        <f>Mvalloc!H18+Mvalloc!I18</f>
        <v>0</v>
      </c>
      <c r="G53" s="365" t="s">
        <v>345</v>
      </c>
      <c r="H53" s="332"/>
      <c r="I53" s="332"/>
      <c r="J53" s="370" t="str">
        <f>IF(J52=0,"",ROUND((J52+E82-G65)/inputOth!E11*1000,3)-G70)</f>
        <v/>
      </c>
      <c r="K53" s="334"/>
    </row>
    <row r="54" spans="2:11" x14ac:dyDescent="0.25">
      <c r="B54" s="472" t="s">
        <v>336</v>
      </c>
      <c r="C54" s="192"/>
      <c r="D54" s="192"/>
      <c r="E54" s="157">
        <f>Mvalloc!J18+Mvalloc!K18</f>
        <v>0</v>
      </c>
      <c r="G54" s="371" t="str">
        <f>CONCATENATE("",E1," Tot Exp/Non-Appr Must Be:")</f>
        <v>2025 Tot Exp/Non-Appr Must Be:</v>
      </c>
      <c r="H54" s="372"/>
      <c r="I54" s="373"/>
      <c r="J54" s="374">
        <f>IF(J52&gt;0,IF(E79&lt;E64,IF(J52=G65,E79,((J52-G65)*(1-D81))+E64),E79+(J52-G65)),0)</f>
        <v>0</v>
      </c>
      <c r="K54" s="334"/>
    </row>
    <row r="55" spans="2:11" x14ac:dyDescent="0.25">
      <c r="B55" s="472" t="s">
        <v>337</v>
      </c>
      <c r="C55" s="192"/>
      <c r="D55" s="192"/>
      <c r="E55" s="157">
        <f>Mvalloc!L18+Mvalloc!M18</f>
        <v>0</v>
      </c>
      <c r="G55" s="375" t="s">
        <v>347</v>
      </c>
      <c r="H55" s="376"/>
      <c r="I55" s="376"/>
      <c r="J55" s="377">
        <f>IF(J52&gt;0,J54-E79,0)</f>
        <v>0</v>
      </c>
      <c r="K55" s="334"/>
    </row>
    <row r="56" spans="2:11" x14ac:dyDescent="0.25">
      <c r="B56" s="197"/>
      <c r="C56" s="192"/>
      <c r="D56" s="192"/>
      <c r="E56" s="106"/>
      <c r="G56" s="334"/>
      <c r="H56" s="334"/>
      <c r="I56" s="334"/>
      <c r="J56" s="334"/>
      <c r="K56" s="334"/>
    </row>
    <row r="57" spans="2:11" x14ac:dyDescent="0.25">
      <c r="B57" s="197"/>
      <c r="C57" s="192"/>
      <c r="D57" s="192"/>
      <c r="E57" s="106"/>
      <c r="G57" s="775" t="str">
        <f>CONCATENATE("Projected Carryover Into ",E1+1,"")</f>
        <v>Projected Carryover Into 2026</v>
      </c>
      <c r="H57" s="778"/>
      <c r="I57" s="778"/>
      <c r="J57" s="779"/>
      <c r="K57" s="334"/>
    </row>
    <row r="58" spans="2:11" x14ac:dyDescent="0.25">
      <c r="B58" s="197"/>
      <c r="C58" s="192"/>
      <c r="D58" s="192"/>
      <c r="E58" s="106"/>
      <c r="G58" s="398"/>
      <c r="H58" s="332"/>
      <c r="I58" s="332"/>
      <c r="J58" s="399"/>
      <c r="K58" s="334"/>
    </row>
    <row r="59" spans="2:11" x14ac:dyDescent="0.25">
      <c r="B59" s="197" t="s">
        <v>339</v>
      </c>
      <c r="C59" s="192"/>
      <c r="D59" s="192"/>
      <c r="E59" s="106"/>
      <c r="G59" s="380">
        <f>D76</f>
        <v>0</v>
      </c>
      <c r="H59" s="381" t="str">
        <f>CONCATENATE("",E1-1," Ending Cash Balance (est.)")</f>
        <v>2024 Ending Cash Balance (est.)</v>
      </c>
      <c r="I59" s="382"/>
      <c r="J59" s="399"/>
      <c r="K59" s="334"/>
    </row>
    <row r="60" spans="2:11" x14ac:dyDescent="0.25">
      <c r="B60" s="195" t="s">
        <v>191</v>
      </c>
      <c r="C60" s="192"/>
      <c r="D60" s="192"/>
      <c r="E60" s="427">
        <f>'NR Rebate'!E13*-1</f>
        <v>0</v>
      </c>
      <c r="G60" s="380">
        <f>E63</f>
        <v>0</v>
      </c>
      <c r="H60" s="366" t="str">
        <f>CONCATENATE("",E1," Non-AV Receipts (est.)")</f>
        <v>2025 Non-AV Receipts (est.)</v>
      </c>
      <c r="I60" s="382"/>
      <c r="J60" s="399"/>
      <c r="K60" s="639" t="str">
        <f>IF(G61=E82,"","Note: Does not include Delinquent Taxes")</f>
        <v/>
      </c>
    </row>
    <row r="61" spans="2:11" x14ac:dyDescent="0.25">
      <c r="B61" s="198" t="s">
        <v>340</v>
      </c>
      <c r="C61" s="192"/>
      <c r="D61" s="192"/>
      <c r="E61" s="106"/>
      <c r="G61" s="386">
        <f>IF(E81&gt;0,E80,E82)</f>
        <v>0</v>
      </c>
      <c r="H61" s="366" t="str">
        <f>CONCATENATE("",E1," Ad Valorem Tax (est.)")</f>
        <v>2025 Ad Valorem Tax (est.)</v>
      </c>
      <c r="I61" s="366"/>
      <c r="J61" s="399"/>
      <c r="K61" s="334"/>
    </row>
    <row r="62" spans="2:11" x14ac:dyDescent="0.25">
      <c r="B62" s="198" t="s">
        <v>341</v>
      </c>
      <c r="C62" s="242" t="str">
        <f>IF(C63*0.1&lt;C61,"Exceed 10% Rule","")</f>
        <v/>
      </c>
      <c r="D62" s="242" t="str">
        <f>IF(D63*0.1&lt;D61,"Exceed 10% Rule","")</f>
        <v/>
      </c>
      <c r="E62" s="201" t="str">
        <f>IF((E82+E63)*0.1&lt;E61,"Exceed 10% Rule","")</f>
        <v/>
      </c>
      <c r="G62" s="380">
        <f>SUM(G59:G61)</f>
        <v>0</v>
      </c>
      <c r="H62" s="366" t="str">
        <f>CONCATENATE("Total ",E1," Resources Available")</f>
        <v>Total 2025 Resources Available</v>
      </c>
      <c r="I62" s="401"/>
      <c r="J62" s="399"/>
      <c r="K62" s="334"/>
    </row>
    <row r="63" spans="2:11" x14ac:dyDescent="0.25">
      <c r="B63" s="200" t="s">
        <v>342</v>
      </c>
      <c r="C63" s="206">
        <f>SUM(C49:C61)</f>
        <v>0</v>
      </c>
      <c r="D63" s="206">
        <f>SUM(D49:D61)</f>
        <v>0</v>
      </c>
      <c r="E63" s="206">
        <f>SUM(E49:E61)</f>
        <v>0</v>
      </c>
      <c r="G63" s="402"/>
      <c r="H63" s="403"/>
      <c r="I63" s="332"/>
      <c r="J63" s="399"/>
      <c r="K63" s="334"/>
    </row>
    <row r="64" spans="2:11" x14ac:dyDescent="0.25">
      <c r="B64" s="60" t="s">
        <v>344</v>
      </c>
      <c r="C64" s="206">
        <f>C63+C47</f>
        <v>0</v>
      </c>
      <c r="D64" s="206">
        <f>D63+D47</f>
        <v>0</v>
      </c>
      <c r="E64" s="206">
        <f>E63+E47</f>
        <v>0</v>
      </c>
      <c r="G64" s="386">
        <f>ROUND(C75*0.05+C75,0)</f>
        <v>0</v>
      </c>
      <c r="H64" s="366" t="str">
        <f>CONCATENATE("Less ",E1-2," Expenditures + 5%")</f>
        <v>Less 2023 Expenditures + 5%</v>
      </c>
      <c r="I64" s="401"/>
      <c r="J64" s="399"/>
      <c r="K64" s="334"/>
    </row>
    <row r="65" spans="2:11" x14ac:dyDescent="0.25">
      <c r="B65" s="43" t="s">
        <v>346</v>
      </c>
      <c r="C65" s="240"/>
      <c r="D65" s="240"/>
      <c r="E65" s="157"/>
      <c r="G65" s="390">
        <f>G62-G64</f>
        <v>0</v>
      </c>
      <c r="H65" s="391" t="str">
        <f>CONCATENATE("Projected ",E1+1," carryover (est.)")</f>
        <v>Projected 2026 carryover (est.)</v>
      </c>
      <c r="I65" s="404"/>
      <c r="J65" s="405"/>
      <c r="K65" s="334"/>
    </row>
    <row r="66" spans="2:11" x14ac:dyDescent="0.25">
      <c r="B66" s="197"/>
      <c r="C66" s="192"/>
      <c r="D66" s="192"/>
      <c r="E66" s="106"/>
      <c r="G66" s="334"/>
      <c r="H66" s="334"/>
      <c r="I66" s="334"/>
      <c r="J66" s="334"/>
      <c r="K66" s="334"/>
    </row>
    <row r="67" spans="2:11" x14ac:dyDescent="0.25">
      <c r="B67" s="197"/>
      <c r="C67" s="192"/>
      <c r="D67" s="192"/>
      <c r="E67" s="106"/>
      <c r="G67" s="757" t="s">
        <v>355</v>
      </c>
      <c r="H67" s="758"/>
      <c r="I67" s="758"/>
      <c r="J67" s="759"/>
      <c r="K67" s="334"/>
    </row>
    <row r="68" spans="2:11" x14ac:dyDescent="0.25">
      <c r="B68" s="197"/>
      <c r="C68" s="192"/>
      <c r="D68" s="192"/>
      <c r="E68" s="106"/>
      <c r="G68" s="760"/>
      <c r="H68" s="761"/>
      <c r="I68" s="761"/>
      <c r="J68" s="762"/>
      <c r="K68" s="334"/>
    </row>
    <row r="69" spans="2:11" x14ac:dyDescent="0.25">
      <c r="B69" s="197"/>
      <c r="C69" s="192"/>
      <c r="D69" s="192"/>
      <c r="E69" s="106"/>
      <c r="G69" s="587" t="str">
        <f>'Budget Hearing Notice'!H25</f>
        <v xml:space="preserve"> </v>
      </c>
      <c r="H69" s="588" t="str">
        <f>CONCATENATE("",E1," Estimated Fund Mill Rate")</f>
        <v>2025 Estimated Fund Mill Rate</v>
      </c>
      <c r="I69" s="589"/>
      <c r="J69" s="590"/>
      <c r="K69" s="334"/>
    </row>
    <row r="70" spans="2:11" x14ac:dyDescent="0.25">
      <c r="B70" s="197"/>
      <c r="C70" s="192"/>
      <c r="D70" s="192"/>
      <c r="E70" s="106"/>
      <c r="G70" s="591" t="str">
        <f>'Budget Hearing Notice'!E25</f>
        <v xml:space="preserve">  </v>
      </c>
      <c r="H70" s="588" t="str">
        <f>CONCATENATE("",E1-1," Fund Mill Rate")</f>
        <v>2024 Fund Mill Rate</v>
      </c>
      <c r="I70" s="589"/>
      <c r="J70" s="590"/>
      <c r="K70" s="334"/>
    </row>
    <row r="71" spans="2:11" x14ac:dyDescent="0.25">
      <c r="B71" s="197"/>
      <c r="C71" s="192"/>
      <c r="D71" s="192"/>
      <c r="E71" s="106"/>
      <c r="G71" s="592">
        <f>inputOth!E36</f>
        <v>0</v>
      </c>
      <c r="H71" s="593" t="s">
        <v>359</v>
      </c>
      <c r="I71" s="589"/>
      <c r="J71" s="590"/>
      <c r="K71" s="334"/>
    </row>
    <row r="72" spans="2:11" x14ac:dyDescent="0.25">
      <c r="B72" s="195" t="str">
        <f>CONCATENATE("Cash Reserve (",E1," column)")</f>
        <v>Cash Reserve (2025 column)</v>
      </c>
      <c r="C72" s="192"/>
      <c r="D72" s="192"/>
      <c r="E72" s="106"/>
      <c r="G72" s="592">
        <f>SUM('Budget Hearing Notice'!H18:H20,'Budget Hearing Notice'!H25:H29)</f>
        <v>0</v>
      </c>
      <c r="H72" s="593" t="s">
        <v>361</v>
      </c>
      <c r="I72" s="589"/>
      <c r="J72" s="590"/>
    </row>
    <row r="73" spans="2:11" x14ac:dyDescent="0.25">
      <c r="B73" s="195" t="s">
        <v>340</v>
      </c>
      <c r="C73" s="192"/>
      <c r="D73" s="192"/>
      <c r="E73" s="106"/>
      <c r="G73" s="587">
        <f>'Budget Hearing Notice'!H36</f>
        <v>0</v>
      </c>
      <c r="H73" s="588" t="str">
        <f>CONCATENATE(E1," Estimated Total Mill Rate")</f>
        <v>2025 Estimated Total Mill Rate</v>
      </c>
      <c r="I73" s="589"/>
      <c r="J73" s="590"/>
    </row>
    <row r="74" spans="2:11" x14ac:dyDescent="0.25">
      <c r="B74" s="195" t="s">
        <v>362</v>
      </c>
      <c r="C74" s="242" t="str">
        <f>IF(C75*0.1&lt;C73,"Exceed 10% Rule","")</f>
        <v/>
      </c>
      <c r="D74" s="242" t="str">
        <f>IF(D75*0.1&lt;D73,"Exceed 10% Rule","")</f>
        <v/>
      </c>
      <c r="E74" s="201" t="str">
        <f>IF(E75*0.1&lt;E73,"Exceed 10% Rule","")</f>
        <v/>
      </c>
      <c r="G74" s="594">
        <f>'Budget Hearing Notice'!E36</f>
        <v>0</v>
      </c>
      <c r="H74" s="588" t="str">
        <f>CONCATENATE(E1-1," Total Mill Rate")</f>
        <v>2024 Total Mill Rate</v>
      </c>
      <c r="I74" s="589"/>
      <c r="J74" s="590"/>
    </row>
    <row r="75" spans="2:11" x14ac:dyDescent="0.25">
      <c r="B75" s="60" t="s">
        <v>363</v>
      </c>
      <c r="C75" s="206">
        <f>SUM(C66:C73)</f>
        <v>0</v>
      </c>
      <c r="D75" s="206">
        <f>SUM(D66:D73)</f>
        <v>0</v>
      </c>
      <c r="E75" s="206">
        <f>SUM(E66:E73)</f>
        <v>0</v>
      </c>
      <c r="G75" s="595"/>
      <c r="H75" s="471"/>
      <c r="I75" s="471"/>
      <c r="J75" s="596"/>
    </row>
    <row r="76" spans="2:11" x14ac:dyDescent="0.25">
      <c r="B76" s="43" t="s">
        <v>364</v>
      </c>
      <c r="C76" s="427">
        <f>C64-C75</f>
        <v>0</v>
      </c>
      <c r="D76" s="427">
        <f>D64-D75</f>
        <v>0</v>
      </c>
      <c r="E76" s="194" t="s">
        <v>185</v>
      </c>
      <c r="G76" s="763" t="s">
        <v>365</v>
      </c>
      <c r="H76" s="764"/>
      <c r="I76" s="764"/>
      <c r="J76" s="767" t="str">
        <f>IF(G72&gt;G71, "Yes", "No")</f>
        <v>No</v>
      </c>
    </row>
    <row r="77" spans="2:11" x14ac:dyDescent="0.25">
      <c r="B77" s="68" t="str">
        <f>CONCATENATE("",E1-2,"/",E1-1,"/",E1," Budget Authority Amount:")</f>
        <v>2023/2024/2025 Budget Authority Amount:</v>
      </c>
      <c r="C77" s="427">
        <f>inputOth!$B98</f>
        <v>0</v>
      </c>
      <c r="D77" s="308">
        <f>inputPrYr!$D28</f>
        <v>0</v>
      </c>
      <c r="E77" s="157">
        <f>E75</f>
        <v>0</v>
      </c>
      <c r="F77" s="202"/>
      <c r="G77" s="765"/>
      <c r="H77" s="766"/>
      <c r="I77" s="766"/>
      <c r="J77" s="768"/>
    </row>
    <row r="78" spans="2:11" x14ac:dyDescent="0.25">
      <c r="B78" s="140"/>
      <c r="C78" s="748" t="s">
        <v>366</v>
      </c>
      <c r="D78" s="749"/>
      <c r="E78" s="106"/>
      <c r="F78" s="415" t="str">
        <f>IF(E75/0.95-E75&lt;E78,"Exceeds 5%","")</f>
        <v/>
      </c>
      <c r="G78" s="769" t="str">
        <f>IF(J76="Yes", "Follow procedure prescribed by KSA 79-2988 to exceed the Revenue Neutral Rate.", " ")</f>
        <v xml:space="preserve"> </v>
      </c>
      <c r="H78" s="769"/>
      <c r="I78" s="769"/>
      <c r="J78" s="769"/>
    </row>
    <row r="79" spans="2:11" x14ac:dyDescent="0.25">
      <c r="B79" s="637" t="str">
        <f>CONCATENATE(C94,"     ",D94)</f>
        <v xml:space="preserve">     </v>
      </c>
      <c r="C79" s="750" t="s">
        <v>367</v>
      </c>
      <c r="D79" s="751"/>
      <c r="E79" s="157">
        <f>E75+E78</f>
        <v>0</v>
      </c>
      <c r="G79" s="770"/>
      <c r="H79" s="770"/>
      <c r="I79" s="770"/>
      <c r="J79" s="770"/>
    </row>
    <row r="80" spans="2:11" x14ac:dyDescent="0.25">
      <c r="B80" s="637" t="str">
        <f>CONCATENATE(C95,"     ",D95)</f>
        <v xml:space="preserve">     </v>
      </c>
      <c r="C80" s="638"/>
      <c r="D80" s="250" t="s">
        <v>368</v>
      </c>
      <c r="E80" s="427">
        <f>IF(E79-E64&gt;0,E79-E64,0)</f>
        <v>0</v>
      </c>
      <c r="G80" s="770"/>
      <c r="H80" s="770"/>
      <c r="I80" s="770"/>
      <c r="J80" s="770"/>
    </row>
    <row r="81" spans="2:5" x14ac:dyDescent="0.25">
      <c r="B81" s="136"/>
      <c r="C81" s="621" t="s">
        <v>369</v>
      </c>
      <c r="D81" s="408">
        <f>inputOth!$E$85</f>
        <v>0</v>
      </c>
      <c r="E81" s="157">
        <f>ROUND(IF(D81&gt;0,(E80*D81),0),0)</f>
        <v>0</v>
      </c>
    </row>
    <row r="82" spans="2:5" x14ac:dyDescent="0.25">
      <c r="B82" s="35"/>
      <c r="C82" s="752" t="str">
        <f>CONCATENATE("Amount of  ",$E$1-1," Ad Valorem Tax")</f>
        <v>Amount of  2024 Ad Valorem Tax</v>
      </c>
      <c r="D82" s="753"/>
      <c r="E82" s="427">
        <f>E80+E81</f>
        <v>0</v>
      </c>
    </row>
    <row r="83" spans="2:5" x14ac:dyDescent="0.25">
      <c r="B83" s="35"/>
      <c r="C83" s="622"/>
      <c r="D83" s="622"/>
      <c r="E83" s="622"/>
    </row>
    <row r="84" spans="2:5" x14ac:dyDescent="0.25">
      <c r="B84" s="490" t="s">
        <v>203</v>
      </c>
      <c r="C84" s="498"/>
      <c r="D84" s="498"/>
      <c r="E84" s="499"/>
    </row>
    <row r="85" spans="2:5" x14ac:dyDescent="0.25">
      <c r="B85" s="251"/>
      <c r="C85" s="622"/>
      <c r="D85" s="622"/>
      <c r="E85" s="500"/>
    </row>
    <row r="86" spans="2:5" x14ac:dyDescent="0.25">
      <c r="B86" s="491"/>
      <c r="C86" s="501"/>
      <c r="D86" s="501"/>
      <c r="E86" s="502"/>
    </row>
    <row r="87" spans="2:5" x14ac:dyDescent="0.25">
      <c r="B87" s="35"/>
      <c r="C87" s="622"/>
      <c r="D87" s="622"/>
      <c r="E87" s="622"/>
    </row>
    <row r="88" spans="2:5" x14ac:dyDescent="0.25">
      <c r="B88" s="136" t="s">
        <v>370</v>
      </c>
      <c r="C88" s="460"/>
      <c r="D88" s="35"/>
      <c r="E88" s="35"/>
    </row>
    <row r="89" spans="2:5" x14ac:dyDescent="0.25">
      <c r="B89" s="65"/>
    </row>
    <row r="92" spans="2:5" hidden="1" x14ac:dyDescent="0.25">
      <c r="C92" s="99" t="str">
        <f>IF(C34&gt;C36,"See Tab A","")</f>
        <v/>
      </c>
      <c r="D92" s="99" t="str">
        <f>IF(D34&gt;D36,"See Tab C","")</f>
        <v/>
      </c>
    </row>
    <row r="93" spans="2:5" hidden="1" x14ac:dyDescent="0.25">
      <c r="C93" s="99" t="str">
        <f>IF(C35&lt;0,"See Tab B","")</f>
        <v/>
      </c>
      <c r="D93" s="99" t="str">
        <f>IF(D35&lt;0,"See Tab D","")</f>
        <v/>
      </c>
    </row>
    <row r="94" spans="2:5" hidden="1" x14ac:dyDescent="0.25">
      <c r="C94" s="99" t="str">
        <f>IF(C75&gt;C77,"See Tab A","")</f>
        <v/>
      </c>
      <c r="D94" s="99" t="str">
        <f>IF(D75&gt;D77,"See Tab C","")</f>
        <v/>
      </c>
    </row>
    <row r="95" spans="2:5" hidden="1" x14ac:dyDescent="0.25">
      <c r="C95" s="99" t="str">
        <f>IF(C76&lt;0,"See Tab B","")</f>
        <v/>
      </c>
      <c r="D95" s="99" t="str">
        <f>IF(D76&lt;0,"See Tab D","")</f>
        <v/>
      </c>
    </row>
  </sheetData>
  <sheetProtection sheet="1"/>
  <mergeCells count="18">
    <mergeCell ref="G8:J8"/>
    <mergeCell ref="G15:J15"/>
    <mergeCell ref="G50:J50"/>
    <mergeCell ref="G57:J57"/>
    <mergeCell ref="C37:D37"/>
    <mergeCell ref="C38:D38"/>
    <mergeCell ref="G25:J26"/>
    <mergeCell ref="G34:I35"/>
    <mergeCell ref="J34:J35"/>
    <mergeCell ref="G36:J38"/>
    <mergeCell ref="G67:J68"/>
    <mergeCell ref="C78:D78"/>
    <mergeCell ref="C79:D79"/>
    <mergeCell ref="C82:D82"/>
    <mergeCell ref="C41:D41"/>
    <mergeCell ref="G76:I77"/>
    <mergeCell ref="J76:J77"/>
    <mergeCell ref="G78:J80"/>
  </mergeCells>
  <phoneticPr fontId="0" type="noConversion"/>
  <conditionalFormatting sqref="C20">
    <cfRule type="cellIs" dxfId="120" priority="22" stopIfTrue="1" operator="greaterThan">
      <formula>$C$22*0.1</formula>
    </cfRule>
  </conditionalFormatting>
  <conditionalFormatting sqref="C32">
    <cfRule type="cellIs" dxfId="119" priority="19" stopIfTrue="1" operator="greaterThan">
      <formula>$C$34*0.1</formula>
    </cfRule>
  </conditionalFormatting>
  <conditionalFormatting sqref="C34">
    <cfRule type="expression" dxfId="118" priority="8">
      <formula>$C$34&gt;$C$36</formula>
    </cfRule>
  </conditionalFormatting>
  <conditionalFormatting sqref="C35">
    <cfRule type="expression" dxfId="117" priority="7">
      <formula>$C$35&lt;0</formula>
    </cfRule>
  </conditionalFormatting>
  <conditionalFormatting sqref="C61">
    <cfRule type="cellIs" dxfId="116" priority="16" stopIfTrue="1" operator="greaterThan">
      <formula>$C$63*0.1</formula>
    </cfRule>
  </conditionalFormatting>
  <conditionalFormatting sqref="C73">
    <cfRule type="cellIs" dxfId="115" priority="13" stopIfTrue="1" operator="greaterThan">
      <formula>$C$720*0.1</formula>
    </cfRule>
  </conditionalFormatting>
  <conditionalFormatting sqref="C75">
    <cfRule type="expression" dxfId="114" priority="4">
      <formula>$C$75&gt;$C$77</formula>
    </cfRule>
  </conditionalFormatting>
  <conditionalFormatting sqref="C76">
    <cfRule type="expression" dxfId="113" priority="3">
      <formula>$C$76&lt;0</formula>
    </cfRule>
  </conditionalFormatting>
  <conditionalFormatting sqref="D20">
    <cfRule type="cellIs" dxfId="112" priority="23" stopIfTrue="1" operator="greaterThan">
      <formula>$D$22*0.1</formula>
    </cfRule>
  </conditionalFormatting>
  <conditionalFormatting sqref="D32">
    <cfRule type="cellIs" dxfId="111" priority="20" stopIfTrue="1" operator="greaterThan">
      <formula>$D$34*0.1</formula>
    </cfRule>
  </conditionalFormatting>
  <conditionalFormatting sqref="D34">
    <cfRule type="expression" dxfId="110" priority="6">
      <formula>$D$34&gt;$D$36</formula>
    </cfRule>
  </conditionalFormatting>
  <conditionalFormatting sqref="D35">
    <cfRule type="expression" dxfId="109" priority="5">
      <formula>$D$35&lt;0</formula>
    </cfRule>
  </conditionalFormatting>
  <conditionalFormatting sqref="D61">
    <cfRule type="cellIs" dxfId="108" priority="17" stopIfTrue="1" operator="greaterThan">
      <formula>$D$63*0.1</formula>
    </cfRule>
  </conditionalFormatting>
  <conditionalFormatting sqref="D73">
    <cfRule type="cellIs" dxfId="107" priority="14" stopIfTrue="1" operator="greaterThan">
      <formula>$D$720*0.1</formula>
    </cfRule>
  </conditionalFormatting>
  <conditionalFormatting sqref="D75">
    <cfRule type="expression" dxfId="106" priority="2">
      <formula>$D$75&gt;$D$77</formula>
    </cfRule>
  </conditionalFormatting>
  <conditionalFormatting sqref="D76">
    <cfRule type="expression" dxfId="105" priority="1">
      <formula>$D$76&lt;0</formula>
    </cfRule>
  </conditionalFormatting>
  <conditionalFormatting sqref="E20">
    <cfRule type="cellIs" dxfId="104" priority="39" stopIfTrue="1" operator="greaterThan">
      <formula>$E$22*0.1+$E$41</formula>
    </cfRule>
  </conditionalFormatting>
  <conditionalFormatting sqref="E32">
    <cfRule type="cellIs" dxfId="103" priority="21" stopIfTrue="1" operator="greaterThan">
      <formula>$E$34*0.1</formula>
    </cfRule>
  </conditionalFormatting>
  <conditionalFormatting sqref="E37">
    <cfRule type="cellIs" dxfId="102" priority="24" stopIfTrue="1" operator="greaterThan">
      <formula>$E$34/0.95-$E$34</formula>
    </cfRule>
  </conditionalFormatting>
  <conditionalFormatting sqref="E61">
    <cfRule type="cellIs" dxfId="101" priority="40" stopIfTrue="1" operator="greaterThan">
      <formula>$E$63*0.1+$E$82</formula>
    </cfRule>
  </conditionalFormatting>
  <conditionalFormatting sqref="E73">
    <cfRule type="cellIs" dxfId="100" priority="15" stopIfTrue="1" operator="greaterThan">
      <formula>$E$75*0.1</formula>
    </cfRule>
  </conditionalFormatting>
  <conditionalFormatting sqref="E78">
    <cfRule type="cellIs" dxfId="99" priority="18" stopIfTrue="1" operator="greaterThan">
      <formula>$E$75/0.95-$E$75</formula>
    </cfRule>
  </conditionalFormatting>
  <conditionalFormatting sqref="J34">
    <cfRule type="containsText" dxfId="98" priority="10" operator="containsText" text="Yes">
      <formula>NOT(ISERROR(SEARCH("Yes",J34)))</formula>
    </cfRule>
  </conditionalFormatting>
  <conditionalFormatting sqref="J76">
    <cfRule type="containsText" dxfId="97" priority="9" operator="containsText" text="Yes">
      <formula>NOT(ISERROR(SEARCH("Yes",J76)))</formula>
    </cfRule>
  </conditionalFormatting>
  <pageMargins left="0.9" right="0.9" top="0.96" bottom="0.5" header="0.41" footer="0.3"/>
  <pageSetup scale="53"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B0F0"/>
    <pageSetUpPr fitToPage="1"/>
  </sheetPr>
  <dimension ref="B1:K95"/>
  <sheetViews>
    <sheetView zoomScaleNormal="100" workbookViewId="0">
      <selection activeCell="F2" sqref="F2"/>
    </sheetView>
  </sheetViews>
  <sheetFormatPr defaultRowHeight="15.75" x14ac:dyDescent="0.25"/>
  <cols>
    <col min="1" max="1" width="2.3984375" style="99" customWidth="1"/>
    <col min="2" max="2" width="31" style="99" customWidth="1"/>
    <col min="3" max="4" width="15.69921875" style="99" customWidth="1"/>
    <col min="5" max="5" width="12.69921875" style="99" customWidth="1"/>
    <col min="6" max="6" width="7.296875" style="99" customWidth="1"/>
    <col min="7" max="7" width="9.19921875" style="99" customWidth="1"/>
    <col min="8" max="8" width="8.796875" style="99"/>
    <col min="9" max="9" width="4.5" style="99" customWidth="1"/>
    <col min="10" max="10" width="11.19921875" style="99" customWidth="1"/>
    <col min="11" max="16384" width="8.796875" style="99"/>
  </cols>
  <sheetData>
    <row r="1" spans="2:11" x14ac:dyDescent="0.25">
      <c r="B1" s="72">
        <f>inputPrYr!D4</f>
        <v>0</v>
      </c>
      <c r="C1" s="35"/>
      <c r="D1" s="35"/>
      <c r="E1" s="140">
        <f>inputPrYr!D10</f>
        <v>2025</v>
      </c>
    </row>
    <row r="2" spans="2:11" x14ac:dyDescent="0.25">
      <c r="B2" s="288" t="s">
        <v>327</v>
      </c>
      <c r="C2" s="35"/>
      <c r="D2" s="133"/>
      <c r="E2" s="37"/>
    </row>
    <row r="3" spans="2:11" x14ac:dyDescent="0.25">
      <c r="B3" s="35"/>
      <c r="C3" s="38"/>
      <c r="D3" s="38"/>
      <c r="E3" s="38"/>
    </row>
    <row r="4" spans="2:11" x14ac:dyDescent="0.25">
      <c r="B4" s="39" t="s">
        <v>328</v>
      </c>
      <c r="C4" s="238" t="s">
        <v>329</v>
      </c>
      <c r="D4" s="241" t="s">
        <v>276</v>
      </c>
      <c r="E4" s="625" t="s">
        <v>330</v>
      </c>
    </row>
    <row r="5" spans="2:11" x14ac:dyDescent="0.25">
      <c r="B5" s="246">
        <f>inputPrYr!B29</f>
        <v>0</v>
      </c>
      <c r="C5" s="239" t="str">
        <f>General!C5</f>
        <v>Actual for 2023</v>
      </c>
      <c r="D5" s="239" t="str">
        <f>General!D5</f>
        <v>Estimate for 2024</v>
      </c>
      <c r="E5" s="626" t="str">
        <f>General!E5</f>
        <v>Year for 2025</v>
      </c>
    </row>
    <row r="6" spans="2:11" x14ac:dyDescent="0.25">
      <c r="B6" s="43" t="s">
        <v>331</v>
      </c>
      <c r="C6" s="192"/>
      <c r="D6" s="240">
        <f>C35</f>
        <v>0</v>
      </c>
      <c r="E6" s="157">
        <f>D35</f>
        <v>0</v>
      </c>
    </row>
    <row r="7" spans="2:11" x14ac:dyDescent="0.25">
      <c r="B7" s="43" t="s">
        <v>332</v>
      </c>
      <c r="C7" s="240"/>
      <c r="D7" s="240"/>
      <c r="E7" s="194"/>
      <c r="K7" s="334"/>
    </row>
    <row r="8" spans="2:11" x14ac:dyDescent="0.25">
      <c r="B8" s="43" t="s">
        <v>96</v>
      </c>
      <c r="C8" s="192"/>
      <c r="D8" s="240">
        <f>IF(inputPrYr!H22&gt;0,inputPrYr!G31,inputPrYr!E29)</f>
        <v>0</v>
      </c>
      <c r="E8" s="194" t="s">
        <v>185</v>
      </c>
      <c r="K8" s="334"/>
    </row>
    <row r="9" spans="2:11" x14ac:dyDescent="0.25">
      <c r="B9" s="43" t="s">
        <v>333</v>
      </c>
      <c r="C9" s="192"/>
      <c r="D9" s="192"/>
      <c r="E9" s="106"/>
      <c r="G9" s="775" t="str">
        <f>CONCATENATE("Desired Carryover Into ",E1+1,"")</f>
        <v>Desired Carryover Into 2026</v>
      </c>
      <c r="H9" s="776"/>
      <c r="I9" s="776"/>
      <c r="J9" s="777"/>
      <c r="K9" s="334"/>
    </row>
    <row r="10" spans="2:11" x14ac:dyDescent="0.25">
      <c r="B10" s="43" t="s">
        <v>334</v>
      </c>
      <c r="C10" s="192"/>
      <c r="D10" s="192"/>
      <c r="E10" s="157">
        <f>Mvalloc!D19+Mvalloc!E19</f>
        <v>0</v>
      </c>
      <c r="G10" s="365"/>
      <c r="H10" s="332"/>
      <c r="I10" s="366"/>
      <c r="J10" s="367"/>
      <c r="K10" s="334"/>
    </row>
    <row r="11" spans="2:11" x14ac:dyDescent="0.25">
      <c r="B11" s="43" t="s">
        <v>335</v>
      </c>
      <c r="C11" s="192"/>
      <c r="D11" s="192"/>
      <c r="E11" s="157">
        <f>Mvalloc!F19+Mvalloc!G19</f>
        <v>0</v>
      </c>
      <c r="G11" s="368" t="s">
        <v>343</v>
      </c>
      <c r="H11" s="366"/>
      <c r="I11" s="366"/>
      <c r="J11" s="369">
        <v>0</v>
      </c>
      <c r="K11" s="334"/>
    </row>
    <row r="12" spans="2:11" x14ac:dyDescent="0.25">
      <c r="B12" s="43" t="s">
        <v>375</v>
      </c>
      <c r="C12" s="192"/>
      <c r="D12" s="192"/>
      <c r="E12" s="157">
        <f>Mvalloc!H19+Mvalloc!I19</f>
        <v>0</v>
      </c>
      <c r="G12" s="365" t="s">
        <v>345</v>
      </c>
      <c r="H12" s="332"/>
      <c r="I12" s="332"/>
      <c r="J12" s="370" t="str">
        <f>IF(J11=0,"",ROUND((J11+E41-G24)/inputOth!E11*1000,3)-G29)</f>
        <v/>
      </c>
      <c r="K12" s="334"/>
    </row>
    <row r="13" spans="2:11" x14ac:dyDescent="0.25">
      <c r="B13" s="472" t="s">
        <v>336</v>
      </c>
      <c r="C13" s="192"/>
      <c r="D13" s="192"/>
      <c r="E13" s="157">
        <f>Mvalloc!J19+Mvalloc!K19</f>
        <v>0</v>
      </c>
      <c r="G13" s="371" t="str">
        <f>CONCATENATE("",E1," Tot Exp/Non-Appr Must Be:")</f>
        <v>2025 Tot Exp/Non-Appr Must Be:</v>
      </c>
      <c r="H13" s="372"/>
      <c r="I13" s="373"/>
      <c r="J13" s="374">
        <f>IF(J11&gt;0,IF(E38&lt;E23,IF(J11=G24,E38,((J11-G24)*(1-D40))+E23),E38+(J11-G24)),0)</f>
        <v>0</v>
      </c>
      <c r="K13" s="334"/>
    </row>
    <row r="14" spans="2:11" x14ac:dyDescent="0.25">
      <c r="B14" s="472" t="s">
        <v>337</v>
      </c>
      <c r="C14" s="192"/>
      <c r="D14" s="192"/>
      <c r="E14" s="157">
        <f>Mvalloc!L19+Mvalloc!M19</f>
        <v>0</v>
      </c>
      <c r="G14" s="375" t="s">
        <v>347</v>
      </c>
      <c r="H14" s="376"/>
      <c r="I14" s="376"/>
      <c r="J14" s="377">
        <f>IF(J11&gt;0,J13-E38,0)</f>
        <v>0</v>
      </c>
      <c r="K14" s="334"/>
    </row>
    <row r="15" spans="2:11" x14ac:dyDescent="0.25">
      <c r="B15" s="197"/>
      <c r="C15" s="192"/>
      <c r="D15" s="192"/>
      <c r="E15" s="106"/>
      <c r="G15" s="334"/>
      <c r="H15" s="334"/>
      <c r="I15" s="334"/>
      <c r="J15" s="334"/>
      <c r="K15" s="334"/>
    </row>
    <row r="16" spans="2:11" x14ac:dyDescent="0.25">
      <c r="B16" s="197"/>
      <c r="C16" s="192"/>
      <c r="D16" s="192"/>
      <c r="E16" s="106"/>
      <c r="G16" s="775" t="str">
        <f>CONCATENATE("Projected Carryover Into ",E1+1,"")</f>
        <v>Projected Carryover Into 2026</v>
      </c>
      <c r="H16" s="780"/>
      <c r="I16" s="780"/>
      <c r="J16" s="779"/>
      <c r="K16" s="334"/>
    </row>
    <row r="17" spans="2:11" x14ac:dyDescent="0.25">
      <c r="B17" s="197"/>
      <c r="C17" s="192"/>
      <c r="D17" s="192"/>
      <c r="E17" s="106"/>
      <c r="G17" s="365"/>
      <c r="H17" s="366"/>
      <c r="I17" s="366"/>
      <c r="J17" s="379"/>
      <c r="K17" s="334"/>
    </row>
    <row r="18" spans="2:11" x14ac:dyDescent="0.2">
      <c r="B18" s="197" t="s">
        <v>339</v>
      </c>
      <c r="C18" s="192"/>
      <c r="D18" s="192"/>
      <c r="E18" s="106"/>
      <c r="G18" s="380">
        <f>D35</f>
        <v>0</v>
      </c>
      <c r="H18" s="381" t="str">
        <f>CONCATENATE("",E1-1," Ending Cash Balance (est.)")</f>
        <v>2024 Ending Cash Balance (est.)</v>
      </c>
      <c r="I18" s="382"/>
      <c r="J18" s="379"/>
      <c r="K18" s="639" t="str">
        <f>IF(G20=E41,"","Note: Does not include Delinquent Taxes")</f>
        <v/>
      </c>
    </row>
    <row r="19" spans="2:11" x14ac:dyDescent="0.25">
      <c r="B19" s="195" t="s">
        <v>191</v>
      </c>
      <c r="C19" s="192"/>
      <c r="D19" s="192"/>
      <c r="E19" s="157">
        <f>'NR Rebate'!E14*-1</f>
        <v>0</v>
      </c>
      <c r="G19" s="380">
        <f>E22</f>
        <v>0</v>
      </c>
      <c r="H19" s="366" t="str">
        <f>CONCATENATE("",E1," Non-AV Receipts (est.)")</f>
        <v>2025 Non-AV Receipts (est.)</v>
      </c>
      <c r="I19" s="382"/>
      <c r="J19" s="379"/>
      <c r="K19" s="334"/>
    </row>
    <row r="20" spans="2:11" x14ac:dyDescent="0.25">
      <c r="B20" s="198" t="s">
        <v>340</v>
      </c>
      <c r="C20" s="192"/>
      <c r="D20" s="192"/>
      <c r="E20" s="106"/>
      <c r="G20" s="386">
        <f>IF(E40&gt;0,E39,E41)</f>
        <v>0</v>
      </c>
      <c r="H20" s="366" t="str">
        <f>CONCATENATE("",E1," Ad Valorem Tax (est.)")</f>
        <v>2025 Ad Valorem Tax (est.)</v>
      </c>
      <c r="I20" s="366"/>
      <c r="J20" s="379"/>
      <c r="K20" s="334"/>
    </row>
    <row r="21" spans="2:11" x14ac:dyDescent="0.25">
      <c r="B21" s="198" t="s">
        <v>341</v>
      </c>
      <c r="C21" s="242" t="str">
        <f>IF(C22*0.1&lt;C20,"Exceed 10% Rule","")</f>
        <v/>
      </c>
      <c r="D21" s="242" t="str">
        <f>IF(D22*0.1&lt;D20,"Exceed 10% Rule","")</f>
        <v/>
      </c>
      <c r="E21" s="201" t="str">
        <f>IF((E41+E22)*0.1&lt;E20,"Exceed 10% Rule","")</f>
        <v/>
      </c>
      <c r="G21" s="380">
        <f>SUM(G18:G20)</f>
        <v>0</v>
      </c>
      <c r="H21" s="366" t="str">
        <f>CONCATENATE("Total ",E1," Resources Available")</f>
        <v>Total 2025 Resources Available</v>
      </c>
      <c r="I21" s="382"/>
      <c r="J21" s="379"/>
      <c r="K21" s="334"/>
    </row>
    <row r="22" spans="2:11" x14ac:dyDescent="0.25">
      <c r="B22" s="200" t="s">
        <v>342</v>
      </c>
      <c r="C22" s="206">
        <f>SUM(C8:C20)</f>
        <v>0</v>
      </c>
      <c r="D22" s="206">
        <f>SUM(D8:D20)</f>
        <v>0</v>
      </c>
      <c r="E22" s="206">
        <f>SUM(E8:E20)</f>
        <v>0</v>
      </c>
      <c r="G22" s="387"/>
      <c r="H22" s="366"/>
      <c r="I22" s="366"/>
      <c r="J22" s="379"/>
      <c r="K22" s="334"/>
    </row>
    <row r="23" spans="2:11" x14ac:dyDescent="0.25">
      <c r="B23" s="60" t="s">
        <v>344</v>
      </c>
      <c r="C23" s="206">
        <f>C22+C6</f>
        <v>0</v>
      </c>
      <c r="D23" s="206">
        <f>D22+D6</f>
        <v>0</v>
      </c>
      <c r="E23" s="206">
        <f>E22+E6</f>
        <v>0</v>
      </c>
      <c r="G23" s="386">
        <f>C34*0.05+C34</f>
        <v>0</v>
      </c>
      <c r="H23" s="366" t="str">
        <f>CONCATENATE("Less ",E1-2," Expenditures + 5%")</f>
        <v>Less 2023 Expenditures + 5%</v>
      </c>
      <c r="I23" s="366"/>
      <c r="J23" s="379"/>
      <c r="K23" s="334"/>
    </row>
    <row r="24" spans="2:11" x14ac:dyDescent="0.25">
      <c r="B24" s="43" t="s">
        <v>346</v>
      </c>
      <c r="C24" s="240"/>
      <c r="D24" s="240"/>
      <c r="E24" s="157"/>
      <c r="G24" s="390">
        <f>G21-G23</f>
        <v>0</v>
      </c>
      <c r="H24" s="391" t="str">
        <f>CONCATENATE("Projected ",E1+1," carryover (est.)")</f>
        <v>Projected 2026 carryover (est.)</v>
      </c>
      <c r="I24" s="392"/>
      <c r="J24" s="393"/>
      <c r="K24" s="334"/>
    </row>
    <row r="25" spans="2:11" x14ac:dyDescent="0.25">
      <c r="B25" s="197"/>
      <c r="C25" s="192"/>
      <c r="D25" s="192"/>
      <c r="E25" s="106"/>
      <c r="G25" s="334"/>
      <c r="H25" s="334"/>
      <c r="I25" s="334"/>
      <c r="J25" s="334"/>
      <c r="K25" s="334"/>
    </row>
    <row r="26" spans="2:11" x14ac:dyDescent="0.25">
      <c r="B26" s="197"/>
      <c r="C26" s="192"/>
      <c r="D26" s="192"/>
      <c r="E26" s="106"/>
      <c r="G26" s="757" t="s">
        <v>355</v>
      </c>
      <c r="H26" s="758"/>
      <c r="I26" s="758"/>
      <c r="J26" s="759"/>
      <c r="K26" s="334"/>
    </row>
    <row r="27" spans="2:11" x14ac:dyDescent="0.25">
      <c r="B27" s="197"/>
      <c r="C27" s="192"/>
      <c r="D27" s="192"/>
      <c r="E27" s="106"/>
      <c r="G27" s="760"/>
      <c r="H27" s="761"/>
      <c r="I27" s="761"/>
      <c r="J27" s="762"/>
      <c r="K27" s="334"/>
    </row>
    <row r="28" spans="2:11" x14ac:dyDescent="0.25">
      <c r="B28" s="197"/>
      <c r="C28" s="192"/>
      <c r="D28" s="192"/>
      <c r="E28" s="106"/>
      <c r="G28" s="587" t="str">
        <f>'Budget Hearing Notice'!H26</f>
        <v xml:space="preserve"> </v>
      </c>
      <c r="H28" s="588" t="str">
        <f>CONCATENATE("",E1," Estimated Fund Mill Rate")</f>
        <v>2025 Estimated Fund Mill Rate</v>
      </c>
      <c r="I28" s="589"/>
      <c r="J28" s="590"/>
      <c r="K28" s="334"/>
    </row>
    <row r="29" spans="2:11" x14ac:dyDescent="0.25">
      <c r="B29" s="192"/>
      <c r="C29" s="192"/>
      <c r="D29" s="192"/>
      <c r="E29" s="106"/>
      <c r="G29" s="591" t="str">
        <f>'Budget Hearing Notice'!E26</f>
        <v xml:space="preserve">  </v>
      </c>
      <c r="H29" s="588" t="str">
        <f>CONCATENATE("",E1-1," Fund Mill Rate")</f>
        <v>2024 Fund Mill Rate</v>
      </c>
      <c r="I29" s="589"/>
      <c r="J29" s="590"/>
      <c r="K29" s="334"/>
    </row>
    <row r="30" spans="2:11" x14ac:dyDescent="0.25">
      <c r="B30" s="197"/>
      <c r="C30" s="192"/>
      <c r="D30" s="192"/>
      <c r="E30" s="106"/>
      <c r="G30" s="592">
        <f>inputOth!E36</f>
        <v>0</v>
      </c>
      <c r="H30" s="593" t="s">
        <v>359</v>
      </c>
      <c r="I30" s="589"/>
      <c r="J30" s="590"/>
      <c r="K30" s="334"/>
    </row>
    <row r="31" spans="2:11" x14ac:dyDescent="0.25">
      <c r="B31" s="195" t="str">
        <f>CONCATENATE("Cash Reserve (",E1," column)")</f>
        <v>Cash Reserve (2025 column)</v>
      </c>
      <c r="C31" s="192"/>
      <c r="D31" s="192"/>
      <c r="E31" s="106"/>
      <c r="G31" s="592">
        <f>SUM('Budget Hearing Notice'!H18:H20,'Budget Hearing Notice'!H25:H29)</f>
        <v>0</v>
      </c>
      <c r="H31" s="593" t="s">
        <v>361</v>
      </c>
      <c r="I31" s="589"/>
      <c r="J31" s="590"/>
    </row>
    <row r="32" spans="2:11" ht="15.75" customHeight="1" x14ac:dyDescent="0.25">
      <c r="B32" s="195" t="s">
        <v>340</v>
      </c>
      <c r="C32" s="192"/>
      <c r="D32" s="192"/>
      <c r="E32" s="106"/>
      <c r="G32" s="587">
        <f>'Budget Hearing Notice'!H36</f>
        <v>0</v>
      </c>
      <c r="H32" s="588" t="str">
        <f>CONCATENATE(E1," Estimated Total Mill Rate")</f>
        <v>2025 Estimated Total Mill Rate</v>
      </c>
      <c r="I32" s="589"/>
      <c r="J32" s="590"/>
    </row>
    <row r="33" spans="2:11" x14ac:dyDescent="0.25">
      <c r="B33" s="195" t="s">
        <v>362</v>
      </c>
      <c r="C33" s="242" t="str">
        <f>IF(C34*0.1&lt;C32,"Exceed 10% Rule","")</f>
        <v/>
      </c>
      <c r="D33" s="242" t="str">
        <f>IF(D34*0.1&lt;D32,"Exceed 10% Rule","")</f>
        <v/>
      </c>
      <c r="E33" s="201" t="str">
        <f>IF(E34*0.1&lt;E32,"Exceed 10% Rule","")</f>
        <v/>
      </c>
      <c r="G33" s="594">
        <f>'Budget Hearing Notice'!E36</f>
        <v>0</v>
      </c>
      <c r="H33" s="588" t="str">
        <f>CONCATENATE(E1-1," Total Mill Rate")</f>
        <v>2024 Total Mill Rate</v>
      </c>
      <c r="I33" s="589"/>
      <c r="J33" s="590"/>
    </row>
    <row r="34" spans="2:11" x14ac:dyDescent="0.25">
      <c r="B34" s="60" t="s">
        <v>363</v>
      </c>
      <c r="C34" s="206">
        <f>SUM(C25:C32)</f>
        <v>0</v>
      </c>
      <c r="D34" s="206">
        <f>SUM(D25:D32)</f>
        <v>0</v>
      </c>
      <c r="E34" s="206">
        <f>SUM(E25:E32)</f>
        <v>0</v>
      </c>
      <c r="G34" s="595"/>
      <c r="H34" s="471"/>
      <c r="I34" s="471"/>
      <c r="J34" s="596"/>
      <c r="K34" s="334"/>
    </row>
    <row r="35" spans="2:11" x14ac:dyDescent="0.25">
      <c r="B35" s="43" t="s">
        <v>364</v>
      </c>
      <c r="C35" s="157">
        <f>C23-C34</f>
        <v>0</v>
      </c>
      <c r="D35" s="157">
        <f>D23-D34</f>
        <v>0</v>
      </c>
      <c r="E35" s="194" t="s">
        <v>185</v>
      </c>
      <c r="G35" s="763" t="s">
        <v>365</v>
      </c>
      <c r="H35" s="764"/>
      <c r="I35" s="764"/>
      <c r="J35" s="767" t="str">
        <f>IF(G31&gt;G30, "Yes", "No")</f>
        <v>No</v>
      </c>
      <c r="K35" s="334"/>
    </row>
    <row r="36" spans="2:11" x14ac:dyDescent="0.25">
      <c r="B36" s="68" t="str">
        <f>CONCATENATE("",E1-2,"/",E1-1,"/",E1," Budget Authority Amount:")</f>
        <v>2023/2024/2025 Budget Authority Amount:</v>
      </c>
      <c r="C36" s="427">
        <f>inputOth!$B99</f>
        <v>0</v>
      </c>
      <c r="D36" s="427">
        <f>inputPrYr!$D29</f>
        <v>0</v>
      </c>
      <c r="E36" s="157">
        <f>E34</f>
        <v>0</v>
      </c>
      <c r="F36" s="202"/>
      <c r="G36" s="765"/>
      <c r="H36" s="766"/>
      <c r="I36" s="766"/>
      <c r="J36" s="768"/>
      <c r="K36" s="334"/>
    </row>
    <row r="37" spans="2:11" x14ac:dyDescent="0.25">
      <c r="B37" s="140"/>
      <c r="C37" s="748" t="s">
        <v>366</v>
      </c>
      <c r="D37" s="749"/>
      <c r="E37" s="106"/>
      <c r="F37" s="415" t="str">
        <f>IF(E34/0.95-E34&lt;E37,"Exceeds 5%","")</f>
        <v/>
      </c>
      <c r="G37" s="769" t="str">
        <f>IF(J35="Yes", "Follow procedure prescribed by KSA 79-2988 to exceed the Revenue Neutral Rate.", " ")</f>
        <v xml:space="preserve"> </v>
      </c>
      <c r="H37" s="769"/>
      <c r="I37" s="769"/>
      <c r="J37" s="769"/>
      <c r="K37" s="334"/>
    </row>
    <row r="38" spans="2:11" x14ac:dyDescent="0.25">
      <c r="B38" s="637" t="str">
        <f>CONCATENATE(C92,"     ",D92)</f>
        <v xml:space="preserve">     </v>
      </c>
      <c r="C38" s="750" t="s">
        <v>367</v>
      </c>
      <c r="D38" s="751"/>
      <c r="E38" s="157">
        <f>E34+E37</f>
        <v>0</v>
      </c>
      <c r="G38" s="770"/>
      <c r="H38" s="770"/>
      <c r="I38" s="770"/>
      <c r="J38" s="770"/>
      <c r="K38" s="334"/>
    </row>
    <row r="39" spans="2:11" x14ac:dyDescent="0.25">
      <c r="B39" s="637" t="str">
        <f>CONCATENATE(C93,"     ",D93)</f>
        <v xml:space="preserve">     </v>
      </c>
      <c r="C39" s="638"/>
      <c r="D39" s="250" t="s">
        <v>368</v>
      </c>
      <c r="E39" s="157">
        <f>IF(E38-E23&gt;0,E38-E23,0)</f>
        <v>0</v>
      </c>
      <c r="G39" s="770"/>
      <c r="H39" s="770"/>
      <c r="I39" s="770"/>
      <c r="J39" s="770"/>
      <c r="K39" s="334"/>
    </row>
    <row r="40" spans="2:11" ht="15.75" customHeight="1" x14ac:dyDescent="0.25">
      <c r="B40" s="136"/>
      <c r="C40" s="621" t="s">
        <v>369</v>
      </c>
      <c r="D40" s="408">
        <f>inputOth!$E$85</f>
        <v>0</v>
      </c>
      <c r="E40" s="157">
        <f>ROUND(IF(D40&gt;0,(E39*D40),0),0)</f>
        <v>0</v>
      </c>
      <c r="G40" s="334"/>
      <c r="H40" s="334"/>
      <c r="I40" s="334"/>
      <c r="J40" s="334"/>
      <c r="K40" s="334"/>
    </row>
    <row r="41" spans="2:11" ht="15.75" customHeight="1" x14ac:dyDescent="0.25">
      <c r="B41" s="35"/>
      <c r="C41" s="752" t="str">
        <f>CONCATENATE("Amount of  ",$E$1-1," Ad Valorem Tax")</f>
        <v>Amount of  2024 Ad Valorem Tax</v>
      </c>
      <c r="D41" s="753"/>
      <c r="E41" s="157">
        <f>E39+E40</f>
        <v>0</v>
      </c>
      <c r="G41" s="334"/>
      <c r="H41" s="334"/>
      <c r="I41" s="334"/>
      <c r="J41" s="334"/>
      <c r="K41" s="334"/>
    </row>
    <row r="42" spans="2:11" x14ac:dyDescent="0.25">
      <c r="B42" s="35"/>
      <c r="C42" s="622"/>
      <c r="D42" s="35"/>
      <c r="E42" s="35"/>
      <c r="G42" s="334"/>
      <c r="H42" s="334"/>
      <c r="I42" s="334"/>
      <c r="J42" s="334"/>
      <c r="K42" s="334"/>
    </row>
    <row r="43" spans="2:11" x14ac:dyDescent="0.25">
      <c r="B43" s="35"/>
      <c r="C43" s="622"/>
      <c r="D43" s="35"/>
      <c r="E43" s="35"/>
      <c r="G43" s="334"/>
      <c r="H43" s="334"/>
      <c r="I43" s="334"/>
      <c r="J43" s="334"/>
      <c r="K43" s="334"/>
    </row>
    <row r="44" spans="2:11" x14ac:dyDescent="0.25">
      <c r="B44" s="39" t="s">
        <v>328</v>
      </c>
      <c r="C44" s="38"/>
      <c r="D44" s="38"/>
      <c r="E44" s="38"/>
      <c r="G44" s="334"/>
      <c r="H44" s="334"/>
      <c r="I44" s="334"/>
      <c r="J44" s="334"/>
      <c r="K44" s="334"/>
    </row>
    <row r="45" spans="2:11" x14ac:dyDescent="0.25">
      <c r="B45" s="35"/>
      <c r="C45" s="238" t="s">
        <v>329</v>
      </c>
      <c r="D45" s="241" t="s">
        <v>276</v>
      </c>
      <c r="E45" s="625" t="s">
        <v>330</v>
      </c>
      <c r="G45" s="334"/>
      <c r="H45" s="334"/>
      <c r="I45" s="334"/>
      <c r="J45" s="334"/>
      <c r="K45" s="334"/>
    </row>
    <row r="46" spans="2:11" x14ac:dyDescent="0.25">
      <c r="B46" s="247">
        <f>inputPrYr!B30</f>
        <v>0</v>
      </c>
      <c r="C46" s="239" t="str">
        <f>C5</f>
        <v>Actual for 2023</v>
      </c>
      <c r="D46" s="239" t="str">
        <f>D5</f>
        <v>Estimate for 2024</v>
      </c>
      <c r="E46" s="626" t="str">
        <f>E5</f>
        <v>Year for 2025</v>
      </c>
      <c r="G46" s="334"/>
      <c r="H46" s="334"/>
      <c r="I46" s="334"/>
      <c r="J46" s="334"/>
      <c r="K46" s="334"/>
    </row>
    <row r="47" spans="2:11" x14ac:dyDescent="0.25">
      <c r="B47" s="43" t="s">
        <v>331</v>
      </c>
      <c r="C47" s="192"/>
      <c r="D47" s="240">
        <f>C76</f>
        <v>0</v>
      </c>
      <c r="E47" s="157">
        <f>D76</f>
        <v>0</v>
      </c>
      <c r="G47" s="334"/>
      <c r="H47" s="334"/>
      <c r="I47" s="334"/>
      <c r="J47" s="334"/>
      <c r="K47" s="334"/>
    </row>
    <row r="48" spans="2:11" x14ac:dyDescent="0.25">
      <c r="B48" s="43" t="s">
        <v>332</v>
      </c>
      <c r="C48" s="240"/>
      <c r="D48" s="240"/>
      <c r="E48" s="194"/>
      <c r="G48" s="334"/>
      <c r="H48" s="334"/>
      <c r="I48" s="334"/>
      <c r="J48" s="334"/>
      <c r="K48" s="334"/>
    </row>
    <row r="49" spans="2:11" x14ac:dyDescent="0.25">
      <c r="B49" s="43" t="s">
        <v>96</v>
      </c>
      <c r="C49" s="192"/>
      <c r="D49" s="240">
        <f>IF(inputPrYr!H22&gt;0,inputPrYr!G32,inputPrYr!E30)</f>
        <v>0</v>
      </c>
      <c r="E49" s="194" t="s">
        <v>185</v>
      </c>
      <c r="G49" s="334"/>
      <c r="H49" s="334"/>
      <c r="I49" s="334"/>
      <c r="J49" s="334"/>
      <c r="K49" s="334"/>
    </row>
    <row r="50" spans="2:11" x14ac:dyDescent="0.25">
      <c r="B50" s="43" t="s">
        <v>333</v>
      </c>
      <c r="C50" s="192"/>
      <c r="D50" s="192"/>
      <c r="E50" s="106"/>
      <c r="G50" s="334"/>
      <c r="H50" s="334"/>
      <c r="I50" s="334"/>
      <c r="J50" s="334"/>
      <c r="K50" s="334"/>
    </row>
    <row r="51" spans="2:11" x14ac:dyDescent="0.25">
      <c r="B51" s="43" t="s">
        <v>334</v>
      </c>
      <c r="C51" s="192"/>
      <c r="D51" s="192"/>
      <c r="E51" s="157">
        <f>Mvalloc!D20+Mvalloc!E20</f>
        <v>0</v>
      </c>
      <c r="G51" s="334"/>
      <c r="H51" s="334"/>
      <c r="I51" s="334"/>
      <c r="J51" s="334"/>
      <c r="K51" s="334"/>
    </row>
    <row r="52" spans="2:11" x14ac:dyDescent="0.25">
      <c r="B52" s="43" t="s">
        <v>335</v>
      </c>
      <c r="C52" s="192"/>
      <c r="D52" s="192"/>
      <c r="E52" s="157">
        <f>Mvalloc!F20+Mvalloc!G20</f>
        <v>0</v>
      </c>
      <c r="G52" s="334"/>
      <c r="H52" s="334"/>
      <c r="I52" s="334"/>
      <c r="J52" s="334"/>
      <c r="K52" s="334"/>
    </row>
    <row r="53" spans="2:11" x14ac:dyDescent="0.25">
      <c r="B53" s="43" t="s">
        <v>375</v>
      </c>
      <c r="C53" s="192"/>
      <c r="D53" s="192"/>
      <c r="E53" s="157">
        <f>Mvalloc!H20+Mvalloc!I20</f>
        <v>0</v>
      </c>
      <c r="G53" s="775" t="str">
        <f>CONCATENATE("Desired Carryover Into ",E1+1,"")</f>
        <v>Desired Carryover Into 2026</v>
      </c>
      <c r="H53" s="776"/>
      <c r="I53" s="776"/>
      <c r="J53" s="777"/>
      <c r="K53" s="334"/>
    </row>
    <row r="54" spans="2:11" x14ac:dyDescent="0.25">
      <c r="B54" s="472" t="s">
        <v>336</v>
      </c>
      <c r="C54" s="192"/>
      <c r="D54" s="192"/>
      <c r="E54" s="157">
        <f>Mvalloc!J20+Mvalloc!K20</f>
        <v>0</v>
      </c>
      <c r="G54" s="365"/>
      <c r="H54" s="332"/>
      <c r="I54" s="366"/>
      <c r="J54" s="367"/>
      <c r="K54" s="334"/>
    </row>
    <row r="55" spans="2:11" x14ac:dyDescent="0.25">
      <c r="B55" s="472" t="s">
        <v>337</v>
      </c>
      <c r="C55" s="192"/>
      <c r="D55" s="192"/>
      <c r="E55" s="157">
        <f>Mvalloc!L20+Mvalloc!M20</f>
        <v>0</v>
      </c>
      <c r="G55" s="368" t="s">
        <v>343</v>
      </c>
      <c r="H55" s="366"/>
      <c r="I55" s="366"/>
      <c r="J55" s="369">
        <v>0</v>
      </c>
      <c r="K55" s="334"/>
    </row>
    <row r="56" spans="2:11" x14ac:dyDescent="0.25">
      <c r="B56" s="196"/>
      <c r="C56" s="192"/>
      <c r="D56" s="192"/>
      <c r="E56" s="106"/>
      <c r="G56" s="365" t="s">
        <v>345</v>
      </c>
      <c r="H56" s="332"/>
      <c r="I56" s="332"/>
      <c r="J56" s="370" t="str">
        <f>IF(J55=0,"",ROUND((J55+E82-G68)/inputOth!E11*1000,3)-G73)</f>
        <v/>
      </c>
      <c r="K56" s="334"/>
    </row>
    <row r="57" spans="2:11" x14ac:dyDescent="0.25">
      <c r="B57" s="196"/>
      <c r="C57" s="192"/>
      <c r="D57" s="192"/>
      <c r="E57" s="106"/>
      <c r="G57" s="371" t="str">
        <f>CONCATENATE("",E1," Tot Exp/Non-Appr Must Be:")</f>
        <v>2025 Tot Exp/Non-Appr Must Be:</v>
      </c>
      <c r="H57" s="372"/>
      <c r="I57" s="373"/>
      <c r="J57" s="374">
        <f>IF(J55&gt;0,IF(E79&lt;E64,IF(J55=G68,E79,((J55-G68)*(1-D81))+E64),E79+(J55-G68)),0)</f>
        <v>0</v>
      </c>
      <c r="K57" s="334"/>
    </row>
    <row r="58" spans="2:11" x14ac:dyDescent="0.25">
      <c r="B58" s="197"/>
      <c r="C58" s="192"/>
      <c r="D58" s="192"/>
      <c r="E58" s="106"/>
      <c r="G58" s="375" t="s">
        <v>347</v>
      </c>
      <c r="H58" s="376"/>
      <c r="I58" s="376"/>
      <c r="J58" s="377">
        <f>IF(J55&gt;0,J57-E79,0)</f>
        <v>0</v>
      </c>
      <c r="K58" s="334"/>
    </row>
    <row r="59" spans="2:11" x14ac:dyDescent="0.25">
      <c r="B59" s="197" t="s">
        <v>339</v>
      </c>
      <c r="C59" s="192"/>
      <c r="D59" s="192"/>
      <c r="E59" s="106"/>
      <c r="G59" s="334"/>
      <c r="H59" s="334"/>
      <c r="I59" s="334"/>
      <c r="J59" s="334"/>
      <c r="K59" s="639" t="str">
        <f>IF(G64=E82,"","Note: Does not include Delinquent Taxes")</f>
        <v/>
      </c>
    </row>
    <row r="60" spans="2:11" x14ac:dyDescent="0.25">
      <c r="B60" s="195" t="s">
        <v>191</v>
      </c>
      <c r="C60" s="192"/>
      <c r="D60" s="192"/>
      <c r="E60" s="427">
        <f>'NR Rebate'!E15*-1</f>
        <v>0</v>
      </c>
      <c r="G60" s="775" t="str">
        <f>CONCATENATE("Projected Carryover Into ",E1+1,"")</f>
        <v>Projected Carryover Into 2026</v>
      </c>
      <c r="H60" s="778"/>
      <c r="I60" s="778"/>
      <c r="J60" s="779"/>
      <c r="K60" s="334"/>
    </row>
    <row r="61" spans="2:11" x14ac:dyDescent="0.25">
      <c r="B61" s="198" t="s">
        <v>340</v>
      </c>
      <c r="C61" s="192"/>
      <c r="D61" s="192"/>
      <c r="E61" s="106"/>
      <c r="G61" s="398"/>
      <c r="H61" s="332"/>
      <c r="I61" s="332"/>
      <c r="J61" s="399"/>
      <c r="K61" s="334"/>
    </row>
    <row r="62" spans="2:11" x14ac:dyDescent="0.25">
      <c r="B62" s="198" t="s">
        <v>341</v>
      </c>
      <c r="C62" s="242" t="str">
        <f>IF(C63*0.1&lt;C61,"Exceed 10% Rule","")</f>
        <v/>
      </c>
      <c r="D62" s="242" t="str">
        <f>IF(D63*0.1&lt;D61,"Exceed 10% Rule","")</f>
        <v/>
      </c>
      <c r="E62" s="201" t="str">
        <f>IF(E63*0.1+E82&lt;E61,"Exceed 10% Rule","")</f>
        <v/>
      </c>
      <c r="G62" s="380">
        <f>D76</f>
        <v>0</v>
      </c>
      <c r="H62" s="381" t="str">
        <f>CONCATENATE("",E1-1," Ending Cash Balance (est.)")</f>
        <v>2024 Ending Cash Balance (est.)</v>
      </c>
      <c r="I62" s="382"/>
      <c r="J62" s="399"/>
      <c r="K62" s="334"/>
    </row>
    <row r="63" spans="2:11" x14ac:dyDescent="0.25">
      <c r="B63" s="200" t="s">
        <v>342</v>
      </c>
      <c r="C63" s="206">
        <f>SUM(C49:C61)</f>
        <v>0</v>
      </c>
      <c r="D63" s="206">
        <f>SUM(D49:D61)</f>
        <v>0</v>
      </c>
      <c r="E63" s="206">
        <f>SUM(E49:E61)</f>
        <v>0</v>
      </c>
      <c r="G63" s="380">
        <f>E63</f>
        <v>0</v>
      </c>
      <c r="H63" s="366" t="str">
        <f>CONCATENATE("",E1," Non-AV Receipts (est.)")</f>
        <v>2025 Non-AV Receipts (est.)</v>
      </c>
      <c r="I63" s="382"/>
      <c r="J63" s="399"/>
      <c r="K63" s="334"/>
    </row>
    <row r="64" spans="2:11" x14ac:dyDescent="0.25">
      <c r="B64" s="60" t="s">
        <v>344</v>
      </c>
      <c r="C64" s="206">
        <f>C63+C47</f>
        <v>0</v>
      </c>
      <c r="D64" s="206">
        <f>D63+D47</f>
        <v>0</v>
      </c>
      <c r="E64" s="206">
        <f>E63+E47</f>
        <v>0</v>
      </c>
      <c r="G64" s="386">
        <f>IF(E81&gt;0,E80,E82)</f>
        <v>0</v>
      </c>
      <c r="H64" s="366" t="str">
        <f>CONCATENATE("",E1," Ad Valorem Tax (est.)")</f>
        <v>2025 Ad Valorem Tax (est.)</v>
      </c>
      <c r="I64" s="366"/>
      <c r="J64" s="399"/>
      <c r="K64" s="334"/>
    </row>
    <row r="65" spans="2:11" x14ac:dyDescent="0.25">
      <c r="B65" s="43" t="s">
        <v>346</v>
      </c>
      <c r="C65" s="240"/>
      <c r="D65" s="240"/>
      <c r="E65" s="157"/>
      <c r="G65" s="400">
        <f>SUM(G62:G64)</f>
        <v>0</v>
      </c>
      <c r="H65" s="366" t="str">
        <f>CONCATENATE("Total ",E1," Resources Available")</f>
        <v>Total 2025 Resources Available</v>
      </c>
      <c r="I65" s="401"/>
      <c r="J65" s="399"/>
      <c r="K65" s="334"/>
    </row>
    <row r="66" spans="2:11" x14ac:dyDescent="0.25">
      <c r="B66" s="197"/>
      <c r="C66" s="192"/>
      <c r="D66" s="192"/>
      <c r="E66" s="106"/>
      <c r="G66" s="402"/>
      <c r="H66" s="403"/>
      <c r="I66" s="332"/>
      <c r="J66" s="399"/>
      <c r="K66" s="334"/>
    </row>
    <row r="67" spans="2:11" x14ac:dyDescent="0.25">
      <c r="B67" s="197"/>
      <c r="C67" s="192"/>
      <c r="D67" s="192"/>
      <c r="E67" s="106"/>
      <c r="G67" s="386">
        <f>ROUND(C75*0.05+C75,0)</f>
        <v>0</v>
      </c>
      <c r="H67" s="366" t="str">
        <f>CONCATENATE("Less ",E1-2," Expenditures + 5%")</f>
        <v>Less 2023 Expenditures + 5%</v>
      </c>
      <c r="I67" s="401"/>
      <c r="J67" s="399"/>
      <c r="K67" s="334"/>
    </row>
    <row r="68" spans="2:11" x14ac:dyDescent="0.25">
      <c r="B68" s="197"/>
      <c r="C68" s="192"/>
      <c r="D68" s="192"/>
      <c r="E68" s="106"/>
      <c r="G68" s="390">
        <f>G65-G67</f>
        <v>0</v>
      </c>
      <c r="H68" s="391" t="str">
        <f>CONCATENATE("Projected ",E1+1," carryover (est.)")</f>
        <v>Projected 2026 carryover (est.)</v>
      </c>
      <c r="I68" s="404"/>
      <c r="J68" s="405"/>
      <c r="K68" s="334"/>
    </row>
    <row r="69" spans="2:11" x14ac:dyDescent="0.25">
      <c r="B69" s="197"/>
      <c r="C69" s="192"/>
      <c r="D69" s="192"/>
      <c r="E69" s="106"/>
      <c r="G69" s="334"/>
      <c r="H69" s="334"/>
      <c r="I69" s="334"/>
      <c r="J69" s="334"/>
      <c r="K69" s="334"/>
    </row>
    <row r="70" spans="2:11" x14ac:dyDescent="0.25">
      <c r="B70" s="197"/>
      <c r="C70" s="192"/>
      <c r="D70" s="192"/>
      <c r="E70" s="106"/>
      <c r="G70" s="757" t="s">
        <v>355</v>
      </c>
      <c r="H70" s="758"/>
      <c r="I70" s="758"/>
      <c r="J70" s="759"/>
      <c r="K70" s="334"/>
    </row>
    <row r="71" spans="2:11" x14ac:dyDescent="0.25">
      <c r="B71" s="197"/>
      <c r="C71" s="192"/>
      <c r="D71" s="192"/>
      <c r="E71" s="106"/>
      <c r="G71" s="760"/>
      <c r="H71" s="761"/>
      <c r="I71" s="761"/>
      <c r="J71" s="762"/>
    </row>
    <row r="72" spans="2:11" x14ac:dyDescent="0.25">
      <c r="B72" s="195" t="str">
        <f>CONCATENATE("Cash Reserve (",E1," column)")</f>
        <v>Cash Reserve (2025 column)</v>
      </c>
      <c r="C72" s="192"/>
      <c r="D72" s="192"/>
      <c r="E72" s="106"/>
      <c r="G72" s="587" t="str">
        <f>'Budget Hearing Notice'!H27</f>
        <v xml:space="preserve"> </v>
      </c>
      <c r="H72" s="588" t="str">
        <f>CONCATENATE("",E1," Estimated Fund Mill Rate")</f>
        <v>2025 Estimated Fund Mill Rate</v>
      </c>
      <c r="I72" s="589"/>
      <c r="J72" s="590"/>
    </row>
    <row r="73" spans="2:11" x14ac:dyDescent="0.25">
      <c r="B73" s="195" t="s">
        <v>340</v>
      </c>
      <c r="C73" s="192"/>
      <c r="D73" s="192"/>
      <c r="E73" s="106"/>
      <c r="G73" s="591" t="str">
        <f>'Budget Hearing Notice'!E27</f>
        <v xml:space="preserve">  </v>
      </c>
      <c r="H73" s="588" t="str">
        <f>CONCATENATE("",E1-1," Fund Mill Rate")</f>
        <v>2024 Fund Mill Rate</v>
      </c>
      <c r="I73" s="589"/>
      <c r="J73" s="590"/>
    </row>
    <row r="74" spans="2:11" x14ac:dyDescent="0.25">
      <c r="B74" s="195" t="s">
        <v>362</v>
      </c>
      <c r="C74" s="242" t="str">
        <f>IF(C75*0.1&lt;C73,"Exceed 10% Rule","")</f>
        <v/>
      </c>
      <c r="D74" s="242" t="str">
        <f>IF(D75*0.1&lt;D73,"Exceed 10% Rule","")</f>
        <v/>
      </c>
      <c r="E74" s="201" t="str">
        <f>IF(E75*0.1&lt;E73,"Exceed 10% Rule","")</f>
        <v/>
      </c>
      <c r="G74" s="592">
        <f>inputOth!E36</f>
        <v>0</v>
      </c>
      <c r="H74" s="593" t="s">
        <v>359</v>
      </c>
      <c r="I74" s="589"/>
      <c r="J74" s="590"/>
    </row>
    <row r="75" spans="2:11" x14ac:dyDescent="0.25">
      <c r="B75" s="60" t="s">
        <v>363</v>
      </c>
      <c r="C75" s="206">
        <f>SUM(C66:C73)</f>
        <v>0</v>
      </c>
      <c r="D75" s="206">
        <f>SUM(D66:D73)</f>
        <v>0</v>
      </c>
      <c r="E75" s="206">
        <f>SUM(E66:E73)</f>
        <v>0</v>
      </c>
      <c r="G75" s="592">
        <f>SUM('Budget Hearing Notice'!H18:H20,'Budget Hearing Notice'!H25:H29)</f>
        <v>0</v>
      </c>
      <c r="H75" s="593" t="s">
        <v>361</v>
      </c>
      <c r="I75" s="589"/>
      <c r="J75" s="590"/>
    </row>
    <row r="76" spans="2:11" x14ac:dyDescent="0.25">
      <c r="B76" s="43" t="s">
        <v>364</v>
      </c>
      <c r="C76" s="427">
        <f>C64-C75</f>
        <v>0</v>
      </c>
      <c r="D76" s="427">
        <f>D64-D75</f>
        <v>0</v>
      </c>
      <c r="E76" s="194" t="s">
        <v>185</v>
      </c>
      <c r="G76" s="587">
        <f>'Budget Hearing Notice'!H36</f>
        <v>0</v>
      </c>
      <c r="H76" s="588" t="str">
        <f>CONCATENATE(E1," Estimated Total Mill Rate")</f>
        <v>2025 Estimated Total Mill Rate</v>
      </c>
      <c r="I76" s="589"/>
      <c r="J76" s="590"/>
    </row>
    <row r="77" spans="2:11" x14ac:dyDescent="0.25">
      <c r="B77" s="68" t="str">
        <f>CONCATENATE("",E1-2,"/",E1-1,"/",E1," Budget Authority Amount:")</f>
        <v>2023/2024/2025 Budget Authority Amount:</v>
      </c>
      <c r="C77" s="427">
        <f>inputOth!$B100</f>
        <v>0</v>
      </c>
      <c r="D77" s="427">
        <f>inputPrYr!$D30</f>
        <v>0</v>
      </c>
      <c r="E77" s="157">
        <f>E75</f>
        <v>0</v>
      </c>
      <c r="F77" s="202"/>
      <c r="G77" s="594">
        <f>'Budget Hearing Notice'!E36</f>
        <v>0</v>
      </c>
      <c r="H77" s="588" t="str">
        <f>CONCATENATE(E1-1," Total Mill Rate")</f>
        <v>2024 Total Mill Rate</v>
      </c>
      <c r="I77" s="589"/>
      <c r="J77" s="590"/>
    </row>
    <row r="78" spans="2:11" x14ac:dyDescent="0.25">
      <c r="B78" s="140"/>
      <c r="C78" s="748" t="s">
        <v>366</v>
      </c>
      <c r="D78" s="749"/>
      <c r="E78" s="106"/>
      <c r="F78" s="415" t="str">
        <f>IF(E75/0.95-E75&lt;E78,"Exceeds 5%","")</f>
        <v/>
      </c>
      <c r="G78" s="595"/>
      <c r="H78" s="471"/>
      <c r="I78" s="471"/>
      <c r="J78" s="596"/>
    </row>
    <row r="79" spans="2:11" x14ac:dyDescent="0.25">
      <c r="B79" s="637" t="str">
        <f>CONCATENATE(C94,"     ",D94)</f>
        <v xml:space="preserve">     </v>
      </c>
      <c r="C79" s="750" t="s">
        <v>367</v>
      </c>
      <c r="D79" s="751"/>
      <c r="E79" s="157">
        <f>E75+E78</f>
        <v>0</v>
      </c>
      <c r="G79" s="763" t="s">
        <v>365</v>
      </c>
      <c r="H79" s="764"/>
      <c r="I79" s="764"/>
      <c r="J79" s="773" t="str">
        <f>IF(G76&gt;G74, "Yes", "No")</f>
        <v>No</v>
      </c>
    </row>
    <row r="80" spans="2:11" x14ac:dyDescent="0.25">
      <c r="B80" s="637" t="str">
        <f>CONCATENATE(C95,"     ",D95)</f>
        <v xml:space="preserve">     </v>
      </c>
      <c r="C80" s="638"/>
      <c r="D80" s="250" t="s">
        <v>368</v>
      </c>
      <c r="E80" s="427">
        <f>IF(E79-E64&gt;0,E79-E64,0)</f>
        <v>0</v>
      </c>
      <c r="G80" s="765"/>
      <c r="H80" s="766"/>
      <c r="I80" s="766"/>
      <c r="J80" s="774"/>
    </row>
    <row r="81" spans="2:10" x14ac:dyDescent="0.25">
      <c r="B81" s="136"/>
      <c r="C81" s="621" t="s">
        <v>369</v>
      </c>
      <c r="D81" s="408">
        <f>inputOth!$E$85</f>
        <v>0</v>
      </c>
      <c r="E81" s="157">
        <f>ROUND(IF(D81&gt;0,(E80*D81),0),0)</f>
        <v>0</v>
      </c>
      <c r="G81" s="769" t="str">
        <f>IF(J79="Yes", "Follow procedure prescribed by KSA 79-2988 to exceed the Revenue Neutral Rate.", " ")</f>
        <v xml:space="preserve"> </v>
      </c>
      <c r="H81" s="769"/>
      <c r="I81" s="769"/>
      <c r="J81" s="769"/>
    </row>
    <row r="82" spans="2:10" x14ac:dyDescent="0.25">
      <c r="B82" s="35"/>
      <c r="C82" s="752" t="str">
        <f>CONCATENATE("Amount of  ",$E$1-1," Ad Valorem Tax")</f>
        <v>Amount of  2024 Ad Valorem Tax</v>
      </c>
      <c r="D82" s="753"/>
      <c r="E82" s="427">
        <f>E80+E81</f>
        <v>0</v>
      </c>
      <c r="G82" s="770"/>
      <c r="H82" s="770"/>
      <c r="I82" s="770"/>
      <c r="J82" s="770"/>
    </row>
    <row r="83" spans="2:10" x14ac:dyDescent="0.25">
      <c r="B83" s="35"/>
      <c r="C83" s="622"/>
      <c r="D83" s="622"/>
      <c r="E83" s="622"/>
      <c r="G83" s="770"/>
      <c r="H83" s="770"/>
      <c r="I83" s="770"/>
      <c r="J83" s="770"/>
    </row>
    <row r="84" spans="2:10" x14ac:dyDescent="0.25">
      <c r="B84" s="490" t="s">
        <v>203</v>
      </c>
      <c r="C84" s="498"/>
      <c r="D84" s="498"/>
      <c r="E84" s="499"/>
    </row>
    <row r="85" spans="2:10" x14ac:dyDescent="0.25">
      <c r="B85" s="251"/>
      <c r="C85" s="622"/>
      <c r="D85" s="622"/>
      <c r="E85" s="500"/>
    </row>
    <row r="86" spans="2:10" x14ac:dyDescent="0.25">
      <c r="B86" s="491"/>
      <c r="C86" s="501"/>
      <c r="D86" s="501"/>
      <c r="E86" s="502"/>
    </row>
    <row r="87" spans="2:10" x14ac:dyDescent="0.25">
      <c r="B87" s="35"/>
      <c r="C87" s="622"/>
      <c r="D87" s="622"/>
      <c r="E87" s="622"/>
    </row>
    <row r="88" spans="2:10" x14ac:dyDescent="0.25">
      <c r="B88" s="136" t="s">
        <v>370</v>
      </c>
      <c r="C88" s="440"/>
      <c r="D88" s="35"/>
      <c r="E88" s="35"/>
    </row>
    <row r="89" spans="2:10" x14ac:dyDescent="0.25">
      <c r="B89" s="65"/>
    </row>
    <row r="92" spans="2:10" hidden="1" x14ac:dyDescent="0.25">
      <c r="C92" s="99" t="str">
        <f>IF(C34&gt;C36,"See Tab A","")</f>
        <v/>
      </c>
      <c r="D92" s="99" t="str">
        <f>IF(D34&gt;D36,"See Tab C","")</f>
        <v/>
      </c>
    </row>
    <row r="93" spans="2:10" hidden="1" x14ac:dyDescent="0.25">
      <c r="C93" s="99" t="str">
        <f>IF(C35&lt;0,"See Tab B","")</f>
        <v/>
      </c>
      <c r="D93" s="99" t="str">
        <f>IF(D35&lt;0,"See Tab D","")</f>
        <v/>
      </c>
    </row>
    <row r="94" spans="2:10" hidden="1" x14ac:dyDescent="0.25">
      <c r="C94" s="99" t="str">
        <f>IF(C75&gt;C77,"See Tab A","")</f>
        <v/>
      </c>
      <c r="D94" s="99" t="str">
        <f>IF(D75&gt;D77,"See Tab C","")</f>
        <v/>
      </c>
    </row>
    <row r="95" spans="2:10" hidden="1" x14ac:dyDescent="0.25">
      <c r="C95" s="99" t="str">
        <f>IF(C76&lt;0,"See Tab B","")</f>
        <v/>
      </c>
      <c r="D95" s="99" t="str">
        <f>IF(D76&lt;0,"See Tab D","")</f>
        <v/>
      </c>
    </row>
  </sheetData>
  <sheetProtection sheet="1"/>
  <mergeCells count="18">
    <mergeCell ref="G9:J9"/>
    <mergeCell ref="G16:J16"/>
    <mergeCell ref="G53:J53"/>
    <mergeCell ref="G60:J60"/>
    <mergeCell ref="C37:D37"/>
    <mergeCell ref="C38:D38"/>
    <mergeCell ref="G26:J27"/>
    <mergeCell ref="G35:I36"/>
    <mergeCell ref="J35:J36"/>
    <mergeCell ref="G37:J39"/>
    <mergeCell ref="G70:J71"/>
    <mergeCell ref="C78:D78"/>
    <mergeCell ref="C79:D79"/>
    <mergeCell ref="C82:D82"/>
    <mergeCell ref="C41:D41"/>
    <mergeCell ref="G79:I80"/>
    <mergeCell ref="J79:J80"/>
    <mergeCell ref="G81:J83"/>
  </mergeCells>
  <phoneticPr fontId="0" type="noConversion"/>
  <conditionalFormatting sqref="C20">
    <cfRule type="cellIs" dxfId="96" priority="22" stopIfTrue="1" operator="greaterThan">
      <formula>$C$22*0.1</formula>
    </cfRule>
  </conditionalFormatting>
  <conditionalFormatting sqref="C32">
    <cfRule type="cellIs" dxfId="95" priority="19" stopIfTrue="1" operator="greaterThan">
      <formula>$C$34*0.1</formula>
    </cfRule>
  </conditionalFormatting>
  <conditionalFormatting sqref="C34">
    <cfRule type="expression" dxfId="94" priority="8">
      <formula>$C$34&gt;$C$36</formula>
    </cfRule>
  </conditionalFormatting>
  <conditionalFormatting sqref="C35">
    <cfRule type="expression" dxfId="93" priority="7">
      <formula>$C$35&lt;0</formula>
    </cfRule>
  </conditionalFormatting>
  <conditionalFormatting sqref="C61">
    <cfRule type="cellIs" dxfId="92" priority="16" stopIfTrue="1" operator="greaterThan">
      <formula>$C$63*0.1</formula>
    </cfRule>
  </conditionalFormatting>
  <conditionalFormatting sqref="C73">
    <cfRule type="cellIs" dxfId="91" priority="13" stopIfTrue="1" operator="greaterThan">
      <formula>$C$75*0.1</formula>
    </cfRule>
  </conditionalFormatting>
  <conditionalFormatting sqref="C75">
    <cfRule type="expression" dxfId="90" priority="4">
      <formula>$C$75&gt;$C$77</formula>
    </cfRule>
  </conditionalFormatting>
  <conditionalFormatting sqref="C76">
    <cfRule type="expression" dxfId="89" priority="3">
      <formula>$C$76&lt;0</formula>
    </cfRule>
  </conditionalFormatting>
  <conditionalFormatting sqref="D20">
    <cfRule type="cellIs" dxfId="88" priority="23" stopIfTrue="1" operator="greaterThan">
      <formula>$D$22*0.1</formula>
    </cfRule>
  </conditionalFormatting>
  <conditionalFormatting sqref="D32">
    <cfRule type="cellIs" dxfId="87" priority="20" stopIfTrue="1" operator="greaterThan">
      <formula>$D$34*0.1</formula>
    </cfRule>
  </conditionalFormatting>
  <conditionalFormatting sqref="D34">
    <cfRule type="expression" dxfId="86" priority="6">
      <formula>$D$34&gt;$D$36</formula>
    </cfRule>
  </conditionalFormatting>
  <conditionalFormatting sqref="D35">
    <cfRule type="expression" dxfId="85" priority="5">
      <formula>$D$35&lt;0</formula>
    </cfRule>
  </conditionalFormatting>
  <conditionalFormatting sqref="D61">
    <cfRule type="cellIs" dxfId="84" priority="17" stopIfTrue="1" operator="greaterThan">
      <formula>$D$63*0.1</formula>
    </cfRule>
  </conditionalFormatting>
  <conditionalFormatting sqref="D73">
    <cfRule type="cellIs" dxfId="83" priority="14" stopIfTrue="1" operator="greaterThan">
      <formula>$D$75*0.1</formula>
    </cfRule>
  </conditionalFormatting>
  <conditionalFormatting sqref="D75">
    <cfRule type="expression" dxfId="82" priority="2">
      <formula>$D$75&gt;$D$77</formula>
    </cfRule>
  </conditionalFormatting>
  <conditionalFormatting sqref="D76">
    <cfRule type="expression" dxfId="81" priority="1">
      <formula>$D$76&lt;0</formula>
    </cfRule>
  </conditionalFormatting>
  <conditionalFormatting sqref="E20">
    <cfRule type="cellIs" dxfId="80" priority="41" stopIfTrue="1" operator="greaterThan">
      <formula>$E$22*0.1+$E$41</formula>
    </cfRule>
  </conditionalFormatting>
  <conditionalFormatting sqref="E32">
    <cfRule type="cellIs" dxfId="79" priority="21" stopIfTrue="1" operator="greaterThan">
      <formula>$E$34*0.1</formula>
    </cfRule>
  </conditionalFormatting>
  <conditionalFormatting sqref="E37">
    <cfRule type="cellIs" dxfId="78" priority="24" stopIfTrue="1" operator="greaterThan">
      <formula>$E$34/0.95-$E$34</formula>
    </cfRule>
  </conditionalFormatting>
  <conditionalFormatting sqref="E61">
    <cfRule type="cellIs" dxfId="77" priority="42" stopIfTrue="1" operator="greaterThan">
      <formula>$E$63*0.1+$E$82</formula>
    </cfRule>
  </conditionalFormatting>
  <conditionalFormatting sqref="E73">
    <cfRule type="cellIs" dxfId="76" priority="15" stopIfTrue="1" operator="greaterThan">
      <formula>$E$75*0.1</formula>
    </cfRule>
  </conditionalFormatting>
  <conditionalFormatting sqref="E78">
    <cfRule type="cellIs" dxfId="75" priority="18" stopIfTrue="1" operator="greaterThan">
      <formula>$E$75/0.95-$E$75</formula>
    </cfRule>
  </conditionalFormatting>
  <conditionalFormatting sqref="J35">
    <cfRule type="containsText" dxfId="74" priority="10" operator="containsText" text="Yes">
      <formula>NOT(ISERROR(SEARCH("Yes",J35)))</formula>
    </cfRule>
  </conditionalFormatting>
  <conditionalFormatting sqref="J79">
    <cfRule type="containsText" dxfId="73" priority="9" operator="containsText" text="Yes">
      <formula>NOT(ISERROR(SEARCH("Yes",J79)))</formula>
    </cfRule>
  </conditionalFormatting>
  <pageMargins left="0.9" right="0.9" top="0.96" bottom="0.5" header="0.41" footer="0.3"/>
  <pageSetup scale="53"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00B0F0"/>
    <pageSetUpPr fitToPage="1"/>
  </sheetPr>
  <dimension ref="B1:K96"/>
  <sheetViews>
    <sheetView zoomScaleNormal="100" workbookViewId="0">
      <selection activeCell="F1" sqref="F1"/>
    </sheetView>
  </sheetViews>
  <sheetFormatPr defaultRowHeight="15.75" x14ac:dyDescent="0.25"/>
  <cols>
    <col min="1" max="1" width="2.3984375" style="99" customWidth="1"/>
    <col min="2" max="2" width="31" style="99" customWidth="1"/>
    <col min="3" max="4" width="15.69921875" style="99" customWidth="1"/>
    <col min="5" max="5" width="12.69921875" style="99" customWidth="1"/>
    <col min="6" max="6" width="7.296875" style="99" customWidth="1"/>
    <col min="7" max="7" width="9.19921875" style="99" customWidth="1"/>
    <col min="8" max="8" width="8.796875" style="99"/>
    <col min="9" max="9" width="4.5" style="99" customWidth="1"/>
    <col min="10" max="10" width="12.59765625" style="99" customWidth="1"/>
    <col min="11" max="16384" width="8.796875" style="99"/>
  </cols>
  <sheetData>
    <row r="1" spans="2:11" x14ac:dyDescent="0.25">
      <c r="B1" s="72">
        <f>inputPrYr!D4</f>
        <v>0</v>
      </c>
      <c r="C1" s="35"/>
      <c r="D1" s="35"/>
      <c r="E1" s="140">
        <f>inputPrYr!D10</f>
        <v>2025</v>
      </c>
    </row>
    <row r="2" spans="2:11" x14ac:dyDescent="0.25">
      <c r="B2" s="288" t="s">
        <v>327</v>
      </c>
      <c r="C2" s="35"/>
      <c r="D2" s="133"/>
      <c r="E2" s="37"/>
    </row>
    <row r="3" spans="2:11" x14ac:dyDescent="0.25">
      <c r="B3" s="35"/>
      <c r="C3" s="38"/>
      <c r="D3" s="38"/>
      <c r="E3" s="38"/>
    </row>
    <row r="4" spans="2:11" x14ac:dyDescent="0.25">
      <c r="B4" s="39" t="s">
        <v>328</v>
      </c>
      <c r="C4" s="238" t="s">
        <v>329</v>
      </c>
      <c r="D4" s="241" t="s">
        <v>276</v>
      </c>
      <c r="E4" s="625" t="s">
        <v>330</v>
      </c>
    </row>
    <row r="5" spans="2:11" x14ac:dyDescent="0.25">
      <c r="B5" s="246">
        <f>inputPrYr!B31</f>
        <v>0</v>
      </c>
      <c r="C5" s="239" t="str">
        <f>General!C5</f>
        <v>Actual for 2023</v>
      </c>
      <c r="D5" s="239" t="str">
        <f>General!D5</f>
        <v>Estimate for 2024</v>
      </c>
      <c r="E5" s="626" t="str">
        <f>General!E5</f>
        <v>Year for 2025</v>
      </c>
    </row>
    <row r="6" spans="2:11" x14ac:dyDescent="0.25">
      <c r="B6" s="43" t="s">
        <v>331</v>
      </c>
      <c r="C6" s="192"/>
      <c r="D6" s="240">
        <f>C35</f>
        <v>0</v>
      </c>
      <c r="E6" s="157">
        <f>D35</f>
        <v>0</v>
      </c>
    </row>
    <row r="7" spans="2:11" x14ac:dyDescent="0.25">
      <c r="B7" s="43" t="s">
        <v>332</v>
      </c>
      <c r="C7" s="240"/>
      <c r="D7" s="240"/>
      <c r="E7" s="194"/>
    </row>
    <row r="8" spans="2:11" x14ac:dyDescent="0.25">
      <c r="B8" s="43" t="s">
        <v>96</v>
      </c>
      <c r="C8" s="192"/>
      <c r="D8" s="240">
        <f>IF(inputPrYr!H22&gt;0,inputPrYr!G33,inputPrYr!E31)</f>
        <v>0</v>
      </c>
      <c r="E8" s="194" t="s">
        <v>185</v>
      </c>
    </row>
    <row r="9" spans="2:11" x14ac:dyDescent="0.25">
      <c r="B9" s="43" t="s">
        <v>333</v>
      </c>
      <c r="C9" s="192"/>
      <c r="D9" s="192"/>
      <c r="E9" s="106"/>
    </row>
    <row r="10" spans="2:11" x14ac:dyDescent="0.25">
      <c r="B10" s="43" t="s">
        <v>334</v>
      </c>
      <c r="C10" s="192"/>
      <c r="D10" s="192"/>
      <c r="E10" s="157">
        <f>Mvalloc!D21+Mvalloc!E21</f>
        <v>0</v>
      </c>
      <c r="G10" s="775" t="str">
        <f>CONCATENATE("Desired Carryover Into ",E1+1,"")</f>
        <v>Desired Carryover Into 2026</v>
      </c>
      <c r="H10" s="776"/>
      <c r="I10" s="776"/>
      <c r="J10" s="777"/>
      <c r="K10" s="334"/>
    </row>
    <row r="11" spans="2:11" x14ac:dyDescent="0.25">
      <c r="B11" s="43" t="s">
        <v>335</v>
      </c>
      <c r="C11" s="192"/>
      <c r="D11" s="192"/>
      <c r="E11" s="157">
        <f>Mvalloc!F21+Mvalloc!G21</f>
        <v>0</v>
      </c>
      <c r="G11" s="365"/>
      <c r="H11" s="332"/>
      <c r="I11" s="366"/>
      <c r="J11" s="367"/>
      <c r="K11" s="334"/>
    </row>
    <row r="12" spans="2:11" x14ac:dyDescent="0.25">
      <c r="B12" s="43" t="s">
        <v>375</v>
      </c>
      <c r="C12" s="192"/>
      <c r="D12" s="192"/>
      <c r="E12" s="157">
        <f>Mvalloc!H21+Mvalloc!I21</f>
        <v>0</v>
      </c>
      <c r="G12" s="368" t="s">
        <v>343</v>
      </c>
      <c r="H12" s="366"/>
      <c r="I12" s="366"/>
      <c r="J12" s="369">
        <v>0</v>
      </c>
      <c r="K12" s="334"/>
    </row>
    <row r="13" spans="2:11" x14ac:dyDescent="0.25">
      <c r="B13" s="472" t="s">
        <v>336</v>
      </c>
      <c r="C13" s="192"/>
      <c r="D13" s="192"/>
      <c r="E13" s="157">
        <f>Mvalloc!J21+Mvalloc!K21</f>
        <v>0</v>
      </c>
      <c r="G13" s="365" t="s">
        <v>345</v>
      </c>
      <c r="H13" s="332"/>
      <c r="I13" s="332"/>
      <c r="J13" s="370" t="str">
        <f>IF(J12=0,"",ROUND((J12+E41-G25)/inputOth!E11*1000,3)-G30)</f>
        <v/>
      </c>
      <c r="K13" s="334"/>
    </row>
    <row r="14" spans="2:11" x14ac:dyDescent="0.25">
      <c r="B14" s="472" t="s">
        <v>337</v>
      </c>
      <c r="C14" s="192"/>
      <c r="D14" s="192"/>
      <c r="E14" s="157">
        <f>Mvalloc!L21+Mvalloc!M21</f>
        <v>0</v>
      </c>
      <c r="G14" s="371" t="str">
        <f>CONCATENATE("",E1," Tot Exp/Non-Appr Must Be:")</f>
        <v>2025 Tot Exp/Non-Appr Must Be:</v>
      </c>
      <c r="H14" s="372"/>
      <c r="I14" s="373"/>
      <c r="J14" s="374">
        <f>IF(J12&gt;0,IF(E38&lt;E23,IF(J12=G25,E38,((J12-G25)*(1-D40))+E23),E38+(J12-G25)),0)</f>
        <v>0</v>
      </c>
      <c r="K14" s="334"/>
    </row>
    <row r="15" spans="2:11" x14ac:dyDescent="0.25">
      <c r="B15" s="196"/>
      <c r="C15" s="192"/>
      <c r="D15" s="192"/>
      <c r="E15" s="106"/>
      <c r="G15" s="375" t="s">
        <v>347</v>
      </c>
      <c r="H15" s="376"/>
      <c r="I15" s="376"/>
      <c r="J15" s="377">
        <f>IF(J12&gt;0,J14-E38,0)</f>
        <v>0</v>
      </c>
      <c r="K15" s="334"/>
    </row>
    <row r="16" spans="2:11" x14ac:dyDescent="0.25">
      <c r="B16" s="196"/>
      <c r="C16" s="192"/>
      <c r="D16" s="192"/>
      <c r="E16" s="106"/>
      <c r="G16" s="334"/>
      <c r="H16" s="334"/>
      <c r="I16" s="334"/>
      <c r="J16" s="334"/>
      <c r="K16" s="334"/>
    </row>
    <row r="17" spans="2:11" x14ac:dyDescent="0.25">
      <c r="B17" s="197"/>
      <c r="C17" s="192"/>
      <c r="D17" s="192"/>
      <c r="E17" s="106"/>
      <c r="G17" s="775" t="str">
        <f>CONCATENATE("Projected Carryover Into ",E1+1,"")</f>
        <v>Projected Carryover Into 2026</v>
      </c>
      <c r="H17" s="780"/>
      <c r="I17" s="780"/>
      <c r="J17" s="779"/>
      <c r="K17" s="334"/>
    </row>
    <row r="18" spans="2:11" x14ac:dyDescent="0.25">
      <c r="B18" s="197" t="s">
        <v>339</v>
      </c>
      <c r="C18" s="192"/>
      <c r="D18" s="192"/>
      <c r="E18" s="106"/>
      <c r="G18" s="365"/>
      <c r="H18" s="366"/>
      <c r="I18" s="366"/>
      <c r="J18" s="379"/>
      <c r="K18" s="334"/>
    </row>
    <row r="19" spans="2:11" x14ac:dyDescent="0.25">
      <c r="B19" s="195" t="s">
        <v>191</v>
      </c>
      <c r="C19" s="192"/>
      <c r="D19" s="192"/>
      <c r="E19" s="157">
        <f>'NR Rebate'!E16*-1</f>
        <v>0</v>
      </c>
      <c r="G19" s="380">
        <f>D35</f>
        <v>0</v>
      </c>
      <c r="H19" s="381" t="str">
        <f>CONCATENATE("",E1-1," Ending Cash Balance (est.)")</f>
        <v>2024 Ending Cash Balance (est.)</v>
      </c>
      <c r="I19" s="382"/>
      <c r="J19" s="379"/>
      <c r="K19" s="334"/>
    </row>
    <row r="20" spans="2:11" x14ac:dyDescent="0.25">
      <c r="B20" s="198" t="s">
        <v>340</v>
      </c>
      <c r="C20" s="192"/>
      <c r="D20" s="192"/>
      <c r="E20" s="106"/>
      <c r="G20" s="380">
        <f>E22</f>
        <v>0</v>
      </c>
      <c r="H20" s="366" t="str">
        <f>CONCATENATE("",E1," Non-AV Receipts (est.)")</f>
        <v>2025 Non-AV Receipts (est.)</v>
      </c>
      <c r="I20" s="382"/>
      <c r="J20" s="379"/>
      <c r="K20" s="334"/>
    </row>
    <row r="21" spans="2:11" x14ac:dyDescent="0.2">
      <c r="B21" s="198" t="s">
        <v>341</v>
      </c>
      <c r="C21" s="242" t="str">
        <f>IF(C22*0.1&lt;C20,"Exceed 10% Rule","")</f>
        <v/>
      </c>
      <c r="D21" s="242" t="str">
        <f>IF(D22*0.1&lt;D20,"Exceed 10% Rule","")</f>
        <v/>
      </c>
      <c r="E21" s="201" t="str">
        <f>IF((E41+E22)*0.1&lt;E20,"Exceed 10% Rule","")</f>
        <v/>
      </c>
      <c r="G21" s="386">
        <f>IF(E40&gt;0,E39,E41)</f>
        <v>0</v>
      </c>
      <c r="H21" s="366" t="str">
        <f>CONCATENATE("",E1," Ad Valorem Tax (est.)")</f>
        <v>2025 Ad Valorem Tax (est.)</v>
      </c>
      <c r="I21" s="366"/>
      <c r="J21" s="379"/>
      <c r="K21" s="639" t="str">
        <f>IF(G21=E41,"","Note: Does not include Delinquent Taxes")</f>
        <v/>
      </c>
    </row>
    <row r="22" spans="2:11" x14ac:dyDescent="0.25">
      <c r="B22" s="200" t="s">
        <v>342</v>
      </c>
      <c r="C22" s="206">
        <f>SUM(C8:C20)</f>
        <v>0</v>
      </c>
      <c r="D22" s="206">
        <f>SUM(D8:D20)</f>
        <v>0</v>
      </c>
      <c r="E22" s="206">
        <f>SUM(E8:E20)</f>
        <v>0</v>
      </c>
      <c r="G22" s="380">
        <f>SUM(G19:G21)</f>
        <v>0</v>
      </c>
      <c r="H22" s="366" t="str">
        <f>CONCATENATE("Total ",E1," Resources Available")</f>
        <v>Total 2025 Resources Available</v>
      </c>
      <c r="I22" s="382"/>
      <c r="J22" s="379"/>
      <c r="K22" s="334"/>
    </row>
    <row r="23" spans="2:11" x14ac:dyDescent="0.25">
      <c r="B23" s="60" t="s">
        <v>344</v>
      </c>
      <c r="C23" s="206">
        <f>C22+C6</f>
        <v>0</v>
      </c>
      <c r="D23" s="206">
        <f>D22+D6</f>
        <v>0</v>
      </c>
      <c r="E23" s="206">
        <f>E22+E6</f>
        <v>0</v>
      </c>
      <c r="G23" s="387"/>
      <c r="H23" s="366"/>
      <c r="I23" s="366"/>
      <c r="J23" s="379"/>
      <c r="K23" s="334"/>
    </row>
    <row r="24" spans="2:11" x14ac:dyDescent="0.25">
      <c r="B24" s="43" t="s">
        <v>346</v>
      </c>
      <c r="C24" s="240"/>
      <c r="D24" s="240"/>
      <c r="E24" s="157"/>
      <c r="G24" s="386">
        <f>ROUND(C34*0.05+C34,0)</f>
        <v>0</v>
      </c>
      <c r="H24" s="366" t="str">
        <f>CONCATENATE("Less ",E1-2," Expenditures + 5%")</f>
        <v>Less 2023 Expenditures + 5%</v>
      </c>
      <c r="I24" s="366"/>
      <c r="J24" s="379"/>
      <c r="K24" s="334"/>
    </row>
    <row r="25" spans="2:11" x14ac:dyDescent="0.25">
      <c r="B25" s="197"/>
      <c r="C25" s="192"/>
      <c r="D25" s="192"/>
      <c r="E25" s="106"/>
      <c r="G25" s="390">
        <f>G22-G24</f>
        <v>0</v>
      </c>
      <c r="H25" s="391" t="str">
        <f>CONCATENATE("Projected ",E1+1," carryover (est.)")</f>
        <v>Projected 2026 carryover (est.)</v>
      </c>
      <c r="I25" s="392"/>
      <c r="J25" s="393"/>
      <c r="K25" s="334"/>
    </row>
    <row r="26" spans="2:11" x14ac:dyDescent="0.25">
      <c r="B26" s="197"/>
      <c r="C26" s="192"/>
      <c r="D26" s="192"/>
      <c r="E26" s="106"/>
      <c r="G26" s="334"/>
      <c r="H26" s="334"/>
      <c r="I26" s="334"/>
      <c r="J26" s="334"/>
      <c r="K26" s="334"/>
    </row>
    <row r="27" spans="2:11" x14ac:dyDescent="0.25">
      <c r="B27" s="197"/>
      <c r="C27" s="192"/>
      <c r="D27" s="192"/>
      <c r="E27" s="106"/>
      <c r="G27" s="757" t="s">
        <v>355</v>
      </c>
      <c r="H27" s="758"/>
      <c r="I27" s="758"/>
      <c r="J27" s="759"/>
      <c r="K27" s="334"/>
    </row>
    <row r="28" spans="2:11" x14ac:dyDescent="0.25">
      <c r="B28" s="197"/>
      <c r="C28" s="192"/>
      <c r="D28" s="192"/>
      <c r="E28" s="106"/>
      <c r="G28" s="760"/>
      <c r="H28" s="761"/>
      <c r="I28" s="761"/>
      <c r="J28" s="762"/>
      <c r="K28" s="334"/>
    </row>
    <row r="29" spans="2:11" x14ac:dyDescent="0.25">
      <c r="B29" s="192"/>
      <c r="C29" s="192"/>
      <c r="D29" s="192"/>
      <c r="E29" s="106"/>
      <c r="G29" s="587" t="str">
        <f>'Budget Hearing Notice'!H28</f>
        <v xml:space="preserve"> </v>
      </c>
      <c r="H29" s="588" t="str">
        <f>CONCATENATE("",E1," Estimated Fund Mill Rate")</f>
        <v>2025 Estimated Fund Mill Rate</v>
      </c>
      <c r="I29" s="589"/>
      <c r="J29" s="590"/>
      <c r="K29" s="334"/>
    </row>
    <row r="30" spans="2:11" x14ac:dyDescent="0.25">
      <c r="B30" s="197"/>
      <c r="C30" s="192"/>
      <c r="D30" s="192"/>
      <c r="E30" s="106"/>
      <c r="G30" s="591" t="str">
        <f>'Budget Hearing Notice'!E28</f>
        <v xml:space="preserve">  </v>
      </c>
      <c r="H30" s="588" t="str">
        <f>CONCATENATE("",E1-1," Fund Mill Rate")</f>
        <v>2024 Fund Mill Rate</v>
      </c>
      <c r="I30" s="589"/>
      <c r="J30" s="590"/>
      <c r="K30" s="334"/>
    </row>
    <row r="31" spans="2:11" x14ac:dyDescent="0.25">
      <c r="B31" s="195" t="str">
        <f>CONCATENATE("Cash Reserve (",E1," column)")</f>
        <v>Cash Reserve (2025 column)</v>
      </c>
      <c r="C31" s="192"/>
      <c r="D31" s="192"/>
      <c r="E31" s="106"/>
      <c r="G31" s="592">
        <f>'Budget Hearing Notice'!H38</f>
        <v>0</v>
      </c>
      <c r="H31" s="593" t="s">
        <v>359</v>
      </c>
      <c r="I31" s="589"/>
      <c r="J31" s="590"/>
      <c r="K31" s="334"/>
    </row>
    <row r="32" spans="2:11" x14ac:dyDescent="0.25">
      <c r="B32" s="195" t="s">
        <v>340</v>
      </c>
      <c r="C32" s="192"/>
      <c r="D32" s="192"/>
      <c r="E32" s="106"/>
      <c r="G32" s="592">
        <f>SUM('Budget Hearing Notice'!H18:H20,'Budget Hearing Notice'!H25:H29)</f>
        <v>0</v>
      </c>
      <c r="H32" s="593" t="s">
        <v>361</v>
      </c>
      <c r="I32" s="589"/>
      <c r="J32" s="590"/>
      <c r="K32" s="334"/>
    </row>
    <row r="33" spans="2:11" x14ac:dyDescent="0.25">
      <c r="B33" s="195" t="s">
        <v>362</v>
      </c>
      <c r="C33" s="242" t="str">
        <f>IF(C34*0.1&lt;C32,"Exceed 10% Rule","")</f>
        <v/>
      </c>
      <c r="D33" s="242" t="str">
        <f>IF(D34*0.1&lt;D32,"Exceed 10% Rule","")</f>
        <v/>
      </c>
      <c r="E33" s="201" t="str">
        <f>IF(E34*0.1&lt;E32,"Exceed 10% Rule","")</f>
        <v/>
      </c>
      <c r="G33" s="587">
        <f>'Budget Hearing Notice'!H36</f>
        <v>0</v>
      </c>
      <c r="H33" s="588" t="str">
        <f>CONCATENATE(E1," Estimated Total Mill Rate")</f>
        <v>2025 Estimated Total Mill Rate</v>
      </c>
      <c r="I33" s="589"/>
      <c r="J33" s="590"/>
      <c r="K33" s="334"/>
    </row>
    <row r="34" spans="2:11" x14ac:dyDescent="0.25">
      <c r="B34" s="60" t="s">
        <v>363</v>
      </c>
      <c r="C34" s="206">
        <f>SUM(C25:C32)</f>
        <v>0</v>
      </c>
      <c r="D34" s="206">
        <f>SUM(D25:D32)</f>
        <v>0</v>
      </c>
      <c r="E34" s="206">
        <f>SUM(E25:E32)</f>
        <v>0</v>
      </c>
      <c r="G34" s="594">
        <f>'Budget Hearing Notice'!E36</f>
        <v>0</v>
      </c>
      <c r="H34" s="588" t="str">
        <f>CONCATENATE(E1-1," Total Mill Rate")</f>
        <v>2024 Total Mill Rate</v>
      </c>
      <c r="I34" s="589"/>
      <c r="J34" s="590"/>
    </row>
    <row r="35" spans="2:11" x14ac:dyDescent="0.25">
      <c r="B35" s="43" t="s">
        <v>364</v>
      </c>
      <c r="C35" s="157">
        <f>C23-C34</f>
        <v>0</v>
      </c>
      <c r="D35" s="157">
        <f>D23-D34</f>
        <v>0</v>
      </c>
      <c r="E35" s="194" t="s">
        <v>185</v>
      </c>
      <c r="G35" s="595"/>
      <c r="H35" s="471"/>
      <c r="I35" s="471"/>
      <c r="J35" s="596"/>
    </row>
    <row r="36" spans="2:11" x14ac:dyDescent="0.25">
      <c r="B36" s="68" t="str">
        <f>CONCATENATE("",E1-2,"/",E1-1,"/",E1," Budget Authority Amount:")</f>
        <v>2023/2024/2025 Budget Authority Amount:</v>
      </c>
      <c r="C36" s="427">
        <f>inputOth!$B101</f>
        <v>0</v>
      </c>
      <c r="D36" s="427">
        <f>inputPrYr!$D31</f>
        <v>0</v>
      </c>
      <c r="E36" s="157">
        <f>E34</f>
        <v>0</v>
      </c>
      <c r="F36" s="202"/>
      <c r="G36" s="763" t="s">
        <v>365</v>
      </c>
      <c r="H36" s="764"/>
      <c r="I36" s="764"/>
      <c r="J36" s="773" t="str">
        <f>IF(G33&gt;G31, "Yes", "No")</f>
        <v>No</v>
      </c>
    </row>
    <row r="37" spans="2:11" x14ac:dyDescent="0.25">
      <c r="B37" s="140"/>
      <c r="C37" s="748" t="s">
        <v>366</v>
      </c>
      <c r="D37" s="749"/>
      <c r="E37" s="106"/>
      <c r="F37" s="415" t="str">
        <f>IF(E34/0.95-E34&lt;E37,"Exceeds 5%","")</f>
        <v/>
      </c>
      <c r="G37" s="765"/>
      <c r="H37" s="766"/>
      <c r="I37" s="766"/>
      <c r="J37" s="774"/>
      <c r="K37" s="334"/>
    </row>
    <row r="38" spans="2:11" x14ac:dyDescent="0.25">
      <c r="B38" s="637" t="str">
        <f>CONCATENATE(C93,"     ",D93)</f>
        <v xml:space="preserve">     </v>
      </c>
      <c r="C38" s="750" t="s">
        <v>367</v>
      </c>
      <c r="D38" s="751"/>
      <c r="E38" s="157">
        <f>E34+E37</f>
        <v>0</v>
      </c>
      <c r="G38" s="769" t="str">
        <f>IF(J36="Yes", "Follow procedure prescribed by KSA 79-2988 to exceed the Revenue Neutral Rate.", " ")</f>
        <v xml:space="preserve"> </v>
      </c>
      <c r="H38" s="769"/>
      <c r="I38" s="769"/>
      <c r="J38" s="769"/>
      <c r="K38" s="334"/>
    </row>
    <row r="39" spans="2:11" x14ac:dyDescent="0.25">
      <c r="B39" s="637" t="str">
        <f>CONCATENATE(C94,"     ",D94)</f>
        <v xml:space="preserve">     </v>
      </c>
      <c r="C39" s="638"/>
      <c r="D39" s="250" t="s">
        <v>368</v>
      </c>
      <c r="E39" s="157">
        <f>IF(E38-E23&gt;0,E38-E23,0)</f>
        <v>0</v>
      </c>
      <c r="G39" s="770"/>
      <c r="H39" s="770"/>
      <c r="I39" s="770"/>
      <c r="J39" s="770"/>
      <c r="K39" s="334"/>
    </row>
    <row r="40" spans="2:11" x14ac:dyDescent="0.25">
      <c r="B40" s="136"/>
      <c r="C40" s="621" t="s">
        <v>369</v>
      </c>
      <c r="D40" s="408">
        <f>inputOth!$E$85</f>
        <v>0</v>
      </c>
      <c r="E40" s="157">
        <f>ROUND(IF(D40&gt;0,(E39*D40),0),0)</f>
        <v>0</v>
      </c>
      <c r="G40" s="770"/>
      <c r="H40" s="770"/>
      <c r="I40" s="770"/>
      <c r="J40" s="770"/>
      <c r="K40" s="334"/>
    </row>
    <row r="41" spans="2:11" x14ac:dyDescent="0.25">
      <c r="B41" s="35"/>
      <c r="C41" s="752" t="str">
        <f>CONCATENATE("Amount of  ",$E$1-1," Ad Valorem Tax")</f>
        <v>Amount of  2024 Ad Valorem Tax</v>
      </c>
      <c r="D41" s="753"/>
      <c r="E41" s="157">
        <f>E39+E40</f>
        <v>0</v>
      </c>
      <c r="G41" s="334"/>
      <c r="H41" s="334"/>
      <c r="I41" s="334"/>
      <c r="J41" s="334"/>
      <c r="K41" s="334"/>
    </row>
    <row r="42" spans="2:11" x14ac:dyDescent="0.25">
      <c r="B42" s="35"/>
      <c r="C42" s="622"/>
      <c r="D42" s="35"/>
      <c r="E42" s="35"/>
      <c r="G42" s="334"/>
      <c r="H42" s="334"/>
      <c r="I42" s="334"/>
      <c r="J42" s="334"/>
      <c r="K42" s="334"/>
    </row>
    <row r="43" spans="2:11" x14ac:dyDescent="0.25">
      <c r="B43" s="35"/>
      <c r="C43" s="622"/>
      <c r="D43" s="35"/>
      <c r="E43" s="35"/>
      <c r="G43" s="334"/>
      <c r="H43" s="334"/>
      <c r="I43" s="334"/>
      <c r="J43" s="334"/>
      <c r="K43" s="334"/>
    </row>
    <row r="44" spans="2:11" x14ac:dyDescent="0.25">
      <c r="B44" s="39" t="s">
        <v>328</v>
      </c>
      <c r="C44" s="38"/>
      <c r="D44" s="38"/>
      <c r="E44" s="38"/>
      <c r="G44" s="334"/>
      <c r="H44" s="334"/>
      <c r="I44" s="334"/>
      <c r="J44" s="334"/>
      <c r="K44" s="334"/>
    </row>
    <row r="45" spans="2:11" x14ac:dyDescent="0.25">
      <c r="B45" s="35"/>
      <c r="C45" s="238" t="s">
        <v>329</v>
      </c>
      <c r="D45" s="241" t="s">
        <v>276</v>
      </c>
      <c r="E45" s="625" t="s">
        <v>330</v>
      </c>
      <c r="G45" s="334"/>
      <c r="H45" s="334"/>
      <c r="I45" s="334"/>
      <c r="J45" s="334"/>
      <c r="K45" s="334"/>
    </row>
    <row r="46" spans="2:11" x14ac:dyDescent="0.25">
      <c r="B46" s="247">
        <f>inputPrYr!B32</f>
        <v>0</v>
      </c>
      <c r="C46" s="239" t="str">
        <f>C5</f>
        <v>Actual for 2023</v>
      </c>
      <c r="D46" s="239" t="str">
        <f>D5</f>
        <v>Estimate for 2024</v>
      </c>
      <c r="E46" s="626" t="str">
        <f>E5</f>
        <v>Year for 2025</v>
      </c>
      <c r="G46" s="334"/>
      <c r="H46" s="334"/>
      <c r="I46" s="334"/>
      <c r="J46" s="334"/>
      <c r="K46" s="334"/>
    </row>
    <row r="47" spans="2:11" x14ac:dyDescent="0.25">
      <c r="B47" s="43" t="s">
        <v>331</v>
      </c>
      <c r="C47" s="192"/>
      <c r="D47" s="240">
        <f>C76</f>
        <v>0</v>
      </c>
      <c r="E47" s="157">
        <f>D76</f>
        <v>0</v>
      </c>
      <c r="G47" s="334"/>
      <c r="H47" s="334"/>
      <c r="I47" s="334"/>
      <c r="J47" s="334"/>
      <c r="K47" s="334"/>
    </row>
    <row r="48" spans="2:11" x14ac:dyDescent="0.25">
      <c r="B48" s="43" t="s">
        <v>332</v>
      </c>
      <c r="C48" s="240"/>
      <c r="D48" s="240"/>
      <c r="E48" s="194"/>
      <c r="G48" s="334"/>
      <c r="H48" s="334"/>
      <c r="I48" s="334"/>
      <c r="J48" s="334"/>
      <c r="K48" s="334"/>
    </row>
    <row r="49" spans="2:11" x14ac:dyDescent="0.25">
      <c r="B49" s="43" t="s">
        <v>96</v>
      </c>
      <c r="C49" s="192"/>
      <c r="D49" s="240">
        <f>IF(inputPrYr!H22&gt;0,inputPrYr!G34,inputPrYr!E32)</f>
        <v>0</v>
      </c>
      <c r="E49" s="194" t="s">
        <v>185</v>
      </c>
      <c r="G49" s="334"/>
      <c r="H49" s="334"/>
      <c r="I49" s="334"/>
      <c r="J49" s="334"/>
      <c r="K49" s="334"/>
    </row>
    <row r="50" spans="2:11" x14ac:dyDescent="0.25">
      <c r="B50" s="43" t="s">
        <v>333</v>
      </c>
      <c r="C50" s="192"/>
      <c r="D50" s="192"/>
      <c r="E50" s="106"/>
      <c r="G50" s="334"/>
      <c r="H50" s="334"/>
      <c r="I50" s="334"/>
      <c r="J50" s="334"/>
      <c r="K50" s="334"/>
    </row>
    <row r="51" spans="2:11" x14ac:dyDescent="0.25">
      <c r="B51" s="43" t="s">
        <v>334</v>
      </c>
      <c r="C51" s="192"/>
      <c r="D51" s="192"/>
      <c r="E51" s="157">
        <f>Mvalloc!D22+Mvalloc!E22</f>
        <v>0</v>
      </c>
      <c r="G51" s="334"/>
      <c r="H51" s="334"/>
      <c r="I51" s="334"/>
      <c r="J51" s="334"/>
      <c r="K51" s="334"/>
    </row>
    <row r="52" spans="2:11" x14ac:dyDescent="0.25">
      <c r="B52" s="43" t="s">
        <v>335</v>
      </c>
      <c r="C52" s="192"/>
      <c r="D52" s="192"/>
      <c r="E52" s="157">
        <f>Mvalloc!F22+Mvalloc!G22</f>
        <v>0</v>
      </c>
      <c r="G52" s="775" t="str">
        <f>CONCATENATE("Desired Carryover Into ",E1+1,"")</f>
        <v>Desired Carryover Into 2026</v>
      </c>
      <c r="H52" s="776"/>
      <c r="I52" s="776"/>
      <c r="J52" s="777"/>
      <c r="K52" s="334"/>
    </row>
    <row r="53" spans="2:11" x14ac:dyDescent="0.25">
      <c r="B53" s="43" t="s">
        <v>375</v>
      </c>
      <c r="C53" s="192"/>
      <c r="D53" s="192"/>
      <c r="E53" s="157">
        <f>Mvalloc!H22+Mvalloc!I22</f>
        <v>0</v>
      </c>
      <c r="G53" s="365"/>
      <c r="H53" s="332"/>
      <c r="I53" s="366"/>
      <c r="J53" s="367"/>
      <c r="K53" s="334"/>
    </row>
    <row r="54" spans="2:11" x14ac:dyDescent="0.25">
      <c r="B54" s="472" t="s">
        <v>336</v>
      </c>
      <c r="C54" s="192"/>
      <c r="D54" s="192"/>
      <c r="E54" s="157">
        <f>Mvalloc!J22+Mvalloc!K22</f>
        <v>0</v>
      </c>
      <c r="G54" s="368" t="s">
        <v>343</v>
      </c>
      <c r="H54" s="366"/>
      <c r="I54" s="366"/>
      <c r="J54" s="369">
        <v>0</v>
      </c>
      <c r="K54" s="334"/>
    </row>
    <row r="55" spans="2:11" x14ac:dyDescent="0.25">
      <c r="B55" s="472" t="s">
        <v>337</v>
      </c>
      <c r="C55" s="192"/>
      <c r="D55" s="192"/>
      <c r="E55" s="157">
        <f>Mvalloc!L22+Mvalloc!M22</f>
        <v>0</v>
      </c>
      <c r="G55" s="365" t="s">
        <v>345</v>
      </c>
      <c r="H55" s="332"/>
      <c r="I55" s="332"/>
      <c r="J55" s="370" t="str">
        <f>IF(J54=0,"",ROUND((J54+E82-G67)/inputOth!E11*1000,3)-G72)</f>
        <v/>
      </c>
      <c r="K55" s="334"/>
    </row>
    <row r="56" spans="2:11" x14ac:dyDescent="0.25">
      <c r="B56" s="196"/>
      <c r="C56" s="192"/>
      <c r="D56" s="192"/>
      <c r="E56" s="106"/>
      <c r="G56" s="371" t="str">
        <f>CONCATENATE("",E1," Tot Exp/Non-Appr Must Be:")</f>
        <v>2025 Tot Exp/Non-Appr Must Be:</v>
      </c>
      <c r="H56" s="372"/>
      <c r="I56" s="373"/>
      <c r="J56" s="374">
        <f>IF(J54&gt;0,IF(E79&lt;E64,IF(J54=G67,E79,((J54-G67)*(1-D81))+E64),E79+(J54-G67)),0)</f>
        <v>0</v>
      </c>
      <c r="K56" s="334"/>
    </row>
    <row r="57" spans="2:11" x14ac:dyDescent="0.25">
      <c r="B57" s="196"/>
      <c r="C57" s="192"/>
      <c r="D57" s="192"/>
      <c r="E57" s="106"/>
      <c r="G57" s="375" t="s">
        <v>347</v>
      </c>
      <c r="H57" s="376"/>
      <c r="I57" s="376"/>
      <c r="J57" s="377">
        <f>IF(J54&gt;0,J56-E79,0)</f>
        <v>0</v>
      </c>
      <c r="K57" s="334"/>
    </row>
    <row r="58" spans="2:11" x14ac:dyDescent="0.25">
      <c r="B58" s="197"/>
      <c r="C58" s="192"/>
      <c r="D58" s="192"/>
      <c r="E58" s="106"/>
      <c r="G58" s="334"/>
      <c r="H58" s="334"/>
      <c r="I58" s="334"/>
      <c r="J58" s="334"/>
      <c r="K58" s="334"/>
    </row>
    <row r="59" spans="2:11" x14ac:dyDescent="0.25">
      <c r="B59" s="197" t="s">
        <v>339</v>
      </c>
      <c r="C59" s="192"/>
      <c r="D59" s="192"/>
      <c r="E59" s="106"/>
      <c r="G59" s="775" t="str">
        <f>CONCATENATE("Projected Carryover Into ",E1+1,"")</f>
        <v>Projected Carryover Into 2026</v>
      </c>
      <c r="H59" s="778"/>
      <c r="I59" s="778"/>
      <c r="J59" s="779"/>
      <c r="K59" s="334"/>
    </row>
    <row r="60" spans="2:11" x14ac:dyDescent="0.25">
      <c r="B60" s="195" t="s">
        <v>191</v>
      </c>
      <c r="C60" s="192"/>
      <c r="D60" s="192"/>
      <c r="E60" s="157">
        <f>'NR Rebate'!E17*-1</f>
        <v>0</v>
      </c>
      <c r="G60" s="398"/>
      <c r="H60" s="332"/>
      <c r="I60" s="332"/>
      <c r="J60" s="399"/>
      <c r="K60" s="334"/>
    </row>
    <row r="61" spans="2:11" x14ac:dyDescent="0.25">
      <c r="B61" s="198" t="s">
        <v>340</v>
      </c>
      <c r="C61" s="192"/>
      <c r="D61" s="192"/>
      <c r="E61" s="106"/>
      <c r="G61" s="380">
        <f>D76</f>
        <v>0</v>
      </c>
      <c r="H61" s="381" t="str">
        <f>CONCATENATE("",E1-1," Ending Cash Balance (est.)")</f>
        <v>2024 Ending Cash Balance (est.)</v>
      </c>
      <c r="I61" s="382"/>
      <c r="J61" s="399"/>
      <c r="K61" s="334"/>
    </row>
    <row r="62" spans="2:11" x14ac:dyDescent="0.25">
      <c r="B62" s="198" t="s">
        <v>341</v>
      </c>
      <c r="C62" s="242" t="str">
        <f>IF(C63*0.1&lt;C61,"Exceed 10% Rule","")</f>
        <v/>
      </c>
      <c r="D62" s="242" t="str">
        <f>IF(D63*0.1&lt;D61,"Exceed 10% Rule","")</f>
        <v/>
      </c>
      <c r="E62" s="201" t="str">
        <f>IF((E82+E63)*0.1&lt;E61,"Exceed 10% Rule","")</f>
        <v/>
      </c>
      <c r="G62" s="380">
        <f>E63</f>
        <v>0</v>
      </c>
      <c r="H62" s="366" t="str">
        <f>CONCATENATE("",E1," Non-AV Receipts (est.)")</f>
        <v>2025 Non-AV Receipts (est.)</v>
      </c>
      <c r="I62" s="382"/>
      <c r="J62" s="399"/>
      <c r="K62" s="639" t="str">
        <f>IF(G63=E82,"","Note: Does not include Delinquent Taxes")</f>
        <v/>
      </c>
    </row>
    <row r="63" spans="2:11" x14ac:dyDescent="0.25">
      <c r="B63" s="200" t="s">
        <v>342</v>
      </c>
      <c r="C63" s="206">
        <f>SUM(C49:C61)</f>
        <v>0</v>
      </c>
      <c r="D63" s="206">
        <f>SUM(D49:D61)</f>
        <v>0</v>
      </c>
      <c r="E63" s="206">
        <f>SUM(E49:E61)</f>
        <v>0</v>
      </c>
      <c r="G63" s="386">
        <f>IF(E81&gt;0,E80,E82)</f>
        <v>0</v>
      </c>
      <c r="H63" s="366" t="str">
        <f>CONCATENATE("",E1," Ad Valorem Tax (est.)")</f>
        <v>2025 Ad Valorem Tax (est.)</v>
      </c>
      <c r="I63" s="366"/>
      <c r="J63" s="399"/>
      <c r="K63" s="334"/>
    </row>
    <row r="64" spans="2:11" x14ac:dyDescent="0.25">
      <c r="B64" s="60" t="s">
        <v>344</v>
      </c>
      <c r="C64" s="206">
        <f>C63+C47</f>
        <v>0</v>
      </c>
      <c r="D64" s="206">
        <f>D63+D47</f>
        <v>0</v>
      </c>
      <c r="E64" s="206">
        <f>E63+E47</f>
        <v>0</v>
      </c>
      <c r="G64" s="400">
        <f>SUM(G61:G63)</f>
        <v>0</v>
      </c>
      <c r="H64" s="366" t="str">
        <f>CONCATENATE("Total ",E1," Resources Available")</f>
        <v>Total 2025 Resources Available</v>
      </c>
      <c r="I64" s="401"/>
      <c r="J64" s="399"/>
      <c r="K64" s="334"/>
    </row>
    <row r="65" spans="2:11" x14ac:dyDescent="0.25">
      <c r="B65" s="43" t="s">
        <v>346</v>
      </c>
      <c r="C65" s="240"/>
      <c r="D65" s="240"/>
      <c r="E65" s="157"/>
      <c r="G65" s="402"/>
      <c r="H65" s="403"/>
      <c r="I65" s="332"/>
      <c r="J65" s="399"/>
      <c r="K65" s="334"/>
    </row>
    <row r="66" spans="2:11" x14ac:dyDescent="0.25">
      <c r="B66" s="197"/>
      <c r="C66" s="192"/>
      <c r="D66" s="192"/>
      <c r="E66" s="106"/>
      <c r="G66" s="386">
        <f>ROUND(C75*0.05+C75,0)</f>
        <v>0</v>
      </c>
      <c r="H66" s="366" t="str">
        <f>CONCATENATE("Less ",E1-2," Expenditures + 5%")</f>
        <v>Less 2023 Expenditures + 5%</v>
      </c>
      <c r="I66" s="401"/>
      <c r="J66" s="399"/>
      <c r="K66" s="334"/>
    </row>
    <row r="67" spans="2:11" x14ac:dyDescent="0.25">
      <c r="B67" s="197"/>
      <c r="C67" s="192"/>
      <c r="D67" s="192"/>
      <c r="E67" s="106"/>
      <c r="G67" s="390">
        <f>G64-G66</f>
        <v>0</v>
      </c>
      <c r="H67" s="391" t="str">
        <f>CONCATENATE("Projected ",E1+1," carryover (est.)")</f>
        <v>Projected 2026 carryover (est.)</v>
      </c>
      <c r="I67" s="404"/>
      <c r="J67" s="405"/>
      <c r="K67" s="334"/>
    </row>
    <row r="68" spans="2:11" x14ac:dyDescent="0.25">
      <c r="B68" s="197"/>
      <c r="C68" s="192"/>
      <c r="D68" s="192"/>
      <c r="E68" s="106"/>
      <c r="G68" s="334"/>
      <c r="H68" s="334"/>
      <c r="I68" s="334"/>
      <c r="J68" s="334"/>
      <c r="K68" s="334"/>
    </row>
    <row r="69" spans="2:11" x14ac:dyDescent="0.25">
      <c r="B69" s="197"/>
      <c r="C69" s="192"/>
      <c r="D69" s="192"/>
      <c r="E69" s="106"/>
      <c r="G69" s="757" t="s">
        <v>355</v>
      </c>
      <c r="H69" s="758"/>
      <c r="I69" s="758"/>
      <c r="J69" s="759"/>
      <c r="K69" s="334"/>
    </row>
    <row r="70" spans="2:11" x14ac:dyDescent="0.25">
      <c r="B70" s="197"/>
      <c r="C70" s="192"/>
      <c r="D70" s="192"/>
      <c r="E70" s="106"/>
      <c r="G70" s="760"/>
      <c r="H70" s="761"/>
      <c r="I70" s="761"/>
      <c r="J70" s="762"/>
      <c r="K70" s="334"/>
    </row>
    <row r="71" spans="2:11" x14ac:dyDescent="0.25">
      <c r="B71" s="197"/>
      <c r="C71" s="192"/>
      <c r="D71" s="192"/>
      <c r="E71" s="106"/>
      <c r="G71" s="587" t="str">
        <f>'Budget Hearing Notice'!H29</f>
        <v xml:space="preserve"> </v>
      </c>
      <c r="H71" s="588" t="str">
        <f>CONCATENATE("",E1," Estimated Fund Mill Rate")</f>
        <v>2025 Estimated Fund Mill Rate</v>
      </c>
      <c r="I71" s="589"/>
      <c r="J71" s="590"/>
      <c r="K71" s="334"/>
    </row>
    <row r="72" spans="2:11" x14ac:dyDescent="0.25">
      <c r="B72" s="195" t="str">
        <f>CONCATENATE("Cash Reserve (",E1," column)")</f>
        <v>Cash Reserve (2025 column)</v>
      </c>
      <c r="C72" s="192"/>
      <c r="D72" s="192"/>
      <c r="E72" s="106"/>
      <c r="G72" s="591" t="str">
        <f>'Budget Hearing Notice'!E29</f>
        <v xml:space="preserve">  </v>
      </c>
      <c r="H72" s="588" t="str">
        <f>CONCATENATE("",E1-1," Fund Mill Rate")</f>
        <v>2024 Fund Mill Rate</v>
      </c>
      <c r="I72" s="589"/>
      <c r="J72" s="590"/>
      <c r="K72" s="334"/>
    </row>
    <row r="73" spans="2:11" x14ac:dyDescent="0.25">
      <c r="B73" s="195" t="s">
        <v>340</v>
      </c>
      <c r="C73" s="192"/>
      <c r="D73" s="192"/>
      <c r="E73" s="106"/>
      <c r="G73" s="592">
        <f>'Budget Hearing Notice'!H38</f>
        <v>0</v>
      </c>
      <c r="H73" s="593" t="s">
        <v>359</v>
      </c>
      <c r="I73" s="589"/>
      <c r="J73" s="590"/>
      <c r="K73" s="334"/>
    </row>
    <row r="74" spans="2:11" x14ac:dyDescent="0.25">
      <c r="B74" s="195" t="s">
        <v>362</v>
      </c>
      <c r="C74" s="242" t="str">
        <f>IF(C75*0.1&lt;C73,"Exceed 10% Rule","")</f>
        <v/>
      </c>
      <c r="D74" s="242" t="str">
        <f>IF(D75*0.1&lt;D73,"Exceed 10% Rule","")</f>
        <v/>
      </c>
      <c r="E74" s="201" t="str">
        <f>IF(E75*0.1&lt;E73,"Exceed 10% Rule","")</f>
        <v/>
      </c>
      <c r="G74" s="592">
        <f>SUM('Budget Hearing Notice'!H18:H20,'Budget Hearing Notice'!H25:H29)</f>
        <v>0</v>
      </c>
      <c r="H74" s="593" t="s">
        <v>361</v>
      </c>
      <c r="I74" s="589"/>
      <c r="J74" s="590"/>
    </row>
    <row r="75" spans="2:11" x14ac:dyDescent="0.25">
      <c r="B75" s="60" t="s">
        <v>363</v>
      </c>
      <c r="C75" s="206">
        <f>SUM(C66:C73)</f>
        <v>0</v>
      </c>
      <c r="D75" s="206">
        <f>SUM(D66:D73)</f>
        <v>0</v>
      </c>
      <c r="E75" s="206">
        <f>SUM(E66:E73)</f>
        <v>0</v>
      </c>
      <c r="G75" s="587">
        <f>'Budget Hearing Notice'!H36</f>
        <v>0</v>
      </c>
      <c r="H75" s="588" t="str">
        <f>CONCATENATE(E1," Estimated Total Mill Rate")</f>
        <v>2025 Estimated Total Mill Rate</v>
      </c>
      <c r="I75" s="589"/>
      <c r="J75" s="590"/>
    </row>
    <row r="76" spans="2:11" x14ac:dyDescent="0.25">
      <c r="B76" s="43" t="s">
        <v>364</v>
      </c>
      <c r="C76" s="157">
        <f>C64-C75</f>
        <v>0</v>
      </c>
      <c r="D76" s="157">
        <f>D64-D75</f>
        <v>0</v>
      </c>
      <c r="E76" s="194" t="s">
        <v>185</v>
      </c>
      <c r="G76" s="594">
        <f>'Budget Hearing Notice'!E36</f>
        <v>0</v>
      </c>
      <c r="H76" s="588" t="str">
        <f>CONCATENATE(E1-1," Total Mill Rate")</f>
        <v>2024 Total Mill Rate</v>
      </c>
      <c r="I76" s="589"/>
      <c r="J76" s="590"/>
    </row>
    <row r="77" spans="2:11" x14ac:dyDescent="0.25">
      <c r="B77" s="68" t="str">
        <f>CONCATENATE("",E1-2,"/",E1-1,"/",E1," Budget Authority Amount:")</f>
        <v>2023/2024/2025 Budget Authority Amount:</v>
      </c>
      <c r="C77" s="427">
        <f>inputOth!$B102</f>
        <v>0</v>
      </c>
      <c r="D77" s="427">
        <f>inputPrYr!$D32</f>
        <v>0</v>
      </c>
      <c r="E77" s="157">
        <f>E75</f>
        <v>0</v>
      </c>
      <c r="F77" s="202"/>
      <c r="G77" s="595"/>
      <c r="H77" s="471"/>
      <c r="I77" s="471"/>
      <c r="J77" s="596"/>
    </row>
    <row r="78" spans="2:11" x14ac:dyDescent="0.25">
      <c r="B78" s="140"/>
      <c r="C78" s="748" t="s">
        <v>366</v>
      </c>
      <c r="D78" s="749"/>
      <c r="E78" s="106"/>
      <c r="F78" s="415" t="str">
        <f>IF(E75/0.95-E75&lt;E78,"Exceeds 5%","")</f>
        <v/>
      </c>
      <c r="G78" s="763" t="s">
        <v>365</v>
      </c>
      <c r="H78" s="764"/>
      <c r="I78" s="764"/>
      <c r="J78" s="773" t="str">
        <f>IF(G75&gt;G73, "Yes", "No")</f>
        <v>No</v>
      </c>
    </row>
    <row r="79" spans="2:11" x14ac:dyDescent="0.25">
      <c r="B79" s="637" t="str">
        <f>CONCATENATE(C95,"     ",D95)</f>
        <v xml:space="preserve">     </v>
      </c>
      <c r="C79" s="750" t="s">
        <v>367</v>
      </c>
      <c r="D79" s="751"/>
      <c r="E79" s="157">
        <f>E75+E78</f>
        <v>0</v>
      </c>
      <c r="G79" s="765"/>
      <c r="H79" s="766"/>
      <c r="I79" s="766"/>
      <c r="J79" s="774"/>
    </row>
    <row r="80" spans="2:11" x14ac:dyDescent="0.25">
      <c r="B80" s="637" t="str">
        <f>CONCATENATE(C96,"     ",D96)</f>
        <v xml:space="preserve">     </v>
      </c>
      <c r="C80" s="638"/>
      <c r="D80" s="250" t="s">
        <v>368</v>
      </c>
      <c r="E80" s="157">
        <f>IF(E79-E64&gt;0,E79-E64,0)</f>
        <v>0</v>
      </c>
      <c r="G80" s="769" t="str">
        <f>IF(J78="Yes", "Follow procedure prescribed by KSA 79-2988 to exceed the Revenue Neutral Rate.", " ")</f>
        <v xml:space="preserve"> </v>
      </c>
      <c r="H80" s="769"/>
      <c r="I80" s="769"/>
      <c r="J80" s="769"/>
    </row>
    <row r="81" spans="2:10" x14ac:dyDescent="0.25">
      <c r="B81" s="136"/>
      <c r="C81" s="621" t="s">
        <v>369</v>
      </c>
      <c r="D81" s="408">
        <f>inputOth!$E$85</f>
        <v>0</v>
      </c>
      <c r="E81" s="157">
        <f>ROUND(IF(D81&gt;0,(E80*D81),0),0)</f>
        <v>0</v>
      </c>
      <c r="G81" s="770"/>
      <c r="H81" s="770"/>
      <c r="I81" s="770"/>
      <c r="J81" s="770"/>
    </row>
    <row r="82" spans="2:10" x14ac:dyDescent="0.25">
      <c r="B82" s="35"/>
      <c r="C82" s="752" t="str">
        <f>CONCATENATE("Amount of  ",$E$1-1," Ad Valorem Tax")</f>
        <v>Amount of  2024 Ad Valorem Tax</v>
      </c>
      <c r="D82" s="753"/>
      <c r="E82" s="157">
        <f>E80+E81</f>
        <v>0</v>
      </c>
      <c r="G82" s="770"/>
      <c r="H82" s="770"/>
      <c r="I82" s="770"/>
      <c r="J82" s="770"/>
    </row>
    <row r="83" spans="2:10" x14ac:dyDescent="0.25">
      <c r="B83" s="35"/>
      <c r="C83" s="622"/>
      <c r="D83" s="622"/>
      <c r="E83" s="622"/>
      <c r="G83" s="503"/>
      <c r="H83" s="504"/>
      <c r="I83" s="504"/>
      <c r="J83" s="505"/>
    </row>
    <row r="84" spans="2:10" x14ac:dyDescent="0.25">
      <c r="B84" s="35"/>
      <c r="C84" s="622"/>
      <c r="D84" s="622"/>
      <c r="E84" s="622"/>
      <c r="G84" s="503"/>
      <c r="H84" s="504"/>
      <c r="I84" s="504"/>
      <c r="J84" s="505"/>
    </row>
    <row r="85" spans="2:10" x14ac:dyDescent="0.25">
      <c r="B85" s="490" t="s">
        <v>203</v>
      </c>
      <c r="C85" s="498"/>
      <c r="D85" s="498"/>
      <c r="E85" s="499"/>
      <c r="G85" s="503"/>
      <c r="H85" s="504"/>
      <c r="I85" s="504"/>
      <c r="J85" s="505"/>
    </row>
    <row r="86" spans="2:10" x14ac:dyDescent="0.25">
      <c r="B86" s="251"/>
      <c r="C86" s="622"/>
      <c r="D86" s="622"/>
      <c r="E86" s="500"/>
    </row>
    <row r="87" spans="2:10" x14ac:dyDescent="0.25">
      <c r="B87" s="491"/>
      <c r="C87" s="501"/>
      <c r="D87" s="501"/>
      <c r="E87" s="502"/>
    </row>
    <row r="88" spans="2:10" x14ac:dyDescent="0.25">
      <c r="B88" s="35"/>
      <c r="C88" s="622"/>
      <c r="D88" s="622"/>
      <c r="E88" s="622"/>
    </row>
    <row r="89" spans="2:10" x14ac:dyDescent="0.25">
      <c r="B89" s="136" t="s">
        <v>370</v>
      </c>
      <c r="C89" s="440"/>
      <c r="D89" s="35"/>
      <c r="E89" s="35"/>
    </row>
    <row r="90" spans="2:10" x14ac:dyDescent="0.25">
      <c r="B90" s="65"/>
    </row>
    <row r="93" spans="2:10" hidden="1" x14ac:dyDescent="0.25">
      <c r="C93" s="99" t="str">
        <f>IF(C34&gt;C36,"See Tab A","")</f>
        <v/>
      </c>
      <c r="D93" s="99" t="str">
        <f>IF(D34&gt;D36,"See Tab C","")</f>
        <v/>
      </c>
    </row>
    <row r="94" spans="2:10" hidden="1" x14ac:dyDescent="0.25">
      <c r="C94" s="99" t="str">
        <f>IF(C35&lt;0,"See Tab B","")</f>
        <v/>
      </c>
      <c r="D94" s="99" t="str">
        <f>IF(D35&lt;0,"See Tab D","")</f>
        <v/>
      </c>
    </row>
    <row r="95" spans="2:10" hidden="1" x14ac:dyDescent="0.25">
      <c r="C95" s="99" t="str">
        <f>IF(C75&gt;C77,"See Tab A","")</f>
        <v/>
      </c>
      <c r="D95" s="99" t="str">
        <f>IF(D75&gt;D77,"See Tab C","")</f>
        <v/>
      </c>
    </row>
    <row r="96" spans="2:10" hidden="1" x14ac:dyDescent="0.25">
      <c r="C96" s="99" t="str">
        <f>IF(C76&lt;0,"See Tab B","")</f>
        <v/>
      </c>
      <c r="D96" s="99" t="str">
        <f>IF(D76&lt;0,"See Tab D","")</f>
        <v/>
      </c>
    </row>
  </sheetData>
  <sheetProtection sheet="1"/>
  <mergeCells count="18">
    <mergeCell ref="G10:J10"/>
    <mergeCell ref="G17:J17"/>
    <mergeCell ref="G52:J52"/>
    <mergeCell ref="G59:J59"/>
    <mergeCell ref="C37:D37"/>
    <mergeCell ref="C38:D38"/>
    <mergeCell ref="G27:J28"/>
    <mergeCell ref="G36:I37"/>
    <mergeCell ref="J36:J37"/>
    <mergeCell ref="G38:J40"/>
    <mergeCell ref="G69:J70"/>
    <mergeCell ref="C78:D78"/>
    <mergeCell ref="C79:D79"/>
    <mergeCell ref="C82:D82"/>
    <mergeCell ref="C41:D41"/>
    <mergeCell ref="G78:I79"/>
    <mergeCell ref="J78:J79"/>
    <mergeCell ref="G80:J82"/>
  </mergeCells>
  <phoneticPr fontId="0" type="noConversion"/>
  <conditionalFormatting sqref="C20">
    <cfRule type="cellIs" dxfId="72" priority="22" stopIfTrue="1" operator="greaterThan">
      <formula>$C$22*0.1</formula>
    </cfRule>
  </conditionalFormatting>
  <conditionalFormatting sqref="C32">
    <cfRule type="cellIs" dxfId="71" priority="19" stopIfTrue="1" operator="greaterThan">
      <formula>$C$34*0.1</formula>
    </cfRule>
  </conditionalFormatting>
  <conditionalFormatting sqref="C34">
    <cfRule type="expression" dxfId="70" priority="8">
      <formula>$C$34&gt;$C$36</formula>
    </cfRule>
  </conditionalFormatting>
  <conditionalFormatting sqref="C35">
    <cfRule type="expression" dxfId="69" priority="7">
      <formula>$C$35&lt;0</formula>
    </cfRule>
  </conditionalFormatting>
  <conditionalFormatting sqref="C61">
    <cfRule type="cellIs" dxfId="68" priority="16" stopIfTrue="1" operator="greaterThan">
      <formula>$C$63*0.1</formula>
    </cfRule>
  </conditionalFormatting>
  <conditionalFormatting sqref="C73">
    <cfRule type="cellIs" dxfId="67" priority="13" stopIfTrue="1" operator="greaterThan">
      <formula>$C$75*0.1</formula>
    </cfRule>
  </conditionalFormatting>
  <conditionalFormatting sqref="C75">
    <cfRule type="expression" dxfId="66" priority="4">
      <formula>$C$75&gt;$C$77</formula>
    </cfRule>
  </conditionalFormatting>
  <conditionalFormatting sqref="C76">
    <cfRule type="expression" dxfId="65" priority="3">
      <formula>$C$76&lt;0</formula>
    </cfRule>
  </conditionalFormatting>
  <conditionalFormatting sqref="D20">
    <cfRule type="cellIs" dxfId="64" priority="23" stopIfTrue="1" operator="greaterThan">
      <formula>$D$22*0.1</formula>
    </cfRule>
  </conditionalFormatting>
  <conditionalFormatting sqref="D32">
    <cfRule type="cellIs" dxfId="63" priority="20" stopIfTrue="1" operator="greaterThan">
      <formula>$D$34*0.1</formula>
    </cfRule>
  </conditionalFormatting>
  <conditionalFormatting sqref="D34">
    <cfRule type="expression" dxfId="62" priority="6">
      <formula>$D$34&gt;$D$36</formula>
    </cfRule>
  </conditionalFormatting>
  <conditionalFormatting sqref="D35">
    <cfRule type="expression" dxfId="61" priority="5">
      <formula>$D$35&lt;0</formula>
    </cfRule>
  </conditionalFormatting>
  <conditionalFormatting sqref="D61">
    <cfRule type="cellIs" dxfId="60" priority="17" stopIfTrue="1" operator="greaterThan">
      <formula>$D$63*0.1</formula>
    </cfRule>
  </conditionalFormatting>
  <conditionalFormatting sqref="D73">
    <cfRule type="cellIs" dxfId="59" priority="14" stopIfTrue="1" operator="greaterThan">
      <formula>$D$75*0.1</formula>
    </cfRule>
  </conditionalFormatting>
  <conditionalFormatting sqref="D75">
    <cfRule type="expression" dxfId="58" priority="2">
      <formula>$D$75&gt;$D$77</formula>
    </cfRule>
  </conditionalFormatting>
  <conditionalFormatting sqref="D76">
    <cfRule type="expression" dxfId="57" priority="1">
      <formula>$D$76&lt;0</formula>
    </cfRule>
  </conditionalFormatting>
  <conditionalFormatting sqref="E20">
    <cfRule type="cellIs" dxfId="56" priority="43" stopIfTrue="1" operator="greaterThan">
      <formula>$E$22*0.1+$E$41</formula>
    </cfRule>
  </conditionalFormatting>
  <conditionalFormatting sqref="E32">
    <cfRule type="cellIs" dxfId="55" priority="21" stopIfTrue="1" operator="greaterThan">
      <formula>$E$34*0.1</formula>
    </cfRule>
  </conditionalFormatting>
  <conditionalFormatting sqref="E37">
    <cfRule type="cellIs" dxfId="54" priority="24" stopIfTrue="1" operator="greaterThan">
      <formula>$E$34/0.95-$E$34</formula>
    </cfRule>
  </conditionalFormatting>
  <conditionalFormatting sqref="E61">
    <cfRule type="cellIs" dxfId="53" priority="44" stopIfTrue="1" operator="greaterThan">
      <formula>$E$63*0.1+$E$82</formula>
    </cfRule>
  </conditionalFormatting>
  <conditionalFormatting sqref="E73">
    <cfRule type="cellIs" dxfId="52" priority="15" stopIfTrue="1" operator="greaterThan">
      <formula>$E$75*0.1</formula>
    </cfRule>
  </conditionalFormatting>
  <conditionalFormatting sqref="E78">
    <cfRule type="cellIs" dxfId="51" priority="18" stopIfTrue="1" operator="greaterThan">
      <formula>$E$75/0.95-$E$75</formula>
    </cfRule>
  </conditionalFormatting>
  <conditionalFormatting sqref="J36">
    <cfRule type="containsText" dxfId="50" priority="10" operator="containsText" text="Yes">
      <formula>NOT(ISERROR(SEARCH("Yes",J36)))</formula>
    </cfRule>
  </conditionalFormatting>
  <conditionalFormatting sqref="J78">
    <cfRule type="containsText" dxfId="49" priority="9" operator="containsText" text="Yes">
      <formula>NOT(ISERROR(SEARCH("Yes",J78)))</formula>
    </cfRule>
  </conditionalFormatting>
  <pageMargins left="0.9" right="0.9" top="0.96" bottom="0.5" header="0.41" footer="0.3"/>
  <pageSetup scale="52"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rgb="FF00B0F0"/>
    <pageSetUpPr fitToPage="1"/>
  </sheetPr>
  <dimension ref="B1:E65"/>
  <sheetViews>
    <sheetView workbookViewId="0"/>
  </sheetViews>
  <sheetFormatPr defaultRowHeight="15.75" x14ac:dyDescent="0.25"/>
  <cols>
    <col min="1" max="1" width="2.3984375" style="65" customWidth="1"/>
    <col min="2" max="2" width="31" style="65" customWidth="1"/>
    <col min="3" max="5" width="14.19921875" style="65" customWidth="1"/>
    <col min="6" max="16384" width="8.796875" style="65"/>
  </cols>
  <sheetData>
    <row r="1" spans="2:5" x14ac:dyDescent="0.25">
      <c r="B1" s="72">
        <f>inputPrYr!D4</f>
        <v>0</v>
      </c>
      <c r="C1" s="35"/>
      <c r="D1" s="35"/>
      <c r="E1" s="140">
        <f>inputPrYr!D10</f>
        <v>2025</v>
      </c>
    </row>
    <row r="2" spans="2:5" x14ac:dyDescent="0.25">
      <c r="B2" s="35"/>
      <c r="C2" s="35"/>
      <c r="D2" s="35"/>
      <c r="E2" s="136"/>
    </row>
    <row r="3" spans="2:5" x14ac:dyDescent="0.25">
      <c r="B3" s="101" t="s">
        <v>393</v>
      </c>
      <c r="C3" s="38"/>
      <c r="D3" s="38"/>
      <c r="E3" s="38"/>
    </row>
    <row r="4" spans="2:5" x14ac:dyDescent="0.25">
      <c r="B4" s="39" t="s">
        <v>328</v>
      </c>
      <c r="C4" s="130" t="s">
        <v>329</v>
      </c>
      <c r="D4" s="625" t="s">
        <v>276</v>
      </c>
      <c r="E4" s="625" t="s">
        <v>330</v>
      </c>
    </row>
    <row r="5" spans="2:5" x14ac:dyDescent="0.25">
      <c r="B5" s="246">
        <f>inputPrYr!B36</f>
        <v>0</v>
      </c>
      <c r="C5" s="626" t="str">
        <f>General!C5</f>
        <v>Actual for 2023</v>
      </c>
      <c r="D5" s="626" t="str">
        <f>General!D5</f>
        <v>Estimate for 2024</v>
      </c>
      <c r="E5" s="626" t="str">
        <f>General!E5</f>
        <v>Year for 2025</v>
      </c>
    </row>
    <row r="6" spans="2:5" x14ac:dyDescent="0.25">
      <c r="B6" s="208" t="s">
        <v>374</v>
      </c>
      <c r="C6" s="106"/>
      <c r="D6" s="157">
        <f>C28</f>
        <v>0</v>
      </c>
      <c r="E6" s="157">
        <f>D28</f>
        <v>0</v>
      </c>
    </row>
    <row r="7" spans="2:5" s="99" customFormat="1" x14ac:dyDescent="0.25">
      <c r="B7" s="209" t="s">
        <v>332</v>
      </c>
      <c r="C7" s="53"/>
      <c r="D7" s="53"/>
      <c r="E7" s="53"/>
    </row>
    <row r="8" spans="2:5" x14ac:dyDescent="0.25">
      <c r="B8" s="196"/>
      <c r="C8" s="106"/>
      <c r="D8" s="106"/>
      <c r="E8" s="106"/>
    </row>
    <row r="9" spans="2:5" x14ac:dyDescent="0.25">
      <c r="B9" s="196"/>
      <c r="C9" s="106"/>
      <c r="D9" s="106"/>
      <c r="E9" s="106"/>
    </row>
    <row r="10" spans="2:5" x14ac:dyDescent="0.25">
      <c r="B10" s="196"/>
      <c r="C10" s="106"/>
      <c r="D10" s="106"/>
      <c r="E10" s="106"/>
    </row>
    <row r="11" spans="2:5" x14ac:dyDescent="0.25">
      <c r="B11" s="196"/>
      <c r="C11" s="106"/>
      <c r="D11" s="106"/>
      <c r="E11" s="106"/>
    </row>
    <row r="12" spans="2:5" x14ac:dyDescent="0.25">
      <c r="B12" s="210" t="s">
        <v>339</v>
      </c>
      <c r="C12" s="106"/>
      <c r="D12" s="106"/>
      <c r="E12" s="106"/>
    </row>
    <row r="13" spans="2:5" x14ac:dyDescent="0.25">
      <c r="B13" s="198" t="s">
        <v>340</v>
      </c>
      <c r="C13" s="106"/>
      <c r="D13" s="193"/>
      <c r="E13" s="193"/>
    </row>
    <row r="14" spans="2:5" x14ac:dyDescent="0.25">
      <c r="B14" s="198" t="s">
        <v>341</v>
      </c>
      <c r="C14" s="201" t="str">
        <f>IF(C15*0.1&lt;C13,"Exceed 10% Rule","")</f>
        <v/>
      </c>
      <c r="D14" s="199" t="str">
        <f>IF(D15*0.1&lt;D13,"Exceed 10% Rule","")</f>
        <v/>
      </c>
      <c r="E14" s="199" t="str">
        <f>IF(E15*0.1&lt;E13,"Exceed 10% Rule","")</f>
        <v/>
      </c>
    </row>
    <row r="15" spans="2:5" x14ac:dyDescent="0.25">
      <c r="B15" s="60" t="s">
        <v>342</v>
      </c>
      <c r="C15" s="598">
        <f>SUM(C8:C13)</f>
        <v>0</v>
      </c>
      <c r="D15" s="598">
        <f>SUM(D8:D13)</f>
        <v>0</v>
      </c>
      <c r="E15" s="598">
        <f>SUM(E8:E13)</f>
        <v>0</v>
      </c>
    </row>
    <row r="16" spans="2:5" x14ac:dyDescent="0.25">
      <c r="B16" s="60" t="s">
        <v>344</v>
      </c>
      <c r="C16" s="206">
        <f>C6+C15</f>
        <v>0</v>
      </c>
      <c r="D16" s="206">
        <f>D6+D15</f>
        <v>0</v>
      </c>
      <c r="E16" s="206">
        <f>E6+E15</f>
        <v>0</v>
      </c>
    </row>
    <row r="17" spans="2:5" x14ac:dyDescent="0.25">
      <c r="B17" s="43" t="s">
        <v>346</v>
      </c>
      <c r="C17" s="157"/>
      <c r="D17" s="157"/>
      <c r="E17" s="157"/>
    </row>
    <row r="18" spans="2:5" x14ac:dyDescent="0.25">
      <c r="B18" s="196"/>
      <c r="C18" s="106"/>
      <c r="D18" s="106"/>
      <c r="E18" s="106"/>
    </row>
    <row r="19" spans="2:5" x14ac:dyDescent="0.25">
      <c r="B19" s="196"/>
      <c r="C19" s="106"/>
      <c r="D19" s="106"/>
      <c r="E19" s="106"/>
    </row>
    <row r="20" spans="2:5" x14ac:dyDescent="0.25">
      <c r="B20" s="196"/>
      <c r="C20" s="106"/>
      <c r="D20" s="106"/>
      <c r="E20" s="106"/>
    </row>
    <row r="21" spans="2:5" x14ac:dyDescent="0.25">
      <c r="B21" s="196"/>
      <c r="C21" s="106"/>
      <c r="D21" s="106"/>
      <c r="E21" s="106"/>
    </row>
    <row r="22" spans="2:5" x14ac:dyDescent="0.25">
      <c r="B22" s="196"/>
      <c r="C22" s="106"/>
      <c r="D22" s="106"/>
      <c r="E22" s="106"/>
    </row>
    <row r="23" spans="2:5" x14ac:dyDescent="0.25">
      <c r="B23" s="196"/>
      <c r="C23" s="106"/>
      <c r="D23" s="106"/>
      <c r="E23" s="106"/>
    </row>
    <row r="24" spans="2:5" x14ac:dyDescent="0.25">
      <c r="B24" s="195" t="str">
        <f>CONCATENATE("Cash Forward (",E1," column)")</f>
        <v>Cash Forward (2025 column)</v>
      </c>
      <c r="C24" s="106"/>
      <c r="D24" s="106"/>
      <c r="E24" s="106"/>
    </row>
    <row r="25" spans="2:5" x14ac:dyDescent="0.25">
      <c r="B25" s="195" t="s">
        <v>340</v>
      </c>
      <c r="C25" s="106"/>
      <c r="D25" s="193"/>
      <c r="E25" s="193"/>
    </row>
    <row r="26" spans="2:5" x14ac:dyDescent="0.25">
      <c r="B26" s="195" t="s">
        <v>362</v>
      </c>
      <c r="C26" s="201" t="str">
        <f>IF(C27*0.1&lt;C25,"Exceed 10% Rule","")</f>
        <v/>
      </c>
      <c r="D26" s="199" t="str">
        <f>IF(D27*0.1&lt;D25,"Exceed 10% Rule","")</f>
        <v/>
      </c>
      <c r="E26" s="199" t="str">
        <f>IF(E27*0.1&lt;E25,"Exceed 10% Rule","")</f>
        <v/>
      </c>
    </row>
    <row r="27" spans="2:5" x14ac:dyDescent="0.25">
      <c r="B27" s="60" t="s">
        <v>363</v>
      </c>
      <c r="C27" s="598">
        <f>SUM(C18:C25)</f>
        <v>0</v>
      </c>
      <c r="D27" s="598">
        <f>SUM(D18:D25)</f>
        <v>0</v>
      </c>
      <c r="E27" s="598">
        <f>SUM(E18:E25)</f>
        <v>0</v>
      </c>
    </row>
    <row r="28" spans="2:5" x14ac:dyDescent="0.25">
      <c r="B28" s="43" t="s">
        <v>364</v>
      </c>
      <c r="C28" s="431">
        <f>C16-C27</f>
        <v>0</v>
      </c>
      <c r="D28" s="431">
        <f>D16-D27</f>
        <v>0</v>
      </c>
      <c r="E28" s="431">
        <f>E16-E27</f>
        <v>0</v>
      </c>
    </row>
    <row r="29" spans="2:5" x14ac:dyDescent="0.25">
      <c r="B29" s="68" t="str">
        <f>CONCATENATE("",E1-2,"/",E1-1,"/",E1," Budget Authority Amount:")</f>
        <v>2023/2024/2025 Budget Authority Amount:</v>
      </c>
      <c r="C29" s="427">
        <f>inputOth!B103</f>
        <v>0</v>
      </c>
      <c r="D29" s="427">
        <f>inputPrYr!D36</f>
        <v>0</v>
      </c>
      <c r="E29" s="431">
        <f>E27</f>
        <v>0</v>
      </c>
    </row>
    <row r="30" spans="2:5" x14ac:dyDescent="0.25">
      <c r="B30" s="140"/>
      <c r="C30" s="203" t="str">
        <f>IF(C27&gt;C29,"See Tab A","")</f>
        <v/>
      </c>
      <c r="D30" s="203" t="str">
        <f>IF(D27&gt;D29,"See Tab C","")</f>
        <v/>
      </c>
      <c r="E30" s="432" t="str">
        <f>IF(E28&lt;0,"See Tab E","")</f>
        <v/>
      </c>
    </row>
    <row r="31" spans="2:5" x14ac:dyDescent="0.25">
      <c r="B31" s="140"/>
      <c r="C31" s="203" t="str">
        <f>IF(C28&lt;0,"See Tab B","")</f>
        <v/>
      </c>
      <c r="D31" s="97"/>
      <c r="E31" s="97"/>
    </row>
    <row r="32" spans="2:5" x14ac:dyDescent="0.25">
      <c r="B32" s="35"/>
      <c r="C32" s="97"/>
      <c r="D32" s="97"/>
      <c r="E32" s="97"/>
    </row>
    <row r="33" spans="2:5" x14ac:dyDescent="0.25">
      <c r="B33" s="39" t="s">
        <v>328</v>
      </c>
      <c r="C33" s="38"/>
      <c r="D33" s="38"/>
      <c r="E33" s="38"/>
    </row>
    <row r="34" spans="2:5" x14ac:dyDescent="0.25">
      <c r="B34" s="35"/>
      <c r="C34" s="130" t="s">
        <v>329</v>
      </c>
      <c r="D34" s="625" t="s">
        <v>276</v>
      </c>
      <c r="E34" s="625" t="s">
        <v>330</v>
      </c>
    </row>
    <row r="35" spans="2:5" x14ac:dyDescent="0.25">
      <c r="B35" s="247">
        <f>inputPrYr!B37</f>
        <v>0</v>
      </c>
      <c r="C35" s="626" t="str">
        <f>C5</f>
        <v>Actual for 2023</v>
      </c>
      <c r="D35" s="626" t="str">
        <f>D5</f>
        <v>Estimate for 2024</v>
      </c>
      <c r="E35" s="626" t="str">
        <f>E5</f>
        <v>Year for 2025</v>
      </c>
    </row>
    <row r="36" spans="2:5" x14ac:dyDescent="0.25">
      <c r="B36" s="208" t="s">
        <v>374</v>
      </c>
      <c r="C36" s="106"/>
      <c r="D36" s="157">
        <f>C58</f>
        <v>0</v>
      </c>
      <c r="E36" s="157">
        <f>D58</f>
        <v>0</v>
      </c>
    </row>
    <row r="37" spans="2:5" s="99" customFormat="1" x14ac:dyDescent="0.25">
      <c r="B37" s="208" t="s">
        <v>332</v>
      </c>
      <c r="C37" s="53"/>
      <c r="D37" s="53"/>
      <c r="E37" s="53"/>
    </row>
    <row r="38" spans="2:5" x14ac:dyDescent="0.25">
      <c r="B38" s="196"/>
      <c r="C38" s="106"/>
      <c r="D38" s="106"/>
      <c r="E38" s="106"/>
    </row>
    <row r="39" spans="2:5" x14ac:dyDescent="0.25">
      <c r="B39" s="196"/>
      <c r="C39" s="106"/>
      <c r="D39" s="106"/>
      <c r="E39" s="106"/>
    </row>
    <row r="40" spans="2:5" x14ac:dyDescent="0.25">
      <c r="B40" s="196"/>
      <c r="C40" s="106"/>
      <c r="D40" s="106"/>
      <c r="E40" s="106"/>
    </row>
    <row r="41" spans="2:5" x14ac:dyDescent="0.25">
      <c r="B41" s="196"/>
      <c r="C41" s="106"/>
      <c r="D41" s="106"/>
      <c r="E41" s="106"/>
    </row>
    <row r="42" spans="2:5" x14ac:dyDescent="0.25">
      <c r="B42" s="210" t="s">
        <v>339</v>
      </c>
      <c r="C42" s="106"/>
      <c r="D42" s="106"/>
      <c r="E42" s="106"/>
    </row>
    <row r="43" spans="2:5" x14ac:dyDescent="0.25">
      <c r="B43" s="198" t="s">
        <v>340</v>
      </c>
      <c r="C43" s="106"/>
      <c r="D43" s="193"/>
      <c r="E43" s="193"/>
    </row>
    <row r="44" spans="2:5" x14ac:dyDescent="0.25">
      <c r="B44" s="198" t="s">
        <v>341</v>
      </c>
      <c r="C44" s="201" t="str">
        <f>IF(C45*0.1&lt;C43,"Exceed 10% Rule","")</f>
        <v/>
      </c>
      <c r="D44" s="199" t="str">
        <f>IF(D45*0.1&lt;D43,"Exceed 10% Rule","")</f>
        <v/>
      </c>
      <c r="E44" s="199" t="str">
        <f>IF(E45*0.1&lt;E43,"Exceed 10% Rule","")</f>
        <v/>
      </c>
    </row>
    <row r="45" spans="2:5" x14ac:dyDescent="0.25">
      <c r="B45" s="60" t="s">
        <v>342</v>
      </c>
      <c r="C45" s="598">
        <f>SUM(C38:C43)</f>
        <v>0</v>
      </c>
      <c r="D45" s="598">
        <f>SUM(D38:D43)</f>
        <v>0</v>
      </c>
      <c r="E45" s="598">
        <f>SUM(E38:E43)</f>
        <v>0</v>
      </c>
    </row>
    <row r="46" spans="2:5" x14ac:dyDescent="0.25">
      <c r="B46" s="60" t="s">
        <v>344</v>
      </c>
      <c r="C46" s="598">
        <f>C36+C45</f>
        <v>0</v>
      </c>
      <c r="D46" s="598">
        <f>D36+D45</f>
        <v>0</v>
      </c>
      <c r="E46" s="598">
        <f>E36+E45</f>
        <v>0</v>
      </c>
    </row>
    <row r="47" spans="2:5" x14ac:dyDescent="0.25">
      <c r="B47" s="43" t="s">
        <v>346</v>
      </c>
      <c r="C47" s="157"/>
      <c r="D47" s="157"/>
      <c r="E47" s="157"/>
    </row>
    <row r="48" spans="2:5" x14ac:dyDescent="0.25">
      <c r="B48" s="196"/>
      <c r="C48" s="106"/>
      <c r="D48" s="106"/>
      <c r="E48" s="106"/>
    </row>
    <row r="49" spans="2:5" x14ac:dyDescent="0.25">
      <c r="B49" s="196"/>
      <c r="C49" s="106"/>
      <c r="D49" s="106"/>
      <c r="E49" s="106"/>
    </row>
    <row r="50" spans="2:5" x14ac:dyDescent="0.25">
      <c r="B50" s="196"/>
      <c r="C50" s="106"/>
      <c r="D50" s="106"/>
      <c r="E50" s="106"/>
    </row>
    <row r="51" spans="2:5" x14ac:dyDescent="0.25">
      <c r="B51" s="196"/>
      <c r="C51" s="106"/>
      <c r="D51" s="106"/>
      <c r="E51" s="106"/>
    </row>
    <row r="52" spans="2:5" x14ac:dyDescent="0.25">
      <c r="B52" s="196"/>
      <c r="C52" s="106"/>
      <c r="D52" s="106"/>
      <c r="E52" s="106"/>
    </row>
    <row r="53" spans="2:5" x14ac:dyDescent="0.25">
      <c r="B53" s="196"/>
      <c r="C53" s="106"/>
      <c r="D53" s="106"/>
      <c r="E53" s="106"/>
    </row>
    <row r="54" spans="2:5" x14ac:dyDescent="0.25">
      <c r="B54" s="195" t="str">
        <f>CONCATENATE("Cash Forward (",E1," column)")</f>
        <v>Cash Forward (2025 column)</v>
      </c>
      <c r="C54" s="106"/>
      <c r="D54" s="106"/>
      <c r="E54" s="106"/>
    </row>
    <row r="55" spans="2:5" x14ac:dyDescent="0.25">
      <c r="B55" s="195" t="s">
        <v>340</v>
      </c>
      <c r="C55" s="106"/>
      <c r="D55" s="193"/>
      <c r="E55" s="193"/>
    </row>
    <row r="56" spans="2:5" x14ac:dyDescent="0.25">
      <c r="B56" s="195" t="s">
        <v>362</v>
      </c>
      <c r="C56" s="201" t="str">
        <f>IF(C57*0.1&lt;C55,"Exceed 10% Rule","")</f>
        <v/>
      </c>
      <c r="D56" s="199" t="str">
        <f>IF(D57*0.1&lt;D55,"Exceed 10% Rule","")</f>
        <v/>
      </c>
      <c r="E56" s="199" t="str">
        <f>IF(E57*0.1&lt;E55,"Exceed 10% Rule","")</f>
        <v/>
      </c>
    </row>
    <row r="57" spans="2:5" x14ac:dyDescent="0.25">
      <c r="B57" s="60" t="s">
        <v>363</v>
      </c>
      <c r="C57" s="598">
        <f>SUM(C48:C55)</f>
        <v>0</v>
      </c>
      <c r="D57" s="598">
        <f>SUM(D48:D55)</f>
        <v>0</v>
      </c>
      <c r="E57" s="598">
        <f>SUM(E48:E55)</f>
        <v>0</v>
      </c>
    </row>
    <row r="58" spans="2:5" x14ac:dyDescent="0.25">
      <c r="B58" s="43" t="s">
        <v>364</v>
      </c>
      <c r="C58" s="431">
        <f>C46-C57</f>
        <v>0</v>
      </c>
      <c r="D58" s="431">
        <f>D46-D57</f>
        <v>0</v>
      </c>
      <c r="E58" s="431">
        <f>E46-E57</f>
        <v>0</v>
      </c>
    </row>
    <row r="59" spans="2:5" x14ac:dyDescent="0.25">
      <c r="B59" s="68" t="str">
        <f>CONCATENATE("",E1-2,"/",E1-1,"/",E1," Budget Authority Amount:")</f>
        <v>2023/2024/2025 Budget Authority Amount:</v>
      </c>
      <c r="C59" s="427">
        <f>inputOth!B104</f>
        <v>0</v>
      </c>
      <c r="D59" s="427">
        <f>inputPrYr!D37</f>
        <v>0</v>
      </c>
      <c r="E59" s="431">
        <f>E57</f>
        <v>0</v>
      </c>
    </row>
    <row r="60" spans="2:5" x14ac:dyDescent="0.25">
      <c r="B60" s="140"/>
      <c r="C60" s="203" t="str">
        <f>IF(C57&gt;C59,"See Tab A","")</f>
        <v/>
      </c>
      <c r="D60" s="203" t="str">
        <f>IF(D57&gt;D59,"See Tab C","")</f>
        <v/>
      </c>
      <c r="E60" s="433" t="str">
        <f>IF(E58&lt;0,"See Tab E","")</f>
        <v/>
      </c>
    </row>
    <row r="61" spans="2:5" x14ac:dyDescent="0.25">
      <c r="B61" s="511" t="s">
        <v>203</v>
      </c>
      <c r="C61" s="433"/>
      <c r="D61" s="433"/>
      <c r="E61" s="506"/>
    </row>
    <row r="62" spans="2:5" x14ac:dyDescent="0.25">
      <c r="B62" s="507"/>
      <c r="C62" s="203"/>
      <c r="D62" s="203"/>
      <c r="E62" s="508"/>
    </row>
    <row r="63" spans="2:5" x14ac:dyDescent="0.25">
      <c r="B63" s="509"/>
      <c r="C63" s="510" t="str">
        <f>IF(C58&lt;0,"See Tab B","")</f>
        <v/>
      </c>
      <c r="D63" s="646" t="str">
        <f>IF(D58&lt;0,"See Tab D","")</f>
        <v/>
      </c>
      <c r="E63" s="52"/>
    </row>
    <row r="64" spans="2:5" x14ac:dyDescent="0.25">
      <c r="B64" s="35"/>
      <c r="C64" s="35"/>
      <c r="D64" s="35"/>
      <c r="E64" s="35"/>
    </row>
    <row r="65" spans="2:5" x14ac:dyDescent="0.25">
      <c r="B65" s="136" t="s">
        <v>370</v>
      </c>
      <c r="C65" s="442"/>
      <c r="D65" s="35"/>
      <c r="E65" s="35"/>
    </row>
  </sheetData>
  <sheetProtection sheet="1"/>
  <phoneticPr fontId="10" type="noConversion"/>
  <conditionalFormatting sqref="C13">
    <cfRule type="cellIs" dxfId="48" priority="21" stopIfTrue="1" operator="greaterThan">
      <formula>$C$15*0.1</formula>
    </cfRule>
  </conditionalFormatting>
  <conditionalFormatting sqref="C25">
    <cfRule type="cellIs" dxfId="47" priority="24" stopIfTrue="1" operator="greaterThan">
      <formula>$C$27*0.1</formula>
    </cfRule>
  </conditionalFormatting>
  <conditionalFormatting sqref="C27">
    <cfRule type="expression" dxfId="46" priority="10">
      <formula>$C$27&gt;$C$29</formula>
    </cfRule>
  </conditionalFormatting>
  <conditionalFormatting sqref="C28">
    <cfRule type="expression" dxfId="45" priority="9">
      <formula>$C$28&lt;0</formula>
    </cfRule>
  </conditionalFormatting>
  <conditionalFormatting sqref="C43">
    <cfRule type="cellIs" dxfId="44" priority="30" stopIfTrue="1" operator="greaterThan">
      <formula>$C$45*0.1</formula>
    </cfRule>
  </conditionalFormatting>
  <conditionalFormatting sqref="C55">
    <cfRule type="cellIs" dxfId="43" priority="27" stopIfTrue="1" operator="greaterThan">
      <formula>$C$57*0.1</formula>
    </cfRule>
  </conditionalFormatting>
  <conditionalFormatting sqref="C57">
    <cfRule type="expression" dxfId="42" priority="5">
      <formula>$C$57&gt;$C$59</formula>
    </cfRule>
  </conditionalFormatting>
  <conditionalFormatting sqref="C58">
    <cfRule type="expression" dxfId="41" priority="4">
      <formula>$C$58&lt;0</formula>
    </cfRule>
  </conditionalFormatting>
  <conditionalFormatting sqref="D13">
    <cfRule type="cellIs" dxfId="40" priority="22" stopIfTrue="1" operator="greaterThan">
      <formula>$D$15*0.1</formula>
    </cfRule>
  </conditionalFormatting>
  <conditionalFormatting sqref="D25">
    <cfRule type="cellIs" dxfId="39" priority="25" stopIfTrue="1" operator="greaterThan">
      <formula>$D$27*0.1</formula>
    </cfRule>
  </conditionalFormatting>
  <conditionalFormatting sqref="D27">
    <cfRule type="expression" dxfId="38" priority="8">
      <formula>$D$27&gt;$D$29</formula>
    </cfRule>
  </conditionalFormatting>
  <conditionalFormatting sqref="D28">
    <cfRule type="expression" dxfId="37" priority="7">
      <formula>$D$28&lt;0</formula>
    </cfRule>
  </conditionalFormatting>
  <conditionalFormatting sqref="D43">
    <cfRule type="cellIs" dxfId="36" priority="31" stopIfTrue="1" operator="greaterThan">
      <formula>$D$45*0.1</formula>
    </cfRule>
  </conditionalFormatting>
  <conditionalFormatting sqref="D55">
    <cfRule type="cellIs" dxfId="35" priority="28" stopIfTrue="1" operator="greaterThan">
      <formula>$D$57*0.1</formula>
    </cfRule>
  </conditionalFormatting>
  <conditionalFormatting sqref="D57">
    <cfRule type="expression" dxfId="34" priority="3">
      <formula>$D$57&gt;$D$59</formula>
    </cfRule>
  </conditionalFormatting>
  <conditionalFormatting sqref="D58">
    <cfRule type="expression" dxfId="33" priority="2">
      <formula>$D$58&lt;0</formula>
    </cfRule>
  </conditionalFormatting>
  <conditionalFormatting sqref="E13">
    <cfRule type="cellIs" dxfId="32" priority="23" stopIfTrue="1" operator="greaterThan">
      <formula>$E$15*0.1</formula>
    </cfRule>
  </conditionalFormatting>
  <conditionalFormatting sqref="E25">
    <cfRule type="cellIs" dxfId="31" priority="26" stopIfTrue="1" operator="greaterThan">
      <formula>$E$27*0.1</formula>
    </cfRule>
  </conditionalFormatting>
  <conditionalFormatting sqref="E28">
    <cfRule type="expression" dxfId="30" priority="6">
      <formula>$E$28&lt;0</formula>
    </cfRule>
  </conditionalFormatting>
  <conditionalFormatting sqref="E43">
    <cfRule type="cellIs" dxfId="29" priority="32" stopIfTrue="1" operator="greaterThan">
      <formula>$E$45*0.1</formula>
    </cfRule>
  </conditionalFormatting>
  <conditionalFormatting sqref="E55">
    <cfRule type="cellIs" dxfId="28" priority="29" stopIfTrue="1" operator="greaterThan">
      <formula>$E$57*0.1</formula>
    </cfRule>
  </conditionalFormatting>
  <conditionalFormatting sqref="E58">
    <cfRule type="expression" dxfId="27" priority="1">
      <formula>$E$58&lt;0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95"/>
  <sheetViews>
    <sheetView topLeftCell="A16" workbookViewId="0">
      <selection activeCell="D10" sqref="D10"/>
    </sheetView>
  </sheetViews>
  <sheetFormatPr defaultRowHeight="15.75" x14ac:dyDescent="0.25"/>
  <cols>
    <col min="1" max="1" width="10.69921875" style="99" customWidth="1"/>
    <col min="2" max="2" width="21.19921875" style="99" customWidth="1"/>
    <col min="3" max="3" width="11.69921875" style="99" customWidth="1"/>
    <col min="4" max="4" width="15" style="99" customWidth="1"/>
    <col min="5" max="5" width="14.09765625" style="99" customWidth="1"/>
    <col min="6" max="6" width="2.69921875" style="99" customWidth="1"/>
    <col min="7" max="7" width="18.59765625" style="99" customWidth="1"/>
    <col min="8" max="16384" width="8.796875" style="99"/>
  </cols>
  <sheetData>
    <row r="1" spans="1:8" x14ac:dyDescent="0.25">
      <c r="A1" s="676" t="s">
        <v>81</v>
      </c>
      <c r="B1" s="677"/>
      <c r="C1" s="677"/>
      <c r="D1" s="677"/>
      <c r="E1" s="677"/>
    </row>
    <row r="2" spans="1:8" x14ac:dyDescent="0.25">
      <c r="A2" s="35"/>
      <c r="B2" s="35"/>
      <c r="C2" s="35"/>
      <c r="D2" s="35"/>
      <c r="E2" s="35"/>
    </row>
    <row r="3" spans="1:8" x14ac:dyDescent="0.25">
      <c r="A3" s="100" t="s">
        <v>82</v>
      </c>
      <c r="B3" s="35"/>
      <c r="C3" s="35"/>
      <c r="D3" s="35"/>
      <c r="E3" s="35"/>
    </row>
    <row r="4" spans="1:8" x14ac:dyDescent="0.25">
      <c r="A4" s="100" t="s">
        <v>83</v>
      </c>
      <c r="B4" s="35"/>
      <c r="C4" s="35"/>
      <c r="D4" s="421"/>
      <c r="E4" s="35"/>
    </row>
    <row r="5" spans="1:8" x14ac:dyDescent="0.25">
      <c r="A5" s="100" t="s">
        <v>84</v>
      </c>
      <c r="B5" s="35"/>
      <c r="C5" s="35"/>
      <c r="D5" s="421"/>
      <c r="E5" s="35"/>
    </row>
    <row r="6" spans="1:8" x14ac:dyDescent="0.25">
      <c r="A6" s="35"/>
      <c r="B6" s="35"/>
      <c r="C6" s="35"/>
      <c r="D6" s="35"/>
      <c r="E6" s="35"/>
    </row>
    <row r="7" spans="1:8" x14ac:dyDescent="0.25">
      <c r="A7" s="101" t="s">
        <v>85</v>
      </c>
      <c r="B7" s="35"/>
      <c r="C7" s="35"/>
      <c r="D7" s="114"/>
      <c r="E7" s="35"/>
    </row>
    <row r="8" spans="1:8" x14ac:dyDescent="0.25">
      <c r="A8" s="101" t="s">
        <v>86</v>
      </c>
      <c r="B8" s="35"/>
      <c r="C8" s="35"/>
      <c r="D8" s="114"/>
      <c r="E8" s="35"/>
    </row>
    <row r="9" spans="1:8" x14ac:dyDescent="0.25">
      <c r="A9" s="35"/>
      <c r="B9" s="35"/>
      <c r="C9" s="35"/>
      <c r="D9" s="35"/>
      <c r="E9" s="35"/>
    </row>
    <row r="10" spans="1:8" x14ac:dyDescent="0.25">
      <c r="A10" s="101" t="s">
        <v>87</v>
      </c>
      <c r="B10" s="35"/>
      <c r="C10" s="35"/>
      <c r="D10" s="102">
        <v>2025</v>
      </c>
      <c r="E10" s="35"/>
    </row>
    <row r="11" spans="1:8" x14ac:dyDescent="0.25">
      <c r="A11" s="101"/>
      <c r="B11" s="35"/>
      <c r="C11" s="35"/>
      <c r="D11" s="35"/>
      <c r="E11" s="35"/>
    </row>
    <row r="12" spans="1:8" x14ac:dyDescent="0.25">
      <c r="A12" s="678" t="s">
        <v>88</v>
      </c>
      <c r="B12" s="678"/>
      <c r="C12" s="678"/>
      <c r="D12" s="678"/>
      <c r="E12" s="678"/>
    </row>
    <row r="13" spans="1:8" x14ac:dyDescent="0.25">
      <c r="A13" s="678"/>
      <c r="B13" s="678"/>
      <c r="C13" s="678"/>
      <c r="D13" s="678"/>
      <c r="E13" s="678"/>
    </row>
    <row r="14" spans="1:8" ht="15.75" customHeight="1" x14ac:dyDescent="0.25">
      <c r="A14" s="678"/>
      <c r="B14" s="678"/>
      <c r="C14" s="678"/>
      <c r="D14" s="678"/>
      <c r="E14" s="678"/>
      <c r="F14" s="35"/>
      <c r="G14" s="679" t="s">
        <v>89</v>
      </c>
      <c r="H14" s="680"/>
    </row>
    <row r="15" spans="1:8" x14ac:dyDescent="0.25">
      <c r="A15" s="674" t="s">
        <v>90</v>
      </c>
      <c r="B15" s="675"/>
      <c r="C15" s="675"/>
      <c r="D15" s="675"/>
      <c r="E15" s="675"/>
      <c r="F15" s="35"/>
      <c r="G15" s="681"/>
      <c r="H15" s="682"/>
    </row>
    <row r="16" spans="1:8" x14ac:dyDescent="0.25">
      <c r="A16" s="100"/>
      <c r="B16" s="35"/>
      <c r="C16" s="35"/>
      <c r="D16" s="35"/>
      <c r="E16" s="35"/>
      <c r="F16" s="35"/>
      <c r="G16" s="681"/>
      <c r="H16" s="682"/>
    </row>
    <row r="17" spans="1:8" x14ac:dyDescent="0.25">
      <c r="A17" s="459" t="s">
        <v>91</v>
      </c>
      <c r="B17" s="458"/>
      <c r="C17" s="35"/>
      <c r="D17" s="574"/>
      <c r="E17" s="69"/>
      <c r="F17" s="35"/>
      <c r="G17" s="681"/>
      <c r="H17" s="682"/>
    </row>
    <row r="18" spans="1:8" x14ac:dyDescent="0.25">
      <c r="A18" s="457" t="str">
        <f>CONCATENATE("the ",D10-1," Budget, Certificate Page:")</f>
        <v>the 2024 Budget, Certificate Page:</v>
      </c>
      <c r="B18" s="456"/>
      <c r="C18" s="574"/>
      <c r="D18" s="35"/>
      <c r="E18" s="35"/>
      <c r="F18" s="35"/>
      <c r="G18" s="681"/>
      <c r="H18" s="682"/>
    </row>
    <row r="19" spans="1:8" x14ac:dyDescent="0.25">
      <c r="A19" s="455" t="s">
        <v>92</v>
      </c>
      <c r="B19" s="454"/>
      <c r="C19" s="574"/>
      <c r="D19" s="103">
        <f>D10-1</f>
        <v>2024</v>
      </c>
      <c r="E19" s="103">
        <f>D10-2</f>
        <v>2023</v>
      </c>
      <c r="F19" s="35"/>
      <c r="G19" s="681"/>
      <c r="H19" s="682"/>
    </row>
    <row r="20" spans="1:8" x14ac:dyDescent="0.25">
      <c r="A20" s="39" t="s">
        <v>93</v>
      </c>
      <c r="B20" s="35"/>
      <c r="C20" s="104" t="s">
        <v>94</v>
      </c>
      <c r="D20" s="105" t="s">
        <v>95</v>
      </c>
      <c r="E20" s="105" t="s">
        <v>96</v>
      </c>
      <c r="F20" s="35"/>
      <c r="G20" s="683"/>
      <c r="H20" s="684"/>
    </row>
    <row r="21" spans="1:8" x14ac:dyDescent="0.25">
      <c r="A21" s="35"/>
      <c r="B21" s="61" t="s">
        <v>97</v>
      </c>
      <c r="C21" s="46" t="s">
        <v>98</v>
      </c>
      <c r="D21" s="106"/>
      <c r="E21" s="467"/>
      <c r="F21" s="437"/>
      <c r="G21" s="142" t="s">
        <v>99</v>
      </c>
      <c r="H21" s="51" t="s">
        <v>100</v>
      </c>
    </row>
    <row r="22" spans="1:8" x14ac:dyDescent="0.25">
      <c r="A22" s="35"/>
      <c r="B22" s="61" t="s">
        <v>101</v>
      </c>
      <c r="C22" s="46" t="s">
        <v>102</v>
      </c>
      <c r="D22" s="106"/>
      <c r="E22" s="467"/>
      <c r="F22" s="437"/>
      <c r="G22" s="620" t="str">
        <f>CONCATENATE("",E19," Ad Valorem Tax")</f>
        <v>2023 Ad Valorem Tax</v>
      </c>
      <c r="H22" s="311">
        <v>0</v>
      </c>
    </row>
    <row r="23" spans="1:8" x14ac:dyDescent="0.25">
      <c r="A23" s="35"/>
      <c r="B23" s="61" t="s">
        <v>103</v>
      </c>
      <c r="C23" s="46" t="s">
        <v>104</v>
      </c>
      <c r="D23" s="106"/>
      <c r="E23" s="467"/>
      <c r="F23" s="437"/>
      <c r="G23" s="157">
        <f>IF(H22&gt;0,ROUND(E21-(E21*H22),0),0)</f>
        <v>0</v>
      </c>
    </row>
    <row r="24" spans="1:8" x14ac:dyDescent="0.25">
      <c r="A24" s="35"/>
      <c r="B24" s="61" t="s">
        <v>105</v>
      </c>
      <c r="C24" s="107" t="s">
        <v>106</v>
      </c>
      <c r="D24" s="106"/>
      <c r="E24" s="467"/>
      <c r="F24" s="437"/>
      <c r="G24" s="157">
        <f>IF(H22&gt;0,ROUND(E22-(E22*H22),0),0)</f>
        <v>0</v>
      </c>
    </row>
    <row r="25" spans="1:8" x14ac:dyDescent="0.25">
      <c r="A25" s="35"/>
      <c r="B25" s="61" t="s">
        <v>107</v>
      </c>
      <c r="C25" s="51" t="s">
        <v>108</v>
      </c>
      <c r="D25" s="106"/>
      <c r="E25" s="467"/>
      <c r="F25" s="437"/>
      <c r="G25" s="157">
        <f>IF(H22&gt;0,ROUND(E23-(E23*H22),0),0)</f>
        <v>0</v>
      </c>
    </row>
    <row r="26" spans="1:8" x14ac:dyDescent="0.25">
      <c r="A26" s="35"/>
      <c r="B26" s="61" t="s">
        <v>109</v>
      </c>
      <c r="C26" s="51" t="s">
        <v>110</v>
      </c>
      <c r="D26" s="106"/>
      <c r="E26" s="467"/>
      <c r="F26" s="437"/>
      <c r="G26" s="157">
        <f>IF(H22&gt;0,ROUND(E24-(E24*H22),0),0)</f>
        <v>0</v>
      </c>
    </row>
    <row r="27" spans="1:8" x14ac:dyDescent="0.25">
      <c r="A27" s="35"/>
      <c r="B27" s="132" t="s">
        <v>111</v>
      </c>
      <c r="C27" s="51" t="s">
        <v>112</v>
      </c>
      <c r="D27" s="106"/>
      <c r="E27" s="467"/>
      <c r="F27" s="437"/>
      <c r="G27" s="157">
        <f>IF(H22&gt;0,ROUND(E25-(E25*H22),0),0)</f>
        <v>0</v>
      </c>
    </row>
    <row r="28" spans="1:8" x14ac:dyDescent="0.25">
      <c r="A28" s="35"/>
      <c r="B28" s="468"/>
      <c r="C28" s="245"/>
      <c r="D28" s="106"/>
      <c r="E28" s="467"/>
      <c r="F28" s="437"/>
      <c r="G28" s="157">
        <f>IF(H22&gt;0,ROUND(E26-(E26*H22),0),0)</f>
        <v>0</v>
      </c>
    </row>
    <row r="29" spans="1:8" x14ac:dyDescent="0.25">
      <c r="A29" s="35"/>
      <c r="B29" s="467"/>
      <c r="C29" s="245"/>
      <c r="D29" s="106"/>
      <c r="E29" s="467"/>
      <c r="F29" s="437"/>
      <c r="G29" s="157">
        <f>IF(H22&gt;0,ROUND(E27-(E27*H22),0),0)</f>
        <v>0</v>
      </c>
    </row>
    <row r="30" spans="1:8" x14ac:dyDescent="0.25">
      <c r="A30" s="35"/>
      <c r="B30" s="468"/>
      <c r="C30" s="245"/>
      <c r="D30" s="106"/>
      <c r="E30" s="467"/>
      <c r="F30" s="437"/>
      <c r="G30" s="157">
        <f>IF(H22&gt;0,ROUND(E28-(E28*H22),0),0)</f>
        <v>0</v>
      </c>
    </row>
    <row r="31" spans="1:8" x14ac:dyDescent="0.25">
      <c r="A31" s="35"/>
      <c r="B31" s="467"/>
      <c r="C31" s="245"/>
      <c r="D31" s="106"/>
      <c r="E31" s="106"/>
      <c r="F31" s="437"/>
      <c r="G31" s="157">
        <f>IF(H22&gt;0,ROUND(E29-(E29*H22),0),0)</f>
        <v>0</v>
      </c>
    </row>
    <row r="32" spans="1:8" x14ac:dyDescent="0.25">
      <c r="A32" s="35"/>
      <c r="B32" s="468"/>
      <c r="C32" s="245"/>
      <c r="D32" s="106"/>
      <c r="E32" s="106"/>
      <c r="F32" s="437"/>
      <c r="G32" s="157">
        <f>IF(H22&gt;0,ROUND(E30-(E30*H22),0),0)</f>
        <v>0</v>
      </c>
    </row>
    <row r="33" spans="1:8" x14ac:dyDescent="0.25">
      <c r="A33" s="109" t="str">
        <f>CONCATENATE("Total Ad Valorem Tax for ",D10-1,"")</f>
        <v>Total Ad Valorem Tax for 2024</v>
      </c>
      <c r="B33" s="42"/>
      <c r="C33" s="110"/>
      <c r="D33" s="111"/>
      <c r="E33" s="112">
        <f>SUM(E21:E32)</f>
        <v>0</v>
      </c>
      <c r="F33" s="437"/>
      <c r="G33" s="157">
        <f>IF(H22&gt;0,ROUND(E31-(E31*H22),0),0)</f>
        <v>0</v>
      </c>
      <c r="H33" s="312"/>
    </row>
    <row r="34" spans="1:8" x14ac:dyDescent="0.25">
      <c r="A34" s="35"/>
      <c r="B34" s="35"/>
      <c r="C34" s="35"/>
      <c r="D34" s="72"/>
      <c r="E34" s="113"/>
      <c r="F34" s="437"/>
      <c r="G34" s="157">
        <f>IF(H22&gt;0,ROUND(E32-(E32*H22),0),0)</f>
        <v>0</v>
      </c>
      <c r="H34" s="312"/>
    </row>
    <row r="35" spans="1:8" x14ac:dyDescent="0.25">
      <c r="A35" s="35" t="s">
        <v>113</v>
      </c>
      <c r="B35" s="35"/>
      <c r="C35" s="35"/>
      <c r="D35" s="35"/>
      <c r="E35" s="35"/>
    </row>
    <row r="36" spans="1:8" x14ac:dyDescent="0.25">
      <c r="A36" s="35"/>
      <c r="B36" s="114"/>
      <c r="C36" s="35"/>
      <c r="D36" s="115"/>
      <c r="E36" s="35"/>
    </row>
    <row r="37" spans="1:8" x14ac:dyDescent="0.25">
      <c r="A37" s="35"/>
      <c r="B37" s="114"/>
      <c r="C37" s="35"/>
      <c r="D37" s="115"/>
      <c r="E37" s="35"/>
    </row>
    <row r="38" spans="1:8" x14ac:dyDescent="0.25">
      <c r="A38" s="35"/>
      <c r="B38" s="114"/>
      <c r="C38" s="35"/>
      <c r="D38" s="115"/>
      <c r="E38" s="35"/>
    </row>
    <row r="39" spans="1:8" x14ac:dyDescent="0.25">
      <c r="A39" s="35"/>
      <c r="B39" s="114"/>
      <c r="C39" s="35"/>
      <c r="D39" s="115"/>
      <c r="E39" s="35"/>
    </row>
    <row r="40" spans="1:8" x14ac:dyDescent="0.25">
      <c r="A40" s="42" t="str">
        <f>CONCATENATE("Total Expenditures for ",D10-1,"")</f>
        <v>Total Expenditures for 2024</v>
      </c>
      <c r="B40" s="42"/>
      <c r="C40" s="42"/>
      <c r="D40" s="116">
        <f>SUM(D21:D32,D36:D39)</f>
        <v>0</v>
      </c>
      <c r="E40" s="35"/>
    </row>
    <row r="41" spans="1:8" x14ac:dyDescent="0.25">
      <c r="A41" s="39" t="s">
        <v>114</v>
      </c>
      <c r="B41" s="35"/>
      <c r="C41" s="35"/>
      <c r="D41" s="35"/>
      <c r="E41" s="35"/>
    </row>
    <row r="42" spans="1:8" x14ac:dyDescent="0.25">
      <c r="A42" s="136">
        <v>1</v>
      </c>
      <c r="B42" s="114"/>
      <c r="C42" s="35"/>
      <c r="D42" s="35"/>
      <c r="E42" s="35"/>
    </row>
    <row r="43" spans="1:8" x14ac:dyDescent="0.25">
      <c r="A43" s="136">
        <v>2</v>
      </c>
      <c r="B43" s="114"/>
      <c r="C43" s="35"/>
      <c r="D43" s="35"/>
      <c r="E43" s="35"/>
    </row>
    <row r="44" spans="1:8" x14ac:dyDescent="0.25">
      <c r="A44" s="136">
        <v>3</v>
      </c>
      <c r="B44" s="114"/>
      <c r="C44" s="35"/>
      <c r="D44" s="35"/>
      <c r="E44" s="35"/>
    </row>
    <row r="45" spans="1:8" x14ac:dyDescent="0.25">
      <c r="A45" s="136">
        <v>4</v>
      </c>
      <c r="B45" s="114"/>
      <c r="C45" s="35"/>
      <c r="D45" s="35"/>
      <c r="E45" s="35"/>
    </row>
    <row r="46" spans="1:8" x14ac:dyDescent="0.25">
      <c r="A46" s="136">
        <v>5</v>
      </c>
      <c r="B46" s="114"/>
      <c r="C46" s="35"/>
      <c r="D46" s="35"/>
      <c r="E46" s="35"/>
    </row>
    <row r="47" spans="1:8" x14ac:dyDescent="0.25">
      <c r="A47" s="35"/>
      <c r="B47" s="35"/>
      <c r="C47" s="35"/>
      <c r="D47" s="35"/>
      <c r="E47" s="35"/>
    </row>
    <row r="48" spans="1:8" x14ac:dyDescent="0.25">
      <c r="A48" s="459" t="s">
        <v>91</v>
      </c>
      <c r="B48" s="458"/>
      <c r="C48" s="35"/>
      <c r="D48" s="672" t="str">
        <f>CONCATENATE("",D10-3," Tax Rate         (",D10-2," Column)")</f>
        <v>2022 Tax Rate         (2023 Column)</v>
      </c>
      <c r="E48" s="35"/>
    </row>
    <row r="49" spans="1:5" x14ac:dyDescent="0.25">
      <c r="A49" s="567" t="str">
        <f>CONCATENATE("the ",D10-1," Budget, Budget Summary Page:")</f>
        <v>the 2024 Budget, Budget Summary Page:</v>
      </c>
      <c r="B49" s="453"/>
      <c r="C49" s="35"/>
      <c r="D49" s="673"/>
      <c r="E49" s="35"/>
    </row>
    <row r="50" spans="1:5" ht="15.75" customHeight="1" x14ac:dyDescent="0.25">
      <c r="A50" s="35"/>
      <c r="B50" s="143" t="str">
        <f>B21</f>
        <v>General</v>
      </c>
      <c r="C50" s="35"/>
      <c r="D50" s="425"/>
      <c r="E50" s="35"/>
    </row>
    <row r="51" spans="1:5" x14ac:dyDescent="0.25">
      <c r="A51" s="35"/>
      <c r="B51" s="53" t="str">
        <f>B22</f>
        <v>Debt Service</v>
      </c>
      <c r="C51" s="35"/>
      <c r="D51" s="425"/>
      <c r="E51" s="35"/>
    </row>
    <row r="52" spans="1:5" x14ac:dyDescent="0.25">
      <c r="A52" s="35"/>
      <c r="B52" s="53" t="str">
        <f>B23</f>
        <v>Library</v>
      </c>
      <c r="C52" s="35"/>
      <c r="D52" s="425"/>
      <c r="E52" s="35"/>
    </row>
    <row r="53" spans="1:5" x14ac:dyDescent="0.25">
      <c r="A53" s="35"/>
      <c r="B53" s="53" t="str">
        <f t="shared" ref="B53:B60" si="0">B24</f>
        <v>Road</v>
      </c>
      <c r="C53" s="35"/>
      <c r="D53" s="425"/>
      <c r="E53" s="35"/>
    </row>
    <row r="54" spans="1:5" x14ac:dyDescent="0.25">
      <c r="A54" s="35"/>
      <c r="B54" s="61" t="str">
        <f t="shared" si="0"/>
        <v>Special Road</v>
      </c>
      <c r="C54" s="35"/>
      <c r="D54" s="425"/>
      <c r="E54" s="35"/>
    </row>
    <row r="55" spans="1:5" x14ac:dyDescent="0.25">
      <c r="A55" s="35"/>
      <c r="B55" s="61" t="str">
        <f t="shared" si="0"/>
        <v>Noxious Weed</v>
      </c>
      <c r="C55" s="35"/>
      <c r="D55" s="425"/>
      <c r="E55" s="35"/>
    </row>
    <row r="56" spans="1:5" x14ac:dyDescent="0.25">
      <c r="A56" s="35"/>
      <c r="B56" s="61" t="str">
        <f t="shared" si="0"/>
        <v>Fire Protection</v>
      </c>
      <c r="C56" s="35"/>
      <c r="D56" s="426"/>
      <c r="E56" s="35"/>
    </row>
    <row r="57" spans="1:5" x14ac:dyDescent="0.25">
      <c r="A57" s="35"/>
      <c r="B57" s="61">
        <f t="shared" si="0"/>
        <v>0</v>
      </c>
      <c r="C57" s="35"/>
      <c r="D57" s="426"/>
      <c r="E57" s="35"/>
    </row>
    <row r="58" spans="1:5" x14ac:dyDescent="0.25">
      <c r="A58" s="35"/>
      <c r="B58" s="61">
        <f t="shared" si="0"/>
        <v>0</v>
      </c>
      <c r="C58" s="35"/>
      <c r="D58" s="426"/>
      <c r="E58" s="35"/>
    </row>
    <row r="59" spans="1:5" x14ac:dyDescent="0.25">
      <c r="A59" s="35"/>
      <c r="B59" s="61">
        <f t="shared" si="0"/>
        <v>0</v>
      </c>
      <c r="C59" s="35"/>
      <c r="D59" s="426"/>
      <c r="E59" s="35"/>
    </row>
    <row r="60" spans="1:5" x14ac:dyDescent="0.25">
      <c r="A60" s="35"/>
      <c r="B60" s="61">
        <f t="shared" si="0"/>
        <v>0</v>
      </c>
      <c r="C60" s="35"/>
      <c r="D60" s="426"/>
      <c r="E60" s="35"/>
    </row>
    <row r="61" spans="1:5" x14ac:dyDescent="0.25">
      <c r="A61" s="35"/>
      <c r="B61" s="61">
        <f>B32</f>
        <v>0</v>
      </c>
      <c r="C61" s="35"/>
      <c r="D61" s="425"/>
      <c r="E61" s="35"/>
    </row>
    <row r="62" spans="1:5" ht="16.5" thickBot="1" x14ac:dyDescent="0.3">
      <c r="A62" s="41" t="str">
        <f>CONCATENATE("Total ",D10-3," Tax Levy Rate")</f>
        <v>Total 2022 Tax Levy Rate</v>
      </c>
      <c r="B62" s="117"/>
      <c r="C62" s="52"/>
      <c r="D62" s="118">
        <f>SUM(D50:D61)</f>
        <v>0</v>
      </c>
      <c r="E62" s="35"/>
    </row>
    <row r="63" spans="1:5" ht="16.5" thickTop="1" x14ac:dyDescent="0.25">
      <c r="A63" s="35"/>
      <c r="B63" s="35"/>
      <c r="C63" s="35"/>
      <c r="D63" s="35"/>
      <c r="E63" s="35"/>
    </row>
    <row r="64" spans="1:5" x14ac:dyDescent="0.25">
      <c r="A64" s="452" t="str">
        <f>CONCATENATE("Total Tax Levy (",D10-2," budget column)")</f>
        <v>Total Tax Levy (2023 budget column)</v>
      </c>
      <c r="B64" s="458"/>
      <c r="C64" s="35"/>
      <c r="D64" s="35"/>
      <c r="E64" s="173"/>
    </row>
    <row r="65" spans="1:5" x14ac:dyDescent="0.25">
      <c r="A65" s="451" t="str">
        <f>CONCATENATE("Assessed Valuation (",D10-2," budget column):")</f>
        <v>Assessed Valuation (2023 budget column):</v>
      </c>
      <c r="B65" s="450"/>
      <c r="C65" s="35"/>
      <c r="D65" s="35"/>
      <c r="E65" s="422"/>
    </row>
    <row r="66" spans="1:5" x14ac:dyDescent="0.25">
      <c r="A66" s="35"/>
      <c r="B66" s="35"/>
      <c r="C66" s="35"/>
      <c r="D66" s="35"/>
      <c r="E66" s="97"/>
    </row>
    <row r="67" spans="1:5" x14ac:dyDescent="0.25">
      <c r="A67" s="449" t="s">
        <v>115</v>
      </c>
      <c r="B67" s="448"/>
      <c r="C67" s="119"/>
      <c r="D67" s="120">
        <f>D10-3</f>
        <v>2022</v>
      </c>
      <c r="E67" s="120">
        <f>D10-2</f>
        <v>2023</v>
      </c>
    </row>
    <row r="68" spans="1:5" x14ac:dyDescent="0.25">
      <c r="A68" s="447" t="s">
        <v>116</v>
      </c>
      <c r="B68" s="450"/>
      <c r="C68" s="121"/>
      <c r="D68" s="115"/>
      <c r="E68" s="115"/>
    </row>
    <row r="69" spans="1:5" x14ac:dyDescent="0.25">
      <c r="A69" s="449" t="s">
        <v>117</v>
      </c>
      <c r="B69" s="448"/>
      <c r="C69" s="122"/>
      <c r="D69" s="115"/>
      <c r="E69" s="115"/>
    </row>
    <row r="70" spans="1:5" x14ac:dyDescent="0.25">
      <c r="A70" s="449" t="s">
        <v>118</v>
      </c>
      <c r="B70" s="448"/>
      <c r="C70" s="122"/>
      <c r="D70" s="115"/>
      <c r="E70" s="115"/>
    </row>
    <row r="71" spans="1:5" x14ac:dyDescent="0.25">
      <c r="A71" s="449"/>
      <c r="B71" s="448"/>
      <c r="C71" s="123"/>
      <c r="D71" s="115"/>
      <c r="E71" s="115"/>
    </row>
    <row r="72" spans="1:5" x14ac:dyDescent="0.25">
      <c r="A72" s="62"/>
      <c r="B72" s="62"/>
      <c r="C72" s="62"/>
      <c r="D72" s="62"/>
      <c r="E72" s="62"/>
    </row>
    <row r="73" spans="1:5" x14ac:dyDescent="0.25">
      <c r="A73" s="62"/>
      <c r="B73" s="62"/>
      <c r="C73" s="62"/>
      <c r="D73" s="62"/>
      <c r="E73" s="62"/>
    </row>
    <row r="74" spans="1:5" x14ac:dyDescent="0.25">
      <c r="A74" s="62"/>
      <c r="B74" s="62"/>
      <c r="C74" s="62"/>
      <c r="D74" s="62"/>
      <c r="E74" s="62"/>
    </row>
    <row r="75" spans="1:5" x14ac:dyDescent="0.25">
      <c r="A75" s="62"/>
      <c r="B75" s="62"/>
      <c r="C75" s="62"/>
      <c r="D75" s="62"/>
      <c r="E75" s="62"/>
    </row>
    <row r="76" spans="1:5" x14ac:dyDescent="0.25">
      <c r="A76" s="62"/>
      <c r="B76" s="62"/>
      <c r="C76" s="62"/>
      <c r="D76" s="62"/>
      <c r="E76" s="62"/>
    </row>
    <row r="77" spans="1:5" x14ac:dyDescent="0.25">
      <c r="A77" s="62"/>
      <c r="B77" s="62"/>
      <c r="C77" s="62"/>
      <c r="D77" s="62"/>
      <c r="E77" s="62"/>
    </row>
    <row r="78" spans="1:5" x14ac:dyDescent="0.25">
      <c r="A78" s="62"/>
      <c r="B78" s="62"/>
      <c r="C78" s="62"/>
      <c r="D78" s="62"/>
      <c r="E78" s="62"/>
    </row>
    <row r="79" spans="1:5" x14ac:dyDescent="0.25">
      <c r="A79" s="62"/>
      <c r="B79" s="62"/>
      <c r="C79" s="62"/>
      <c r="D79" s="62"/>
      <c r="E79" s="62"/>
    </row>
    <row r="80" spans="1:5" x14ac:dyDescent="0.25">
      <c r="A80" s="62"/>
      <c r="B80" s="62"/>
      <c r="C80" s="62"/>
      <c r="D80" s="62"/>
      <c r="E80" s="62"/>
    </row>
    <row r="81" spans="1:7" x14ac:dyDescent="0.25">
      <c r="A81" s="62"/>
      <c r="B81" s="62"/>
      <c r="C81" s="62"/>
      <c r="D81" s="62"/>
      <c r="E81" s="62"/>
    </row>
    <row r="82" spans="1:7" x14ac:dyDescent="0.25">
      <c r="A82" s="62"/>
      <c r="B82" s="62"/>
      <c r="C82" s="62"/>
      <c r="D82" s="62"/>
      <c r="E82" s="62"/>
    </row>
    <row r="83" spans="1:7" x14ac:dyDescent="0.25">
      <c r="A83" s="62"/>
      <c r="B83" s="62"/>
      <c r="C83" s="62"/>
      <c r="D83" s="62"/>
      <c r="E83" s="62"/>
    </row>
    <row r="84" spans="1:7" s="124" customFormat="1" x14ac:dyDescent="0.25">
      <c r="A84" s="62"/>
      <c r="B84" s="62"/>
      <c r="C84" s="62"/>
      <c r="D84" s="62"/>
      <c r="E84" s="62"/>
    </row>
    <row r="85" spans="1:7" x14ac:dyDescent="0.25">
      <c r="A85" s="62"/>
      <c r="B85" s="62"/>
      <c r="C85" s="62"/>
      <c r="D85" s="62"/>
      <c r="E85" s="62"/>
    </row>
    <row r="86" spans="1:7" x14ac:dyDescent="0.25">
      <c r="A86" s="62"/>
      <c r="B86" s="62"/>
      <c r="C86" s="62"/>
      <c r="D86" s="62"/>
      <c r="E86" s="62"/>
    </row>
    <row r="87" spans="1:7" x14ac:dyDescent="0.25">
      <c r="A87" s="62"/>
      <c r="B87" s="62"/>
      <c r="C87" s="62"/>
      <c r="D87" s="62"/>
      <c r="E87" s="62"/>
    </row>
    <row r="88" spans="1:7" x14ac:dyDescent="0.25">
      <c r="A88" s="62"/>
      <c r="B88" s="62"/>
      <c r="C88" s="62"/>
      <c r="D88" s="62"/>
      <c r="E88" s="62"/>
    </row>
    <row r="89" spans="1:7" x14ac:dyDescent="0.25">
      <c r="A89" s="62"/>
      <c r="B89" s="62"/>
      <c r="C89" s="62"/>
      <c r="D89" s="62"/>
      <c r="E89" s="62"/>
    </row>
    <row r="90" spans="1:7" x14ac:dyDescent="0.25">
      <c r="A90" s="62"/>
      <c r="B90" s="62"/>
      <c r="C90" s="62"/>
      <c r="D90" s="62"/>
      <c r="E90" s="62"/>
    </row>
    <row r="91" spans="1:7" x14ac:dyDescent="0.25">
      <c r="A91" s="62"/>
      <c r="B91" s="62"/>
      <c r="C91" s="62"/>
      <c r="D91" s="62"/>
      <c r="E91" s="62"/>
    </row>
    <row r="92" spans="1:7" x14ac:dyDescent="0.25">
      <c r="A92" s="62"/>
      <c r="B92" s="62"/>
      <c r="C92" s="62"/>
      <c r="D92" s="62"/>
      <c r="E92" s="62"/>
    </row>
    <row r="93" spans="1:7" x14ac:dyDescent="0.25">
      <c r="A93" s="62"/>
      <c r="B93" s="62"/>
      <c r="C93" s="62"/>
      <c r="D93" s="62"/>
      <c r="E93" s="62"/>
    </row>
    <row r="94" spans="1:7" s="65" customFormat="1" x14ac:dyDescent="0.25">
      <c r="A94" s="62"/>
      <c r="B94" s="62"/>
      <c r="C94" s="62"/>
      <c r="D94" s="62"/>
      <c r="E94" s="62"/>
      <c r="G94" s="99"/>
    </row>
    <row r="95" spans="1:7" s="65" customFormat="1" x14ac:dyDescent="0.25">
      <c r="A95" s="99"/>
      <c r="B95" s="99"/>
      <c r="C95" s="99"/>
      <c r="D95" s="99"/>
      <c r="E95" s="99"/>
      <c r="G95" s="99"/>
    </row>
  </sheetData>
  <sheetProtection sheet="1"/>
  <mergeCells count="5">
    <mergeCell ref="D48:D49"/>
    <mergeCell ref="A15:E15"/>
    <mergeCell ref="A1:E1"/>
    <mergeCell ref="A12:E14"/>
    <mergeCell ref="G14:H20"/>
  </mergeCells>
  <phoneticPr fontId="0" type="noConversion"/>
  <pageMargins left="0.3" right="0.3" top="0.5" bottom="0.5" header="0.3" footer="0.3"/>
  <pageSetup fitToHeight="2"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rgb="FF00B0F0"/>
    <pageSetUpPr fitToPage="1"/>
  </sheetPr>
  <dimension ref="B1:E65"/>
  <sheetViews>
    <sheetView workbookViewId="0">
      <selection activeCell="F1" sqref="F1"/>
    </sheetView>
  </sheetViews>
  <sheetFormatPr defaultRowHeight="15.75" x14ac:dyDescent="0.25"/>
  <cols>
    <col min="1" max="1" width="2.3984375" style="65" customWidth="1"/>
    <col min="2" max="2" width="31" style="65" customWidth="1"/>
    <col min="3" max="5" width="14.19921875" style="65" customWidth="1"/>
    <col min="6" max="16384" width="8.796875" style="65"/>
  </cols>
  <sheetData>
    <row r="1" spans="2:5" x14ac:dyDescent="0.25">
      <c r="B1" s="72">
        <f>inputPrYr!D4</f>
        <v>0</v>
      </c>
      <c r="C1" s="35"/>
      <c r="D1" s="35"/>
      <c r="E1" s="140">
        <f>inputPrYr!D10</f>
        <v>2025</v>
      </c>
    </row>
    <row r="2" spans="2:5" x14ac:dyDescent="0.25">
      <c r="B2" s="35"/>
      <c r="C2" s="35"/>
      <c r="D2" s="35"/>
      <c r="E2" s="136"/>
    </row>
    <row r="3" spans="2:5" x14ac:dyDescent="0.25">
      <c r="B3" s="101" t="s">
        <v>393</v>
      </c>
      <c r="C3" s="38"/>
      <c r="D3" s="38"/>
      <c r="E3" s="38"/>
    </row>
    <row r="4" spans="2:5" x14ac:dyDescent="0.25">
      <c r="B4" s="39" t="s">
        <v>328</v>
      </c>
      <c r="C4" s="130" t="s">
        <v>329</v>
      </c>
      <c r="D4" s="625" t="s">
        <v>276</v>
      </c>
      <c r="E4" s="625" t="s">
        <v>330</v>
      </c>
    </row>
    <row r="5" spans="2:5" x14ac:dyDescent="0.25">
      <c r="B5" s="72">
        <f>inputPrYr!B38</f>
        <v>0</v>
      </c>
      <c r="C5" s="626" t="str">
        <f>General!C5</f>
        <v>Actual for 2023</v>
      </c>
      <c r="D5" s="626" t="str">
        <f>General!D5</f>
        <v>Estimate for 2024</v>
      </c>
      <c r="E5" s="626" t="str">
        <f>General!E5</f>
        <v>Year for 2025</v>
      </c>
    </row>
    <row r="6" spans="2:5" x14ac:dyDescent="0.25">
      <c r="B6" s="208" t="s">
        <v>374</v>
      </c>
      <c r="C6" s="106"/>
      <c r="D6" s="157">
        <f>C28</f>
        <v>0</v>
      </c>
      <c r="E6" s="157">
        <f>D28</f>
        <v>0</v>
      </c>
    </row>
    <row r="7" spans="2:5" s="99" customFormat="1" x14ac:dyDescent="0.25">
      <c r="B7" s="209" t="s">
        <v>332</v>
      </c>
      <c r="C7" s="53"/>
      <c r="D7" s="53"/>
      <c r="E7" s="53"/>
    </row>
    <row r="8" spans="2:5" x14ac:dyDescent="0.25">
      <c r="B8" s="196"/>
      <c r="C8" s="106"/>
      <c r="D8" s="106"/>
      <c r="E8" s="106"/>
    </row>
    <row r="9" spans="2:5" x14ac:dyDescent="0.25">
      <c r="B9" s="196"/>
      <c r="C9" s="106"/>
      <c r="D9" s="106"/>
      <c r="E9" s="106"/>
    </row>
    <row r="10" spans="2:5" x14ac:dyDescent="0.25">
      <c r="B10" s="196"/>
      <c r="C10" s="106"/>
      <c r="D10" s="106"/>
      <c r="E10" s="106"/>
    </row>
    <row r="11" spans="2:5" x14ac:dyDescent="0.25">
      <c r="B11" s="196"/>
      <c r="C11" s="106"/>
      <c r="D11" s="106"/>
      <c r="E11" s="106"/>
    </row>
    <row r="12" spans="2:5" x14ac:dyDescent="0.25">
      <c r="B12" s="210" t="s">
        <v>339</v>
      </c>
      <c r="C12" s="106"/>
      <c r="D12" s="106"/>
      <c r="E12" s="106"/>
    </row>
    <row r="13" spans="2:5" x14ac:dyDescent="0.25">
      <c r="B13" s="198" t="s">
        <v>340</v>
      </c>
      <c r="C13" s="106"/>
      <c r="D13" s="193"/>
      <c r="E13" s="193"/>
    </row>
    <row r="14" spans="2:5" x14ac:dyDescent="0.25">
      <c r="B14" s="198" t="s">
        <v>341</v>
      </c>
      <c r="C14" s="201" t="str">
        <f>IF(C15*0.1&lt;C13,"Exceed 10% Rule","")</f>
        <v/>
      </c>
      <c r="D14" s="199" t="str">
        <f>IF(D15*0.1&lt;D13,"Exceed 10% Rule","")</f>
        <v/>
      </c>
      <c r="E14" s="199" t="str">
        <f>IF(E15*0.1&lt;E13,"Exceed 10% Rule","")</f>
        <v/>
      </c>
    </row>
    <row r="15" spans="2:5" x14ac:dyDescent="0.25">
      <c r="B15" s="60" t="s">
        <v>342</v>
      </c>
      <c r="C15" s="598">
        <f>SUM(C8:C13)</f>
        <v>0</v>
      </c>
      <c r="D15" s="598">
        <f>SUM(D8:D13)</f>
        <v>0</v>
      </c>
      <c r="E15" s="598">
        <f>SUM(E8:E13)</f>
        <v>0</v>
      </c>
    </row>
    <row r="16" spans="2:5" x14ac:dyDescent="0.25">
      <c r="B16" s="60" t="s">
        <v>344</v>
      </c>
      <c r="C16" s="598">
        <f>C6+C15</f>
        <v>0</v>
      </c>
      <c r="D16" s="598">
        <f>D6+D15</f>
        <v>0</v>
      </c>
      <c r="E16" s="598">
        <f>E6+E15</f>
        <v>0</v>
      </c>
    </row>
    <row r="17" spans="2:5" x14ac:dyDescent="0.25">
      <c r="B17" s="43" t="s">
        <v>346</v>
      </c>
      <c r="C17" s="157"/>
      <c r="D17" s="157"/>
      <c r="E17" s="157"/>
    </row>
    <row r="18" spans="2:5" x14ac:dyDescent="0.25">
      <c r="B18" s="196"/>
      <c r="C18" s="106"/>
      <c r="D18" s="106"/>
      <c r="E18" s="106"/>
    </row>
    <row r="19" spans="2:5" x14ac:dyDescent="0.25">
      <c r="B19" s="196"/>
      <c r="C19" s="106"/>
      <c r="D19" s="106"/>
      <c r="E19" s="106"/>
    </row>
    <row r="20" spans="2:5" x14ac:dyDescent="0.25">
      <c r="B20" s="196"/>
      <c r="C20" s="106"/>
      <c r="D20" s="106"/>
      <c r="E20" s="106"/>
    </row>
    <row r="21" spans="2:5" x14ac:dyDescent="0.25">
      <c r="B21" s="196"/>
      <c r="C21" s="106"/>
      <c r="D21" s="106"/>
      <c r="E21" s="106"/>
    </row>
    <row r="22" spans="2:5" x14ac:dyDescent="0.25">
      <c r="B22" s="196"/>
      <c r="C22" s="106"/>
      <c r="D22" s="106"/>
      <c r="E22" s="106"/>
    </row>
    <row r="23" spans="2:5" x14ac:dyDescent="0.25">
      <c r="B23" s="196"/>
      <c r="C23" s="106"/>
      <c r="D23" s="106"/>
      <c r="E23" s="106"/>
    </row>
    <row r="24" spans="2:5" x14ac:dyDescent="0.25">
      <c r="B24" s="195" t="str">
        <f>CONCATENATE("Cash Reserve (",E1," column)")</f>
        <v>Cash Reserve (2025 column)</v>
      </c>
      <c r="C24" s="106"/>
      <c r="D24" s="106"/>
      <c r="E24" s="106"/>
    </row>
    <row r="25" spans="2:5" x14ac:dyDescent="0.25">
      <c r="B25" s="195" t="s">
        <v>340</v>
      </c>
      <c r="C25" s="106"/>
      <c r="D25" s="193"/>
      <c r="E25" s="193"/>
    </row>
    <row r="26" spans="2:5" x14ac:dyDescent="0.25">
      <c r="B26" s="195" t="s">
        <v>362</v>
      </c>
      <c r="C26" s="201" t="str">
        <f>IF(C27*0.1&lt;C25,"Exceed 10% Rule","")</f>
        <v/>
      </c>
      <c r="D26" s="199" t="str">
        <f>IF(D27*0.1&lt;D25,"Exceed 10% Rule","")</f>
        <v/>
      </c>
      <c r="E26" s="199" t="str">
        <f>IF(E27*0.1&lt;E25,"Exceed 10% Rule","")</f>
        <v/>
      </c>
    </row>
    <row r="27" spans="2:5" x14ac:dyDescent="0.25">
      <c r="B27" s="60" t="s">
        <v>363</v>
      </c>
      <c r="C27" s="598">
        <f>SUM(C18:C25)</f>
        <v>0</v>
      </c>
      <c r="D27" s="598">
        <f>SUM(D18:D25)</f>
        <v>0</v>
      </c>
      <c r="E27" s="598">
        <f>SUM(E18:E25)</f>
        <v>0</v>
      </c>
    </row>
    <row r="28" spans="2:5" x14ac:dyDescent="0.25">
      <c r="B28" s="43" t="s">
        <v>364</v>
      </c>
      <c r="C28" s="431">
        <f>C16-C27</f>
        <v>0</v>
      </c>
      <c r="D28" s="431">
        <f>D16-D27</f>
        <v>0</v>
      </c>
      <c r="E28" s="431">
        <f>E16-E27</f>
        <v>0</v>
      </c>
    </row>
    <row r="29" spans="2:5" x14ac:dyDescent="0.25">
      <c r="B29" s="68" t="str">
        <f>CONCATENATE("",E1-2,"/",E1-1,"/",E1," Budget Authority Amount:")</f>
        <v>2023/2024/2025 Budget Authority Amount:</v>
      </c>
      <c r="C29" s="427">
        <f>inputOth!B105</f>
        <v>0</v>
      </c>
      <c r="D29" s="427">
        <f>inputPrYr!D38</f>
        <v>0</v>
      </c>
      <c r="E29" s="431">
        <f>E27</f>
        <v>0</v>
      </c>
    </row>
    <row r="30" spans="2:5" x14ac:dyDescent="0.25">
      <c r="B30" s="140"/>
      <c r="C30" s="203" t="str">
        <f>IF(C27&gt;C29,"See Tab A","")</f>
        <v/>
      </c>
      <c r="D30" s="203" t="str">
        <f>IF(D27&gt;D29,"See Tab C","")</f>
        <v/>
      </c>
      <c r="E30" s="432" t="str">
        <f>IF(E28&lt;0,"See Tab E","")</f>
        <v/>
      </c>
    </row>
    <row r="31" spans="2:5" x14ac:dyDescent="0.25">
      <c r="B31" s="140"/>
      <c r="C31" s="203" t="str">
        <f>IF(C28&lt;0,"See Tab B","")</f>
        <v/>
      </c>
      <c r="D31" s="97"/>
      <c r="E31" s="97"/>
    </row>
    <row r="32" spans="2:5" x14ac:dyDescent="0.25">
      <c r="B32" s="35"/>
      <c r="C32" s="97"/>
      <c r="D32" s="97"/>
      <c r="E32" s="97"/>
    </row>
    <row r="33" spans="2:5" x14ac:dyDescent="0.25">
      <c r="B33" s="39" t="s">
        <v>328</v>
      </c>
      <c r="C33" s="38"/>
      <c r="D33" s="38"/>
      <c r="E33" s="38"/>
    </row>
    <row r="34" spans="2:5" x14ac:dyDescent="0.25">
      <c r="B34" s="35"/>
      <c r="C34" s="130" t="s">
        <v>329</v>
      </c>
      <c r="D34" s="625" t="s">
        <v>276</v>
      </c>
      <c r="E34" s="625" t="s">
        <v>330</v>
      </c>
    </row>
    <row r="35" spans="2:5" x14ac:dyDescent="0.25">
      <c r="B35" s="144">
        <f>inputPrYr!B39</f>
        <v>0</v>
      </c>
      <c r="C35" s="626" t="str">
        <f>C5</f>
        <v>Actual for 2023</v>
      </c>
      <c r="D35" s="626" t="str">
        <f>D5</f>
        <v>Estimate for 2024</v>
      </c>
      <c r="E35" s="626" t="str">
        <f>E5</f>
        <v>Year for 2025</v>
      </c>
    </row>
    <row r="36" spans="2:5" x14ac:dyDescent="0.25">
      <c r="B36" s="208" t="s">
        <v>374</v>
      </c>
      <c r="C36" s="106"/>
      <c r="D36" s="157">
        <f>C58</f>
        <v>0</v>
      </c>
      <c r="E36" s="157">
        <f>D58</f>
        <v>0</v>
      </c>
    </row>
    <row r="37" spans="2:5" s="99" customFormat="1" x14ac:dyDescent="0.25">
      <c r="B37" s="208" t="s">
        <v>332</v>
      </c>
      <c r="C37" s="53"/>
      <c r="D37" s="53"/>
      <c r="E37" s="53"/>
    </row>
    <row r="38" spans="2:5" x14ac:dyDescent="0.25">
      <c r="B38" s="196"/>
      <c r="C38" s="106"/>
      <c r="D38" s="106"/>
      <c r="E38" s="106"/>
    </row>
    <row r="39" spans="2:5" x14ac:dyDescent="0.25">
      <c r="B39" s="196"/>
      <c r="C39" s="106"/>
      <c r="D39" s="106"/>
      <c r="E39" s="106"/>
    </row>
    <row r="40" spans="2:5" x14ac:dyDescent="0.25">
      <c r="B40" s="196"/>
      <c r="C40" s="106"/>
      <c r="D40" s="106"/>
      <c r="E40" s="106"/>
    </row>
    <row r="41" spans="2:5" x14ac:dyDescent="0.25">
      <c r="B41" s="196"/>
      <c r="C41" s="106"/>
      <c r="D41" s="106"/>
      <c r="E41" s="106"/>
    </row>
    <row r="42" spans="2:5" x14ac:dyDescent="0.25">
      <c r="B42" s="210" t="s">
        <v>339</v>
      </c>
      <c r="C42" s="106"/>
      <c r="D42" s="106"/>
      <c r="E42" s="106"/>
    </row>
    <row r="43" spans="2:5" x14ac:dyDescent="0.25">
      <c r="B43" s="198" t="s">
        <v>340</v>
      </c>
      <c r="C43" s="106"/>
      <c r="D43" s="193"/>
      <c r="E43" s="193"/>
    </row>
    <row r="44" spans="2:5" x14ac:dyDescent="0.25">
      <c r="B44" s="198" t="s">
        <v>341</v>
      </c>
      <c r="C44" s="201" t="str">
        <f>IF(C45*0.1&lt;C43,"Exceed 10% Rule","")</f>
        <v/>
      </c>
      <c r="D44" s="199" t="str">
        <f>IF(D45*0.1&lt;D43,"Exceed 10% Rule","")</f>
        <v/>
      </c>
      <c r="E44" s="199" t="str">
        <f>IF(E45*0.1&lt;E43,"Exceed 10% Rule","")</f>
        <v/>
      </c>
    </row>
    <row r="45" spans="2:5" x14ac:dyDescent="0.25">
      <c r="B45" s="60" t="s">
        <v>342</v>
      </c>
      <c r="C45" s="598">
        <f>SUM(C38:C43)</f>
        <v>0</v>
      </c>
      <c r="D45" s="598">
        <f>SUM(D38:D43)</f>
        <v>0</v>
      </c>
      <c r="E45" s="598">
        <f>SUM(E38:E43)</f>
        <v>0</v>
      </c>
    </row>
    <row r="46" spans="2:5" x14ac:dyDescent="0.25">
      <c r="B46" s="60" t="s">
        <v>344</v>
      </c>
      <c r="C46" s="598">
        <f>C36+C45</f>
        <v>0</v>
      </c>
      <c r="D46" s="598">
        <f>D36+D45</f>
        <v>0</v>
      </c>
      <c r="E46" s="598">
        <f>E36+E45</f>
        <v>0</v>
      </c>
    </row>
    <row r="47" spans="2:5" x14ac:dyDescent="0.25">
      <c r="B47" s="43" t="s">
        <v>346</v>
      </c>
      <c r="C47" s="157"/>
      <c r="D47" s="157"/>
      <c r="E47" s="157"/>
    </row>
    <row r="48" spans="2:5" x14ac:dyDescent="0.25">
      <c r="B48" s="196"/>
      <c r="C48" s="106"/>
      <c r="D48" s="106"/>
      <c r="E48" s="106"/>
    </row>
    <row r="49" spans="2:5" x14ac:dyDescent="0.25">
      <c r="B49" s="196"/>
      <c r="C49" s="106"/>
      <c r="D49" s="106"/>
      <c r="E49" s="106"/>
    </row>
    <row r="50" spans="2:5" x14ac:dyDescent="0.25">
      <c r="B50" s="196"/>
      <c r="C50" s="106"/>
      <c r="D50" s="106"/>
      <c r="E50" s="106"/>
    </row>
    <row r="51" spans="2:5" x14ac:dyDescent="0.25">
      <c r="B51" s="196"/>
      <c r="C51" s="106"/>
      <c r="D51" s="106"/>
      <c r="E51" s="106"/>
    </row>
    <row r="52" spans="2:5" x14ac:dyDescent="0.25">
      <c r="B52" s="196"/>
      <c r="C52" s="106"/>
      <c r="D52" s="106"/>
      <c r="E52" s="106"/>
    </row>
    <row r="53" spans="2:5" x14ac:dyDescent="0.25">
      <c r="B53" s="196"/>
      <c r="C53" s="106"/>
      <c r="D53" s="106"/>
      <c r="E53" s="106"/>
    </row>
    <row r="54" spans="2:5" x14ac:dyDescent="0.25">
      <c r="B54" s="195" t="str">
        <f>CONCATENATE("Cash Reserve (",E1," column)")</f>
        <v>Cash Reserve (2025 column)</v>
      </c>
      <c r="C54" s="106"/>
      <c r="D54" s="106"/>
      <c r="E54" s="106"/>
    </row>
    <row r="55" spans="2:5" x14ac:dyDescent="0.25">
      <c r="B55" s="195" t="s">
        <v>340</v>
      </c>
      <c r="C55" s="106"/>
      <c r="D55" s="193"/>
      <c r="E55" s="193"/>
    </row>
    <row r="56" spans="2:5" x14ac:dyDescent="0.25">
      <c r="B56" s="195" t="s">
        <v>362</v>
      </c>
      <c r="C56" s="201" t="str">
        <f>IF(C57*0.1&lt;C55,"Exceed 10% Rule","")</f>
        <v/>
      </c>
      <c r="D56" s="199" t="str">
        <f>IF(D57*0.1&lt;D55,"Exceed 10% Rule","")</f>
        <v/>
      </c>
      <c r="E56" s="199" t="str">
        <f>IF(E57*0.1&lt;E55,"Exceed 10% Rule","")</f>
        <v/>
      </c>
    </row>
    <row r="57" spans="2:5" x14ac:dyDescent="0.25">
      <c r="B57" s="60" t="s">
        <v>363</v>
      </c>
      <c r="C57" s="598">
        <f>SUM(C48:C55)</f>
        <v>0</v>
      </c>
      <c r="D57" s="598">
        <f>SUM(D48:D55)</f>
        <v>0</v>
      </c>
      <c r="E57" s="598">
        <f>SUM(E48:E55)</f>
        <v>0</v>
      </c>
    </row>
    <row r="58" spans="2:5" x14ac:dyDescent="0.25">
      <c r="B58" s="43" t="s">
        <v>364</v>
      </c>
      <c r="C58" s="431">
        <f>C46-C57</f>
        <v>0</v>
      </c>
      <c r="D58" s="431">
        <f>D46-D57</f>
        <v>0</v>
      </c>
      <c r="E58" s="431">
        <f>E46-E57</f>
        <v>0</v>
      </c>
    </row>
    <row r="59" spans="2:5" x14ac:dyDescent="0.25">
      <c r="B59" s="68" t="str">
        <f>CONCATENATE("",E1-2,"/",E1-1,"/",E1," Budget Authority Amount:")</f>
        <v>2023/2024/2025 Budget Authority Amount:</v>
      </c>
      <c r="C59" s="427">
        <f>inputOth!B106</f>
        <v>0</v>
      </c>
      <c r="D59" s="427">
        <f>inputPrYr!D39</f>
        <v>0</v>
      </c>
      <c r="E59" s="431">
        <f>E57</f>
        <v>0</v>
      </c>
    </row>
    <row r="60" spans="2:5" x14ac:dyDescent="0.25">
      <c r="B60" s="140"/>
      <c r="C60" s="203" t="str">
        <f>IF(C57&gt;C59,"See Tab A","")</f>
        <v/>
      </c>
      <c r="D60" s="203" t="str">
        <f>IF(D57&gt;D59,"See Tab C","")</f>
        <v/>
      </c>
      <c r="E60" s="433" t="str">
        <f>IF(E58&lt;0,"See Tab E","")</f>
        <v/>
      </c>
    </row>
    <row r="61" spans="2:5" x14ac:dyDescent="0.25">
      <c r="B61" s="511" t="s">
        <v>203</v>
      </c>
      <c r="C61" s="433"/>
      <c r="D61" s="433"/>
      <c r="E61" s="506"/>
    </row>
    <row r="62" spans="2:5" x14ac:dyDescent="0.25">
      <c r="B62" s="507"/>
      <c r="C62" s="203"/>
      <c r="D62" s="203"/>
      <c r="E62" s="508"/>
    </row>
    <row r="63" spans="2:5" x14ac:dyDescent="0.25">
      <c r="B63" s="509"/>
      <c r="C63" s="510" t="str">
        <f>IF(C58&lt;0,"See Tab B","")</f>
        <v/>
      </c>
      <c r="D63" s="646" t="str">
        <f>IF(D58&lt;0,"See Tab D","")</f>
        <v/>
      </c>
      <c r="E63" s="52"/>
    </row>
    <row r="64" spans="2:5" x14ac:dyDescent="0.25">
      <c r="B64" s="35"/>
      <c r="C64" s="35"/>
      <c r="D64" s="35"/>
      <c r="E64" s="35"/>
    </row>
    <row r="65" spans="2:5" x14ac:dyDescent="0.25">
      <c r="B65" s="136" t="s">
        <v>394</v>
      </c>
      <c r="C65" s="442"/>
      <c r="D65" s="35"/>
      <c r="E65" s="35"/>
    </row>
  </sheetData>
  <sheetProtection sheet="1"/>
  <phoneticPr fontId="10" type="noConversion"/>
  <conditionalFormatting sqref="C13">
    <cfRule type="cellIs" dxfId="26" priority="30" stopIfTrue="1" operator="greaterThan">
      <formula>$C$15*0.1</formula>
    </cfRule>
  </conditionalFormatting>
  <conditionalFormatting sqref="C25">
    <cfRule type="cellIs" dxfId="25" priority="21" stopIfTrue="1" operator="greaterThan">
      <formula>$C$27*0.1</formula>
    </cfRule>
  </conditionalFormatting>
  <conditionalFormatting sqref="C27">
    <cfRule type="expression" dxfId="24" priority="10">
      <formula>$C$27&gt;$C$29</formula>
    </cfRule>
  </conditionalFormatting>
  <conditionalFormatting sqref="C28">
    <cfRule type="expression" dxfId="23" priority="9">
      <formula>$C$28&lt;0</formula>
    </cfRule>
  </conditionalFormatting>
  <conditionalFormatting sqref="C43">
    <cfRule type="cellIs" dxfId="22" priority="27" stopIfTrue="1" operator="greaterThan">
      <formula>$C$45*0.1</formula>
    </cfRule>
  </conditionalFormatting>
  <conditionalFormatting sqref="C55">
    <cfRule type="cellIs" dxfId="21" priority="24" stopIfTrue="1" operator="greaterThan">
      <formula>$C$57*0.1</formula>
    </cfRule>
  </conditionalFormatting>
  <conditionalFormatting sqref="C57">
    <cfRule type="expression" dxfId="20" priority="5">
      <formula>$C$57&gt;$C$59</formula>
    </cfRule>
  </conditionalFormatting>
  <conditionalFormatting sqref="C58">
    <cfRule type="expression" dxfId="19" priority="4">
      <formula>$C$58&lt;0</formula>
    </cfRule>
  </conditionalFormatting>
  <conditionalFormatting sqref="D13">
    <cfRule type="cellIs" dxfId="18" priority="31" stopIfTrue="1" operator="greaterThan">
      <formula>$D$15*0.1</formula>
    </cfRule>
  </conditionalFormatting>
  <conditionalFormatting sqref="D25">
    <cfRule type="cellIs" dxfId="17" priority="22" stopIfTrue="1" operator="greaterThan">
      <formula>$D$27*0.1</formula>
    </cfRule>
  </conditionalFormatting>
  <conditionalFormatting sqref="D27">
    <cfRule type="expression" dxfId="16" priority="8">
      <formula>$D$27&gt;$D$29</formula>
    </cfRule>
  </conditionalFormatting>
  <conditionalFormatting sqref="D28">
    <cfRule type="expression" dxfId="15" priority="7">
      <formula>$D$28&lt;0</formula>
    </cfRule>
  </conditionalFormatting>
  <conditionalFormatting sqref="D43">
    <cfRule type="cellIs" dxfId="14" priority="28" stopIfTrue="1" operator="greaterThan">
      <formula>$D$45*0.1</formula>
    </cfRule>
  </conditionalFormatting>
  <conditionalFormatting sqref="D55">
    <cfRule type="cellIs" dxfId="13" priority="25" stopIfTrue="1" operator="greaterThan">
      <formula>$D$57*0.1</formula>
    </cfRule>
  </conditionalFormatting>
  <conditionalFormatting sqref="D57">
    <cfRule type="expression" dxfId="12" priority="3">
      <formula>$D$57&gt;$D$59</formula>
    </cfRule>
  </conditionalFormatting>
  <conditionalFormatting sqref="D58">
    <cfRule type="expression" dxfId="11" priority="2">
      <formula>$D$58&lt;0</formula>
    </cfRule>
  </conditionalFormatting>
  <conditionalFormatting sqref="E13">
    <cfRule type="cellIs" dxfId="10" priority="32" stopIfTrue="1" operator="greaterThan">
      <formula>$E$15*0.1</formula>
    </cfRule>
  </conditionalFormatting>
  <conditionalFormatting sqref="E25">
    <cfRule type="cellIs" dxfId="9" priority="23" stopIfTrue="1" operator="greaterThan">
      <formula>$E$27*0.1</formula>
    </cfRule>
  </conditionalFormatting>
  <conditionalFormatting sqref="E28">
    <cfRule type="expression" dxfId="8" priority="6">
      <formula>$E$28&lt;0</formula>
    </cfRule>
  </conditionalFormatting>
  <conditionalFormatting sqref="E43">
    <cfRule type="cellIs" dxfId="7" priority="29" stopIfTrue="1" operator="greaterThan">
      <formula>$E$45*0.1</formula>
    </cfRule>
  </conditionalFormatting>
  <conditionalFormatting sqref="E55">
    <cfRule type="cellIs" dxfId="6" priority="26" stopIfTrue="1" operator="greaterThan">
      <formula>$E$57*0.1</formula>
    </cfRule>
  </conditionalFormatting>
  <conditionalFormatting sqref="E58">
    <cfRule type="expression" dxfId="5" priority="1">
      <formula>$E$58&lt;0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rgb="FF00B0F0"/>
    <pageSetUpPr fitToPage="1"/>
  </sheetPr>
  <dimension ref="A1:L45"/>
  <sheetViews>
    <sheetView workbookViewId="0">
      <selection activeCell="L1" sqref="L1"/>
    </sheetView>
  </sheetViews>
  <sheetFormatPr defaultRowHeight="15.75" x14ac:dyDescent="0.25"/>
  <cols>
    <col min="1" max="1" width="10.3984375" style="65" customWidth="1"/>
    <col min="2" max="2" width="6.69921875" style="65" customWidth="1"/>
    <col min="3" max="3" width="10.3984375" style="65" customWidth="1"/>
    <col min="4" max="4" width="6.69921875" style="65" customWidth="1"/>
    <col min="5" max="5" width="10.3984375" style="65" customWidth="1"/>
    <col min="6" max="6" width="6.69921875" style="65" customWidth="1"/>
    <col min="7" max="7" width="10.3984375" style="65" customWidth="1"/>
    <col min="8" max="8" width="6.69921875" style="65" customWidth="1"/>
    <col min="9" max="9" width="10.3984375" style="65" customWidth="1"/>
    <col min="10" max="16384" width="8.796875" style="65"/>
  </cols>
  <sheetData>
    <row r="1" spans="1:11" x14ac:dyDescent="0.25">
      <c r="A1" s="72">
        <f>inputPrYr!$D$4</f>
        <v>0</v>
      </c>
      <c r="B1" s="69"/>
      <c r="C1" s="35"/>
      <c r="D1" s="35"/>
      <c r="E1" s="35"/>
      <c r="F1" s="70" t="s">
        <v>395</v>
      </c>
      <c r="G1" s="35"/>
      <c r="H1" s="35"/>
      <c r="I1" s="35"/>
      <c r="J1" s="35"/>
      <c r="K1" s="35">
        <f>inputPrYr!$D$10</f>
        <v>2025</v>
      </c>
    </row>
    <row r="2" spans="1:11" x14ac:dyDescent="0.25">
      <c r="A2" s="35"/>
      <c r="B2" s="35"/>
      <c r="C2" s="35"/>
      <c r="D2" s="35"/>
      <c r="E2" s="35"/>
      <c r="F2" s="71" t="str">
        <f>CONCATENATE("(Only the actual budget year for ",K1-2," is reported)")</f>
        <v>(Only the actual budget year for 2023 is reported)</v>
      </c>
      <c r="G2" s="35"/>
      <c r="H2" s="35"/>
      <c r="I2" s="35"/>
      <c r="J2" s="35"/>
      <c r="K2" s="35"/>
    </row>
    <row r="3" spans="1:11" x14ac:dyDescent="0.25">
      <c r="A3" s="35" t="s">
        <v>396</v>
      </c>
      <c r="B3" s="35"/>
      <c r="C3" s="35"/>
      <c r="D3" s="35"/>
      <c r="E3" s="35"/>
      <c r="F3" s="69"/>
      <c r="G3" s="35"/>
      <c r="H3" s="35"/>
      <c r="I3" s="35"/>
      <c r="J3" s="35"/>
      <c r="K3" s="35"/>
    </row>
    <row r="4" spans="1:11" x14ac:dyDescent="0.25">
      <c r="A4" s="35" t="s">
        <v>397</v>
      </c>
      <c r="B4" s="35"/>
      <c r="C4" s="35" t="s">
        <v>398</v>
      </c>
      <c r="D4" s="35"/>
      <c r="E4" s="35" t="s">
        <v>399</v>
      </c>
      <c r="F4" s="69"/>
      <c r="G4" s="35" t="s">
        <v>400</v>
      </c>
      <c r="H4" s="35"/>
      <c r="I4" s="35" t="s">
        <v>401</v>
      </c>
      <c r="J4" s="35"/>
      <c r="K4" s="35"/>
    </row>
    <row r="5" spans="1:11" x14ac:dyDescent="0.25">
      <c r="A5" s="784">
        <f>inputPrYr!B42</f>
        <v>0</v>
      </c>
      <c r="B5" s="785"/>
      <c r="C5" s="784">
        <f>inputPrYr!B43</f>
        <v>0</v>
      </c>
      <c r="D5" s="785"/>
      <c r="E5" s="784">
        <f>inputPrYr!B44</f>
        <v>0</v>
      </c>
      <c r="F5" s="785"/>
      <c r="G5" s="786">
        <f>inputPrYr!B45</f>
        <v>0</v>
      </c>
      <c r="H5" s="785"/>
      <c r="I5" s="786">
        <f>inputPrYr!B46</f>
        <v>0</v>
      </c>
      <c r="J5" s="785"/>
      <c r="K5" s="42"/>
    </row>
    <row r="6" spans="1:11" x14ac:dyDescent="0.25">
      <c r="A6" s="73" t="s">
        <v>402</v>
      </c>
      <c r="B6" s="74"/>
      <c r="C6" s="75" t="s">
        <v>402</v>
      </c>
      <c r="D6" s="76"/>
      <c r="E6" s="75" t="s">
        <v>402</v>
      </c>
      <c r="F6" s="77"/>
      <c r="G6" s="75" t="s">
        <v>402</v>
      </c>
      <c r="H6" s="44"/>
      <c r="I6" s="75" t="s">
        <v>402</v>
      </c>
      <c r="J6" s="35"/>
      <c r="K6" s="51" t="s">
        <v>126</v>
      </c>
    </row>
    <row r="7" spans="1:11" x14ac:dyDescent="0.25">
      <c r="A7" s="78" t="s">
        <v>403</v>
      </c>
      <c r="B7" s="79"/>
      <c r="C7" s="80" t="s">
        <v>403</v>
      </c>
      <c r="D7" s="79"/>
      <c r="E7" s="80" t="s">
        <v>403</v>
      </c>
      <c r="F7" s="79"/>
      <c r="G7" s="80" t="s">
        <v>403</v>
      </c>
      <c r="H7" s="79"/>
      <c r="I7" s="80" t="s">
        <v>403</v>
      </c>
      <c r="J7" s="79"/>
      <c r="K7" s="81">
        <f>SUM(B7+D7+F7+H7+J7)</f>
        <v>0</v>
      </c>
    </row>
    <row r="8" spans="1:11" x14ac:dyDescent="0.25">
      <c r="A8" s="82" t="s">
        <v>332</v>
      </c>
      <c r="B8" s="83"/>
      <c r="C8" s="82" t="s">
        <v>332</v>
      </c>
      <c r="D8" s="84"/>
      <c r="E8" s="82" t="s">
        <v>332</v>
      </c>
      <c r="F8" s="69"/>
      <c r="G8" s="82" t="s">
        <v>332</v>
      </c>
      <c r="H8" s="35"/>
      <c r="I8" s="82" t="s">
        <v>332</v>
      </c>
      <c r="J8" s="35"/>
      <c r="K8" s="69"/>
    </row>
    <row r="9" spans="1:11" x14ac:dyDescent="0.25">
      <c r="A9" s="85"/>
      <c r="B9" s="79"/>
      <c r="C9" s="85"/>
      <c r="D9" s="79"/>
      <c r="E9" s="85"/>
      <c r="F9" s="79"/>
      <c r="G9" s="85"/>
      <c r="H9" s="79"/>
      <c r="I9" s="85"/>
      <c r="J9" s="79"/>
      <c r="K9" s="69"/>
    </row>
    <row r="10" spans="1:11" x14ac:dyDescent="0.25">
      <c r="A10" s="85"/>
      <c r="B10" s="79"/>
      <c r="C10" s="85"/>
      <c r="D10" s="79"/>
      <c r="E10" s="85"/>
      <c r="F10" s="79"/>
      <c r="G10" s="85"/>
      <c r="H10" s="79"/>
      <c r="I10" s="85"/>
      <c r="J10" s="79"/>
      <c r="K10" s="69"/>
    </row>
    <row r="11" spans="1:11" x14ac:dyDescent="0.25">
      <c r="A11" s="85"/>
      <c r="B11" s="79"/>
      <c r="C11" s="86"/>
      <c r="D11" s="87"/>
      <c r="E11" s="86"/>
      <c r="F11" s="79"/>
      <c r="G11" s="86"/>
      <c r="H11" s="79"/>
      <c r="I11" s="88"/>
      <c r="J11" s="79"/>
      <c r="K11" s="69"/>
    </row>
    <row r="12" spans="1:11" x14ac:dyDescent="0.25">
      <c r="A12" s="85"/>
      <c r="B12" s="89"/>
      <c r="C12" s="85"/>
      <c r="D12" s="90"/>
      <c r="E12" s="91"/>
      <c r="F12" s="79"/>
      <c r="G12" s="91"/>
      <c r="H12" s="79"/>
      <c r="I12" s="91"/>
      <c r="J12" s="79"/>
      <c r="K12" s="69"/>
    </row>
    <row r="13" spans="1:11" x14ac:dyDescent="0.25">
      <c r="A13" s="92"/>
      <c r="B13" s="93"/>
      <c r="C13" s="94"/>
      <c r="D13" s="90"/>
      <c r="E13" s="94"/>
      <c r="F13" s="79"/>
      <c r="G13" s="94"/>
      <c r="H13" s="79"/>
      <c r="I13" s="88"/>
      <c r="J13" s="79"/>
      <c r="K13" s="69"/>
    </row>
    <row r="14" spans="1:11" x14ac:dyDescent="0.25">
      <c r="A14" s="85"/>
      <c r="B14" s="79"/>
      <c r="C14" s="91"/>
      <c r="D14" s="90"/>
      <c r="E14" s="91"/>
      <c r="F14" s="79"/>
      <c r="G14" s="91"/>
      <c r="H14" s="79"/>
      <c r="I14" s="91"/>
      <c r="J14" s="79"/>
      <c r="K14" s="69"/>
    </row>
    <row r="15" spans="1:11" x14ac:dyDescent="0.25">
      <c r="A15" s="85"/>
      <c r="B15" s="79"/>
      <c r="C15" s="91"/>
      <c r="D15" s="90"/>
      <c r="E15" s="91"/>
      <c r="F15" s="79"/>
      <c r="G15" s="91"/>
      <c r="H15" s="79"/>
      <c r="I15" s="91"/>
      <c r="J15" s="79"/>
      <c r="K15" s="69"/>
    </row>
    <row r="16" spans="1:11" x14ac:dyDescent="0.25">
      <c r="A16" s="85"/>
      <c r="B16" s="93"/>
      <c r="C16" s="85"/>
      <c r="D16" s="90"/>
      <c r="E16" s="85"/>
      <c r="F16" s="79"/>
      <c r="G16" s="91"/>
      <c r="H16" s="79"/>
      <c r="I16" s="85"/>
      <c r="J16" s="79"/>
      <c r="K16" s="69"/>
    </row>
    <row r="17" spans="1:12" x14ac:dyDescent="0.25">
      <c r="A17" s="82" t="s">
        <v>342</v>
      </c>
      <c r="B17" s="81">
        <f>SUM(B9:B16)</f>
        <v>0</v>
      </c>
      <c r="C17" s="82" t="s">
        <v>342</v>
      </c>
      <c r="D17" s="81">
        <f>SUM(D9:D16)</f>
        <v>0</v>
      </c>
      <c r="E17" s="82" t="s">
        <v>342</v>
      </c>
      <c r="F17" s="95">
        <f>SUM(F9:F16)</f>
        <v>0</v>
      </c>
      <c r="G17" s="82" t="s">
        <v>342</v>
      </c>
      <c r="H17" s="81">
        <f>SUM(H9:H16)</f>
        <v>0</v>
      </c>
      <c r="I17" s="82" t="s">
        <v>342</v>
      </c>
      <c r="J17" s="81">
        <f>SUM(J9:J16)</f>
        <v>0</v>
      </c>
      <c r="K17" s="81">
        <f>SUM(B17+D17+F17+H17+J17)</f>
        <v>0</v>
      </c>
    </row>
    <row r="18" spans="1:12" x14ac:dyDescent="0.25">
      <c r="A18" s="82" t="s">
        <v>344</v>
      </c>
      <c r="B18" s="81">
        <f>SUM(B7+B17)</f>
        <v>0</v>
      </c>
      <c r="C18" s="82" t="s">
        <v>344</v>
      </c>
      <c r="D18" s="81">
        <f>SUM(D7+D17)</f>
        <v>0</v>
      </c>
      <c r="E18" s="82" t="s">
        <v>344</v>
      </c>
      <c r="F18" s="81">
        <f>SUM(F7+F17)</f>
        <v>0</v>
      </c>
      <c r="G18" s="82" t="s">
        <v>344</v>
      </c>
      <c r="H18" s="81">
        <f>SUM(H7+H17)</f>
        <v>0</v>
      </c>
      <c r="I18" s="82" t="s">
        <v>344</v>
      </c>
      <c r="J18" s="81">
        <f>SUM(J7+J17)</f>
        <v>0</v>
      </c>
      <c r="K18" s="81">
        <f>SUM(B18+D18+F18+H18+J18)</f>
        <v>0</v>
      </c>
    </row>
    <row r="19" spans="1:12" x14ac:dyDescent="0.25">
      <c r="A19" s="82" t="s">
        <v>346</v>
      </c>
      <c r="B19" s="83"/>
      <c r="C19" s="82" t="s">
        <v>346</v>
      </c>
      <c r="D19" s="84"/>
      <c r="E19" s="82" t="s">
        <v>346</v>
      </c>
      <c r="F19" s="69"/>
      <c r="G19" s="82" t="s">
        <v>346</v>
      </c>
      <c r="H19" s="35"/>
      <c r="I19" s="82" t="s">
        <v>346</v>
      </c>
      <c r="J19" s="35"/>
      <c r="K19" s="69"/>
    </row>
    <row r="20" spans="1:12" x14ac:dyDescent="0.25">
      <c r="A20" s="85"/>
      <c r="B20" s="79"/>
      <c r="C20" s="91"/>
      <c r="D20" s="79"/>
      <c r="E20" s="91"/>
      <c r="F20" s="79"/>
      <c r="G20" s="91"/>
      <c r="H20" s="79"/>
      <c r="I20" s="91"/>
      <c r="J20" s="79"/>
      <c r="K20" s="69"/>
    </row>
    <row r="21" spans="1:12" x14ac:dyDescent="0.25">
      <c r="A21" s="85"/>
      <c r="B21" s="79"/>
      <c r="C21" s="91"/>
      <c r="D21" s="79"/>
      <c r="E21" s="91"/>
      <c r="F21" s="79"/>
      <c r="G21" s="91"/>
      <c r="H21" s="79"/>
      <c r="I21" s="91"/>
      <c r="J21" s="79"/>
      <c r="K21" s="69"/>
    </row>
    <row r="22" spans="1:12" x14ac:dyDescent="0.25">
      <c r="A22" s="85"/>
      <c r="B22" s="79"/>
      <c r="C22" s="94"/>
      <c r="D22" s="79"/>
      <c r="E22" s="94"/>
      <c r="F22" s="79"/>
      <c r="G22" s="94"/>
      <c r="H22" s="79"/>
      <c r="I22" s="88"/>
      <c r="J22" s="79"/>
      <c r="K22" s="69"/>
    </row>
    <row r="23" spans="1:12" x14ac:dyDescent="0.25">
      <c r="A23" s="85"/>
      <c r="B23" s="79"/>
      <c r="C23" s="91"/>
      <c r="D23" s="79"/>
      <c r="E23" s="91"/>
      <c r="F23" s="79"/>
      <c r="G23" s="91"/>
      <c r="H23" s="79"/>
      <c r="I23" s="91"/>
      <c r="J23" s="79"/>
      <c r="K23" s="69"/>
    </row>
    <row r="24" spans="1:12" x14ac:dyDescent="0.25">
      <c r="A24" s="85"/>
      <c r="B24" s="79"/>
      <c r="C24" s="94"/>
      <c r="D24" s="79"/>
      <c r="E24" s="94"/>
      <c r="F24" s="79"/>
      <c r="G24" s="94"/>
      <c r="H24" s="79"/>
      <c r="I24" s="88"/>
      <c r="J24" s="79"/>
      <c r="K24" s="69"/>
    </row>
    <row r="25" spans="1:12" x14ac:dyDescent="0.25">
      <c r="A25" s="85"/>
      <c r="B25" s="79"/>
      <c r="C25" s="91"/>
      <c r="D25" s="79"/>
      <c r="E25" s="91"/>
      <c r="F25" s="79"/>
      <c r="G25" s="91"/>
      <c r="H25" s="79"/>
      <c r="I25" s="91"/>
      <c r="J25" s="79"/>
      <c r="K25" s="69"/>
    </row>
    <row r="26" spans="1:12" x14ac:dyDescent="0.25">
      <c r="A26" s="85"/>
      <c r="B26" s="79"/>
      <c r="C26" s="91"/>
      <c r="D26" s="79"/>
      <c r="E26" s="91"/>
      <c r="F26" s="79"/>
      <c r="G26" s="91"/>
      <c r="H26" s="79"/>
      <c r="I26" s="91"/>
      <c r="J26" s="79"/>
      <c r="K26" s="69"/>
    </row>
    <row r="27" spans="1:12" x14ac:dyDescent="0.25">
      <c r="A27" s="85"/>
      <c r="B27" s="79"/>
      <c r="C27" s="85"/>
      <c r="D27" s="79"/>
      <c r="E27" s="85"/>
      <c r="F27" s="79"/>
      <c r="G27" s="91"/>
      <c r="H27" s="79"/>
      <c r="I27" s="91"/>
      <c r="J27" s="79"/>
      <c r="K27" s="69"/>
    </row>
    <row r="28" spans="1:12" x14ac:dyDescent="0.25">
      <c r="A28" s="82" t="s">
        <v>363</v>
      </c>
      <c r="B28" s="81">
        <f>SUM(B20:B27)</f>
        <v>0</v>
      </c>
      <c r="C28" s="82" t="s">
        <v>363</v>
      </c>
      <c r="D28" s="81">
        <f>SUM(D20:D27)</f>
        <v>0</v>
      </c>
      <c r="E28" s="82" t="s">
        <v>363</v>
      </c>
      <c r="F28" s="95">
        <f>SUM(F20:F27)</f>
        <v>0</v>
      </c>
      <c r="G28" s="82" t="s">
        <v>363</v>
      </c>
      <c r="H28" s="95">
        <f>SUM(H20:H27)</f>
        <v>0</v>
      </c>
      <c r="I28" s="82" t="s">
        <v>363</v>
      </c>
      <c r="J28" s="81">
        <f>SUM(J20:J27)</f>
        <v>0</v>
      </c>
      <c r="K28" s="81">
        <f>SUM(B28+D28+F28+H28+J28)</f>
        <v>0</v>
      </c>
    </row>
    <row r="29" spans="1:12" x14ac:dyDescent="0.25">
      <c r="A29" s="82" t="s">
        <v>404</v>
      </c>
      <c r="B29" s="81">
        <f>SUM(B18-B28)</f>
        <v>0</v>
      </c>
      <c r="C29" s="82" t="s">
        <v>404</v>
      </c>
      <c r="D29" s="81">
        <f>SUM(D18-D28)</f>
        <v>0</v>
      </c>
      <c r="E29" s="82" t="s">
        <v>404</v>
      </c>
      <c r="F29" s="81">
        <f>SUM(F18-F28)</f>
        <v>0</v>
      </c>
      <c r="G29" s="82" t="s">
        <v>404</v>
      </c>
      <c r="H29" s="81">
        <f>SUM(H18-H28)</f>
        <v>0</v>
      </c>
      <c r="I29" s="82" t="s">
        <v>404</v>
      </c>
      <c r="J29" s="81">
        <f>SUM(J18-J28)</f>
        <v>0</v>
      </c>
      <c r="K29" s="96">
        <f>SUM(B29+D29+F29+H29+J29)</f>
        <v>0</v>
      </c>
      <c r="L29" s="65" t="s">
        <v>405</v>
      </c>
    </row>
    <row r="30" spans="1:12" x14ac:dyDescent="0.25">
      <c r="A30" s="82"/>
      <c r="B30" s="225" t="str">
        <f>IF(B29&lt;0,"See Tab B","")</f>
        <v/>
      </c>
      <c r="C30" s="82"/>
      <c r="D30" s="225" t="str">
        <f>IF(D29&lt;0,"See Tab B","")</f>
        <v/>
      </c>
      <c r="E30" s="82"/>
      <c r="F30" s="225" t="str">
        <f>IF(F29&lt;0,"See Tab B","")</f>
        <v/>
      </c>
      <c r="G30" s="35"/>
      <c r="H30" s="225" t="str">
        <f>IF(H29&lt;0,"See Tab B","")</f>
        <v/>
      </c>
      <c r="I30" s="35"/>
      <c r="J30" s="225" t="str">
        <f>IF(J29&lt;0,"See Tab B","")</f>
        <v/>
      </c>
      <c r="K30" s="96">
        <f>SUM(K7+K17-K28)</f>
        <v>0</v>
      </c>
      <c r="L30" s="65" t="s">
        <v>405</v>
      </c>
    </row>
    <row r="31" spans="1:12" x14ac:dyDescent="0.25">
      <c r="A31" s="35"/>
      <c r="B31" s="97"/>
      <c r="C31" s="35"/>
      <c r="D31" s="69"/>
      <c r="E31" s="35"/>
      <c r="F31" s="35"/>
      <c r="G31" s="35"/>
      <c r="H31" s="783" t="s">
        <v>406</v>
      </c>
      <c r="I31" s="783"/>
      <c r="J31" s="783"/>
      <c r="K31" s="783"/>
    </row>
    <row r="32" spans="1:12" x14ac:dyDescent="0.25">
      <c r="A32" s="35"/>
      <c r="B32" s="97"/>
      <c r="C32" s="35"/>
      <c r="D32" s="35"/>
      <c r="E32" s="35"/>
      <c r="F32" s="35"/>
      <c r="G32" s="35"/>
      <c r="H32" s="35"/>
      <c r="I32" s="35"/>
      <c r="J32" s="35"/>
      <c r="K32" s="35"/>
    </row>
    <row r="33" spans="1:11" x14ac:dyDescent="0.25">
      <c r="A33" s="490" t="s">
        <v>203</v>
      </c>
      <c r="B33" s="512"/>
      <c r="C33" s="436"/>
      <c r="D33" s="436"/>
      <c r="E33" s="436"/>
      <c r="F33" s="436"/>
      <c r="G33" s="436"/>
      <c r="H33" s="436"/>
      <c r="I33" s="436"/>
      <c r="J33" s="436"/>
      <c r="K33" s="45"/>
    </row>
    <row r="34" spans="1:11" x14ac:dyDescent="0.25">
      <c r="A34" s="251"/>
      <c r="B34" s="97"/>
      <c r="C34" s="35"/>
      <c r="D34" s="35"/>
      <c r="E34" s="35"/>
      <c r="F34" s="35"/>
      <c r="G34" s="35"/>
      <c r="H34" s="35"/>
      <c r="I34" s="35"/>
      <c r="J34" s="35"/>
      <c r="K34" s="47"/>
    </row>
    <row r="35" spans="1:11" x14ac:dyDescent="0.25">
      <c r="A35" s="491"/>
      <c r="B35" s="435"/>
      <c r="C35" s="42"/>
      <c r="D35" s="42"/>
      <c r="E35" s="42"/>
      <c r="F35" s="42"/>
      <c r="G35" s="42"/>
      <c r="H35" s="42"/>
      <c r="I35" s="42"/>
      <c r="J35" s="42"/>
      <c r="K35" s="52"/>
    </row>
    <row r="36" spans="1:11" x14ac:dyDescent="0.25">
      <c r="A36" s="35"/>
      <c r="B36" s="97"/>
      <c r="C36" s="35"/>
      <c r="D36" s="35"/>
      <c r="E36" s="35"/>
      <c r="F36" s="35"/>
      <c r="G36" s="35"/>
      <c r="H36" s="35"/>
      <c r="I36" s="35"/>
      <c r="J36" s="35"/>
      <c r="K36" s="35"/>
    </row>
    <row r="37" spans="1:11" x14ac:dyDescent="0.25">
      <c r="A37" s="35"/>
      <c r="B37" s="97"/>
      <c r="C37" s="35"/>
      <c r="D37" s="35"/>
      <c r="E37" s="140" t="s">
        <v>370</v>
      </c>
      <c r="F37" s="442"/>
      <c r="G37" s="35"/>
      <c r="H37" s="35"/>
      <c r="I37" s="35"/>
      <c r="J37" s="35"/>
      <c r="K37" s="35"/>
    </row>
    <row r="38" spans="1:11" x14ac:dyDescent="0.25">
      <c r="B38" s="98"/>
    </row>
    <row r="39" spans="1:11" x14ac:dyDescent="0.25">
      <c r="B39" s="98"/>
    </row>
    <row r="40" spans="1:11" x14ac:dyDescent="0.25">
      <c r="B40" s="98"/>
    </row>
    <row r="41" spans="1:11" x14ac:dyDescent="0.25">
      <c r="B41" s="98"/>
    </row>
    <row r="42" spans="1:11" x14ac:dyDescent="0.25">
      <c r="B42" s="98"/>
    </row>
    <row r="43" spans="1:11" x14ac:dyDescent="0.25">
      <c r="B43" s="98"/>
    </row>
    <row r="44" spans="1:11" x14ac:dyDescent="0.25">
      <c r="B44" s="98"/>
    </row>
    <row r="45" spans="1:11" x14ac:dyDescent="0.25">
      <c r="B45" s="98"/>
    </row>
  </sheetData>
  <sheetProtection sheet="1"/>
  <mergeCells count="6">
    <mergeCell ref="H31:K31"/>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A22"/>
  <sheetViews>
    <sheetView workbookViewId="0">
      <selection activeCell="M69" sqref="M69"/>
    </sheetView>
  </sheetViews>
  <sheetFormatPr defaultRowHeight="15.75" x14ac:dyDescent="0.25"/>
  <cols>
    <col min="1" max="1" width="62.3984375" style="62" customWidth="1"/>
    <col min="2" max="16384" width="8.796875" style="62"/>
  </cols>
  <sheetData>
    <row r="1" spans="1:1" ht="20.25" x14ac:dyDescent="0.25">
      <c r="A1" s="226" t="s">
        <v>407</v>
      </c>
    </row>
    <row r="2" spans="1:1" ht="53.25" customHeight="1" x14ac:dyDescent="0.25">
      <c r="A2" s="138" t="s">
        <v>408</v>
      </c>
    </row>
    <row r="3" spans="1:1" x14ac:dyDescent="0.25">
      <c r="A3" s="629"/>
    </row>
    <row r="4" spans="1:1" ht="58.5" customHeight="1" x14ac:dyDescent="0.25">
      <c r="A4" s="138" t="s">
        <v>409</v>
      </c>
    </row>
    <row r="5" spans="1:1" x14ac:dyDescent="0.25">
      <c r="A5" s="65"/>
    </row>
    <row r="6" spans="1:1" ht="55.5" customHeight="1" x14ac:dyDescent="0.25">
      <c r="A6" s="138" t="s">
        <v>410</v>
      </c>
    </row>
    <row r="7" spans="1:1" x14ac:dyDescent="0.25">
      <c r="A7" s="629"/>
    </row>
    <row r="8" spans="1:1" ht="42.75" customHeight="1" x14ac:dyDescent="0.25">
      <c r="A8" s="138" t="s">
        <v>411</v>
      </c>
    </row>
    <row r="9" spans="1:1" x14ac:dyDescent="0.25">
      <c r="A9" s="65"/>
    </row>
    <row r="10" spans="1:1" ht="31.5" x14ac:dyDescent="0.25">
      <c r="A10" s="138" t="s">
        <v>412</v>
      </c>
    </row>
    <row r="11" spans="1:1" x14ac:dyDescent="0.25">
      <c r="A11" s="629"/>
    </row>
    <row r="12" spans="1:1" ht="69.75" customHeight="1" x14ac:dyDescent="0.25">
      <c r="A12" s="138" t="s">
        <v>413</v>
      </c>
    </row>
    <row r="13" spans="1:1" x14ac:dyDescent="0.25">
      <c r="A13" s="629"/>
    </row>
    <row r="14" spans="1:1" ht="40.5" customHeight="1" x14ac:dyDescent="0.25">
      <c r="A14" s="138" t="s">
        <v>414</v>
      </c>
    </row>
    <row r="15" spans="1:1" x14ac:dyDescent="0.25">
      <c r="A15" s="65"/>
    </row>
    <row r="16" spans="1:1" ht="56.25" customHeight="1" x14ac:dyDescent="0.25">
      <c r="A16" s="138" t="s">
        <v>415</v>
      </c>
    </row>
    <row r="17" spans="1:1" x14ac:dyDescent="0.25">
      <c r="A17" s="629"/>
    </row>
    <row r="18" spans="1:1" ht="54.75" customHeight="1" x14ac:dyDescent="0.25">
      <c r="A18" s="138" t="s">
        <v>416</v>
      </c>
    </row>
    <row r="19" spans="1:1" x14ac:dyDescent="0.25">
      <c r="A19" s="629"/>
    </row>
    <row r="20" spans="1:1" ht="55.5" customHeight="1" x14ac:dyDescent="0.25">
      <c r="A20" s="138" t="s">
        <v>417</v>
      </c>
    </row>
    <row r="21" spans="1:1" x14ac:dyDescent="0.25">
      <c r="A21" s="629"/>
    </row>
    <row r="22" spans="1:1" ht="76.5" customHeight="1" x14ac:dyDescent="0.25">
      <c r="A22" s="138" t="s">
        <v>418</v>
      </c>
    </row>
  </sheetData>
  <sheetProtection sheet="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00B0F0"/>
    <pageSetUpPr fitToPage="1"/>
  </sheetPr>
  <dimension ref="A1:N116"/>
  <sheetViews>
    <sheetView zoomScaleNormal="100" workbookViewId="0">
      <selection activeCell="I1" sqref="I1"/>
    </sheetView>
  </sheetViews>
  <sheetFormatPr defaultRowHeight="15.75" x14ac:dyDescent="0.25"/>
  <cols>
    <col min="1" max="1" width="20.69921875" style="99" customWidth="1"/>
    <col min="2" max="2" width="12.69921875" style="99" customWidth="1"/>
    <col min="3" max="3" width="9.69921875" style="99" customWidth="1"/>
    <col min="4" max="4" width="12.69921875" style="99" customWidth="1"/>
    <col min="5" max="5" width="9.69921875" style="99" customWidth="1"/>
    <col min="6" max="6" width="12.69921875" style="99" customWidth="1"/>
    <col min="7" max="7" width="10.69921875" style="99" customWidth="1"/>
    <col min="8" max="8" width="9.69921875" style="99" customWidth="1"/>
    <col min="9" max="11" width="8.796875" style="99"/>
    <col min="12" max="12" width="10.69921875" style="99" customWidth="1"/>
    <col min="13" max="13" width="8.5" style="99" customWidth="1"/>
    <col min="14" max="16384" width="8.796875" style="99"/>
  </cols>
  <sheetData>
    <row r="1" spans="1:13" x14ac:dyDescent="0.25">
      <c r="A1" s="35"/>
      <c r="B1" s="35"/>
      <c r="C1" s="35"/>
      <c r="D1" s="35"/>
      <c r="E1" s="35"/>
      <c r="F1" s="35"/>
      <c r="G1" s="35"/>
      <c r="H1" s="36">
        <f>inputPrYr!D10</f>
        <v>2025</v>
      </c>
    </row>
    <row r="2" spans="1:13" x14ac:dyDescent="0.25">
      <c r="A2" s="804" t="s">
        <v>419</v>
      </c>
      <c r="B2" s="728"/>
      <c r="C2" s="728"/>
      <c r="D2" s="728"/>
      <c r="E2" s="728"/>
      <c r="F2" s="728"/>
      <c r="G2" s="728"/>
      <c r="H2" s="728"/>
      <c r="J2" s="787" t="str">
        <f>CONCATENATE("Estimated Value Of One Mill For ",H1,"")</f>
        <v>Estimated Value Of One Mill For 2025</v>
      </c>
      <c r="K2" s="788"/>
      <c r="L2" s="788"/>
      <c r="M2" s="789"/>
    </row>
    <row r="3" spans="1:13" x14ac:dyDescent="0.25">
      <c r="A3" s="35"/>
      <c r="B3" s="35"/>
      <c r="C3" s="35"/>
      <c r="D3" s="35"/>
      <c r="E3" s="35"/>
      <c r="F3" s="39" t="s">
        <v>420</v>
      </c>
      <c r="G3" s="39" t="s">
        <v>421</v>
      </c>
      <c r="H3" s="35"/>
      <c r="J3" s="267"/>
      <c r="K3" s="4"/>
      <c r="L3" s="4"/>
      <c r="M3" s="266"/>
    </row>
    <row r="4" spans="1:13" x14ac:dyDescent="0.25">
      <c r="A4" s="729" t="s">
        <v>422</v>
      </c>
      <c r="B4" s="729"/>
      <c r="C4" s="729"/>
      <c r="D4" s="729"/>
      <c r="E4" s="729"/>
      <c r="F4" s="729"/>
      <c r="G4" s="729"/>
      <c r="H4" s="729"/>
      <c r="J4" s="251" t="s">
        <v>423</v>
      </c>
      <c r="K4" s="35"/>
      <c r="L4" s="35"/>
      <c r="M4" s="439">
        <f>ROUND(F42/1000,0)</f>
        <v>0</v>
      </c>
    </row>
    <row r="5" spans="1:13" x14ac:dyDescent="0.25">
      <c r="A5" s="676">
        <f>inputPrYr!D4</f>
        <v>0</v>
      </c>
      <c r="B5" s="676"/>
      <c r="C5" s="676"/>
      <c r="D5" s="676"/>
      <c r="E5" s="676"/>
      <c r="F5" s="676"/>
      <c r="G5" s="676"/>
      <c r="H5" s="676"/>
      <c r="J5" s="265" t="s">
        <v>424</v>
      </c>
      <c r="K5" s="11"/>
      <c r="L5" s="11"/>
      <c r="M5" s="439">
        <f>ROUND(F43/1000,0)</f>
        <v>0</v>
      </c>
    </row>
    <row r="6" spans="1:13" x14ac:dyDescent="0.25">
      <c r="A6" s="676">
        <f>inputPrYr!D5</f>
        <v>0</v>
      </c>
      <c r="B6" s="676"/>
      <c r="C6" s="676"/>
      <c r="D6" s="676"/>
      <c r="E6" s="676"/>
      <c r="F6" s="676"/>
      <c r="G6" s="676"/>
      <c r="H6" s="676"/>
    </row>
    <row r="7" spans="1:13" x14ac:dyDescent="0.25">
      <c r="A7" s="727" t="str">
        <f>CONCATENATE("will meet on ",inputHearing!B18," at ",inputHearing!B20," at ",inputHearing!B22," for the purpose of hearing and")</f>
        <v>will meet on  at  at  for the purpose of hearing and</v>
      </c>
      <c r="B7" s="727"/>
      <c r="C7" s="727"/>
      <c r="D7" s="727"/>
      <c r="E7" s="727"/>
      <c r="F7" s="727"/>
      <c r="G7" s="727"/>
      <c r="H7" s="727"/>
      <c r="J7" s="787" t="str">
        <f>CONCATENATE("Want The Mill Rate The Same As For ",H1-1,"?")</f>
        <v>Want The Mill Rate The Same As For 2024?</v>
      </c>
      <c r="K7" s="788"/>
      <c r="L7" s="788"/>
      <c r="M7" s="789"/>
    </row>
    <row r="8" spans="1:13" x14ac:dyDescent="0.25">
      <c r="A8" s="729" t="s">
        <v>425</v>
      </c>
      <c r="B8" s="677"/>
      <c r="C8" s="677"/>
      <c r="D8" s="677"/>
      <c r="E8" s="677"/>
      <c r="F8" s="677"/>
      <c r="G8" s="677"/>
      <c r="H8" s="677"/>
      <c r="J8" s="264"/>
      <c r="K8" s="4"/>
      <c r="L8" s="4"/>
      <c r="M8" s="263"/>
    </row>
    <row r="9" spans="1:13" x14ac:dyDescent="0.25">
      <c r="A9" s="727" t="str">
        <f>CONCATENATE("Detailed budget information is available at ",inputHearing!B24," and will be available at this hearing.")</f>
        <v>Detailed budget information is available at  and will be available at this hearing.</v>
      </c>
      <c r="B9" s="728"/>
      <c r="C9" s="728"/>
      <c r="D9" s="728"/>
      <c r="E9" s="728"/>
      <c r="F9" s="728"/>
      <c r="G9" s="728"/>
      <c r="H9" s="728"/>
      <c r="J9" s="264" t="str">
        <f>CONCATENATE("",H1-1," Mill Rate Was:")</f>
        <v>2024 Mill Rate Was:</v>
      </c>
      <c r="K9" s="4"/>
      <c r="L9" s="4"/>
      <c r="M9" s="262">
        <f>E36</f>
        <v>0</v>
      </c>
    </row>
    <row r="10" spans="1:13" x14ac:dyDescent="0.25">
      <c r="A10" s="804" t="s">
        <v>426</v>
      </c>
      <c r="B10" s="677"/>
      <c r="C10" s="677"/>
      <c r="D10" s="677"/>
      <c r="E10" s="677"/>
      <c r="F10" s="677"/>
      <c r="G10" s="677"/>
      <c r="H10" s="677"/>
      <c r="J10" s="261" t="str">
        <f>CONCATENATE("",H1," Tax Levy Fund Expenditures Must Be")</f>
        <v>2025 Tax Levy Fund Expenditures Must Be</v>
      </c>
      <c r="K10" s="260"/>
      <c r="L10" s="260"/>
      <c r="M10" s="263"/>
    </row>
    <row r="11" spans="1:13" x14ac:dyDescent="0.25">
      <c r="A11" s="729" t="str">
        <f>CONCATENATE("Proposed Budget ",H1," Expenditures and Amount of ",H1-1," Ad Valorem Tax establish the maximum limits")</f>
        <v>Proposed Budget 2025 Expenditures and Amount of 2024 Ad Valorem Tax establish the maximum limits</v>
      </c>
      <c r="B11" s="677"/>
      <c r="C11" s="677"/>
      <c r="D11" s="677"/>
      <c r="E11" s="677"/>
      <c r="F11" s="677"/>
      <c r="G11" s="677"/>
      <c r="H11" s="677"/>
      <c r="J11" s="284" t="s">
        <v>427</v>
      </c>
      <c r="K11" s="260"/>
      <c r="L11" s="260"/>
      <c r="M11" s="259">
        <f>M23*-1</f>
        <v>0</v>
      </c>
    </row>
    <row r="12" spans="1:13" x14ac:dyDescent="0.25">
      <c r="A12" s="729" t="str">
        <f>CONCATENATE("of the ",H1," budget.  Estimated Tax Rate is subject to change depending on the final assessed valuation.")</f>
        <v>of the 2025 budget.  Estimated Tax Rate is subject to change depending on the final assessed valuation.</v>
      </c>
      <c r="B12" s="677"/>
      <c r="C12" s="677"/>
      <c r="D12" s="677"/>
      <c r="E12" s="677"/>
      <c r="F12" s="677"/>
      <c r="G12" s="677"/>
      <c r="H12" s="677"/>
      <c r="J12" s="258" t="s">
        <v>428</v>
      </c>
      <c r="K12" s="256"/>
      <c r="L12" s="256"/>
      <c r="M12" s="257">
        <f>M24*-1</f>
        <v>0</v>
      </c>
    </row>
    <row r="13" spans="1:13" x14ac:dyDescent="0.25">
      <c r="A13" s="39"/>
      <c r="B13" s="35"/>
      <c r="C13" s="35"/>
      <c r="D13" s="35"/>
      <c r="E13" s="35"/>
      <c r="F13" s="35"/>
      <c r="G13" s="35"/>
      <c r="H13" s="35"/>
      <c r="J13" s="1"/>
      <c r="K13" s="1"/>
      <c r="L13" s="1"/>
      <c r="M13" s="1"/>
    </row>
    <row r="14" spans="1:13" x14ac:dyDescent="0.25">
      <c r="A14" s="131"/>
      <c r="B14" s="125" t="str">
        <f>CONCATENATE("Prior Year Actual ",H1-2,"")</f>
        <v>Prior Year Actual 2023</v>
      </c>
      <c r="C14" s="126"/>
      <c r="D14" s="125" t="str">
        <f>CONCATENATE("Current Year Estimate ",H1-1,"")</f>
        <v>Current Year Estimate 2024</v>
      </c>
      <c r="E14" s="127"/>
      <c r="F14" s="128" t="str">
        <f>CONCATENATE("Proposed Budget ",H1,"")</f>
        <v>Proposed Budget 2025</v>
      </c>
      <c r="G14" s="129"/>
      <c r="H14" s="127"/>
      <c r="J14" s="787" t="str">
        <f>CONCATENATE("Impact On Keeping The Same Mill Rate As For ",H1-1,"")</f>
        <v>Impact On Keeping The Same Mill Rate As For 2024</v>
      </c>
      <c r="K14" s="805"/>
      <c r="L14" s="805"/>
      <c r="M14" s="806"/>
    </row>
    <row r="15" spans="1:13" ht="22.5" customHeight="1" x14ac:dyDescent="0.25">
      <c r="A15" s="40"/>
      <c r="B15" s="792" t="s">
        <v>429</v>
      </c>
      <c r="C15" s="721" t="s">
        <v>430</v>
      </c>
      <c r="D15" s="792" t="s">
        <v>429</v>
      </c>
      <c r="E15" s="721" t="s">
        <v>430</v>
      </c>
      <c r="F15" s="795" t="s">
        <v>431</v>
      </c>
      <c r="G15" s="721" t="str">
        <f>CONCATENATE("Amount of ",H1-1," Ad Valorem Tax")</f>
        <v>Amount of 2024 Ad Valorem Tax</v>
      </c>
      <c r="H15" s="721" t="s">
        <v>432</v>
      </c>
      <c r="J15" s="264"/>
      <c r="K15" s="4"/>
      <c r="L15" s="4"/>
      <c r="M15" s="263"/>
    </row>
    <row r="16" spans="1:13" x14ac:dyDescent="0.25">
      <c r="A16" s="40"/>
      <c r="B16" s="793"/>
      <c r="C16" s="730"/>
      <c r="D16" s="793"/>
      <c r="E16" s="730"/>
      <c r="F16" s="796"/>
      <c r="G16" s="798"/>
      <c r="H16" s="730"/>
      <c r="J16" s="264" t="str">
        <f>CONCATENATE("",H1," Ad Valorem Tax Rev(Township Only):")</f>
        <v>2025 Ad Valorem Tax Rev(Township Only):</v>
      </c>
      <c r="K16" s="4"/>
      <c r="L16" s="4"/>
      <c r="M16" s="266">
        <f>SUM(G21:G24)</f>
        <v>0</v>
      </c>
    </row>
    <row r="17" spans="1:13" x14ac:dyDescent="0.25">
      <c r="A17" s="626" t="s">
        <v>124</v>
      </c>
      <c r="B17" s="794"/>
      <c r="C17" s="731"/>
      <c r="D17" s="794"/>
      <c r="E17" s="731"/>
      <c r="F17" s="797"/>
      <c r="G17" s="799"/>
      <c r="H17" s="731"/>
      <c r="J17" s="264" t="str">
        <f>CONCATENATE("",H1," Ad Valorem Tax Rev(Township Tot):")</f>
        <v>2025 Ad Valorem Tax Rev(Township Tot):</v>
      </c>
      <c r="K17" s="4"/>
      <c r="L17" s="4"/>
      <c r="M17" s="279">
        <f>SUM(G18,G19,G20,G25,G26,G27,G28,G29)</f>
        <v>0</v>
      </c>
    </row>
    <row r="18" spans="1:13" x14ac:dyDescent="0.25">
      <c r="A18" s="53" t="str">
        <f>inputPrYr!B21</f>
        <v>General</v>
      </c>
      <c r="B18" s="53" t="str">
        <f>IF(General!$C$49&lt;&gt;0,General!$C$49,"  ")</f>
        <v xml:space="preserve">  </v>
      </c>
      <c r="C18" s="55" t="str">
        <f>IF(inputPrYr!D50&gt;0,inputPrYr!D50,"  ")</f>
        <v xml:space="preserve">  </v>
      </c>
      <c r="D18" s="53" t="str">
        <f>IF(General!$D$49&lt;&gt;0,General!$D$49,"  ")</f>
        <v xml:space="preserve">  </v>
      </c>
      <c r="E18" s="55" t="str">
        <f>IF(inputOth!D40&gt;0,inputOth!D40,"  ")</f>
        <v xml:space="preserve">  </v>
      </c>
      <c r="F18" s="53" t="str">
        <f>IF(General!$E$49&lt;&gt;0,General!$E$49,"  ")</f>
        <v xml:space="preserve">  </v>
      </c>
      <c r="G18" s="53" t="str">
        <f>IF(General!$E$56&lt;&gt;0,General!$E$56,"")</f>
        <v/>
      </c>
      <c r="H18" s="55" t="str">
        <f>IF(General!E56&gt;0,ROUND(G18/F42*1000,3)," ")</f>
        <v xml:space="preserve"> </v>
      </c>
      <c r="J18" s="264" t="str">
        <f>CONCATENATE("Total ",H1," Ad Valorem Tax Revenue:")</f>
        <v>Total 2025 Ad Valorem Tax Revenue:</v>
      </c>
      <c r="K18" s="35"/>
      <c r="L18" s="35"/>
      <c r="M18" s="280">
        <f>M16+M17</f>
        <v>0</v>
      </c>
    </row>
    <row r="19" spans="1:13" x14ac:dyDescent="0.25">
      <c r="A19" s="53" t="s">
        <v>101</v>
      </c>
      <c r="B19" s="53" t="str">
        <f>IF('DebtSvs-Library'!C34&lt;&gt;0,'DebtSvs-Library'!C34,"  ")</f>
        <v xml:space="preserve">  </v>
      </c>
      <c r="C19" s="55" t="str">
        <f>IF(inputPrYr!D51&gt;0,inputPrYr!D51,"  ")</f>
        <v xml:space="preserve">  </v>
      </c>
      <c r="D19" s="53" t="str">
        <f>IF('DebtSvs-Library'!D34&lt;&gt;0,'DebtSvs-Library'!D34,"  ")</f>
        <v xml:space="preserve">  </v>
      </c>
      <c r="E19" s="55" t="str">
        <f>IF(inputOth!D41&gt;0,inputOth!D41,"  ")</f>
        <v xml:space="preserve">  </v>
      </c>
      <c r="F19" s="53" t="str">
        <f>IF('DebtSvs-Library'!E34&lt;&gt;0,'DebtSvs-Library'!E34,"  ")</f>
        <v xml:space="preserve">  </v>
      </c>
      <c r="G19" s="53" t="str">
        <f>IF('DebtSvs-Library'!E41&lt;&gt;0,'DebtSvs-Library'!E41," ")</f>
        <v xml:space="preserve"> </v>
      </c>
      <c r="H19" s="55" t="str">
        <f>IF('DebtSvs-Library'!E41&gt;0,ROUND(G19/F42*1000,3)," ")</f>
        <v xml:space="preserve"> </v>
      </c>
      <c r="J19" s="264" t="str">
        <f>CONCATENATE("",H1-1," Ad Valorem Tax Rev(Township Only):")</f>
        <v>2024 Ad Valorem Tax Rev(Township Only):</v>
      </c>
      <c r="K19" s="4"/>
      <c r="L19" s="4"/>
      <c r="M19" s="281">
        <f>ROUND(SUM(E21:E24)*F43/1000,0)</f>
        <v>0</v>
      </c>
    </row>
    <row r="20" spans="1:13" x14ac:dyDescent="0.25">
      <c r="A20" s="53" t="str">
        <f>IF(inputPrYr!$B23&gt;"  ",inputPrYr!$B23,"  ")</f>
        <v>Library</v>
      </c>
      <c r="B20" s="53" t="str">
        <f>IF('DebtSvs-Library'!C75&lt;&gt;0,'DebtSvs-Library'!C75,"  ")</f>
        <v xml:space="preserve">  </v>
      </c>
      <c r="C20" s="55" t="str">
        <f>IF(inputPrYr!D52&gt;0,inputPrYr!D52,"  ")</f>
        <v xml:space="preserve">  </v>
      </c>
      <c r="D20" s="53" t="str">
        <f>IF('DebtSvs-Library'!D75&lt;&gt;0,'DebtSvs-Library'!D75,"  ")</f>
        <v xml:space="preserve">  </v>
      </c>
      <c r="E20" s="55" t="str">
        <f>IF(inputOth!D42&gt;0,inputOth!D42,"  ")</f>
        <v xml:space="preserve">  </v>
      </c>
      <c r="F20" s="53" t="str">
        <f>IF('DebtSvs-Library'!E75&lt;&gt;0,'DebtSvs-Library'!E75,"  ")</f>
        <v xml:space="preserve">  </v>
      </c>
      <c r="G20" s="53" t="str">
        <f>IF('DebtSvs-Library'!E82&lt;&gt;0,'DebtSvs-Library'!E82," ")</f>
        <v xml:space="preserve"> </v>
      </c>
      <c r="H20" s="55" t="str">
        <f>IF('DebtSvs-Library'!E82&gt;0,ROUND(G20/F42*1000,3)," ")</f>
        <v xml:space="preserve"> </v>
      </c>
      <c r="J20" s="264" t="str">
        <f>CONCATENATE("",H1-1," Ad Valorem Tax Rev(Township Tot):")</f>
        <v>2024 Ad Valorem Tax Rev(Township Tot):</v>
      </c>
      <c r="K20" s="35"/>
      <c r="L20" s="35"/>
      <c r="M20" s="282">
        <f>ROUND(SUM(E18,E19,E20,(E25,E26,E27,E28,E29))*F42/1000,0)</f>
        <v>0</v>
      </c>
    </row>
    <row r="21" spans="1:13" x14ac:dyDescent="0.25">
      <c r="A21" s="53" t="str">
        <f>IF(inputPrYr!$B24&gt;"  ",inputPrYr!$B24,"  ")</f>
        <v>Road</v>
      </c>
      <c r="B21" s="53" t="str">
        <f>IF(Road!$C$43&lt;&gt;0,Road!$C$43,"  ")</f>
        <v xml:space="preserve">  </v>
      </c>
      <c r="C21" s="55" t="str">
        <f>IF(inputPrYr!D53&gt;0,inputPrYr!D53,"  ")</f>
        <v xml:space="preserve">  </v>
      </c>
      <c r="D21" s="53" t="str">
        <f>IF(Road!$D$43&lt;&gt;0,Road!$D$43,"  ")</f>
        <v xml:space="preserve">  </v>
      </c>
      <c r="E21" s="55" t="str">
        <f>IF(inputOth!D43&gt;0,inputOth!D43,"  ")</f>
        <v xml:space="preserve">  </v>
      </c>
      <c r="F21" s="53" t="str">
        <f>IF(Road!$E$43&lt;&gt;0,Road!$E$43,"  ")</f>
        <v xml:space="preserve">  </v>
      </c>
      <c r="G21" s="53" t="str">
        <f>IF(Road!$E$50&lt;&gt;0,Road!$E$50,"  ")</f>
        <v xml:space="preserve">  </v>
      </c>
      <c r="H21" s="55" t="str">
        <f>IF(Road!E50&gt;0,ROUND(G21/F43*1000,3)," ")</f>
        <v xml:space="preserve"> </v>
      </c>
      <c r="J21" s="251" t="str">
        <f>CONCATENATE("Total ",H1-1," Ad Valorem Tax Revenue:")</f>
        <v>Total 2024 Ad Valorem Tax Revenue:</v>
      </c>
      <c r="K21" s="35"/>
      <c r="L21" s="35"/>
      <c r="M21" s="283">
        <f>M19+M20</f>
        <v>0</v>
      </c>
    </row>
    <row r="22" spans="1:13" x14ac:dyDescent="0.25">
      <c r="A22" s="53" t="str">
        <f>IF(inputPrYr!$B25&gt;"  ",inputPrYr!$B25,"  ")</f>
        <v>Special Road</v>
      </c>
      <c r="B22" s="53" t="str">
        <f>IF('Spec Road &amp; Noxious Weed'!$C$34&lt;&gt;0,'Spec Road &amp; Noxious Weed'!$C$34,"  ")</f>
        <v xml:space="preserve">  </v>
      </c>
      <c r="C22" s="55" t="str">
        <f>IF(inputPrYr!D54&gt;0,inputPrYr!D54,"  ")</f>
        <v xml:space="preserve">  </v>
      </c>
      <c r="D22" s="53" t="str">
        <f>IF('Spec Road &amp; Noxious Weed'!$D$34&lt;&gt;0,'Spec Road &amp; Noxious Weed'!$D$34,"  ")</f>
        <v xml:space="preserve">  </v>
      </c>
      <c r="E22" s="55" t="str">
        <f>IF(inputOth!D44&gt;0,inputOth!D44,"  ")</f>
        <v xml:space="preserve">  </v>
      </c>
      <c r="F22" s="53" t="str">
        <f>IF('Spec Road &amp; Noxious Weed'!$E$34&lt;&gt;0,'Spec Road &amp; Noxious Weed'!$E$34,"  ")</f>
        <v xml:space="preserve">  </v>
      </c>
      <c r="G22" s="53" t="str">
        <f>IF('Spec Road &amp; Noxious Weed'!$E$41&lt;&gt;0,'Spec Road &amp; Noxious Weed'!$E$41,"  ")</f>
        <v xml:space="preserve">  </v>
      </c>
      <c r="H22" s="55" t="str">
        <f>IF('Spec Road &amp; Noxious Weed'!E41&gt;0,ROUND(G22/F43*1000,3)," ")</f>
        <v xml:space="preserve"> </v>
      </c>
      <c r="J22" s="261" t="s">
        <v>433</v>
      </c>
      <c r="K22" s="260"/>
      <c r="L22" s="260"/>
      <c r="M22" s="259">
        <f>M18-M21</f>
        <v>0</v>
      </c>
    </row>
    <row r="23" spans="1:13" x14ac:dyDescent="0.25">
      <c r="A23" s="53" t="str">
        <f>IF(inputPrYr!$B26&gt;"  ",inputPrYr!$B26,"  ")</f>
        <v>Noxious Weed</v>
      </c>
      <c r="B23" s="53" t="str">
        <f>IF('Spec Road &amp; Noxious Weed'!$C$75&lt;&gt;0,'Spec Road &amp; Noxious Weed'!$C$75,"  ")</f>
        <v xml:space="preserve">  </v>
      </c>
      <c r="C23" s="55" t="str">
        <f>IF(inputPrYr!D55&gt;0,inputPrYr!D55,"  ")</f>
        <v xml:space="preserve">  </v>
      </c>
      <c r="D23" s="53" t="str">
        <f>IF('Spec Road &amp; Noxious Weed'!$D$75&lt;&gt;0,'Spec Road &amp; Noxious Weed'!$D$75,"  ")</f>
        <v xml:space="preserve">  </v>
      </c>
      <c r="E23" s="55" t="str">
        <f>IF(inputOth!D45&gt;0,inputOth!D45,"  ")</f>
        <v xml:space="preserve">  </v>
      </c>
      <c r="F23" s="53" t="str">
        <f>IF('Spec Road &amp; Noxious Weed'!$E$75&lt;&gt;0,'Spec Road &amp; Noxious Weed'!$E$75,"  ")</f>
        <v xml:space="preserve">  </v>
      </c>
      <c r="G23" s="53" t="str">
        <f>IF('Spec Road &amp; Noxious Weed'!$E$82&lt;&gt;0,'Spec Road &amp; Noxious Weed'!$E$82,"  ")</f>
        <v xml:space="preserve">  </v>
      </c>
      <c r="H23" s="55" t="str">
        <f>IF('Spec Road &amp; Noxious Weed'!E82&gt;0,ROUND(G23/F43*1000,3)," ")</f>
        <v xml:space="preserve"> </v>
      </c>
      <c r="J23" s="284" t="s">
        <v>434</v>
      </c>
      <c r="K23" s="285"/>
      <c r="L23" s="285"/>
      <c r="M23" s="280">
        <f>M16-M19</f>
        <v>0</v>
      </c>
    </row>
    <row r="24" spans="1:13" x14ac:dyDescent="0.25">
      <c r="A24" s="53" t="str">
        <f>IF(inputPrYr!$B27&gt;"  ",inputPrYr!$B27,"  ")</f>
        <v>Fire Protection</v>
      </c>
      <c r="B24" s="53" t="str">
        <f>IF('Levy Page 10'!$C$34&lt;&gt;0,'Levy Page 10'!$C$34,"  ")</f>
        <v xml:space="preserve">  </v>
      </c>
      <c r="C24" s="55" t="str">
        <f>IF(inputPrYr!D56&gt;0,inputPrYr!D56,"  ")</f>
        <v xml:space="preserve">  </v>
      </c>
      <c r="D24" s="53" t="str">
        <f>IF('Levy Page 10'!$D$34&lt;&gt;0,'Levy Page 10'!$D$34,"  ")</f>
        <v xml:space="preserve">  </v>
      </c>
      <c r="E24" s="55" t="str">
        <f>IF(inputOth!D46&gt;0,inputOth!D46,"  ")</f>
        <v xml:space="preserve">  </v>
      </c>
      <c r="F24" s="53" t="str">
        <f>IF('Levy Page 10'!$E$34&lt;&gt;0,'Levy Page 10'!$E$34,"  ")</f>
        <v xml:space="preserve">  </v>
      </c>
      <c r="G24" s="53" t="str">
        <f>IF('Levy Page 10'!$E$41&lt;&gt;0,'Levy Page 10'!$E$41,"  ")</f>
        <v xml:space="preserve">  </v>
      </c>
      <c r="H24" s="55" t="str">
        <f>IF('Levy Page 10'!E41&gt;0,ROUND(G24/F43*1000,3)," ")</f>
        <v xml:space="preserve"> </v>
      </c>
      <c r="J24" s="258" t="s">
        <v>435</v>
      </c>
      <c r="K24" s="256"/>
      <c r="L24" s="256"/>
      <c r="M24" s="257">
        <f>M17-M20</f>
        <v>0</v>
      </c>
    </row>
    <row r="25" spans="1:13" x14ac:dyDescent="0.25">
      <c r="A25" s="53" t="str">
        <f>IF(inputPrYr!$B28&gt;"  ",inputPrYr!$B28,"  ")</f>
        <v xml:space="preserve">  </v>
      </c>
      <c r="B25" s="53" t="str">
        <f>IF('Levy Page 10'!$C$75&lt;&gt;0,'Levy Page 10'!$C$75,"  ")</f>
        <v xml:space="preserve">  </v>
      </c>
      <c r="C25" s="55" t="str">
        <f>IF(inputPrYr!D57&gt;0,inputPrYr!D57,"  ")</f>
        <v xml:space="preserve">  </v>
      </c>
      <c r="D25" s="53" t="str">
        <f>IF('Levy Page 10'!$D$75&lt;&gt;0,'Levy Page 10'!$D$75,"  ")</f>
        <v xml:space="preserve">  </v>
      </c>
      <c r="E25" s="55" t="str">
        <f>IF(inputOth!D47&gt;0,inputOth!D47,"  ")</f>
        <v xml:space="preserve">  </v>
      </c>
      <c r="F25" s="53" t="str">
        <f>IF('Levy Page 10'!$E$75&lt;&gt;0,'Levy Page 10'!$E$75,"  ")</f>
        <v xml:space="preserve">  </v>
      </c>
      <c r="G25" s="53" t="str">
        <f>IF('Levy Page 10'!$E$82&lt;&gt;0,'Levy Page 10'!$E$82,"  ")</f>
        <v xml:space="preserve">  </v>
      </c>
      <c r="H25" s="55" t="str">
        <f>IF('Levy Page 10'!E82&gt;0,ROUND(G25/F42*1000,3)," ")</f>
        <v xml:space="preserve"> </v>
      </c>
    </row>
    <row r="26" spans="1:13" x14ac:dyDescent="0.25">
      <c r="A26" s="53" t="str">
        <f>IF(inputPrYr!$B29&gt;"  ",inputPrYr!$B29,"  ")</f>
        <v xml:space="preserve">  </v>
      </c>
      <c r="B26" s="53" t="str">
        <f>IF('Levy Page 11'!$C$34&lt;&gt;0,'Levy Page 11'!$C$34,"  ")</f>
        <v xml:space="preserve">  </v>
      </c>
      <c r="C26" s="55" t="str">
        <f>IF(inputPrYr!D58&gt;0,inputPrYr!D58,"  ")</f>
        <v xml:space="preserve">  </v>
      </c>
      <c r="D26" s="53" t="str">
        <f>IF('Levy Page 11'!$D$34&lt;&gt;0,'Levy Page 11'!$D$34,"  ")</f>
        <v xml:space="preserve">  </v>
      </c>
      <c r="E26" s="55" t="str">
        <f>IF(inputOth!D48&gt;0,inputOth!D48,"  ")</f>
        <v xml:space="preserve">  </v>
      </c>
      <c r="F26" s="53" t="str">
        <f>IF('Levy Page 11'!$E$34&lt;&gt;0,'Levy Page 11'!$E$34,"  ")</f>
        <v xml:space="preserve">  </v>
      </c>
      <c r="G26" s="53" t="str">
        <f>IF('Levy Page 11'!$E$41&lt;&gt;0,'Levy Page 11'!$E$41,"  ")</f>
        <v xml:space="preserve">  </v>
      </c>
      <c r="H26" s="55" t="str">
        <f>IF('Levy Page 11'!E41&gt;0,ROUND(G26/F42*1000,3)," ")</f>
        <v xml:space="preserve"> </v>
      </c>
      <c r="J26" s="787" t="s">
        <v>436</v>
      </c>
      <c r="K26" s="788"/>
      <c r="L26" s="788"/>
      <c r="M26" s="789"/>
    </row>
    <row r="27" spans="1:13" x14ac:dyDescent="0.25">
      <c r="A27" s="53" t="str">
        <f>IF(inputPrYr!$B30&gt;"  ",inputPrYr!$B30,"  ")</f>
        <v xml:space="preserve">  </v>
      </c>
      <c r="B27" s="53" t="str">
        <f>IF('Levy Page 11'!$C$75&lt;&gt;0,'Levy Page 11'!$C$75,"  ")</f>
        <v xml:space="preserve">  </v>
      </c>
      <c r="C27" s="55" t="str">
        <f>IF(inputPrYr!D59&gt;0,inputPrYr!D59,"  ")</f>
        <v xml:space="preserve">  </v>
      </c>
      <c r="D27" s="53" t="str">
        <f>IF('Levy Page 11'!$D$75&lt;&gt;0,'Levy Page 11'!$D$75,"  ")</f>
        <v xml:space="preserve">  </v>
      </c>
      <c r="E27" s="55" t="str">
        <f>IF(inputOth!D49&gt;0,inputOth!D49,"  ")</f>
        <v xml:space="preserve">  </v>
      </c>
      <c r="F27" s="53" t="str">
        <f>IF('Levy Page 11'!$E$75&lt;&gt;0,'Levy Page 11'!$E$75,"  ")</f>
        <v xml:space="preserve">  </v>
      </c>
      <c r="G27" s="53" t="str">
        <f>IF('Levy Page 11'!$E$82&lt;&gt;0,'Levy Page 11'!$E$82,"  ")</f>
        <v xml:space="preserve">  </v>
      </c>
      <c r="H27" s="55" t="str">
        <f>IF('Levy Page 11'!E82&gt;0,ROUND(G27/F42*1000,3)," ")</f>
        <v xml:space="preserve"> </v>
      </c>
      <c r="J27" s="264"/>
      <c r="K27" s="4"/>
      <c r="L27" s="4"/>
      <c r="M27" s="263"/>
    </row>
    <row r="28" spans="1:13" x14ac:dyDescent="0.25">
      <c r="A28" s="53" t="str">
        <f>IF(inputPrYr!$B31&gt;"  ",inputPrYr!$B31,"  ")</f>
        <v xml:space="preserve">  </v>
      </c>
      <c r="B28" s="53" t="str">
        <f>IF('Levy Page 12'!$C$34&lt;&gt;0,'Levy Page 12'!$C$34,"  ")</f>
        <v xml:space="preserve">  </v>
      </c>
      <c r="C28" s="55" t="str">
        <f>IF(inputPrYr!D60&gt;0,inputPrYr!D60,"  ")</f>
        <v xml:space="preserve">  </v>
      </c>
      <c r="D28" s="53" t="str">
        <f>IF('Levy Page 12'!$D$34&lt;&gt;0,'Levy Page 12'!$D$34,"  ")</f>
        <v xml:space="preserve">  </v>
      </c>
      <c r="E28" s="55" t="str">
        <f>IF(inputOth!D50&gt;0,inputOth!D50,"  ")</f>
        <v xml:space="preserve">  </v>
      </c>
      <c r="F28" s="53" t="str">
        <f>IF('Levy Page 12'!$E$34&lt;&gt;0,'Levy Page 12'!$E$34,"  ")</f>
        <v xml:space="preserve">  </v>
      </c>
      <c r="G28" s="53" t="str">
        <f>IF('Levy Page 12'!$E$41&lt;&gt;0,'Levy Page 12'!$E$41,"  ")</f>
        <v xml:space="preserve">  </v>
      </c>
      <c r="H28" s="55" t="str">
        <f>IF('Levy Page 12'!E41&gt;0,ROUND(G28/F42*1000,3)," ")</f>
        <v xml:space="preserve"> </v>
      </c>
      <c r="J28" s="270" t="str">
        <f>CONCATENATE("Enter Desired ",$H$1," Mill Rate:")</f>
        <v>Enter Desired 2025 Mill Rate:</v>
      </c>
      <c r="K28" s="271"/>
      <c r="L28" s="272"/>
      <c r="M28" s="269"/>
    </row>
    <row r="29" spans="1:13" x14ac:dyDescent="0.25">
      <c r="A29" s="53" t="str">
        <f>IF(inputPrYr!$B32&gt;"  ",inputPrYr!$B32,"  ")</f>
        <v xml:space="preserve">  </v>
      </c>
      <c r="B29" s="53" t="str">
        <f>IF('Levy Page 12'!$C$75&lt;&gt;0,'Levy Page 12'!$C$75,"  ")</f>
        <v xml:space="preserve">  </v>
      </c>
      <c r="C29" s="55" t="str">
        <f>IF(inputPrYr!D61&gt;0,inputPrYr!D61,"  ")</f>
        <v xml:space="preserve">  </v>
      </c>
      <c r="D29" s="53" t="str">
        <f>IF('Levy Page 12'!$D$75&lt;&gt;0,'Levy Page 12'!$D$75,"  ")</f>
        <v xml:space="preserve">  </v>
      </c>
      <c r="E29" s="55" t="str">
        <f>IF(inputOth!D51&gt;0,inputOth!D51,"  ")</f>
        <v xml:space="preserve">  </v>
      </c>
      <c r="F29" s="53" t="str">
        <f>IF('Levy Page 12'!$E$75&lt;&gt;0,'Levy Page 12'!$E$75,"  ")</f>
        <v xml:space="preserve">  </v>
      </c>
      <c r="G29" s="53" t="str">
        <f>IF('Levy Page 12'!$E$82&lt;&gt;0,'Levy Page 12'!$E$82,"  ")</f>
        <v xml:space="preserve">  </v>
      </c>
      <c r="H29" s="55" t="str">
        <f>IF('Levy Page 12'!E82&gt;0,ROUND(G29/F42*1000,3)," ")</f>
        <v xml:space="preserve"> </v>
      </c>
      <c r="I29" s="268"/>
      <c r="J29" s="583" t="s">
        <v>437</v>
      </c>
      <c r="K29" s="584"/>
      <c r="L29" s="584"/>
      <c r="M29" s="585">
        <f>H37</f>
        <v>0</v>
      </c>
    </row>
    <row r="30" spans="1:13" x14ac:dyDescent="0.25">
      <c r="A30" s="53" t="str">
        <f>IF(inputPrYr!$B36&gt;"  ",inputPrYr!$B36,"  ")</f>
        <v xml:space="preserve">  </v>
      </c>
      <c r="B30" s="53" t="str">
        <f>IF('No Levy Page 13'!$C$27&lt;&gt;0,'No Levy Page 13'!$C$27,"  ")</f>
        <v xml:space="preserve">  </v>
      </c>
      <c r="C30" s="55"/>
      <c r="D30" s="53" t="str">
        <f>IF('No Levy Page 13'!$D$27&lt;&gt;0,'No Levy Page 13'!$D$27,"  ")</f>
        <v xml:space="preserve">  </v>
      </c>
      <c r="E30" s="55"/>
      <c r="F30" s="53" t="str">
        <f>IF('No Levy Page 13'!$E$27&lt;&gt;0,'No Levy Page 13'!$E$27,"  ")</f>
        <v xml:space="preserve">  </v>
      </c>
      <c r="G30" s="53"/>
      <c r="H30" s="55"/>
      <c r="J30" s="583" t="s">
        <v>438</v>
      </c>
      <c r="K30" s="584"/>
      <c r="L30" s="584"/>
      <c r="M30" s="585">
        <f>H38</f>
        <v>0</v>
      </c>
    </row>
    <row r="31" spans="1:13" x14ac:dyDescent="0.25">
      <c r="A31" s="53" t="str">
        <f>IF(inputPrYr!$B37&gt;"  ",inputPrYr!$B37,"  ")</f>
        <v xml:space="preserve">  </v>
      </c>
      <c r="B31" s="53" t="str">
        <f>IF('No Levy Page 13'!$C$57&lt;&gt;0,'No Levy Page 13'!$C$57,"  ")</f>
        <v xml:space="preserve">  </v>
      </c>
      <c r="C31" s="55"/>
      <c r="D31" s="53" t="str">
        <f>IF('No Levy Page 13'!$D$57&lt;&gt;0,'No Levy Page 13'!$D$57,"  ")</f>
        <v xml:space="preserve">  </v>
      </c>
      <c r="E31" s="55"/>
      <c r="F31" s="53" t="str">
        <f>IF('No Levy Page 13'!$E$57&lt;&gt;0,'No Levy Page 13'!$E$57,"  ")</f>
        <v xml:space="preserve">  </v>
      </c>
      <c r="G31" s="53"/>
      <c r="H31" s="55"/>
      <c r="J31" s="264" t="s">
        <v>439</v>
      </c>
      <c r="K31" s="4"/>
      <c r="L31" s="4"/>
      <c r="M31" s="276">
        <f>SUM(H21:H24)</f>
        <v>0</v>
      </c>
    </row>
    <row r="32" spans="1:13" x14ac:dyDescent="0.25">
      <c r="A32" s="53" t="str">
        <f>IF(inputPrYr!$B38&gt;"  ",inputPrYr!$B38,"  ")</f>
        <v xml:space="preserve">  </v>
      </c>
      <c r="B32" s="53" t="str">
        <f>IF('No Levy Page 14'!$C$27&lt;&gt;0,'No Levy Page 14'!$C$27,"  ")</f>
        <v xml:space="preserve">  </v>
      </c>
      <c r="C32" s="55"/>
      <c r="D32" s="53" t="str">
        <f>IF('No Levy Page 14'!$D$27&lt;&gt;0,'No Levy Page 14'!$D$27,"  ")</f>
        <v xml:space="preserve">  </v>
      </c>
      <c r="E32" s="55"/>
      <c r="F32" s="53" t="str">
        <f>IF('No Levy Page 14'!$E$27&lt;&gt;0,'No Levy Page 14'!$E$27,"  ")</f>
        <v xml:space="preserve">  </v>
      </c>
      <c r="G32" s="53"/>
      <c r="H32" s="55"/>
      <c r="J32" s="264" t="s">
        <v>440</v>
      </c>
      <c r="K32" s="4"/>
      <c r="L32" s="4"/>
      <c r="M32" s="585">
        <f>SUM(H18:H20,H25:H29)</f>
        <v>0</v>
      </c>
    </row>
    <row r="33" spans="1:14" x14ac:dyDescent="0.25">
      <c r="A33" s="53" t="str">
        <f>IF(inputPrYr!$B39&gt;"  ",inputPrYr!$B39,"  ")</f>
        <v xml:space="preserve">  </v>
      </c>
      <c r="B33" s="53" t="str">
        <f>IF('No Levy Page 14'!$C$57&lt;&gt;0,'No Levy Page 14'!$C$57,"  ")</f>
        <v xml:space="preserve">  </v>
      </c>
      <c r="C33" s="55"/>
      <c r="D33" s="53" t="str">
        <f>IF('No Levy Page 14'!$D$57&lt;&gt;0,'No Levy Page 14'!$D$57,"  ")</f>
        <v xml:space="preserve">  </v>
      </c>
      <c r="E33" s="55"/>
      <c r="F33" s="53" t="str">
        <f>IF('No Levy Page 14'!$E$57&lt;&gt;0,'No Levy Page 14'!$E$57,"  ")</f>
        <v xml:space="preserve">  </v>
      </c>
      <c r="G33" s="53"/>
      <c r="H33" s="55"/>
      <c r="J33" s="264" t="str">
        <f>CONCATENATE("TOTAL Current ",$H$1," Estimated Mill Rate:")</f>
        <v>TOTAL Current 2025 Estimated Mill Rate:</v>
      </c>
      <c r="K33" s="4"/>
      <c r="L33" s="4"/>
      <c r="M33" s="276">
        <f>H36</f>
        <v>0</v>
      </c>
    </row>
    <row r="34" spans="1:14" x14ac:dyDescent="0.25">
      <c r="A34" s="53" t="str">
        <f>IF((inputPrYr!$B42&gt;"  "),('Non-Budgeted Funds'!$A3),"  ")</f>
        <v xml:space="preserve">  </v>
      </c>
      <c r="B34" s="416" t="str">
        <f>IF(('Non-Budgeted Funds'!$K$28)&lt;&gt;0,('Non-Budgeted Funds'!$K$28),"  ")</f>
        <v xml:space="preserve">  </v>
      </c>
      <c r="C34" s="211"/>
      <c r="D34" s="53"/>
      <c r="E34" s="55"/>
      <c r="F34" s="53"/>
      <c r="G34" s="53"/>
      <c r="H34" s="55"/>
      <c r="J34" s="264" t="s">
        <v>441</v>
      </c>
      <c r="K34" s="4"/>
      <c r="L34" s="4"/>
      <c r="M34" s="277">
        <f>M28-M33</f>
        <v>0</v>
      </c>
    </row>
    <row r="35" spans="1:14" x14ac:dyDescent="0.25">
      <c r="A35" s="61" t="s">
        <v>183</v>
      </c>
      <c r="B35" s="53" t="str">
        <f>IF(Road!C64&lt;&gt;0,Road!C64,"  ")</f>
        <v xml:space="preserve">  </v>
      </c>
      <c r="C35" s="132"/>
      <c r="D35" s="132"/>
      <c r="E35" s="132"/>
      <c r="F35" s="132"/>
      <c r="G35" s="132"/>
      <c r="H35" s="132"/>
      <c r="J35" s="251" t="s">
        <v>442</v>
      </c>
      <c r="K35" s="35"/>
      <c r="L35" s="35"/>
      <c r="M35" s="274">
        <f>IF(M28=0,0,ROUND(SUM(H21:H24)/M33,2))</f>
        <v>0</v>
      </c>
    </row>
    <row r="36" spans="1:14" ht="16.5" thickBot="1" x14ac:dyDescent="0.3">
      <c r="A36" s="529" t="s">
        <v>184</v>
      </c>
      <c r="B36" s="605">
        <f t="shared" ref="B36:H36" si="0">SUM(B18:B35)</f>
        <v>0</v>
      </c>
      <c r="C36" s="606">
        <f t="shared" si="0"/>
        <v>0</v>
      </c>
      <c r="D36" s="605">
        <f t="shared" si="0"/>
        <v>0</v>
      </c>
      <c r="E36" s="606">
        <f t="shared" si="0"/>
        <v>0</v>
      </c>
      <c r="F36" s="605">
        <f t="shared" si="0"/>
        <v>0</v>
      </c>
      <c r="G36" s="605">
        <f t="shared" si="0"/>
        <v>0</v>
      </c>
      <c r="H36" s="606">
        <f t="shared" si="0"/>
        <v>0</v>
      </c>
      <c r="J36" s="251" t="s">
        <v>443</v>
      </c>
      <c r="K36" s="35"/>
      <c r="L36" s="35"/>
      <c r="M36" s="274">
        <f>IF(M28=0,0,ROUND(SUM(H18+H19+H20+H25+H26+H27+H28+H29)/M33,2))</f>
        <v>0</v>
      </c>
    </row>
    <row r="37" spans="1:14" ht="16.5" thickTop="1" x14ac:dyDescent="0.25">
      <c r="A37" s="800" t="s">
        <v>444</v>
      </c>
      <c r="B37" s="801"/>
      <c r="C37" s="801"/>
      <c r="D37" s="801"/>
      <c r="E37" s="801"/>
      <c r="F37" s="801"/>
      <c r="G37" s="802"/>
      <c r="H37" s="528">
        <f>inputOth!D36</f>
        <v>0</v>
      </c>
      <c r="J37" s="261" t="str">
        <f>CONCATENATE("",$H$1," Tax Levy Fund Total Exp. Changed By:")</f>
        <v>2025 Tax Levy Fund Total Exp. Changed By:</v>
      </c>
      <c r="K37" s="260"/>
      <c r="L37" s="260"/>
      <c r="M37" s="266"/>
    </row>
    <row r="38" spans="1:14" x14ac:dyDescent="0.25">
      <c r="A38" s="814" t="s">
        <v>445</v>
      </c>
      <c r="B38" s="815"/>
      <c r="C38" s="815"/>
      <c r="D38" s="815"/>
      <c r="E38" s="815"/>
      <c r="F38" s="815"/>
      <c r="G38" s="816"/>
      <c r="H38" s="524">
        <f>inputOth!E36</f>
        <v>0</v>
      </c>
      <c r="J38" s="284" t="s">
        <v>427</v>
      </c>
      <c r="K38" s="285"/>
      <c r="L38" s="285"/>
      <c r="M38" s="280">
        <f>ROUND(F43*M34*M35/1000,0)</f>
        <v>0</v>
      </c>
    </row>
    <row r="39" spans="1:14" x14ac:dyDescent="0.25">
      <c r="A39" s="527" t="s">
        <v>446</v>
      </c>
      <c r="B39" s="143">
        <f>Transfers!C26</f>
        <v>0</v>
      </c>
      <c r="C39" s="35"/>
      <c r="D39" s="143">
        <f>Transfers!D26</f>
        <v>0</v>
      </c>
      <c r="E39" s="133"/>
      <c r="F39" s="143">
        <f>Transfers!E26</f>
        <v>0</v>
      </c>
      <c r="G39" s="35"/>
      <c r="H39" s="35"/>
      <c r="J39" s="258" t="s">
        <v>428</v>
      </c>
      <c r="K39" s="256"/>
      <c r="L39" s="256"/>
      <c r="M39" s="257">
        <f>ROUND(F42*M34*M36/1000,0)</f>
        <v>0</v>
      </c>
    </row>
    <row r="40" spans="1:14" ht="16.5" thickBot="1" x14ac:dyDescent="0.3">
      <c r="A40" s="61" t="s">
        <v>447</v>
      </c>
      <c r="B40" s="605">
        <f>B36-B39</f>
        <v>0</v>
      </c>
      <c r="C40" s="35"/>
      <c r="D40" s="605">
        <f>D36-D39</f>
        <v>0</v>
      </c>
      <c r="E40" s="35"/>
      <c r="F40" s="605">
        <f>F36-F39</f>
        <v>0</v>
      </c>
      <c r="G40" s="35"/>
      <c r="H40" s="35"/>
      <c r="M40" s="278"/>
    </row>
    <row r="41" spans="1:14" ht="16.5" thickTop="1" x14ac:dyDescent="0.25">
      <c r="A41" s="61" t="s">
        <v>448</v>
      </c>
      <c r="B41" s="143">
        <f>inputPrYr!E64</f>
        <v>0</v>
      </c>
      <c r="C41" s="133"/>
      <c r="D41" s="143">
        <f>inputPrYr!E33</f>
        <v>0</v>
      </c>
      <c r="E41" s="35"/>
      <c r="F41" s="243" t="s">
        <v>185</v>
      </c>
      <c r="G41" s="35"/>
      <c r="H41" s="35"/>
      <c r="J41" s="803" t="s">
        <v>449</v>
      </c>
      <c r="K41" s="803"/>
      <c r="L41" s="803"/>
      <c r="M41" s="803"/>
      <c r="N41" s="273"/>
    </row>
    <row r="42" spans="1:14" x14ac:dyDescent="0.25">
      <c r="A42" s="61" t="s">
        <v>450</v>
      </c>
      <c r="B42" s="53">
        <f>inputPrYr!E65</f>
        <v>0</v>
      </c>
      <c r="C42" s="133"/>
      <c r="D42" s="53">
        <f>inputOth!E58</f>
        <v>0</v>
      </c>
      <c r="E42" s="133"/>
      <c r="F42" s="53">
        <f>inputOth!E11</f>
        <v>0</v>
      </c>
      <c r="G42" s="35"/>
      <c r="H42" s="35"/>
      <c r="J42" s="807" t="s">
        <v>451</v>
      </c>
      <c r="K42" s="808"/>
      <c r="L42" s="808"/>
      <c r="M42" s="811" t="str">
        <f>IF(M31&gt;M29, "Yes", "No")</f>
        <v>No</v>
      </c>
      <c r="N42" s="273"/>
    </row>
    <row r="43" spans="1:14" x14ac:dyDescent="0.25">
      <c r="A43" s="43" t="s">
        <v>452</v>
      </c>
      <c r="B43" s="134"/>
      <c r="C43" s="35"/>
      <c r="D43" s="72"/>
      <c r="E43" s="35"/>
      <c r="F43" s="53">
        <f>inputOth!E8</f>
        <v>0</v>
      </c>
      <c r="G43" s="35"/>
      <c r="H43" s="35"/>
      <c r="J43" s="809"/>
      <c r="K43" s="810"/>
      <c r="L43" s="810"/>
      <c r="M43" s="812"/>
    </row>
    <row r="44" spans="1:14" x14ac:dyDescent="0.25">
      <c r="A44" s="39"/>
      <c r="B44" s="72"/>
      <c r="C44" s="35"/>
      <c r="D44" s="72"/>
      <c r="E44" s="35"/>
      <c r="F44" s="72"/>
      <c r="G44" s="35"/>
      <c r="H44" s="35"/>
      <c r="J44" s="769" t="str">
        <f>IF(M42="Yes", "Follow procedure prescirbed by KSA 79-2988 to exceed the Revenue Neutral Rate.", " ")</f>
        <v xml:space="preserve"> </v>
      </c>
      <c r="K44" s="769"/>
      <c r="L44" s="769"/>
      <c r="M44" s="769"/>
    </row>
    <row r="45" spans="1:14" x14ac:dyDescent="0.25">
      <c r="A45" s="39" t="s">
        <v>453</v>
      </c>
      <c r="B45" s="35"/>
      <c r="C45" s="35"/>
      <c r="D45" s="35"/>
      <c r="E45" s="35"/>
      <c r="F45" s="35"/>
      <c r="G45" s="35"/>
      <c r="H45" s="35"/>
      <c r="J45" s="770"/>
      <c r="K45" s="770"/>
      <c r="L45" s="770"/>
      <c r="M45" s="770"/>
    </row>
    <row r="46" spans="1:14" x14ac:dyDescent="0.25">
      <c r="A46" s="39" t="s">
        <v>454</v>
      </c>
      <c r="B46" s="135">
        <f>H1-3</f>
        <v>2022</v>
      </c>
      <c r="C46" s="35"/>
      <c r="D46" s="135">
        <f>H1-2</f>
        <v>2023</v>
      </c>
      <c r="E46" s="35"/>
      <c r="F46" s="135">
        <f>H1-1</f>
        <v>2024</v>
      </c>
      <c r="G46" s="35"/>
      <c r="H46" s="35"/>
      <c r="J46" s="770"/>
      <c r="K46" s="770"/>
      <c r="L46" s="770"/>
      <c r="M46" s="770"/>
    </row>
    <row r="47" spans="1:14" x14ac:dyDescent="0.25">
      <c r="A47" s="39" t="s">
        <v>254</v>
      </c>
      <c r="B47" s="46">
        <f>inputPrYr!D68</f>
        <v>0</v>
      </c>
      <c r="C47" s="69"/>
      <c r="D47" s="46">
        <f>inputPrYr!E68</f>
        <v>0</v>
      </c>
      <c r="E47" s="69"/>
      <c r="F47" s="46">
        <f>'Debt-LP Form'!F11</f>
        <v>0</v>
      </c>
      <c r="G47" s="35"/>
      <c r="H47" s="35"/>
    </row>
    <row r="48" spans="1:14" x14ac:dyDescent="0.25">
      <c r="A48" s="39" t="s">
        <v>256</v>
      </c>
      <c r="B48" s="46">
        <f>inputPrYr!D69</f>
        <v>0</v>
      </c>
      <c r="C48" s="69"/>
      <c r="D48" s="46">
        <f>inputPrYr!E69</f>
        <v>0</v>
      </c>
      <c r="E48" s="69"/>
      <c r="F48" s="46">
        <f>'Debt-LP Form'!F15</f>
        <v>0</v>
      </c>
      <c r="G48" s="35"/>
      <c r="H48" s="35"/>
      <c r="J48" s="803" t="s">
        <v>455</v>
      </c>
      <c r="K48" s="803"/>
      <c r="L48" s="803"/>
      <c r="M48" s="803"/>
    </row>
    <row r="49" spans="1:13" x14ac:dyDescent="0.25">
      <c r="A49" s="39" t="s">
        <v>456</v>
      </c>
      <c r="B49" s="46">
        <f>inputPrYr!D70</f>
        <v>0</v>
      </c>
      <c r="C49" s="69"/>
      <c r="D49" s="46">
        <f>inputPrYr!E70</f>
        <v>0</v>
      </c>
      <c r="E49" s="69"/>
      <c r="F49" s="46">
        <f>'Debt-LP Form'!G36</f>
        <v>0</v>
      </c>
      <c r="G49" s="35"/>
      <c r="H49" s="35"/>
      <c r="J49" s="807" t="s">
        <v>451</v>
      </c>
      <c r="K49" s="808"/>
      <c r="L49" s="808"/>
      <c r="M49" s="811" t="str">
        <f>IF(M32&gt;M30, "Yes", "No")</f>
        <v>No</v>
      </c>
    </row>
    <row r="50" spans="1:13" ht="16.5" thickBot="1" x14ac:dyDescent="0.3">
      <c r="A50" s="39" t="s">
        <v>457</v>
      </c>
      <c r="B50" s="607">
        <f>SUM(B47:B49)</f>
        <v>0</v>
      </c>
      <c r="C50" s="69"/>
      <c r="D50" s="607">
        <f>SUM(D47:D49)</f>
        <v>0</v>
      </c>
      <c r="E50" s="69"/>
      <c r="F50" s="607">
        <f>SUM(F47:F49)</f>
        <v>0</v>
      </c>
      <c r="G50" s="35"/>
      <c r="H50" s="35"/>
      <c r="J50" s="809"/>
      <c r="K50" s="810"/>
      <c r="L50" s="810"/>
      <c r="M50" s="812"/>
    </row>
    <row r="51" spans="1:13" ht="16.5" thickTop="1" x14ac:dyDescent="0.25">
      <c r="A51" s="39" t="s">
        <v>458</v>
      </c>
      <c r="B51" s="35"/>
      <c r="C51" s="35"/>
      <c r="D51" s="35"/>
      <c r="E51" s="35"/>
      <c r="F51" s="35"/>
      <c r="G51" s="35"/>
      <c r="H51" s="35"/>
      <c r="J51" s="769" t="str">
        <f>IF(M49="Yes", "Follow procedure prescirbed by KSA 79-2988 to exceed the Revenue Neutral Rate.", " ")</f>
        <v xml:space="preserve"> </v>
      </c>
      <c r="K51" s="769"/>
      <c r="L51" s="769"/>
      <c r="M51" s="769"/>
    </row>
    <row r="52" spans="1:13" x14ac:dyDescent="0.25">
      <c r="A52" s="525" t="s">
        <v>459</v>
      </c>
      <c r="B52" s="35"/>
      <c r="C52" s="35"/>
      <c r="D52" s="35"/>
      <c r="E52" s="35"/>
      <c r="F52" s="35"/>
      <c r="G52" s="35"/>
      <c r="H52" s="35"/>
      <c r="J52" s="770"/>
      <c r="K52" s="770"/>
      <c r="L52" s="770"/>
      <c r="M52" s="770"/>
    </row>
    <row r="53" spans="1:13" x14ac:dyDescent="0.25">
      <c r="A53" s="35"/>
      <c r="B53" s="35"/>
      <c r="C53" s="35"/>
      <c r="D53" s="35"/>
      <c r="E53" s="35"/>
      <c r="F53" s="35"/>
      <c r="G53" s="35"/>
      <c r="H53" s="35"/>
      <c r="J53" s="770"/>
      <c r="K53" s="770"/>
      <c r="L53" s="770"/>
      <c r="M53" s="770"/>
    </row>
    <row r="54" spans="1:13" x14ac:dyDescent="0.25">
      <c r="A54" s="813">
        <f>inputHearing!B14</f>
        <v>0</v>
      </c>
      <c r="B54" s="813"/>
      <c r="C54" s="35"/>
      <c r="D54" s="35"/>
      <c r="E54" s="35"/>
      <c r="F54" s="35"/>
      <c r="G54" s="35"/>
      <c r="H54" s="35"/>
    </row>
    <row r="55" spans="1:13" x14ac:dyDescent="0.25">
      <c r="A55" s="790">
        <f>inputHearing!B16</f>
        <v>0</v>
      </c>
      <c r="B55" s="791"/>
      <c r="C55" s="35"/>
      <c r="D55" s="35"/>
      <c r="E55" s="35"/>
      <c r="F55" s="35"/>
      <c r="G55" s="35"/>
      <c r="H55" s="35"/>
    </row>
    <row r="56" spans="1:13" x14ac:dyDescent="0.25">
      <c r="A56" s="35"/>
      <c r="B56" s="35"/>
      <c r="C56" s="35"/>
      <c r="D56" s="35"/>
      <c r="E56" s="35"/>
      <c r="F56" s="35"/>
      <c r="G56" s="35"/>
      <c r="H56" s="35"/>
    </row>
    <row r="57" spans="1:13" x14ac:dyDescent="0.25">
      <c r="A57" s="35"/>
      <c r="B57" s="136" t="s">
        <v>370</v>
      </c>
      <c r="C57" s="440"/>
      <c r="D57" s="35"/>
      <c r="E57" s="35"/>
      <c r="F57" s="35"/>
      <c r="G57" s="35"/>
      <c r="H57" s="35"/>
    </row>
    <row r="58" spans="1:13" x14ac:dyDescent="0.25">
      <c r="A58" s="65"/>
      <c r="B58" s="65"/>
      <c r="C58" s="65"/>
      <c r="H58" s="275"/>
    </row>
    <row r="60" spans="1:13" x14ac:dyDescent="0.25">
      <c r="A60" s="65"/>
      <c r="B60" s="65"/>
      <c r="C60" s="65"/>
      <c r="D60" s="65"/>
      <c r="E60" s="65"/>
      <c r="F60" s="65"/>
      <c r="G60" s="65"/>
    </row>
    <row r="61" spans="1:13" x14ac:dyDescent="0.25">
      <c r="H61" s="65"/>
    </row>
    <row r="82" spans="1:8" x14ac:dyDescent="0.25">
      <c r="A82" s="65"/>
      <c r="B82" s="65"/>
      <c r="C82" s="65"/>
      <c r="D82" s="65"/>
      <c r="E82" s="65"/>
      <c r="F82" s="65"/>
    </row>
    <row r="89" spans="1:8" x14ac:dyDescent="0.25">
      <c r="A89" s="65"/>
      <c r="B89" s="65"/>
      <c r="C89" s="65"/>
      <c r="D89" s="65"/>
      <c r="E89" s="65"/>
      <c r="F89" s="65"/>
      <c r="G89" s="65"/>
    </row>
    <row r="90" spans="1:8" x14ac:dyDescent="0.25">
      <c r="H90" s="65"/>
    </row>
    <row r="95" spans="1:8" x14ac:dyDescent="0.25">
      <c r="A95" s="65"/>
      <c r="B95" s="65"/>
      <c r="C95" s="65"/>
      <c r="D95" s="65"/>
      <c r="E95" s="65"/>
      <c r="F95" s="65"/>
      <c r="G95" s="65"/>
    </row>
    <row r="96" spans="1:8" x14ac:dyDescent="0.25">
      <c r="H96" s="65"/>
    </row>
    <row r="116" spans="1:7" x14ac:dyDescent="0.25">
      <c r="A116" s="65"/>
      <c r="B116" s="65"/>
      <c r="C116" s="65"/>
      <c r="D116" s="65"/>
      <c r="E116" s="65"/>
      <c r="F116" s="65"/>
      <c r="G116" s="65"/>
    </row>
  </sheetData>
  <sheetProtection sheet="1" objects="1" scenarios="1"/>
  <mergeCells count="33">
    <mergeCell ref="J51:M53"/>
    <mergeCell ref="A54:B54"/>
    <mergeCell ref="A38:G38"/>
    <mergeCell ref="J42:L43"/>
    <mergeCell ref="M42:M43"/>
    <mergeCell ref="J44:M46"/>
    <mergeCell ref="A6:H6"/>
    <mergeCell ref="A5:H5"/>
    <mergeCell ref="J14:M14"/>
    <mergeCell ref="J7:M7"/>
    <mergeCell ref="J49:L50"/>
    <mergeCell ref="M49:M50"/>
    <mergeCell ref="A8:H8"/>
    <mergeCell ref="A10:H10"/>
    <mergeCell ref="A11:H11"/>
    <mergeCell ref="A12:H12"/>
    <mergeCell ref="J26:M26"/>
    <mergeCell ref="J2:M2"/>
    <mergeCell ref="A55:B55"/>
    <mergeCell ref="A9:H9"/>
    <mergeCell ref="B15:B17"/>
    <mergeCell ref="C15:C17"/>
    <mergeCell ref="D15:D17"/>
    <mergeCell ref="E15:E17"/>
    <mergeCell ref="F15:F17"/>
    <mergeCell ref="H15:H17"/>
    <mergeCell ref="G15:G17"/>
    <mergeCell ref="A37:G37"/>
    <mergeCell ref="J41:M41"/>
    <mergeCell ref="J48:M48"/>
    <mergeCell ref="A2:H2"/>
    <mergeCell ref="A4:H4"/>
    <mergeCell ref="A7:H7"/>
  </mergeCells>
  <phoneticPr fontId="0" type="noConversion"/>
  <conditionalFormatting sqref="M42:M43">
    <cfRule type="containsText" dxfId="4" priority="2" operator="containsText" text="Yes">
      <formula>NOT(ISERROR(SEARCH("Yes",M42)))</formula>
    </cfRule>
  </conditionalFormatting>
  <conditionalFormatting sqref="M49:M50">
    <cfRule type="containsText" dxfId="3" priority="1" operator="containsText" text="Yes">
      <formula>NOT(ISERROR(SEARCH("Yes",M49)))</formula>
    </cfRule>
  </conditionalFormatting>
  <pageMargins left="0.9" right="0.9" top="0.96" bottom="0.5" header="0.41" footer="0.3"/>
  <pageSetup scale="67" orientation="portrait" blackAndWhite="1" r:id="rId1"/>
  <headerFooter alignWithMargins="0">
    <oddHeader xml:space="preserve">&amp;RState of Kansas
Township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40AEF-2323-4C1E-ADA2-39FDE8B401C8}">
  <sheetPr>
    <tabColor rgb="FF00B0F0"/>
    <pageSetUpPr fitToPage="1"/>
  </sheetPr>
  <dimension ref="A1:M116"/>
  <sheetViews>
    <sheetView zoomScaleNormal="100" workbookViewId="0">
      <selection activeCell="I1" sqref="I1"/>
    </sheetView>
  </sheetViews>
  <sheetFormatPr defaultRowHeight="15.75" x14ac:dyDescent="0.25"/>
  <cols>
    <col min="1" max="1" width="20.69921875" style="99" customWidth="1"/>
    <col min="2" max="2" width="12.69921875" style="99" customWidth="1"/>
    <col min="3" max="3" width="9.69921875" style="99" customWidth="1"/>
    <col min="4" max="4" width="12.69921875" style="99" customWidth="1"/>
    <col min="5" max="5" width="9.69921875" style="99" customWidth="1"/>
    <col min="6" max="6" width="12.69921875" style="99" customWidth="1"/>
    <col min="7" max="7" width="10.69921875" style="99" customWidth="1"/>
    <col min="8" max="8" width="9.69921875" style="99" customWidth="1"/>
    <col min="9" max="11" width="8.796875" style="99"/>
    <col min="12" max="12" width="10.69921875" style="99" customWidth="1"/>
    <col min="13" max="13" width="8.5" style="99" customWidth="1"/>
    <col min="14" max="16384" width="8.796875" style="99"/>
  </cols>
  <sheetData>
    <row r="1" spans="1:13" x14ac:dyDescent="0.25">
      <c r="A1" s="35"/>
      <c r="B1" s="35"/>
      <c r="C1" s="35"/>
      <c r="D1" s="35"/>
      <c r="E1" s="35"/>
      <c r="F1" s="35"/>
      <c r="G1" s="35"/>
      <c r="H1" s="36">
        <f>inputPrYr!D10</f>
        <v>2025</v>
      </c>
    </row>
    <row r="2" spans="1:13" x14ac:dyDescent="0.25">
      <c r="A2" s="804" t="s">
        <v>460</v>
      </c>
      <c r="B2" s="728"/>
      <c r="C2" s="728"/>
      <c r="D2" s="728"/>
      <c r="E2" s="728"/>
      <c r="F2" s="728"/>
      <c r="G2" s="728"/>
      <c r="H2" s="728"/>
    </row>
    <row r="3" spans="1:13" x14ac:dyDescent="0.25">
      <c r="A3" s="35"/>
      <c r="B3" s="35"/>
      <c r="C3" s="35"/>
      <c r="D3" s="35"/>
      <c r="E3" s="35"/>
      <c r="F3" s="39" t="s">
        <v>420</v>
      </c>
      <c r="G3" s="39" t="s">
        <v>421</v>
      </c>
      <c r="H3" s="35"/>
      <c r="J3" s="787" t="str">
        <f>CONCATENATE("Estimated Value Of One Mill For ",H1,"")</f>
        <v>Estimated Value Of One Mill For 2025</v>
      </c>
      <c r="K3" s="788"/>
      <c r="L3" s="788"/>
      <c r="M3" s="789"/>
    </row>
    <row r="4" spans="1:13" x14ac:dyDescent="0.25">
      <c r="A4" s="729" t="s">
        <v>422</v>
      </c>
      <c r="B4" s="729"/>
      <c r="C4" s="729"/>
      <c r="D4" s="729"/>
      <c r="E4" s="729"/>
      <c r="F4" s="729"/>
      <c r="G4" s="729"/>
      <c r="H4" s="729"/>
      <c r="J4" s="267"/>
      <c r="K4" s="4"/>
      <c r="L4" s="4"/>
      <c r="M4" s="266"/>
    </row>
    <row r="5" spans="1:13" x14ac:dyDescent="0.25">
      <c r="A5" s="676">
        <f>inputPrYr!D4</f>
        <v>0</v>
      </c>
      <c r="B5" s="676"/>
      <c r="C5" s="676"/>
      <c r="D5" s="676"/>
      <c r="E5" s="676"/>
      <c r="F5" s="676"/>
      <c r="G5" s="676"/>
      <c r="H5" s="676"/>
      <c r="J5" s="251" t="s">
        <v>423</v>
      </c>
      <c r="K5" s="35"/>
      <c r="L5" s="35"/>
      <c r="M5" s="439">
        <f>ROUND(F42/1000,0)</f>
        <v>0</v>
      </c>
    </row>
    <row r="6" spans="1:13" x14ac:dyDescent="0.25">
      <c r="A6" s="676">
        <f>inputPrYr!D5</f>
        <v>0</v>
      </c>
      <c r="B6" s="676"/>
      <c r="C6" s="676"/>
      <c r="D6" s="676"/>
      <c r="E6" s="676"/>
      <c r="F6" s="676"/>
      <c r="G6" s="676"/>
      <c r="H6" s="676"/>
      <c r="J6" s="265" t="s">
        <v>424</v>
      </c>
      <c r="K6" s="11"/>
      <c r="L6" s="11"/>
      <c r="M6" s="439">
        <f>ROUND(F43/1000,0)</f>
        <v>0</v>
      </c>
    </row>
    <row r="7" spans="1:13" x14ac:dyDescent="0.25">
      <c r="A7" s="727" t="str">
        <f>CONCATENATE("will meet on ",inputHearing!B32," at ",inputHearing!B34," at ",inputHearing!B36," for the purpose of hearing and")</f>
        <v>will meet on  at  at  for the purpose of hearing and</v>
      </c>
      <c r="B7" s="727"/>
      <c r="C7" s="727"/>
      <c r="D7" s="727"/>
      <c r="E7" s="727"/>
      <c r="F7" s="727"/>
      <c r="G7" s="727"/>
      <c r="H7" s="727"/>
    </row>
    <row r="8" spans="1:13" x14ac:dyDescent="0.25">
      <c r="A8" s="729" t="s">
        <v>425</v>
      </c>
      <c r="B8" s="677"/>
      <c r="C8" s="677"/>
      <c r="D8" s="677"/>
      <c r="E8" s="677"/>
      <c r="F8" s="677"/>
      <c r="G8" s="677"/>
      <c r="H8" s="677"/>
      <c r="J8" s="787" t="str">
        <f>CONCATENATE("Want The Mill Rate The Same As For ",H1-1,"?")</f>
        <v>Want The Mill Rate The Same As For 2024?</v>
      </c>
      <c r="K8" s="788"/>
      <c r="L8" s="788"/>
      <c r="M8" s="789"/>
    </row>
    <row r="9" spans="1:13" x14ac:dyDescent="0.25">
      <c r="A9" s="727" t="str">
        <f>CONCATENATE("Detailed budget information is available at ",inputHearing!B38," and will be available at this hearing.")</f>
        <v>Detailed budget information is available at  and will be available at this hearing.</v>
      </c>
      <c r="B9" s="728"/>
      <c r="C9" s="728"/>
      <c r="D9" s="728"/>
      <c r="E9" s="728"/>
      <c r="F9" s="728"/>
      <c r="G9" s="728"/>
      <c r="H9" s="728"/>
      <c r="J9" s="264"/>
      <c r="K9" s="4"/>
      <c r="L9" s="4"/>
      <c r="M9" s="263"/>
    </row>
    <row r="10" spans="1:13" x14ac:dyDescent="0.25">
      <c r="A10" s="804" t="s">
        <v>426</v>
      </c>
      <c r="B10" s="677"/>
      <c r="C10" s="677"/>
      <c r="D10" s="677"/>
      <c r="E10" s="677"/>
      <c r="F10" s="677"/>
      <c r="G10" s="677"/>
      <c r="H10" s="677"/>
      <c r="J10" s="264" t="str">
        <f>CONCATENATE("",H1-1," Mill Rate Was:")</f>
        <v>2024 Mill Rate Was:</v>
      </c>
      <c r="K10" s="4"/>
      <c r="L10" s="4"/>
      <c r="M10" s="262">
        <f>E36</f>
        <v>0</v>
      </c>
    </row>
    <row r="11" spans="1:13" x14ac:dyDescent="0.25">
      <c r="A11" s="729" t="str">
        <f>CONCATENATE("Proposed Budget ",H1," Expenditures and Amount of ",H1-1," Ad Valorem Tax establish the maximum limits")</f>
        <v>Proposed Budget 2025 Expenditures and Amount of 2024 Ad Valorem Tax establish the maximum limits</v>
      </c>
      <c r="B11" s="677"/>
      <c r="C11" s="677"/>
      <c r="D11" s="677"/>
      <c r="E11" s="677"/>
      <c r="F11" s="677"/>
      <c r="G11" s="677"/>
      <c r="H11" s="677"/>
      <c r="J11" s="261" t="str">
        <f>CONCATENATE("",H1," Tax Levy Fund Expenditures Must Be")</f>
        <v>2025 Tax Levy Fund Expenditures Must Be</v>
      </c>
      <c r="K11" s="260"/>
      <c r="L11" s="260"/>
      <c r="M11" s="263"/>
    </row>
    <row r="12" spans="1:13" x14ac:dyDescent="0.25">
      <c r="A12" s="729" t="str">
        <f>CONCATENATE("of the ",H1," budget.  Estimated Tax Rate is subject to change depending on the final assessed valuation.")</f>
        <v>of the 2025 budget.  Estimated Tax Rate is subject to change depending on the final assessed valuation.</v>
      </c>
      <c r="B12" s="677"/>
      <c r="C12" s="677"/>
      <c r="D12" s="677"/>
      <c r="E12" s="677"/>
      <c r="F12" s="677"/>
      <c r="G12" s="677"/>
      <c r="H12" s="677"/>
      <c r="J12" s="284" t="s">
        <v>427</v>
      </c>
      <c r="K12" s="260"/>
      <c r="L12" s="260"/>
      <c r="M12" s="259">
        <f>M24*-1</f>
        <v>0</v>
      </c>
    </row>
    <row r="13" spans="1:13" x14ac:dyDescent="0.25">
      <c r="A13" s="39"/>
      <c r="B13" s="35"/>
      <c r="C13" s="35"/>
      <c r="D13" s="35"/>
      <c r="E13" s="35"/>
      <c r="F13" s="35"/>
      <c r="G13" s="35"/>
      <c r="H13" s="35"/>
      <c r="J13" s="258" t="s">
        <v>428</v>
      </c>
      <c r="K13" s="256"/>
      <c r="L13" s="256"/>
      <c r="M13" s="257">
        <f>M25*-1</f>
        <v>0</v>
      </c>
    </row>
    <row r="14" spans="1:13" x14ac:dyDescent="0.25">
      <c r="A14" s="131"/>
      <c r="B14" s="125" t="str">
        <f>CONCATENATE("Prior Year Actual ",H1-2,"")</f>
        <v>Prior Year Actual 2023</v>
      </c>
      <c r="C14" s="126"/>
      <c r="D14" s="125" t="str">
        <f>CONCATENATE("Current Year Estimate ",H1-1,"")</f>
        <v>Current Year Estimate 2024</v>
      </c>
      <c r="E14" s="127"/>
      <c r="F14" s="128" t="str">
        <f>CONCATENATE("Proposed Budget ",H1,"")</f>
        <v>Proposed Budget 2025</v>
      </c>
      <c r="G14" s="129"/>
      <c r="H14" s="127"/>
      <c r="J14" s="1"/>
      <c r="K14" s="1"/>
      <c r="L14" s="1"/>
      <c r="M14" s="1"/>
    </row>
    <row r="15" spans="1:13" ht="22.5" customHeight="1" x14ac:dyDescent="0.25">
      <c r="A15" s="40"/>
      <c r="B15" s="792" t="s">
        <v>429</v>
      </c>
      <c r="C15" s="721" t="s">
        <v>430</v>
      </c>
      <c r="D15" s="792" t="s">
        <v>429</v>
      </c>
      <c r="E15" s="721" t="s">
        <v>430</v>
      </c>
      <c r="F15" s="795" t="s">
        <v>431</v>
      </c>
      <c r="G15" s="721" t="str">
        <f>CONCATENATE("Amount of ",H1-1," Ad Valorem Tax")</f>
        <v>Amount of 2024 Ad Valorem Tax</v>
      </c>
      <c r="H15" s="721" t="s">
        <v>432</v>
      </c>
      <c r="J15" s="787" t="str">
        <f>CONCATENATE("Impact On Keeping The Same Mill Rate As For ",H1-1,"")</f>
        <v>Impact On Keeping The Same Mill Rate As For 2024</v>
      </c>
      <c r="K15" s="805"/>
      <c r="L15" s="805"/>
      <c r="M15" s="806"/>
    </row>
    <row r="16" spans="1:13" x14ac:dyDescent="0.25">
      <c r="A16" s="40"/>
      <c r="B16" s="793"/>
      <c r="C16" s="730"/>
      <c r="D16" s="793"/>
      <c r="E16" s="730"/>
      <c r="F16" s="796"/>
      <c r="G16" s="798"/>
      <c r="H16" s="730"/>
      <c r="J16" s="264"/>
      <c r="K16" s="4"/>
      <c r="L16" s="4"/>
      <c r="M16" s="263"/>
    </row>
    <row r="17" spans="1:13" x14ac:dyDescent="0.25">
      <c r="A17" s="626" t="s">
        <v>124</v>
      </c>
      <c r="B17" s="794"/>
      <c r="C17" s="731"/>
      <c r="D17" s="794"/>
      <c r="E17" s="731"/>
      <c r="F17" s="797"/>
      <c r="G17" s="799"/>
      <c r="H17" s="731"/>
      <c r="J17" s="264" t="str">
        <f>CONCATENATE("",H1," Ad Valorem Tax Rev(Township Only):")</f>
        <v>2025 Ad Valorem Tax Rev(Township Only):</v>
      </c>
      <c r="K17" s="4"/>
      <c r="L17" s="4"/>
      <c r="M17" s="266">
        <f>SUM(G21:G24)</f>
        <v>0</v>
      </c>
    </row>
    <row r="18" spans="1:13" x14ac:dyDescent="0.25">
      <c r="A18" s="53" t="str">
        <f>inputPrYr!B21</f>
        <v>General</v>
      </c>
      <c r="B18" s="53" t="str">
        <f>IF(General!$C$49&lt;&gt;0,General!$C$49,"  ")</f>
        <v xml:space="preserve">  </v>
      </c>
      <c r="C18" s="55" t="str">
        <f>IF(inputPrYr!D50&gt;0,inputPrYr!D50,"  ")</f>
        <v xml:space="preserve">  </v>
      </c>
      <c r="D18" s="53" t="str">
        <f>IF(General!$D$49&lt;&gt;0,General!$D$49,"  ")</f>
        <v xml:space="preserve">  </v>
      </c>
      <c r="E18" s="55" t="str">
        <f>IF(inputOth!D40&gt;0,inputOth!D40,"  ")</f>
        <v xml:space="preserve">  </v>
      </c>
      <c r="F18" s="53" t="str">
        <f>IF(General!$E$49&lt;&gt;0,General!$E$49,"  ")</f>
        <v xml:space="preserve">  </v>
      </c>
      <c r="G18" s="53" t="str">
        <f>IF(General!$E$56&lt;&gt;0,General!$E$56,"")</f>
        <v/>
      </c>
      <c r="H18" s="55" t="str">
        <f>IF(General!E56&gt;0,ROUND(G18/F42*1000,3)," ")</f>
        <v xml:space="preserve"> </v>
      </c>
      <c r="J18" s="264" t="str">
        <f>CONCATENATE("",H1," Ad Valorem Tax Rev(Township Tot):")</f>
        <v>2025 Ad Valorem Tax Rev(Township Tot):</v>
      </c>
      <c r="K18" s="4"/>
      <c r="L18" s="4"/>
      <c r="M18" s="279">
        <f>SUM(G18,G19,G20,G25,G26,G27,G28,G29)</f>
        <v>0</v>
      </c>
    </row>
    <row r="19" spans="1:13" x14ac:dyDescent="0.25">
      <c r="A19" s="53" t="s">
        <v>101</v>
      </c>
      <c r="B19" s="53" t="str">
        <f>IF('DebtSvs-Library'!C34&lt;&gt;0,'DebtSvs-Library'!C34,"  ")</f>
        <v xml:space="preserve">  </v>
      </c>
      <c r="C19" s="55" t="str">
        <f>IF(inputPrYr!D51&gt;0,inputPrYr!D51,"  ")</f>
        <v xml:space="preserve">  </v>
      </c>
      <c r="D19" s="53" t="str">
        <f>IF('DebtSvs-Library'!D34&lt;&gt;0,'DebtSvs-Library'!D34,"  ")</f>
        <v xml:space="preserve">  </v>
      </c>
      <c r="E19" s="55" t="str">
        <f>IF(inputOth!D41&gt;0,inputOth!D41,"  ")</f>
        <v xml:space="preserve">  </v>
      </c>
      <c r="F19" s="53" t="str">
        <f>IF('DebtSvs-Library'!E34&lt;&gt;0,'DebtSvs-Library'!E34,"  ")</f>
        <v xml:space="preserve">  </v>
      </c>
      <c r="G19" s="53" t="str">
        <f>IF('DebtSvs-Library'!E41&lt;&gt;0,'DebtSvs-Library'!E41," ")</f>
        <v xml:space="preserve"> </v>
      </c>
      <c r="H19" s="55" t="str">
        <f>IF('DebtSvs-Library'!E41&gt;0,ROUND(G19/F42*1000,3)," ")</f>
        <v xml:space="preserve"> </v>
      </c>
      <c r="J19" s="264" t="str">
        <f>CONCATENATE("Total ",H1," Ad Valorem Tax Revenue:")</f>
        <v>Total 2025 Ad Valorem Tax Revenue:</v>
      </c>
      <c r="K19" s="35"/>
      <c r="L19" s="35"/>
      <c r="M19" s="280">
        <f>M17+M18</f>
        <v>0</v>
      </c>
    </row>
    <row r="20" spans="1:13" x14ac:dyDescent="0.25">
      <c r="A20" s="53" t="str">
        <f>IF(inputPrYr!$B23&gt;"  ",inputPrYr!$B23,"  ")</f>
        <v>Library</v>
      </c>
      <c r="B20" s="53" t="str">
        <f>IF('DebtSvs-Library'!C75&lt;&gt;0,'DebtSvs-Library'!C75,"  ")</f>
        <v xml:space="preserve">  </v>
      </c>
      <c r="C20" s="55" t="str">
        <f>IF(inputPrYr!D52&gt;0,inputPrYr!D52,"  ")</f>
        <v xml:space="preserve">  </v>
      </c>
      <c r="D20" s="53" t="str">
        <f>IF('DebtSvs-Library'!D75&lt;&gt;0,'DebtSvs-Library'!D75,"  ")</f>
        <v xml:space="preserve">  </v>
      </c>
      <c r="E20" s="55" t="str">
        <f>IF(inputOth!D42&gt;0,inputOth!D42,"  ")</f>
        <v xml:space="preserve">  </v>
      </c>
      <c r="F20" s="53" t="str">
        <f>IF('DebtSvs-Library'!E75&lt;&gt;0,'DebtSvs-Library'!E75,"  ")</f>
        <v xml:space="preserve">  </v>
      </c>
      <c r="G20" s="53" t="str">
        <f>IF('DebtSvs-Library'!E82&lt;&gt;0,'DebtSvs-Library'!E82," ")</f>
        <v xml:space="preserve"> </v>
      </c>
      <c r="H20" s="55" t="str">
        <f>IF('DebtSvs-Library'!E82&gt;0,ROUND(G20/F42*1000,3)," ")</f>
        <v xml:space="preserve"> </v>
      </c>
      <c r="J20" s="264" t="str">
        <f>CONCATENATE("",H1-1," Ad Valorem Tax Rev(Township Only):")</f>
        <v>2024 Ad Valorem Tax Rev(Township Only):</v>
      </c>
      <c r="K20" s="4"/>
      <c r="L20" s="4"/>
      <c r="M20" s="281">
        <f>ROUND(SUM(E21:E24)*F43/1000,0)</f>
        <v>0</v>
      </c>
    </row>
    <row r="21" spans="1:13" x14ac:dyDescent="0.25">
      <c r="A21" s="53" t="str">
        <f>IF(inputPrYr!$B24&gt;"  ",inputPrYr!$B24,"  ")</f>
        <v>Road</v>
      </c>
      <c r="B21" s="53" t="str">
        <f>IF(Road!$C$43&lt;&gt;0,Road!$C$43,"  ")</f>
        <v xml:space="preserve">  </v>
      </c>
      <c r="C21" s="55" t="str">
        <f>IF(inputPrYr!D53&gt;0,inputPrYr!D53,"  ")</f>
        <v xml:space="preserve">  </v>
      </c>
      <c r="D21" s="53" t="str">
        <f>IF(Road!$D$43&lt;&gt;0,Road!$D$43,"  ")</f>
        <v xml:space="preserve">  </v>
      </c>
      <c r="E21" s="55" t="str">
        <f>IF(inputOth!D43&gt;0,inputOth!D43,"  ")</f>
        <v xml:space="preserve">  </v>
      </c>
      <c r="F21" s="53" t="str">
        <f>IF(Road!$E$43&lt;&gt;0,Road!$E$43,"  ")</f>
        <v xml:space="preserve">  </v>
      </c>
      <c r="G21" s="53" t="str">
        <f>IF(Road!$E$50&lt;&gt;0,Road!$E$50,"  ")</f>
        <v xml:space="preserve">  </v>
      </c>
      <c r="H21" s="55" t="str">
        <f>IF(Road!E50&gt;0,ROUND(G21/F43*1000,3)," ")</f>
        <v xml:space="preserve"> </v>
      </c>
      <c r="J21" s="264" t="str">
        <f>CONCATENATE("",H1-1," Ad Valorem Tax Rev(Township Tot):")</f>
        <v>2024 Ad Valorem Tax Rev(Township Tot):</v>
      </c>
      <c r="K21" s="35"/>
      <c r="L21" s="35"/>
      <c r="M21" s="282">
        <f>ROUND(SUM(E18,E19,E20,(E25,E26,E27,E28,E29))*F42/1000,0)</f>
        <v>0</v>
      </c>
    </row>
    <row r="22" spans="1:13" x14ac:dyDescent="0.25">
      <c r="A22" s="53" t="str">
        <f>IF(inputPrYr!$B25&gt;"  ",inputPrYr!$B25,"  ")</f>
        <v>Special Road</v>
      </c>
      <c r="B22" s="53" t="str">
        <f>IF('Spec Road &amp; Noxious Weed'!$C$34&lt;&gt;0,'Spec Road &amp; Noxious Weed'!$C$34,"  ")</f>
        <v xml:space="preserve">  </v>
      </c>
      <c r="C22" s="55" t="str">
        <f>IF(inputPrYr!D54&gt;0,inputPrYr!D54,"  ")</f>
        <v xml:space="preserve">  </v>
      </c>
      <c r="D22" s="53" t="str">
        <f>IF('Spec Road &amp; Noxious Weed'!$D$34&lt;&gt;0,'Spec Road &amp; Noxious Weed'!$D$34,"  ")</f>
        <v xml:space="preserve">  </v>
      </c>
      <c r="E22" s="55" t="str">
        <f>IF(inputOth!D44&gt;0,inputOth!D44,"  ")</f>
        <v xml:space="preserve">  </v>
      </c>
      <c r="F22" s="53" t="str">
        <f>IF('Spec Road &amp; Noxious Weed'!$E$34&lt;&gt;0,'Spec Road &amp; Noxious Weed'!$E$34,"  ")</f>
        <v xml:space="preserve">  </v>
      </c>
      <c r="G22" s="53" t="str">
        <f>IF('Spec Road &amp; Noxious Weed'!$E$41&lt;&gt;0,'Spec Road &amp; Noxious Weed'!$E$41,"  ")</f>
        <v xml:space="preserve">  </v>
      </c>
      <c r="H22" s="55" t="str">
        <f>IF('Spec Road &amp; Noxious Weed'!E41&gt;0,ROUND(G22/F43*1000,3)," ")</f>
        <v xml:space="preserve"> </v>
      </c>
      <c r="J22" s="251" t="str">
        <f>CONCATENATE("Total ",H1-1," Ad Valorem Tax Revenue:")</f>
        <v>Total 2024 Ad Valorem Tax Revenue:</v>
      </c>
      <c r="K22" s="35"/>
      <c r="L22" s="35"/>
      <c r="M22" s="283">
        <f>M20+M21</f>
        <v>0</v>
      </c>
    </row>
    <row r="23" spans="1:13" x14ac:dyDescent="0.25">
      <c r="A23" s="53" t="str">
        <f>IF(inputPrYr!$B26&gt;"  ",inputPrYr!$B26,"  ")</f>
        <v>Noxious Weed</v>
      </c>
      <c r="B23" s="53" t="str">
        <f>IF('Spec Road &amp; Noxious Weed'!$C$75&lt;&gt;0,'Spec Road &amp; Noxious Weed'!$C$75,"  ")</f>
        <v xml:space="preserve">  </v>
      </c>
      <c r="C23" s="55" t="str">
        <f>IF(inputPrYr!D55&gt;0,inputPrYr!D55,"  ")</f>
        <v xml:space="preserve">  </v>
      </c>
      <c r="D23" s="53" t="str">
        <f>IF('Spec Road &amp; Noxious Weed'!$D$75&lt;&gt;0,'Spec Road &amp; Noxious Weed'!$D$75,"  ")</f>
        <v xml:space="preserve">  </v>
      </c>
      <c r="E23" s="55" t="str">
        <f>IF(inputOth!D45&gt;0,inputOth!D45,"  ")</f>
        <v xml:space="preserve">  </v>
      </c>
      <c r="F23" s="53" t="str">
        <f>IF('Spec Road &amp; Noxious Weed'!$E$75&lt;&gt;0,'Spec Road &amp; Noxious Weed'!$E$75,"  ")</f>
        <v xml:space="preserve">  </v>
      </c>
      <c r="G23" s="53" t="str">
        <f>IF('Spec Road &amp; Noxious Weed'!$E$82&lt;&gt;0,'Spec Road &amp; Noxious Weed'!$E$82,"  ")</f>
        <v xml:space="preserve">  </v>
      </c>
      <c r="H23" s="55" t="str">
        <f>IF('Spec Road &amp; Noxious Weed'!E82&gt;0,ROUND(G23/F43*1000,3)," ")</f>
        <v xml:space="preserve"> </v>
      </c>
      <c r="J23" s="261" t="s">
        <v>433</v>
      </c>
      <c r="K23" s="260"/>
      <c r="L23" s="260"/>
      <c r="M23" s="259">
        <f>M19-M22</f>
        <v>0</v>
      </c>
    </row>
    <row r="24" spans="1:13" x14ac:dyDescent="0.25">
      <c r="A24" s="53" t="str">
        <f>IF(inputPrYr!$B27&gt;"  ",inputPrYr!$B27,"  ")</f>
        <v>Fire Protection</v>
      </c>
      <c r="B24" s="53" t="str">
        <f>IF('Levy Page 10'!$C$34&lt;&gt;0,'Levy Page 10'!$C$34,"  ")</f>
        <v xml:space="preserve">  </v>
      </c>
      <c r="C24" s="55" t="str">
        <f>IF(inputPrYr!D56&gt;0,inputPrYr!D56,"  ")</f>
        <v xml:space="preserve">  </v>
      </c>
      <c r="D24" s="53" t="str">
        <f>IF('Levy Page 10'!$D$34&lt;&gt;0,'Levy Page 10'!$D$34,"  ")</f>
        <v xml:space="preserve">  </v>
      </c>
      <c r="E24" s="55" t="str">
        <f>IF(inputOth!D46&gt;0,inputOth!D46,"  ")</f>
        <v xml:space="preserve">  </v>
      </c>
      <c r="F24" s="53" t="str">
        <f>IF('Levy Page 10'!$E$34&lt;&gt;0,'Levy Page 10'!$E$34,"  ")</f>
        <v xml:space="preserve">  </v>
      </c>
      <c r="G24" s="53" t="str">
        <f>IF('Levy Page 10'!$E$41&lt;&gt;0,'Levy Page 10'!$E$41,"  ")</f>
        <v xml:space="preserve">  </v>
      </c>
      <c r="H24" s="55" t="str">
        <f>IF('Levy Page 10'!E41&gt;0,ROUND(G24/F43*1000,3)," ")</f>
        <v xml:space="preserve"> </v>
      </c>
      <c r="J24" s="284" t="s">
        <v>434</v>
      </c>
      <c r="K24" s="285"/>
      <c r="L24" s="285"/>
      <c r="M24" s="280">
        <f>M17-M20</f>
        <v>0</v>
      </c>
    </row>
    <row r="25" spans="1:13" x14ac:dyDescent="0.25">
      <c r="A25" s="53" t="str">
        <f>IF(inputPrYr!$B28&gt;"  ",inputPrYr!$B28,"  ")</f>
        <v xml:space="preserve">  </v>
      </c>
      <c r="B25" s="53" t="str">
        <f>IF('Levy Page 10'!$C$75&lt;&gt;0,'Levy Page 10'!$C$75,"  ")</f>
        <v xml:space="preserve">  </v>
      </c>
      <c r="C25" s="55" t="str">
        <f>IF(inputPrYr!D57&gt;0,inputPrYr!D57,"  ")</f>
        <v xml:space="preserve">  </v>
      </c>
      <c r="D25" s="53" t="str">
        <f>IF('Levy Page 10'!$D$75&lt;&gt;0,'Levy Page 10'!$D$75,"  ")</f>
        <v xml:space="preserve">  </v>
      </c>
      <c r="E25" s="55" t="str">
        <f>IF(inputOth!D47&gt;0,inputOth!D47,"  ")</f>
        <v xml:space="preserve">  </v>
      </c>
      <c r="F25" s="53" t="str">
        <f>IF('Levy Page 10'!$E$75&lt;&gt;0,'Levy Page 10'!$E$75,"  ")</f>
        <v xml:space="preserve">  </v>
      </c>
      <c r="G25" s="53" t="str">
        <f>IF('Levy Page 10'!$E$82&lt;&gt;0,'Levy Page 10'!$E$82,"  ")</f>
        <v xml:space="preserve">  </v>
      </c>
      <c r="H25" s="55" t="str">
        <f>IF('Levy Page 10'!E82&gt;0,ROUND(G25/F42*1000,3)," ")</f>
        <v xml:space="preserve"> </v>
      </c>
      <c r="J25" s="258" t="s">
        <v>435</v>
      </c>
      <c r="K25" s="256"/>
      <c r="L25" s="256"/>
      <c r="M25" s="257">
        <f>M18-M21</f>
        <v>0</v>
      </c>
    </row>
    <row r="26" spans="1:13" x14ac:dyDescent="0.25">
      <c r="A26" s="53" t="str">
        <f>IF(inputPrYr!$B29&gt;"  ",inputPrYr!$B29,"  ")</f>
        <v xml:space="preserve">  </v>
      </c>
      <c r="B26" s="53" t="str">
        <f>IF('Levy Page 11'!$C$34&lt;&gt;0,'Levy Page 11'!$C$34,"  ")</f>
        <v xml:space="preserve">  </v>
      </c>
      <c r="C26" s="55" t="str">
        <f>IF(inputPrYr!D58&gt;0,inputPrYr!D58,"  ")</f>
        <v xml:space="preserve">  </v>
      </c>
      <c r="D26" s="53" t="str">
        <f>IF('Levy Page 11'!$D$34&lt;&gt;0,'Levy Page 11'!$D$34,"  ")</f>
        <v xml:space="preserve">  </v>
      </c>
      <c r="E26" s="55" t="str">
        <f>IF(inputOth!D48&gt;0,inputOth!D48,"  ")</f>
        <v xml:space="preserve">  </v>
      </c>
      <c r="F26" s="53" t="str">
        <f>IF('Levy Page 11'!$E$34&lt;&gt;0,'Levy Page 11'!$E$34,"  ")</f>
        <v xml:space="preserve">  </v>
      </c>
      <c r="G26" s="53" t="str">
        <f>IF('Levy Page 11'!$E$41&lt;&gt;0,'Levy Page 11'!$E$41,"  ")</f>
        <v xml:space="preserve">  </v>
      </c>
      <c r="H26" s="55" t="str">
        <f>IF('Levy Page 11'!E41&gt;0,ROUND(G26/F42*1000,3)," ")</f>
        <v xml:space="preserve"> </v>
      </c>
    </row>
    <row r="27" spans="1:13" x14ac:dyDescent="0.25">
      <c r="A27" s="53" t="str">
        <f>IF(inputPrYr!$B30&gt;"  ",inputPrYr!$B30,"  ")</f>
        <v xml:space="preserve">  </v>
      </c>
      <c r="B27" s="53" t="str">
        <f>IF('Levy Page 11'!$C$75&lt;&gt;0,'Levy Page 11'!$C$75,"  ")</f>
        <v xml:space="preserve">  </v>
      </c>
      <c r="C27" s="55" t="str">
        <f>IF(inputPrYr!D59&gt;0,inputPrYr!D59,"  ")</f>
        <v xml:space="preserve">  </v>
      </c>
      <c r="D27" s="53" t="str">
        <f>IF('Levy Page 11'!$D$75&lt;&gt;0,'Levy Page 11'!$D$75,"  ")</f>
        <v xml:space="preserve">  </v>
      </c>
      <c r="E27" s="55" t="str">
        <f>IF(inputOth!D49&gt;0,inputOth!D49,"  ")</f>
        <v xml:space="preserve">  </v>
      </c>
      <c r="F27" s="53" t="str">
        <f>IF('Levy Page 11'!$E$75&lt;&gt;0,'Levy Page 11'!$E$75,"  ")</f>
        <v xml:space="preserve">  </v>
      </c>
      <c r="G27" s="53" t="str">
        <f>IF('Levy Page 11'!$E$82&lt;&gt;0,'Levy Page 11'!$E$82,"  ")</f>
        <v xml:space="preserve">  </v>
      </c>
      <c r="H27" s="55" t="str">
        <f>IF('Levy Page 11'!E82&gt;0,ROUND(G27/F42*1000,3)," ")</f>
        <v xml:space="preserve"> </v>
      </c>
      <c r="J27" s="787" t="s">
        <v>436</v>
      </c>
      <c r="K27" s="788"/>
      <c r="L27" s="788"/>
      <c r="M27" s="789"/>
    </row>
    <row r="28" spans="1:13" x14ac:dyDescent="0.25">
      <c r="A28" s="53" t="str">
        <f>IF(inputPrYr!$B31&gt;"  ",inputPrYr!$B31,"  ")</f>
        <v xml:space="preserve">  </v>
      </c>
      <c r="B28" s="53" t="str">
        <f>IF('Levy Page 12'!$C$34&lt;&gt;0,'Levy Page 12'!$C$34,"  ")</f>
        <v xml:space="preserve">  </v>
      </c>
      <c r="C28" s="55" t="str">
        <f>IF(inputPrYr!D60&gt;0,inputPrYr!D60,"  ")</f>
        <v xml:space="preserve">  </v>
      </c>
      <c r="D28" s="53" t="str">
        <f>IF('Levy Page 12'!$D$34&lt;&gt;0,'Levy Page 12'!$D$34,"  ")</f>
        <v xml:space="preserve">  </v>
      </c>
      <c r="E28" s="55" t="str">
        <f>IF(inputOth!D50&gt;0,inputOth!D50,"  ")</f>
        <v xml:space="preserve">  </v>
      </c>
      <c r="F28" s="53" t="str">
        <f>IF('Levy Page 12'!$E$34&lt;&gt;0,'Levy Page 12'!$E$34,"  ")</f>
        <v xml:space="preserve">  </v>
      </c>
      <c r="G28" s="53" t="str">
        <f>IF('Levy Page 12'!$E$41&lt;&gt;0,'Levy Page 12'!$E$41,"  ")</f>
        <v xml:space="preserve">  </v>
      </c>
      <c r="H28" s="55" t="str">
        <f>IF('Levy Page 12'!E41&gt;0,ROUND(G28/F42*1000,3)," ")</f>
        <v xml:space="preserve"> </v>
      </c>
      <c r="J28" s="264"/>
      <c r="K28" s="4"/>
      <c r="L28" s="4"/>
      <c r="M28" s="263"/>
    </row>
    <row r="29" spans="1:13" x14ac:dyDescent="0.25">
      <c r="A29" s="53" t="str">
        <f>IF(inputPrYr!$B32&gt;"  ",inputPrYr!$B32,"  ")</f>
        <v xml:space="preserve">  </v>
      </c>
      <c r="B29" s="53" t="str">
        <f>IF('Levy Page 12'!$C$75&lt;&gt;0,'Levy Page 12'!$C$75,"  ")</f>
        <v xml:space="preserve">  </v>
      </c>
      <c r="C29" s="55" t="str">
        <f>IF(inputPrYr!D61&gt;0,inputPrYr!D61,"  ")</f>
        <v xml:space="preserve">  </v>
      </c>
      <c r="D29" s="53" t="str">
        <f>IF('Levy Page 12'!$D$75&lt;&gt;0,'Levy Page 12'!$D$75,"  ")</f>
        <v xml:space="preserve">  </v>
      </c>
      <c r="E29" s="55" t="str">
        <f>IF(inputOth!D51&gt;0,inputOth!D51,"  ")</f>
        <v xml:space="preserve">  </v>
      </c>
      <c r="F29" s="53" t="str">
        <f>IF('Levy Page 12'!$E$75&lt;&gt;0,'Levy Page 12'!$E$75,"  ")</f>
        <v xml:space="preserve">  </v>
      </c>
      <c r="G29" s="53" t="str">
        <f>IF('Levy Page 12'!$E$82&lt;&gt;0,'Levy Page 12'!$E$82,"  ")</f>
        <v xml:space="preserve">  </v>
      </c>
      <c r="H29" s="55" t="str">
        <f>IF('Levy Page 12'!E82&gt;0,ROUND(G29/F42*1000,3)," ")</f>
        <v xml:space="preserve"> </v>
      </c>
      <c r="I29" s="268"/>
      <c r="J29" s="270" t="str">
        <f>CONCATENATE("Enter Desired ",$H$1," Mill Rate:")</f>
        <v>Enter Desired 2025 Mill Rate:</v>
      </c>
      <c r="K29" s="271"/>
      <c r="L29" s="272"/>
      <c r="M29" s="269"/>
    </row>
    <row r="30" spans="1:13" x14ac:dyDescent="0.25">
      <c r="A30" s="53" t="str">
        <f>IF(inputPrYr!$B36&gt;"  ",inputPrYr!$B36,"  ")</f>
        <v xml:space="preserve">  </v>
      </c>
      <c r="B30" s="53" t="str">
        <f>IF('No Levy Page 13'!$C$27&lt;&gt;0,'No Levy Page 13'!$C$27,"  ")</f>
        <v xml:space="preserve">  </v>
      </c>
      <c r="C30" s="55"/>
      <c r="D30" s="53" t="str">
        <f>IF('No Levy Page 13'!$D$27&lt;&gt;0,'No Levy Page 13'!$D$27,"  ")</f>
        <v xml:space="preserve">  </v>
      </c>
      <c r="E30" s="55"/>
      <c r="F30" s="53" t="str">
        <f>IF('No Levy Page 13'!$E$27&lt;&gt;0,'No Levy Page 13'!$E$27,"  ")</f>
        <v xml:space="preserve">  </v>
      </c>
      <c r="G30" s="53"/>
      <c r="H30" s="55"/>
      <c r="J30" s="583" t="s">
        <v>437</v>
      </c>
      <c r="K30" s="584"/>
      <c r="L30" s="584"/>
      <c r="M30" s="585">
        <f>H37</f>
        <v>0</v>
      </c>
    </row>
    <row r="31" spans="1:13" x14ac:dyDescent="0.25">
      <c r="A31" s="53" t="str">
        <f>IF(inputPrYr!$B37&gt;"  ",inputPrYr!$B37,"  ")</f>
        <v xml:space="preserve">  </v>
      </c>
      <c r="B31" s="53" t="str">
        <f>IF('No Levy Page 13'!$C$57&lt;&gt;0,'No Levy Page 13'!$C$57,"  ")</f>
        <v xml:space="preserve">  </v>
      </c>
      <c r="C31" s="55"/>
      <c r="D31" s="53" t="str">
        <f>IF('No Levy Page 13'!$D$57&lt;&gt;0,'No Levy Page 13'!$D$57,"  ")</f>
        <v xml:space="preserve">  </v>
      </c>
      <c r="E31" s="55"/>
      <c r="F31" s="53" t="str">
        <f>IF('No Levy Page 13'!$E$57&lt;&gt;0,'No Levy Page 13'!$E$57,"  ")</f>
        <v xml:space="preserve">  </v>
      </c>
      <c r="G31" s="53"/>
      <c r="H31" s="55"/>
      <c r="J31" s="583" t="s">
        <v>438</v>
      </c>
      <c r="K31" s="584"/>
      <c r="L31" s="584"/>
      <c r="M31" s="585">
        <f>H38</f>
        <v>0</v>
      </c>
    </row>
    <row r="32" spans="1:13" x14ac:dyDescent="0.25">
      <c r="A32" s="53" t="str">
        <f>IF(inputPrYr!$B38&gt;"  ",inputPrYr!$B38,"  ")</f>
        <v xml:space="preserve">  </v>
      </c>
      <c r="B32" s="53" t="str">
        <f>IF('No Levy Page 14'!$C$27&lt;&gt;0,'No Levy Page 14'!$C$27,"  ")</f>
        <v xml:space="preserve">  </v>
      </c>
      <c r="C32" s="55"/>
      <c r="D32" s="53" t="str">
        <f>IF('No Levy Page 14'!$D$27&lt;&gt;0,'No Levy Page 14'!$D$27,"  ")</f>
        <v xml:space="preserve">  </v>
      </c>
      <c r="E32" s="55"/>
      <c r="F32" s="53" t="str">
        <f>IF('No Levy Page 14'!$E$27&lt;&gt;0,'No Levy Page 14'!$E$27,"  ")</f>
        <v xml:space="preserve">  </v>
      </c>
      <c r="G32" s="53"/>
      <c r="H32" s="55"/>
      <c r="J32" s="264" t="s">
        <v>439</v>
      </c>
      <c r="K32" s="4"/>
      <c r="L32" s="4"/>
      <c r="M32" s="276">
        <f>SUM(H21:H24)</f>
        <v>0</v>
      </c>
    </row>
    <row r="33" spans="1:13" x14ac:dyDescent="0.25">
      <c r="A33" s="53" t="str">
        <f>IF(inputPrYr!$B39&gt;"  ",inputPrYr!$B39,"  ")</f>
        <v xml:space="preserve">  </v>
      </c>
      <c r="B33" s="53" t="str">
        <f>IF('No Levy Page 14'!$C$57&lt;&gt;0,'No Levy Page 14'!$C$57,"  ")</f>
        <v xml:space="preserve">  </v>
      </c>
      <c r="C33" s="55"/>
      <c r="D33" s="53" t="str">
        <f>IF('No Levy Page 14'!$D$57&lt;&gt;0,'No Levy Page 14'!$D$57,"  ")</f>
        <v xml:space="preserve">  </v>
      </c>
      <c r="E33" s="55"/>
      <c r="F33" s="53" t="str">
        <f>IF('No Levy Page 14'!$E$57&lt;&gt;0,'No Levy Page 14'!$E$57,"  ")</f>
        <v xml:space="preserve">  </v>
      </c>
      <c r="G33" s="53"/>
      <c r="H33" s="55"/>
      <c r="J33" s="264" t="s">
        <v>440</v>
      </c>
      <c r="K33" s="4"/>
      <c r="L33" s="4"/>
      <c r="M33" s="585">
        <f>SUM(H18:H20,H25:H29)</f>
        <v>0</v>
      </c>
    </row>
    <row r="34" spans="1:13" x14ac:dyDescent="0.25">
      <c r="A34" s="53" t="str">
        <f>IF((inputPrYr!$B42&gt;"  "),('Non-Budgeted Funds'!$A3),"  ")</f>
        <v xml:space="preserve">  </v>
      </c>
      <c r="B34" s="416" t="str">
        <f>IF(('Non-Budgeted Funds'!$K$28)&lt;&gt;0,('Non-Budgeted Funds'!$K$28),"  ")</f>
        <v xml:space="preserve">  </v>
      </c>
      <c r="C34" s="211"/>
      <c r="D34" s="53"/>
      <c r="E34" s="55"/>
      <c r="F34" s="53"/>
      <c r="G34" s="53"/>
      <c r="H34" s="55"/>
      <c r="J34" s="264" t="str">
        <f>CONCATENATE("Current ",$H$1," Estimated Mill Rate:")</f>
        <v>Current 2025 Estimated Mill Rate:</v>
      </c>
      <c r="K34" s="4"/>
      <c r="L34" s="4"/>
      <c r="M34" s="276">
        <f>H36</f>
        <v>0</v>
      </c>
    </row>
    <row r="35" spans="1:13" x14ac:dyDescent="0.25">
      <c r="A35" s="61" t="s">
        <v>183</v>
      </c>
      <c r="B35" s="53" t="str">
        <f>IF(Road!C64&lt;&gt;0,Road!C64,"  ")</f>
        <v xml:space="preserve">  </v>
      </c>
      <c r="C35" s="132"/>
      <c r="D35" s="132"/>
      <c r="E35" s="132"/>
      <c r="F35" s="132"/>
      <c r="G35" s="132"/>
      <c r="H35" s="132"/>
      <c r="J35" s="264" t="s">
        <v>441</v>
      </c>
      <c r="K35" s="4"/>
      <c r="L35" s="4"/>
      <c r="M35" s="277">
        <f>M29-M34</f>
        <v>0</v>
      </c>
    </row>
    <row r="36" spans="1:13" ht="16.5" thickBot="1" x14ac:dyDescent="0.3">
      <c r="A36" s="529" t="s">
        <v>184</v>
      </c>
      <c r="B36" s="605">
        <f t="shared" ref="B36:H36" si="0">SUM(B18:B35)</f>
        <v>0</v>
      </c>
      <c r="C36" s="606">
        <f t="shared" si="0"/>
        <v>0</v>
      </c>
      <c r="D36" s="605">
        <f t="shared" si="0"/>
        <v>0</v>
      </c>
      <c r="E36" s="606">
        <f t="shared" si="0"/>
        <v>0</v>
      </c>
      <c r="F36" s="605">
        <f t="shared" si="0"/>
        <v>0</v>
      </c>
      <c r="G36" s="605">
        <f t="shared" si="0"/>
        <v>0</v>
      </c>
      <c r="H36" s="606">
        <f t="shared" si="0"/>
        <v>0</v>
      </c>
      <c r="J36" s="251" t="s">
        <v>442</v>
      </c>
      <c r="K36" s="35"/>
      <c r="L36" s="35"/>
      <c r="M36" s="274">
        <f>IF(M29=0,0,ROUND(SUM(H21:H24)/M34,2))</f>
        <v>0</v>
      </c>
    </row>
    <row r="37" spans="1:13" ht="16.5" thickTop="1" x14ac:dyDescent="0.25">
      <c r="A37" s="800" t="s">
        <v>444</v>
      </c>
      <c r="B37" s="801"/>
      <c r="C37" s="801"/>
      <c r="D37" s="801"/>
      <c r="E37" s="801"/>
      <c r="F37" s="801"/>
      <c r="G37" s="802"/>
      <c r="H37" s="528">
        <f>inputOth!D36</f>
        <v>0</v>
      </c>
      <c r="J37" s="251" t="s">
        <v>443</v>
      </c>
      <c r="K37" s="35"/>
      <c r="L37" s="35"/>
      <c r="M37" s="274">
        <f>IF(M29=0,0,ROUND(SUM(H18+H19+H20+H25+H26+H27+H28+H29)/M34,2))</f>
        <v>0</v>
      </c>
    </row>
    <row r="38" spans="1:13" x14ac:dyDescent="0.25">
      <c r="A38" s="814" t="s">
        <v>445</v>
      </c>
      <c r="B38" s="815"/>
      <c r="C38" s="815"/>
      <c r="D38" s="815"/>
      <c r="E38" s="815"/>
      <c r="F38" s="815"/>
      <c r="G38" s="816"/>
      <c r="H38" s="524">
        <f>inputOth!E36</f>
        <v>0</v>
      </c>
      <c r="J38" s="261" t="str">
        <f>CONCATENATE("",$H$1," Tax Levy Fund Total Exp. Changed By:")</f>
        <v>2025 Tax Levy Fund Total Exp. Changed By:</v>
      </c>
      <c r="K38" s="260"/>
      <c r="L38" s="260"/>
      <c r="M38" s="266"/>
    </row>
    <row r="39" spans="1:13" x14ac:dyDescent="0.25">
      <c r="A39" s="527" t="s">
        <v>446</v>
      </c>
      <c r="B39" s="143">
        <f>Transfers!C26</f>
        <v>0</v>
      </c>
      <c r="C39" s="35"/>
      <c r="D39" s="143">
        <f>Transfers!D26</f>
        <v>0</v>
      </c>
      <c r="E39" s="133"/>
      <c r="F39" s="143">
        <f>Transfers!E26</f>
        <v>0</v>
      </c>
      <c r="G39" s="35"/>
      <c r="H39" s="35"/>
      <c r="J39" s="284" t="s">
        <v>427</v>
      </c>
      <c r="K39" s="285"/>
      <c r="L39" s="285"/>
      <c r="M39" s="280">
        <f>ROUND(F43*M35*M36/1000,0)</f>
        <v>0</v>
      </c>
    </row>
    <row r="40" spans="1:13" ht="16.5" thickBot="1" x14ac:dyDescent="0.3">
      <c r="A40" s="61" t="s">
        <v>447</v>
      </c>
      <c r="B40" s="605">
        <f>B36-B39</f>
        <v>0</v>
      </c>
      <c r="C40" s="35"/>
      <c r="D40" s="605">
        <f>D36-D39</f>
        <v>0</v>
      </c>
      <c r="E40" s="35"/>
      <c r="F40" s="605">
        <f>F36-F39</f>
        <v>0</v>
      </c>
      <c r="G40" s="35"/>
      <c r="H40" s="35"/>
      <c r="J40" s="258" t="s">
        <v>428</v>
      </c>
      <c r="K40" s="256"/>
      <c r="L40" s="256"/>
      <c r="M40" s="257">
        <f>ROUND(F42*M35*M37/1000,0)</f>
        <v>0</v>
      </c>
    </row>
    <row r="41" spans="1:13" ht="16.5" thickTop="1" x14ac:dyDescent="0.25">
      <c r="A41" s="61" t="s">
        <v>448</v>
      </c>
      <c r="B41" s="143">
        <f>inputPrYr!E64</f>
        <v>0</v>
      </c>
      <c r="C41" s="133"/>
      <c r="D41" s="143">
        <f>inputPrYr!E33</f>
        <v>0</v>
      </c>
      <c r="E41" s="35"/>
      <c r="F41" s="243" t="s">
        <v>185</v>
      </c>
      <c r="G41" s="35"/>
      <c r="H41" s="35"/>
      <c r="M41" s="278"/>
    </row>
    <row r="42" spans="1:13" x14ac:dyDescent="0.25">
      <c r="A42" s="61" t="s">
        <v>450</v>
      </c>
      <c r="B42" s="53">
        <f>inputPrYr!E65</f>
        <v>0</v>
      </c>
      <c r="C42" s="133"/>
      <c r="D42" s="53">
        <f>inputOth!E58</f>
        <v>0</v>
      </c>
      <c r="E42" s="133"/>
      <c r="F42" s="53">
        <f>inputOth!E11</f>
        <v>0</v>
      </c>
      <c r="G42" s="35"/>
      <c r="H42" s="35"/>
      <c r="J42" s="803" t="s">
        <v>449</v>
      </c>
      <c r="K42" s="803"/>
      <c r="L42" s="803"/>
      <c r="M42" s="803"/>
    </row>
    <row r="43" spans="1:13" x14ac:dyDescent="0.25">
      <c r="A43" s="43" t="s">
        <v>452</v>
      </c>
      <c r="B43" s="134"/>
      <c r="C43" s="35"/>
      <c r="D43" s="72"/>
      <c r="E43" s="35"/>
      <c r="F43" s="53">
        <f>inputOth!E8</f>
        <v>0</v>
      </c>
      <c r="G43" s="35"/>
      <c r="H43" s="35"/>
      <c r="J43" s="807" t="s">
        <v>451</v>
      </c>
      <c r="K43" s="808"/>
      <c r="L43" s="808"/>
      <c r="M43" s="811" t="str">
        <f>IF(M32&gt;M30, "Yes", "No")</f>
        <v>No</v>
      </c>
    </row>
    <row r="44" spans="1:13" x14ac:dyDescent="0.25">
      <c r="A44" s="39"/>
      <c r="B44" s="72"/>
      <c r="C44" s="35"/>
      <c r="D44" s="72"/>
      <c r="E44" s="35"/>
      <c r="F44" s="72"/>
      <c r="G44" s="35"/>
      <c r="H44" s="35"/>
      <c r="J44" s="809"/>
      <c r="K44" s="810"/>
      <c r="L44" s="810"/>
      <c r="M44" s="812"/>
    </row>
    <row r="45" spans="1:13" x14ac:dyDescent="0.25">
      <c r="A45" s="39" t="s">
        <v>453</v>
      </c>
      <c r="B45" s="35"/>
      <c r="C45" s="35"/>
      <c r="D45" s="35"/>
      <c r="E45" s="35"/>
      <c r="F45" s="35"/>
      <c r="G45" s="35"/>
      <c r="H45" s="35"/>
      <c r="J45" s="769" t="str">
        <f>IF(M43="Yes", "Follow procedure prescirbed by KSA 79-2988 to exceed the Revenue Neutral Rate.", " ")</f>
        <v xml:space="preserve"> </v>
      </c>
      <c r="K45" s="769"/>
      <c r="L45" s="769"/>
      <c r="M45" s="769"/>
    </row>
    <row r="46" spans="1:13" x14ac:dyDescent="0.25">
      <c r="A46" s="39" t="s">
        <v>454</v>
      </c>
      <c r="B46" s="135">
        <f>H1-3</f>
        <v>2022</v>
      </c>
      <c r="C46" s="35"/>
      <c r="D46" s="135">
        <f>H1-2</f>
        <v>2023</v>
      </c>
      <c r="E46" s="35"/>
      <c r="F46" s="135">
        <f>H1-1</f>
        <v>2024</v>
      </c>
      <c r="G46" s="35"/>
      <c r="H46" s="35"/>
      <c r="J46" s="770"/>
      <c r="K46" s="770"/>
      <c r="L46" s="770"/>
      <c r="M46" s="770"/>
    </row>
    <row r="47" spans="1:13" x14ac:dyDescent="0.25">
      <c r="A47" s="39" t="s">
        <v>254</v>
      </c>
      <c r="B47" s="46">
        <f>inputPrYr!D68</f>
        <v>0</v>
      </c>
      <c r="C47" s="69"/>
      <c r="D47" s="46">
        <f>inputPrYr!E68</f>
        <v>0</v>
      </c>
      <c r="E47" s="69"/>
      <c r="F47" s="46">
        <f>'Debt-LP Form'!F11</f>
        <v>0</v>
      </c>
      <c r="G47" s="35"/>
      <c r="H47" s="35"/>
      <c r="J47" s="770"/>
      <c r="K47" s="770"/>
      <c r="L47" s="770"/>
      <c r="M47" s="770"/>
    </row>
    <row r="48" spans="1:13" x14ac:dyDescent="0.25">
      <c r="A48" s="39" t="s">
        <v>256</v>
      </c>
      <c r="B48" s="46">
        <f>inputPrYr!D69</f>
        <v>0</v>
      </c>
      <c r="C48" s="69"/>
      <c r="D48" s="46">
        <f>inputPrYr!E69</f>
        <v>0</v>
      </c>
      <c r="E48" s="69"/>
      <c r="F48" s="46">
        <f>'Debt-LP Form'!F15</f>
        <v>0</v>
      </c>
      <c r="G48" s="35"/>
      <c r="H48" s="35"/>
    </row>
    <row r="49" spans="1:13" x14ac:dyDescent="0.25">
      <c r="A49" s="39" t="s">
        <v>456</v>
      </c>
      <c r="B49" s="46">
        <f>inputPrYr!D70</f>
        <v>0</v>
      </c>
      <c r="C49" s="69"/>
      <c r="D49" s="46">
        <f>inputPrYr!E70</f>
        <v>0</v>
      </c>
      <c r="E49" s="69"/>
      <c r="F49" s="46">
        <f>'Debt-LP Form'!G36</f>
        <v>0</v>
      </c>
      <c r="G49" s="35"/>
      <c r="H49" s="35"/>
      <c r="J49" s="803" t="s">
        <v>455</v>
      </c>
      <c r="K49" s="803"/>
      <c r="L49" s="803"/>
      <c r="M49" s="803"/>
    </row>
    <row r="50" spans="1:13" ht="16.5" thickBot="1" x14ac:dyDescent="0.3">
      <c r="A50" s="39" t="s">
        <v>457</v>
      </c>
      <c r="B50" s="607">
        <f>SUM(B47:B49)</f>
        <v>0</v>
      </c>
      <c r="C50" s="69"/>
      <c r="D50" s="607">
        <f>SUM(D47:D49)</f>
        <v>0</v>
      </c>
      <c r="E50" s="69"/>
      <c r="F50" s="607">
        <f>SUM(F47:F49)</f>
        <v>0</v>
      </c>
      <c r="G50" s="35"/>
      <c r="H50" s="35"/>
      <c r="J50" s="807" t="s">
        <v>451</v>
      </c>
      <c r="K50" s="808"/>
      <c r="L50" s="808"/>
      <c r="M50" s="811" t="str">
        <f>IF(M33&gt;M31, "Yes", "No")</f>
        <v>No</v>
      </c>
    </row>
    <row r="51" spans="1:13" ht="16.5" thickTop="1" x14ac:dyDescent="0.25">
      <c r="A51" s="39" t="s">
        <v>458</v>
      </c>
      <c r="B51" s="35"/>
      <c r="C51" s="35"/>
      <c r="D51" s="35"/>
      <c r="E51" s="35"/>
      <c r="F51" s="35"/>
      <c r="G51" s="35"/>
      <c r="H51" s="35"/>
      <c r="J51" s="809"/>
      <c r="K51" s="810"/>
      <c r="L51" s="810"/>
      <c r="M51" s="812"/>
    </row>
    <row r="52" spans="1:13" x14ac:dyDescent="0.25">
      <c r="A52" s="525" t="s">
        <v>459</v>
      </c>
      <c r="B52" s="35"/>
      <c r="C52" s="35"/>
      <c r="D52" s="35"/>
      <c r="E52" s="35"/>
      <c r="F52" s="35"/>
      <c r="G52" s="35"/>
      <c r="H52" s="35"/>
      <c r="J52" s="769" t="str">
        <f>IF(M50="Yes", "Follow procedure prescirbed by KSA 79-2988 to exceed the Revenue Neutral Rate.", " ")</f>
        <v xml:space="preserve"> </v>
      </c>
      <c r="K52" s="769"/>
      <c r="L52" s="769"/>
      <c r="M52" s="769"/>
    </row>
    <row r="53" spans="1:13" x14ac:dyDescent="0.25">
      <c r="A53" s="35"/>
      <c r="B53" s="35"/>
      <c r="C53" s="35"/>
      <c r="D53" s="35"/>
      <c r="E53" s="35"/>
      <c r="F53" s="35"/>
      <c r="G53" s="35"/>
      <c r="H53" s="35"/>
      <c r="J53" s="770"/>
      <c r="K53" s="770"/>
      <c r="L53" s="770"/>
      <c r="M53" s="770"/>
    </row>
    <row r="54" spans="1:13" x14ac:dyDescent="0.25">
      <c r="A54" s="813">
        <f>inputHearing!B28</f>
        <v>0</v>
      </c>
      <c r="B54" s="813"/>
      <c r="C54" s="35"/>
      <c r="D54" s="35"/>
      <c r="E54" s="35"/>
      <c r="F54" s="35"/>
      <c r="G54" s="35"/>
      <c r="H54" s="35"/>
      <c r="J54" s="770"/>
      <c r="K54" s="770"/>
      <c r="L54" s="770"/>
      <c r="M54" s="770"/>
    </row>
    <row r="55" spans="1:13" x14ac:dyDescent="0.25">
      <c r="A55" s="790">
        <f>inputHearing!B30</f>
        <v>0</v>
      </c>
      <c r="B55" s="791"/>
      <c r="C55" s="35"/>
      <c r="D55" s="35"/>
      <c r="E55" s="35"/>
      <c r="F55" s="35"/>
      <c r="G55" s="35"/>
      <c r="H55" s="35"/>
    </row>
    <row r="56" spans="1:13" x14ac:dyDescent="0.25">
      <c r="A56" s="35"/>
      <c r="B56" s="35"/>
      <c r="C56" s="35"/>
      <c r="D56" s="35"/>
      <c r="E56" s="35"/>
      <c r="F56" s="35"/>
      <c r="G56" s="35"/>
      <c r="H56" s="35"/>
    </row>
    <row r="57" spans="1:13" x14ac:dyDescent="0.25">
      <c r="A57" s="35"/>
      <c r="B57" s="136" t="s">
        <v>370</v>
      </c>
      <c r="C57" s="440"/>
      <c r="D57" s="35"/>
      <c r="E57" s="35"/>
      <c r="F57" s="35"/>
      <c r="G57" s="35"/>
      <c r="H57" s="35"/>
    </row>
    <row r="58" spans="1:13" x14ac:dyDescent="0.25">
      <c r="A58" s="65"/>
      <c r="B58" s="65"/>
      <c r="C58" s="65"/>
      <c r="H58" s="275"/>
    </row>
    <row r="60" spans="1:13" x14ac:dyDescent="0.25">
      <c r="A60" s="65"/>
      <c r="B60" s="65"/>
      <c r="C60" s="65"/>
      <c r="D60" s="65"/>
      <c r="E60" s="65"/>
      <c r="F60" s="65"/>
      <c r="G60" s="65"/>
    </row>
    <row r="61" spans="1:13" x14ac:dyDescent="0.25">
      <c r="H61" s="65"/>
    </row>
    <row r="82" spans="1:8" x14ac:dyDescent="0.25">
      <c r="A82" s="65"/>
      <c r="B82" s="65"/>
      <c r="C82" s="65"/>
      <c r="D82" s="65"/>
      <c r="E82" s="65"/>
      <c r="F82" s="65"/>
    </row>
    <row r="89" spans="1:8" x14ac:dyDescent="0.25">
      <c r="A89" s="65"/>
      <c r="B89" s="65"/>
      <c r="C89" s="65"/>
      <c r="D89" s="65"/>
      <c r="E89" s="65"/>
      <c r="F89" s="65"/>
      <c r="G89" s="65"/>
    </row>
    <row r="90" spans="1:8" x14ac:dyDescent="0.25">
      <c r="H90" s="65"/>
    </row>
    <row r="95" spans="1:8" x14ac:dyDescent="0.25">
      <c r="A95" s="65"/>
      <c r="B95" s="65"/>
      <c r="C95" s="65"/>
      <c r="D95" s="65"/>
      <c r="E95" s="65"/>
      <c r="F95" s="65"/>
      <c r="G95" s="65"/>
    </row>
    <row r="96" spans="1:8" x14ac:dyDescent="0.25">
      <c r="H96" s="65"/>
    </row>
    <row r="116" spans="1:7" x14ac:dyDescent="0.25">
      <c r="A116" s="65"/>
      <c r="B116" s="65"/>
      <c r="C116" s="65"/>
      <c r="D116" s="65"/>
      <c r="E116" s="65"/>
      <c r="F116" s="65"/>
      <c r="G116" s="65"/>
    </row>
  </sheetData>
  <sheetProtection sheet="1" objects="1" scenarios="1"/>
  <mergeCells count="33">
    <mergeCell ref="A2:H2"/>
    <mergeCell ref="A4:H4"/>
    <mergeCell ref="A5:H5"/>
    <mergeCell ref="A6:H6"/>
    <mergeCell ref="A7:H7"/>
    <mergeCell ref="G15:G17"/>
    <mergeCell ref="H15:H17"/>
    <mergeCell ref="J3:M3"/>
    <mergeCell ref="J8:M8"/>
    <mergeCell ref="J15:M15"/>
    <mergeCell ref="A8:H8"/>
    <mergeCell ref="A9:H9"/>
    <mergeCell ref="A10:H10"/>
    <mergeCell ref="A11:H11"/>
    <mergeCell ref="A12:H12"/>
    <mergeCell ref="B15:B17"/>
    <mergeCell ref="C15:C17"/>
    <mergeCell ref="D15:D17"/>
    <mergeCell ref="E15:E17"/>
    <mergeCell ref="F15:F17"/>
    <mergeCell ref="A55:B55"/>
    <mergeCell ref="A37:G37"/>
    <mergeCell ref="J27:M27"/>
    <mergeCell ref="J43:L44"/>
    <mergeCell ref="M43:M44"/>
    <mergeCell ref="A54:B54"/>
    <mergeCell ref="J45:M47"/>
    <mergeCell ref="J52:M54"/>
    <mergeCell ref="J42:M42"/>
    <mergeCell ref="J49:M49"/>
    <mergeCell ref="J50:L51"/>
    <mergeCell ref="M50:M51"/>
    <mergeCell ref="A38:G38"/>
  </mergeCells>
  <conditionalFormatting sqref="M43:M44">
    <cfRule type="containsText" dxfId="2" priority="2" operator="containsText" text="Yes">
      <formula>NOT(ISERROR(SEARCH("Yes",M43)))</formula>
    </cfRule>
  </conditionalFormatting>
  <conditionalFormatting sqref="M50:M51">
    <cfRule type="containsText" dxfId="1" priority="1" operator="containsText" text="Yes">
      <formula>NOT(ISERROR(SEARCH("Yes",M50)))</formula>
    </cfRule>
  </conditionalFormatting>
  <pageMargins left="0.9" right="0.9" top="0.96" bottom="0.5" header="0.41" footer="0.3"/>
  <pageSetup scale="67" orientation="portrait" blackAndWhite="1"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001C-894C-4D1D-9DC2-D0D803D0AC1E}">
  <sheetPr>
    <tabColor rgb="FF00B0F0"/>
    <pageSetUpPr fitToPage="1"/>
  </sheetPr>
  <dimension ref="A1:H41"/>
  <sheetViews>
    <sheetView workbookViewId="0">
      <selection activeCell="A2" sqref="A2:H2"/>
    </sheetView>
  </sheetViews>
  <sheetFormatPr defaultRowHeight="15.75" x14ac:dyDescent="0.25"/>
  <cols>
    <col min="1" max="1" width="12.69921875" style="540" customWidth="1"/>
    <col min="2" max="2" width="11.5" style="540" customWidth="1"/>
    <col min="3" max="3" width="7.8984375" style="540" customWidth="1"/>
    <col min="4" max="4" width="6.59765625" style="540" customWidth="1"/>
    <col min="5" max="5" width="7.69921875" style="540" customWidth="1"/>
    <col min="6" max="6" width="11.5" style="540" customWidth="1"/>
    <col min="7" max="7" width="10.69921875" style="540" customWidth="1"/>
    <col min="8" max="8" width="12.69921875" style="540" customWidth="1"/>
    <col min="9" max="252" width="8.796875" style="540"/>
    <col min="253" max="253" width="14.19921875" style="540" customWidth="1"/>
    <col min="254" max="254" width="11.5" style="540" customWidth="1"/>
    <col min="255" max="255" width="7.8984375" style="540" customWidth="1"/>
    <col min="256" max="256" width="12.3984375" style="540" customWidth="1"/>
    <col min="257" max="257" width="7.8984375" style="540" customWidth="1"/>
    <col min="258" max="258" width="11.5" style="540" customWidth="1"/>
    <col min="259" max="259" width="9.69921875" style="540" customWidth="1"/>
    <col min="260" max="260" width="7.8984375" style="540" customWidth="1"/>
    <col min="261" max="261" width="8.796875" style="540"/>
    <col min="262" max="262" width="11.19921875" style="540" customWidth="1"/>
    <col min="263" max="263" width="11.09765625" style="540" customWidth="1"/>
    <col min="264" max="264" width="8.796875" style="540"/>
    <col min="265" max="265" width="10.8984375" style="540" customWidth="1"/>
    <col min="266" max="508" width="8.796875" style="540"/>
    <col min="509" max="509" width="14.19921875" style="540" customWidth="1"/>
    <col min="510" max="510" width="11.5" style="540" customWidth="1"/>
    <col min="511" max="511" width="7.8984375" style="540" customWidth="1"/>
    <col min="512" max="512" width="12.3984375" style="540" customWidth="1"/>
    <col min="513" max="513" width="7.8984375" style="540" customWidth="1"/>
    <col min="514" max="514" width="11.5" style="540" customWidth="1"/>
    <col min="515" max="515" width="9.69921875" style="540" customWidth="1"/>
    <col min="516" max="516" width="7.8984375" style="540" customWidth="1"/>
    <col min="517" max="517" width="8.796875" style="540"/>
    <col min="518" max="518" width="11.19921875" style="540" customWidth="1"/>
    <col min="519" max="519" width="11.09765625" style="540" customWidth="1"/>
    <col min="520" max="520" width="8.796875" style="540"/>
    <col min="521" max="521" width="10.8984375" style="540" customWidth="1"/>
    <col min="522" max="764" width="8.796875" style="540"/>
    <col min="765" max="765" width="14.19921875" style="540" customWidth="1"/>
    <col min="766" max="766" width="11.5" style="540" customWidth="1"/>
    <col min="767" max="767" width="7.8984375" style="540" customWidth="1"/>
    <col min="768" max="768" width="12.3984375" style="540" customWidth="1"/>
    <col min="769" max="769" width="7.8984375" style="540" customWidth="1"/>
    <col min="770" max="770" width="11.5" style="540" customWidth="1"/>
    <col min="771" max="771" width="9.69921875" style="540" customWidth="1"/>
    <col min="772" max="772" width="7.8984375" style="540" customWidth="1"/>
    <col min="773" max="773" width="8.796875" style="540"/>
    <col min="774" max="774" width="11.19921875" style="540" customWidth="1"/>
    <col min="775" max="775" width="11.09765625" style="540" customWidth="1"/>
    <col min="776" max="776" width="8.796875" style="540"/>
    <col min="777" max="777" width="10.8984375" style="540" customWidth="1"/>
    <col min="778" max="1020" width="8.796875" style="540"/>
    <col min="1021" max="1021" width="14.19921875" style="540" customWidth="1"/>
    <col min="1022" max="1022" width="11.5" style="540" customWidth="1"/>
    <col min="1023" max="1023" width="7.8984375" style="540" customWidth="1"/>
    <col min="1024" max="1024" width="12.3984375" style="540" customWidth="1"/>
    <col min="1025" max="1025" width="7.8984375" style="540" customWidth="1"/>
    <col min="1026" max="1026" width="11.5" style="540" customWidth="1"/>
    <col min="1027" max="1027" width="9.69921875" style="540" customWidth="1"/>
    <col min="1028" max="1028" width="7.8984375" style="540" customWidth="1"/>
    <col min="1029" max="1029" width="8.796875" style="540"/>
    <col min="1030" max="1030" width="11.19921875" style="540" customWidth="1"/>
    <col min="1031" max="1031" width="11.09765625" style="540" customWidth="1"/>
    <col min="1032" max="1032" width="8.796875" style="540"/>
    <col min="1033" max="1033" width="10.8984375" style="540" customWidth="1"/>
    <col min="1034" max="1276" width="8.796875" style="540"/>
    <col min="1277" max="1277" width="14.19921875" style="540" customWidth="1"/>
    <col min="1278" max="1278" width="11.5" style="540" customWidth="1"/>
    <col min="1279" max="1279" width="7.8984375" style="540" customWidth="1"/>
    <col min="1280" max="1280" width="12.3984375" style="540" customWidth="1"/>
    <col min="1281" max="1281" width="7.8984375" style="540" customWidth="1"/>
    <col min="1282" max="1282" width="11.5" style="540" customWidth="1"/>
    <col min="1283" max="1283" width="9.69921875" style="540" customWidth="1"/>
    <col min="1284" max="1284" width="7.8984375" style="540" customWidth="1"/>
    <col min="1285" max="1285" width="8.796875" style="540"/>
    <col min="1286" max="1286" width="11.19921875" style="540" customWidth="1"/>
    <col min="1287" max="1287" width="11.09765625" style="540" customWidth="1"/>
    <col min="1288" max="1288" width="8.796875" style="540"/>
    <col min="1289" max="1289" width="10.8984375" style="540" customWidth="1"/>
    <col min="1290" max="1532" width="8.796875" style="540"/>
    <col min="1533" max="1533" width="14.19921875" style="540" customWidth="1"/>
    <col min="1534" max="1534" width="11.5" style="540" customWidth="1"/>
    <col min="1535" max="1535" width="7.8984375" style="540" customWidth="1"/>
    <col min="1536" max="1536" width="12.3984375" style="540" customWidth="1"/>
    <col min="1537" max="1537" width="7.8984375" style="540" customWidth="1"/>
    <col min="1538" max="1538" width="11.5" style="540" customWidth="1"/>
    <col min="1539" max="1539" width="9.69921875" style="540" customWidth="1"/>
    <col min="1540" max="1540" width="7.8984375" style="540" customWidth="1"/>
    <col min="1541" max="1541" width="8.796875" style="540"/>
    <col min="1542" max="1542" width="11.19921875" style="540" customWidth="1"/>
    <col min="1543" max="1543" width="11.09765625" style="540" customWidth="1"/>
    <col min="1544" max="1544" width="8.796875" style="540"/>
    <col min="1545" max="1545" width="10.8984375" style="540" customWidth="1"/>
    <col min="1546" max="1788" width="8.796875" style="540"/>
    <col min="1789" max="1789" width="14.19921875" style="540" customWidth="1"/>
    <col min="1790" max="1790" width="11.5" style="540" customWidth="1"/>
    <col min="1791" max="1791" width="7.8984375" style="540" customWidth="1"/>
    <col min="1792" max="1792" width="12.3984375" style="540" customWidth="1"/>
    <col min="1793" max="1793" width="7.8984375" style="540" customWidth="1"/>
    <col min="1794" max="1794" width="11.5" style="540" customWidth="1"/>
    <col min="1795" max="1795" width="9.69921875" style="540" customWidth="1"/>
    <col min="1796" max="1796" width="7.8984375" style="540" customWidth="1"/>
    <col min="1797" max="1797" width="8.796875" style="540"/>
    <col min="1798" max="1798" width="11.19921875" style="540" customWidth="1"/>
    <col min="1799" max="1799" width="11.09765625" style="540" customWidth="1"/>
    <col min="1800" max="1800" width="8.796875" style="540"/>
    <col min="1801" max="1801" width="10.8984375" style="540" customWidth="1"/>
    <col min="1802" max="2044" width="8.796875" style="540"/>
    <col min="2045" max="2045" width="14.19921875" style="540" customWidth="1"/>
    <col min="2046" max="2046" width="11.5" style="540" customWidth="1"/>
    <col min="2047" max="2047" width="7.8984375" style="540" customWidth="1"/>
    <col min="2048" max="2048" width="12.3984375" style="540" customWidth="1"/>
    <col min="2049" max="2049" width="7.8984375" style="540" customWidth="1"/>
    <col min="2050" max="2050" width="11.5" style="540" customWidth="1"/>
    <col min="2051" max="2051" width="9.69921875" style="540" customWidth="1"/>
    <col min="2052" max="2052" width="7.8984375" style="540" customWidth="1"/>
    <col min="2053" max="2053" width="8.796875" style="540"/>
    <col min="2054" max="2054" width="11.19921875" style="540" customWidth="1"/>
    <col min="2055" max="2055" width="11.09765625" style="540" customWidth="1"/>
    <col min="2056" max="2056" width="8.796875" style="540"/>
    <col min="2057" max="2057" width="10.8984375" style="540" customWidth="1"/>
    <col min="2058" max="2300" width="8.796875" style="540"/>
    <col min="2301" max="2301" width="14.19921875" style="540" customWidth="1"/>
    <col min="2302" max="2302" width="11.5" style="540" customWidth="1"/>
    <col min="2303" max="2303" width="7.8984375" style="540" customWidth="1"/>
    <col min="2304" max="2304" width="12.3984375" style="540" customWidth="1"/>
    <col min="2305" max="2305" width="7.8984375" style="540" customWidth="1"/>
    <col min="2306" max="2306" width="11.5" style="540" customWidth="1"/>
    <col min="2307" max="2307" width="9.69921875" style="540" customWidth="1"/>
    <col min="2308" max="2308" width="7.8984375" style="540" customWidth="1"/>
    <col min="2309" max="2309" width="8.796875" style="540"/>
    <col min="2310" max="2310" width="11.19921875" style="540" customWidth="1"/>
    <col min="2311" max="2311" width="11.09765625" style="540" customWidth="1"/>
    <col min="2312" max="2312" width="8.796875" style="540"/>
    <col min="2313" max="2313" width="10.8984375" style="540" customWidth="1"/>
    <col min="2314" max="2556" width="8.796875" style="540"/>
    <col min="2557" max="2557" width="14.19921875" style="540" customWidth="1"/>
    <col min="2558" max="2558" width="11.5" style="540" customWidth="1"/>
    <col min="2559" max="2559" width="7.8984375" style="540" customWidth="1"/>
    <col min="2560" max="2560" width="12.3984375" style="540" customWidth="1"/>
    <col min="2561" max="2561" width="7.8984375" style="540" customWidth="1"/>
    <col min="2562" max="2562" width="11.5" style="540" customWidth="1"/>
    <col min="2563" max="2563" width="9.69921875" style="540" customWidth="1"/>
    <col min="2564" max="2564" width="7.8984375" style="540" customWidth="1"/>
    <col min="2565" max="2565" width="8.796875" style="540"/>
    <col min="2566" max="2566" width="11.19921875" style="540" customWidth="1"/>
    <col min="2567" max="2567" width="11.09765625" style="540" customWidth="1"/>
    <col min="2568" max="2568" width="8.796875" style="540"/>
    <col min="2569" max="2569" width="10.8984375" style="540" customWidth="1"/>
    <col min="2570" max="2812" width="8.796875" style="540"/>
    <col min="2813" max="2813" width="14.19921875" style="540" customWidth="1"/>
    <col min="2814" max="2814" width="11.5" style="540" customWidth="1"/>
    <col min="2815" max="2815" width="7.8984375" style="540" customWidth="1"/>
    <col min="2816" max="2816" width="12.3984375" style="540" customWidth="1"/>
    <col min="2817" max="2817" width="7.8984375" style="540" customWidth="1"/>
    <col min="2818" max="2818" width="11.5" style="540" customWidth="1"/>
    <col min="2819" max="2819" width="9.69921875" style="540" customWidth="1"/>
    <col min="2820" max="2820" width="7.8984375" style="540" customWidth="1"/>
    <col min="2821" max="2821" width="8.796875" style="540"/>
    <col min="2822" max="2822" width="11.19921875" style="540" customWidth="1"/>
    <col min="2823" max="2823" width="11.09765625" style="540" customWidth="1"/>
    <col min="2824" max="2824" width="8.796875" style="540"/>
    <col min="2825" max="2825" width="10.8984375" style="540" customWidth="1"/>
    <col min="2826" max="3068" width="8.796875" style="540"/>
    <col min="3069" max="3069" width="14.19921875" style="540" customWidth="1"/>
    <col min="3070" max="3070" width="11.5" style="540" customWidth="1"/>
    <col min="3071" max="3071" width="7.8984375" style="540" customWidth="1"/>
    <col min="3072" max="3072" width="12.3984375" style="540" customWidth="1"/>
    <col min="3073" max="3073" width="7.8984375" style="540" customWidth="1"/>
    <col min="3074" max="3074" width="11.5" style="540" customWidth="1"/>
    <col min="3075" max="3075" width="9.69921875" style="540" customWidth="1"/>
    <col min="3076" max="3076" width="7.8984375" style="540" customWidth="1"/>
    <col min="3077" max="3077" width="8.796875" style="540"/>
    <col min="3078" max="3078" width="11.19921875" style="540" customWidth="1"/>
    <col min="3079" max="3079" width="11.09765625" style="540" customWidth="1"/>
    <col min="3080" max="3080" width="8.796875" style="540"/>
    <col min="3081" max="3081" width="10.8984375" style="540" customWidth="1"/>
    <col min="3082" max="3324" width="8.796875" style="540"/>
    <col min="3325" max="3325" width="14.19921875" style="540" customWidth="1"/>
    <col min="3326" max="3326" width="11.5" style="540" customWidth="1"/>
    <col min="3327" max="3327" width="7.8984375" style="540" customWidth="1"/>
    <col min="3328" max="3328" width="12.3984375" style="540" customWidth="1"/>
    <col min="3329" max="3329" width="7.8984375" style="540" customWidth="1"/>
    <col min="3330" max="3330" width="11.5" style="540" customWidth="1"/>
    <col min="3331" max="3331" width="9.69921875" style="540" customWidth="1"/>
    <col min="3332" max="3332" width="7.8984375" style="540" customWidth="1"/>
    <col min="3333" max="3333" width="8.796875" style="540"/>
    <col min="3334" max="3334" width="11.19921875" style="540" customWidth="1"/>
    <col min="3335" max="3335" width="11.09765625" style="540" customWidth="1"/>
    <col min="3336" max="3336" width="8.796875" style="540"/>
    <col min="3337" max="3337" width="10.8984375" style="540" customWidth="1"/>
    <col min="3338" max="3580" width="8.796875" style="540"/>
    <col min="3581" max="3581" width="14.19921875" style="540" customWidth="1"/>
    <col min="3582" max="3582" width="11.5" style="540" customWidth="1"/>
    <col min="3583" max="3583" width="7.8984375" style="540" customWidth="1"/>
    <col min="3584" max="3584" width="12.3984375" style="540" customWidth="1"/>
    <col min="3585" max="3585" width="7.8984375" style="540" customWidth="1"/>
    <col min="3586" max="3586" width="11.5" style="540" customWidth="1"/>
    <col min="3587" max="3587" width="9.69921875" style="540" customWidth="1"/>
    <col min="3588" max="3588" width="7.8984375" style="540" customWidth="1"/>
    <col min="3589" max="3589" width="8.796875" style="540"/>
    <col min="3590" max="3590" width="11.19921875" style="540" customWidth="1"/>
    <col min="3591" max="3591" width="11.09765625" style="540" customWidth="1"/>
    <col min="3592" max="3592" width="8.796875" style="540"/>
    <col min="3593" max="3593" width="10.8984375" style="540" customWidth="1"/>
    <col min="3594" max="3836" width="8.796875" style="540"/>
    <col min="3837" max="3837" width="14.19921875" style="540" customWidth="1"/>
    <col min="3838" max="3838" width="11.5" style="540" customWidth="1"/>
    <col min="3839" max="3839" width="7.8984375" style="540" customWidth="1"/>
    <col min="3840" max="3840" width="12.3984375" style="540" customWidth="1"/>
    <col min="3841" max="3841" width="7.8984375" style="540" customWidth="1"/>
    <col min="3842" max="3842" width="11.5" style="540" customWidth="1"/>
    <col min="3843" max="3843" width="9.69921875" style="540" customWidth="1"/>
    <col min="3844" max="3844" width="7.8984375" style="540" customWidth="1"/>
    <col min="3845" max="3845" width="8.796875" style="540"/>
    <col min="3846" max="3846" width="11.19921875" style="540" customWidth="1"/>
    <col min="3847" max="3847" width="11.09765625" style="540" customWidth="1"/>
    <col min="3848" max="3848" width="8.796875" style="540"/>
    <col min="3849" max="3849" width="10.8984375" style="540" customWidth="1"/>
    <col min="3850" max="4092" width="8.796875" style="540"/>
    <col min="4093" max="4093" width="14.19921875" style="540" customWidth="1"/>
    <col min="4094" max="4094" width="11.5" style="540" customWidth="1"/>
    <col min="4095" max="4095" width="7.8984375" style="540" customWidth="1"/>
    <col min="4096" max="4096" width="12.3984375" style="540" customWidth="1"/>
    <col min="4097" max="4097" width="7.8984375" style="540" customWidth="1"/>
    <col min="4098" max="4098" width="11.5" style="540" customWidth="1"/>
    <col min="4099" max="4099" width="9.69921875" style="540" customWidth="1"/>
    <col min="4100" max="4100" width="7.8984375" style="540" customWidth="1"/>
    <col min="4101" max="4101" width="8.796875" style="540"/>
    <col min="4102" max="4102" width="11.19921875" style="540" customWidth="1"/>
    <col min="4103" max="4103" width="11.09765625" style="540" customWidth="1"/>
    <col min="4104" max="4104" width="8.796875" style="540"/>
    <col min="4105" max="4105" width="10.8984375" style="540" customWidth="1"/>
    <col min="4106" max="4348" width="8.796875" style="540"/>
    <col min="4349" max="4349" width="14.19921875" style="540" customWidth="1"/>
    <col min="4350" max="4350" width="11.5" style="540" customWidth="1"/>
    <col min="4351" max="4351" width="7.8984375" style="540" customWidth="1"/>
    <col min="4352" max="4352" width="12.3984375" style="540" customWidth="1"/>
    <col min="4353" max="4353" width="7.8984375" style="540" customWidth="1"/>
    <col min="4354" max="4354" width="11.5" style="540" customWidth="1"/>
    <col min="4355" max="4355" width="9.69921875" style="540" customWidth="1"/>
    <col min="4356" max="4356" width="7.8984375" style="540" customWidth="1"/>
    <col min="4357" max="4357" width="8.796875" style="540"/>
    <col min="4358" max="4358" width="11.19921875" style="540" customWidth="1"/>
    <col min="4359" max="4359" width="11.09765625" style="540" customWidth="1"/>
    <col min="4360" max="4360" width="8.796875" style="540"/>
    <col min="4361" max="4361" width="10.8984375" style="540" customWidth="1"/>
    <col min="4362" max="4604" width="8.796875" style="540"/>
    <col min="4605" max="4605" width="14.19921875" style="540" customWidth="1"/>
    <col min="4606" max="4606" width="11.5" style="540" customWidth="1"/>
    <col min="4607" max="4607" width="7.8984375" style="540" customWidth="1"/>
    <col min="4608" max="4608" width="12.3984375" style="540" customWidth="1"/>
    <col min="4609" max="4609" width="7.8984375" style="540" customWidth="1"/>
    <col min="4610" max="4610" width="11.5" style="540" customWidth="1"/>
    <col min="4611" max="4611" width="9.69921875" style="540" customWidth="1"/>
    <col min="4612" max="4612" width="7.8984375" style="540" customWidth="1"/>
    <col min="4613" max="4613" width="8.796875" style="540"/>
    <col min="4614" max="4614" width="11.19921875" style="540" customWidth="1"/>
    <col min="4615" max="4615" width="11.09765625" style="540" customWidth="1"/>
    <col min="4616" max="4616" width="8.796875" style="540"/>
    <col min="4617" max="4617" width="10.8984375" style="540" customWidth="1"/>
    <col min="4618" max="4860" width="8.796875" style="540"/>
    <col min="4861" max="4861" width="14.19921875" style="540" customWidth="1"/>
    <col min="4862" max="4862" width="11.5" style="540" customWidth="1"/>
    <col min="4863" max="4863" width="7.8984375" style="540" customWidth="1"/>
    <col min="4864" max="4864" width="12.3984375" style="540" customWidth="1"/>
    <col min="4865" max="4865" width="7.8984375" style="540" customWidth="1"/>
    <col min="4866" max="4866" width="11.5" style="540" customWidth="1"/>
    <col min="4867" max="4867" width="9.69921875" style="540" customWidth="1"/>
    <col min="4868" max="4868" width="7.8984375" style="540" customWidth="1"/>
    <col min="4869" max="4869" width="8.796875" style="540"/>
    <col min="4870" max="4870" width="11.19921875" style="540" customWidth="1"/>
    <col min="4871" max="4871" width="11.09765625" style="540" customWidth="1"/>
    <col min="4872" max="4872" width="8.796875" style="540"/>
    <col min="4873" max="4873" width="10.8984375" style="540" customWidth="1"/>
    <col min="4874" max="5116" width="8.796875" style="540"/>
    <col min="5117" max="5117" width="14.19921875" style="540" customWidth="1"/>
    <col min="5118" max="5118" width="11.5" style="540" customWidth="1"/>
    <col min="5119" max="5119" width="7.8984375" style="540" customWidth="1"/>
    <col min="5120" max="5120" width="12.3984375" style="540" customWidth="1"/>
    <col min="5121" max="5121" width="7.8984375" style="540" customWidth="1"/>
    <col min="5122" max="5122" width="11.5" style="540" customWidth="1"/>
    <col min="5123" max="5123" width="9.69921875" style="540" customWidth="1"/>
    <col min="5124" max="5124" width="7.8984375" style="540" customWidth="1"/>
    <col min="5125" max="5125" width="8.796875" style="540"/>
    <col min="5126" max="5126" width="11.19921875" style="540" customWidth="1"/>
    <col min="5127" max="5127" width="11.09765625" style="540" customWidth="1"/>
    <col min="5128" max="5128" width="8.796875" style="540"/>
    <col min="5129" max="5129" width="10.8984375" style="540" customWidth="1"/>
    <col min="5130" max="5372" width="8.796875" style="540"/>
    <col min="5373" max="5373" width="14.19921875" style="540" customWidth="1"/>
    <col min="5374" max="5374" width="11.5" style="540" customWidth="1"/>
    <col min="5375" max="5375" width="7.8984375" style="540" customWidth="1"/>
    <col min="5376" max="5376" width="12.3984375" style="540" customWidth="1"/>
    <col min="5377" max="5377" width="7.8984375" style="540" customWidth="1"/>
    <col min="5378" max="5378" width="11.5" style="540" customWidth="1"/>
    <col min="5379" max="5379" width="9.69921875" style="540" customWidth="1"/>
    <col min="5380" max="5380" width="7.8984375" style="540" customWidth="1"/>
    <col min="5381" max="5381" width="8.796875" style="540"/>
    <col min="5382" max="5382" width="11.19921875" style="540" customWidth="1"/>
    <col min="5383" max="5383" width="11.09765625" style="540" customWidth="1"/>
    <col min="5384" max="5384" width="8.796875" style="540"/>
    <col min="5385" max="5385" width="10.8984375" style="540" customWidth="1"/>
    <col min="5386" max="5628" width="8.796875" style="540"/>
    <col min="5629" max="5629" width="14.19921875" style="540" customWidth="1"/>
    <col min="5630" max="5630" width="11.5" style="540" customWidth="1"/>
    <col min="5631" max="5631" width="7.8984375" style="540" customWidth="1"/>
    <col min="5632" max="5632" width="12.3984375" style="540" customWidth="1"/>
    <col min="5633" max="5633" width="7.8984375" style="540" customWidth="1"/>
    <col min="5634" max="5634" width="11.5" style="540" customWidth="1"/>
    <col min="5635" max="5635" width="9.69921875" style="540" customWidth="1"/>
    <col min="5636" max="5636" width="7.8984375" style="540" customWidth="1"/>
    <col min="5637" max="5637" width="8.796875" style="540"/>
    <col min="5638" max="5638" width="11.19921875" style="540" customWidth="1"/>
    <col min="5639" max="5639" width="11.09765625" style="540" customWidth="1"/>
    <col min="5640" max="5640" width="8.796875" style="540"/>
    <col min="5641" max="5641" width="10.8984375" style="540" customWidth="1"/>
    <col min="5642" max="5884" width="8.796875" style="540"/>
    <col min="5885" max="5885" width="14.19921875" style="540" customWidth="1"/>
    <col min="5886" max="5886" width="11.5" style="540" customWidth="1"/>
    <col min="5887" max="5887" width="7.8984375" style="540" customWidth="1"/>
    <col min="5888" max="5888" width="12.3984375" style="540" customWidth="1"/>
    <col min="5889" max="5889" width="7.8984375" style="540" customWidth="1"/>
    <col min="5890" max="5890" width="11.5" style="540" customWidth="1"/>
    <col min="5891" max="5891" width="9.69921875" style="540" customWidth="1"/>
    <col min="5892" max="5892" width="7.8984375" style="540" customWidth="1"/>
    <col min="5893" max="5893" width="8.796875" style="540"/>
    <col min="5894" max="5894" width="11.19921875" style="540" customWidth="1"/>
    <col min="5895" max="5895" width="11.09765625" style="540" customWidth="1"/>
    <col min="5896" max="5896" width="8.796875" style="540"/>
    <col min="5897" max="5897" width="10.8984375" style="540" customWidth="1"/>
    <col min="5898" max="6140" width="8.796875" style="540"/>
    <col min="6141" max="6141" width="14.19921875" style="540" customWidth="1"/>
    <col min="6142" max="6142" width="11.5" style="540" customWidth="1"/>
    <col min="6143" max="6143" width="7.8984375" style="540" customWidth="1"/>
    <col min="6144" max="6144" width="12.3984375" style="540" customWidth="1"/>
    <col min="6145" max="6145" width="7.8984375" style="540" customWidth="1"/>
    <col min="6146" max="6146" width="11.5" style="540" customWidth="1"/>
    <col min="6147" max="6147" width="9.69921875" style="540" customWidth="1"/>
    <col min="6148" max="6148" width="7.8984375" style="540" customWidth="1"/>
    <col min="6149" max="6149" width="8.796875" style="540"/>
    <col min="6150" max="6150" width="11.19921875" style="540" customWidth="1"/>
    <col min="6151" max="6151" width="11.09765625" style="540" customWidth="1"/>
    <col min="6152" max="6152" width="8.796875" style="540"/>
    <col min="6153" max="6153" width="10.8984375" style="540" customWidth="1"/>
    <col min="6154" max="6396" width="8.796875" style="540"/>
    <col min="6397" max="6397" width="14.19921875" style="540" customWidth="1"/>
    <col min="6398" max="6398" width="11.5" style="540" customWidth="1"/>
    <col min="6399" max="6399" width="7.8984375" style="540" customWidth="1"/>
    <col min="6400" max="6400" width="12.3984375" style="540" customWidth="1"/>
    <col min="6401" max="6401" width="7.8984375" style="540" customWidth="1"/>
    <col min="6402" max="6402" width="11.5" style="540" customWidth="1"/>
    <col min="6403" max="6403" width="9.69921875" style="540" customWidth="1"/>
    <col min="6404" max="6404" width="7.8984375" style="540" customWidth="1"/>
    <col min="6405" max="6405" width="8.796875" style="540"/>
    <col min="6406" max="6406" width="11.19921875" style="540" customWidth="1"/>
    <col min="6407" max="6407" width="11.09765625" style="540" customWidth="1"/>
    <col min="6408" max="6408" width="8.796875" style="540"/>
    <col min="6409" max="6409" width="10.8984375" style="540" customWidth="1"/>
    <col min="6410" max="6652" width="8.796875" style="540"/>
    <col min="6653" max="6653" width="14.19921875" style="540" customWidth="1"/>
    <col min="6654" max="6654" width="11.5" style="540" customWidth="1"/>
    <col min="6655" max="6655" width="7.8984375" style="540" customWidth="1"/>
    <col min="6656" max="6656" width="12.3984375" style="540" customWidth="1"/>
    <col min="6657" max="6657" width="7.8984375" style="540" customWidth="1"/>
    <col min="6658" max="6658" width="11.5" style="540" customWidth="1"/>
    <col min="6659" max="6659" width="9.69921875" style="540" customWidth="1"/>
    <col min="6660" max="6660" width="7.8984375" style="540" customWidth="1"/>
    <col min="6661" max="6661" width="8.796875" style="540"/>
    <col min="6662" max="6662" width="11.19921875" style="540" customWidth="1"/>
    <col min="6663" max="6663" width="11.09765625" style="540" customWidth="1"/>
    <col min="6664" max="6664" width="8.796875" style="540"/>
    <col min="6665" max="6665" width="10.8984375" style="540" customWidth="1"/>
    <col min="6666" max="6908" width="8.796875" style="540"/>
    <col min="6909" max="6909" width="14.19921875" style="540" customWidth="1"/>
    <col min="6910" max="6910" width="11.5" style="540" customWidth="1"/>
    <col min="6911" max="6911" width="7.8984375" style="540" customWidth="1"/>
    <col min="6912" max="6912" width="12.3984375" style="540" customWidth="1"/>
    <col min="6913" max="6913" width="7.8984375" style="540" customWidth="1"/>
    <col min="6914" max="6914" width="11.5" style="540" customWidth="1"/>
    <col min="6915" max="6915" width="9.69921875" style="540" customWidth="1"/>
    <col min="6916" max="6916" width="7.8984375" style="540" customWidth="1"/>
    <col min="6917" max="6917" width="8.796875" style="540"/>
    <col min="6918" max="6918" width="11.19921875" style="540" customWidth="1"/>
    <col min="6919" max="6919" width="11.09765625" style="540" customWidth="1"/>
    <col min="6920" max="6920" width="8.796875" style="540"/>
    <col min="6921" max="6921" width="10.8984375" style="540" customWidth="1"/>
    <col min="6922" max="7164" width="8.796875" style="540"/>
    <col min="7165" max="7165" width="14.19921875" style="540" customWidth="1"/>
    <col min="7166" max="7166" width="11.5" style="540" customWidth="1"/>
    <col min="7167" max="7167" width="7.8984375" style="540" customWidth="1"/>
    <col min="7168" max="7168" width="12.3984375" style="540" customWidth="1"/>
    <col min="7169" max="7169" width="7.8984375" style="540" customWidth="1"/>
    <col min="7170" max="7170" width="11.5" style="540" customWidth="1"/>
    <col min="7171" max="7171" width="9.69921875" style="540" customWidth="1"/>
    <col min="7172" max="7172" width="7.8984375" style="540" customWidth="1"/>
    <col min="7173" max="7173" width="8.796875" style="540"/>
    <col min="7174" max="7174" width="11.19921875" style="540" customWidth="1"/>
    <col min="7175" max="7175" width="11.09765625" style="540" customWidth="1"/>
    <col min="7176" max="7176" width="8.796875" style="540"/>
    <col min="7177" max="7177" width="10.8984375" style="540" customWidth="1"/>
    <col min="7178" max="7420" width="8.796875" style="540"/>
    <col min="7421" max="7421" width="14.19921875" style="540" customWidth="1"/>
    <col min="7422" max="7422" width="11.5" style="540" customWidth="1"/>
    <col min="7423" max="7423" width="7.8984375" style="540" customWidth="1"/>
    <col min="7424" max="7424" width="12.3984375" style="540" customWidth="1"/>
    <col min="7425" max="7425" width="7.8984375" style="540" customWidth="1"/>
    <col min="7426" max="7426" width="11.5" style="540" customWidth="1"/>
    <col min="7427" max="7427" width="9.69921875" style="540" customWidth="1"/>
    <col min="7428" max="7428" width="7.8984375" style="540" customWidth="1"/>
    <col min="7429" max="7429" width="8.796875" style="540"/>
    <col min="7430" max="7430" width="11.19921875" style="540" customWidth="1"/>
    <col min="7431" max="7431" width="11.09765625" style="540" customWidth="1"/>
    <col min="7432" max="7432" width="8.796875" style="540"/>
    <col min="7433" max="7433" width="10.8984375" style="540" customWidth="1"/>
    <col min="7434" max="7676" width="8.796875" style="540"/>
    <col min="7677" max="7677" width="14.19921875" style="540" customWidth="1"/>
    <col min="7678" max="7678" width="11.5" style="540" customWidth="1"/>
    <col min="7679" max="7679" width="7.8984375" style="540" customWidth="1"/>
    <col min="7680" max="7680" width="12.3984375" style="540" customWidth="1"/>
    <col min="7681" max="7681" width="7.8984375" style="540" customWidth="1"/>
    <col min="7682" max="7682" width="11.5" style="540" customWidth="1"/>
    <col min="7683" max="7683" width="9.69921875" style="540" customWidth="1"/>
    <col min="7684" max="7684" width="7.8984375" style="540" customWidth="1"/>
    <col min="7685" max="7685" width="8.796875" style="540"/>
    <col min="7686" max="7686" width="11.19921875" style="540" customWidth="1"/>
    <col min="7687" max="7687" width="11.09765625" style="540" customWidth="1"/>
    <col min="7688" max="7688" width="8.796875" style="540"/>
    <col min="7689" max="7689" width="10.8984375" style="540" customWidth="1"/>
    <col min="7690" max="7932" width="8.796875" style="540"/>
    <col min="7933" max="7933" width="14.19921875" style="540" customWidth="1"/>
    <col min="7934" max="7934" width="11.5" style="540" customWidth="1"/>
    <col min="7935" max="7935" width="7.8984375" style="540" customWidth="1"/>
    <col min="7936" max="7936" width="12.3984375" style="540" customWidth="1"/>
    <col min="7937" max="7937" width="7.8984375" style="540" customWidth="1"/>
    <col min="7938" max="7938" width="11.5" style="540" customWidth="1"/>
    <col min="7939" max="7939" width="9.69921875" style="540" customWidth="1"/>
    <col min="7940" max="7940" width="7.8984375" style="540" customWidth="1"/>
    <col min="7941" max="7941" width="8.796875" style="540"/>
    <col min="7942" max="7942" width="11.19921875" style="540" customWidth="1"/>
    <col min="7943" max="7943" width="11.09765625" style="540" customWidth="1"/>
    <col min="7944" max="7944" width="8.796875" style="540"/>
    <col min="7945" max="7945" width="10.8984375" style="540" customWidth="1"/>
    <col min="7946" max="8188" width="8.796875" style="540"/>
    <col min="8189" max="8189" width="14.19921875" style="540" customWidth="1"/>
    <col min="8190" max="8190" width="11.5" style="540" customWidth="1"/>
    <col min="8191" max="8191" width="7.8984375" style="540" customWidth="1"/>
    <col min="8192" max="8192" width="12.3984375" style="540" customWidth="1"/>
    <col min="8193" max="8193" width="7.8984375" style="540" customWidth="1"/>
    <col min="8194" max="8194" width="11.5" style="540" customWidth="1"/>
    <col min="8195" max="8195" width="9.69921875" style="540" customWidth="1"/>
    <col min="8196" max="8196" width="7.8984375" style="540" customWidth="1"/>
    <col min="8197" max="8197" width="8.796875" style="540"/>
    <col min="8198" max="8198" width="11.19921875" style="540" customWidth="1"/>
    <col min="8199" max="8199" width="11.09765625" style="540" customWidth="1"/>
    <col min="8200" max="8200" width="8.796875" style="540"/>
    <col min="8201" max="8201" width="10.8984375" style="540" customWidth="1"/>
    <col min="8202" max="8444" width="8.796875" style="540"/>
    <col min="8445" max="8445" width="14.19921875" style="540" customWidth="1"/>
    <col min="8446" max="8446" width="11.5" style="540" customWidth="1"/>
    <col min="8447" max="8447" width="7.8984375" style="540" customWidth="1"/>
    <col min="8448" max="8448" width="12.3984375" style="540" customWidth="1"/>
    <col min="8449" max="8449" width="7.8984375" style="540" customWidth="1"/>
    <col min="8450" max="8450" width="11.5" style="540" customWidth="1"/>
    <col min="8451" max="8451" width="9.69921875" style="540" customWidth="1"/>
    <col min="8452" max="8452" width="7.8984375" style="540" customWidth="1"/>
    <col min="8453" max="8453" width="8.796875" style="540"/>
    <col min="8454" max="8454" width="11.19921875" style="540" customWidth="1"/>
    <col min="8455" max="8455" width="11.09765625" style="540" customWidth="1"/>
    <col min="8456" max="8456" width="8.796875" style="540"/>
    <col min="8457" max="8457" width="10.8984375" style="540" customWidth="1"/>
    <col min="8458" max="8700" width="8.796875" style="540"/>
    <col min="8701" max="8701" width="14.19921875" style="540" customWidth="1"/>
    <col min="8702" max="8702" width="11.5" style="540" customWidth="1"/>
    <col min="8703" max="8703" width="7.8984375" style="540" customWidth="1"/>
    <col min="8704" max="8704" width="12.3984375" style="540" customWidth="1"/>
    <col min="8705" max="8705" width="7.8984375" style="540" customWidth="1"/>
    <col min="8706" max="8706" width="11.5" style="540" customWidth="1"/>
    <col min="8707" max="8707" width="9.69921875" style="540" customWidth="1"/>
    <col min="8708" max="8708" width="7.8984375" style="540" customWidth="1"/>
    <col min="8709" max="8709" width="8.796875" style="540"/>
    <col min="8710" max="8710" width="11.19921875" style="540" customWidth="1"/>
    <col min="8711" max="8711" width="11.09765625" style="540" customWidth="1"/>
    <col min="8712" max="8712" width="8.796875" style="540"/>
    <col min="8713" max="8713" width="10.8984375" style="540" customWidth="1"/>
    <col min="8714" max="8956" width="8.796875" style="540"/>
    <col min="8957" max="8957" width="14.19921875" style="540" customWidth="1"/>
    <col min="8958" max="8958" width="11.5" style="540" customWidth="1"/>
    <col min="8959" max="8959" width="7.8984375" style="540" customWidth="1"/>
    <col min="8960" max="8960" width="12.3984375" style="540" customWidth="1"/>
    <col min="8961" max="8961" width="7.8984375" style="540" customWidth="1"/>
    <col min="8962" max="8962" width="11.5" style="540" customWidth="1"/>
    <col min="8963" max="8963" width="9.69921875" style="540" customWidth="1"/>
    <col min="8964" max="8964" width="7.8984375" style="540" customWidth="1"/>
    <col min="8965" max="8965" width="8.796875" style="540"/>
    <col min="8966" max="8966" width="11.19921875" style="540" customWidth="1"/>
    <col min="8967" max="8967" width="11.09765625" style="540" customWidth="1"/>
    <col min="8968" max="8968" width="8.796875" style="540"/>
    <col min="8969" max="8969" width="10.8984375" style="540" customWidth="1"/>
    <col min="8970" max="9212" width="8.796875" style="540"/>
    <col min="9213" max="9213" width="14.19921875" style="540" customWidth="1"/>
    <col min="9214" max="9214" width="11.5" style="540" customWidth="1"/>
    <col min="9215" max="9215" width="7.8984375" style="540" customWidth="1"/>
    <col min="9216" max="9216" width="12.3984375" style="540" customWidth="1"/>
    <col min="9217" max="9217" width="7.8984375" style="540" customWidth="1"/>
    <col min="9218" max="9218" width="11.5" style="540" customWidth="1"/>
    <col min="9219" max="9219" width="9.69921875" style="540" customWidth="1"/>
    <col min="9220" max="9220" width="7.8984375" style="540" customWidth="1"/>
    <col min="9221" max="9221" width="8.796875" style="540"/>
    <col min="9222" max="9222" width="11.19921875" style="540" customWidth="1"/>
    <col min="9223" max="9223" width="11.09765625" style="540" customWidth="1"/>
    <col min="9224" max="9224" width="8.796875" style="540"/>
    <col min="9225" max="9225" width="10.8984375" style="540" customWidth="1"/>
    <col min="9226" max="9468" width="8.796875" style="540"/>
    <col min="9469" max="9469" width="14.19921875" style="540" customWidth="1"/>
    <col min="9470" max="9470" width="11.5" style="540" customWidth="1"/>
    <col min="9471" max="9471" width="7.8984375" style="540" customWidth="1"/>
    <col min="9472" max="9472" width="12.3984375" style="540" customWidth="1"/>
    <col min="9473" max="9473" width="7.8984375" style="540" customWidth="1"/>
    <col min="9474" max="9474" width="11.5" style="540" customWidth="1"/>
    <col min="9475" max="9475" width="9.69921875" style="540" customWidth="1"/>
    <col min="9476" max="9476" width="7.8984375" style="540" customWidth="1"/>
    <col min="9477" max="9477" width="8.796875" style="540"/>
    <col min="9478" max="9478" width="11.19921875" style="540" customWidth="1"/>
    <col min="9479" max="9479" width="11.09765625" style="540" customWidth="1"/>
    <col min="9480" max="9480" width="8.796875" style="540"/>
    <col min="9481" max="9481" width="10.8984375" style="540" customWidth="1"/>
    <col min="9482" max="9724" width="8.796875" style="540"/>
    <col min="9725" max="9725" width="14.19921875" style="540" customWidth="1"/>
    <col min="9726" max="9726" width="11.5" style="540" customWidth="1"/>
    <col min="9727" max="9727" width="7.8984375" style="540" customWidth="1"/>
    <col min="9728" max="9728" width="12.3984375" style="540" customWidth="1"/>
    <col min="9729" max="9729" width="7.8984375" style="540" customWidth="1"/>
    <col min="9730" max="9730" width="11.5" style="540" customWidth="1"/>
    <col min="9731" max="9731" width="9.69921875" style="540" customWidth="1"/>
    <col min="9732" max="9732" width="7.8984375" style="540" customWidth="1"/>
    <col min="9733" max="9733" width="8.796875" style="540"/>
    <col min="9734" max="9734" width="11.19921875" style="540" customWidth="1"/>
    <col min="9735" max="9735" width="11.09765625" style="540" customWidth="1"/>
    <col min="9736" max="9736" width="8.796875" style="540"/>
    <col min="9737" max="9737" width="10.8984375" style="540" customWidth="1"/>
    <col min="9738" max="9980" width="8.796875" style="540"/>
    <col min="9981" max="9981" width="14.19921875" style="540" customWidth="1"/>
    <col min="9982" max="9982" width="11.5" style="540" customWidth="1"/>
    <col min="9983" max="9983" width="7.8984375" style="540" customWidth="1"/>
    <col min="9984" max="9984" width="12.3984375" style="540" customWidth="1"/>
    <col min="9985" max="9985" width="7.8984375" style="540" customWidth="1"/>
    <col min="9986" max="9986" width="11.5" style="540" customWidth="1"/>
    <col min="9987" max="9987" width="9.69921875" style="540" customWidth="1"/>
    <col min="9988" max="9988" width="7.8984375" style="540" customWidth="1"/>
    <col min="9989" max="9989" width="8.796875" style="540"/>
    <col min="9990" max="9990" width="11.19921875" style="540" customWidth="1"/>
    <col min="9991" max="9991" width="11.09765625" style="540" customWidth="1"/>
    <col min="9992" max="9992" width="8.796875" style="540"/>
    <col min="9993" max="9993" width="10.8984375" style="540" customWidth="1"/>
    <col min="9994" max="10236" width="8.796875" style="540"/>
    <col min="10237" max="10237" width="14.19921875" style="540" customWidth="1"/>
    <col min="10238" max="10238" width="11.5" style="540" customWidth="1"/>
    <col min="10239" max="10239" width="7.8984375" style="540" customWidth="1"/>
    <col min="10240" max="10240" width="12.3984375" style="540" customWidth="1"/>
    <col min="10241" max="10241" width="7.8984375" style="540" customWidth="1"/>
    <col min="10242" max="10242" width="11.5" style="540" customWidth="1"/>
    <col min="10243" max="10243" width="9.69921875" style="540" customWidth="1"/>
    <col min="10244" max="10244" width="7.8984375" style="540" customWidth="1"/>
    <col min="10245" max="10245" width="8.796875" style="540"/>
    <col min="10246" max="10246" width="11.19921875" style="540" customWidth="1"/>
    <col min="10247" max="10247" width="11.09765625" style="540" customWidth="1"/>
    <col min="10248" max="10248" width="8.796875" style="540"/>
    <col min="10249" max="10249" width="10.8984375" style="540" customWidth="1"/>
    <col min="10250" max="10492" width="8.796875" style="540"/>
    <col min="10493" max="10493" width="14.19921875" style="540" customWidth="1"/>
    <col min="10494" max="10494" width="11.5" style="540" customWidth="1"/>
    <col min="10495" max="10495" width="7.8984375" style="540" customWidth="1"/>
    <col min="10496" max="10496" width="12.3984375" style="540" customWidth="1"/>
    <col min="10497" max="10497" width="7.8984375" style="540" customWidth="1"/>
    <col min="10498" max="10498" width="11.5" style="540" customWidth="1"/>
    <col min="10499" max="10499" width="9.69921875" style="540" customWidth="1"/>
    <col min="10500" max="10500" width="7.8984375" style="540" customWidth="1"/>
    <col min="10501" max="10501" width="8.796875" style="540"/>
    <col min="10502" max="10502" width="11.19921875" style="540" customWidth="1"/>
    <col min="10503" max="10503" width="11.09765625" style="540" customWidth="1"/>
    <col min="10504" max="10504" width="8.796875" style="540"/>
    <col min="10505" max="10505" width="10.8984375" style="540" customWidth="1"/>
    <col min="10506" max="10748" width="8.796875" style="540"/>
    <col min="10749" max="10749" width="14.19921875" style="540" customWidth="1"/>
    <col min="10750" max="10750" width="11.5" style="540" customWidth="1"/>
    <col min="10751" max="10751" width="7.8984375" style="540" customWidth="1"/>
    <col min="10752" max="10752" width="12.3984375" style="540" customWidth="1"/>
    <col min="10753" max="10753" width="7.8984375" style="540" customWidth="1"/>
    <col min="10754" max="10754" width="11.5" style="540" customWidth="1"/>
    <col min="10755" max="10755" width="9.69921875" style="540" customWidth="1"/>
    <col min="10756" max="10756" width="7.8984375" style="540" customWidth="1"/>
    <col min="10757" max="10757" width="8.796875" style="540"/>
    <col min="10758" max="10758" width="11.19921875" style="540" customWidth="1"/>
    <col min="10759" max="10759" width="11.09765625" style="540" customWidth="1"/>
    <col min="10760" max="10760" width="8.796875" style="540"/>
    <col min="10761" max="10761" width="10.8984375" style="540" customWidth="1"/>
    <col min="10762" max="11004" width="8.796875" style="540"/>
    <col min="11005" max="11005" width="14.19921875" style="540" customWidth="1"/>
    <col min="11006" max="11006" width="11.5" style="540" customWidth="1"/>
    <col min="11007" max="11007" width="7.8984375" style="540" customWidth="1"/>
    <col min="11008" max="11008" width="12.3984375" style="540" customWidth="1"/>
    <col min="11009" max="11009" width="7.8984375" style="540" customWidth="1"/>
    <col min="11010" max="11010" width="11.5" style="540" customWidth="1"/>
    <col min="11011" max="11011" width="9.69921875" style="540" customWidth="1"/>
    <col min="11012" max="11012" width="7.8984375" style="540" customWidth="1"/>
    <col min="11013" max="11013" width="8.796875" style="540"/>
    <col min="11014" max="11014" width="11.19921875" style="540" customWidth="1"/>
    <col min="11015" max="11015" width="11.09765625" style="540" customWidth="1"/>
    <col min="11016" max="11016" width="8.796875" style="540"/>
    <col min="11017" max="11017" width="10.8984375" style="540" customWidth="1"/>
    <col min="11018" max="11260" width="8.796875" style="540"/>
    <col min="11261" max="11261" width="14.19921875" style="540" customWidth="1"/>
    <col min="11262" max="11262" width="11.5" style="540" customWidth="1"/>
    <col min="11263" max="11263" width="7.8984375" style="540" customWidth="1"/>
    <col min="11264" max="11264" width="12.3984375" style="540" customWidth="1"/>
    <col min="11265" max="11265" width="7.8984375" style="540" customWidth="1"/>
    <col min="11266" max="11266" width="11.5" style="540" customWidth="1"/>
    <col min="11267" max="11267" width="9.69921875" style="540" customWidth="1"/>
    <col min="11268" max="11268" width="7.8984375" style="540" customWidth="1"/>
    <col min="11269" max="11269" width="8.796875" style="540"/>
    <col min="11270" max="11270" width="11.19921875" style="540" customWidth="1"/>
    <col min="11271" max="11271" width="11.09765625" style="540" customWidth="1"/>
    <col min="11272" max="11272" width="8.796875" style="540"/>
    <col min="11273" max="11273" width="10.8984375" style="540" customWidth="1"/>
    <col min="11274" max="11516" width="8.796875" style="540"/>
    <col min="11517" max="11517" width="14.19921875" style="540" customWidth="1"/>
    <col min="11518" max="11518" width="11.5" style="540" customWidth="1"/>
    <col min="11519" max="11519" width="7.8984375" style="540" customWidth="1"/>
    <col min="11520" max="11520" width="12.3984375" style="540" customWidth="1"/>
    <col min="11521" max="11521" width="7.8984375" style="540" customWidth="1"/>
    <col min="11522" max="11522" width="11.5" style="540" customWidth="1"/>
    <col min="11523" max="11523" width="9.69921875" style="540" customWidth="1"/>
    <col min="11524" max="11524" width="7.8984375" style="540" customWidth="1"/>
    <col min="11525" max="11525" width="8.796875" style="540"/>
    <col min="11526" max="11526" width="11.19921875" style="540" customWidth="1"/>
    <col min="11527" max="11527" width="11.09765625" style="540" customWidth="1"/>
    <col min="11528" max="11528" width="8.796875" style="540"/>
    <col min="11529" max="11529" width="10.8984375" style="540" customWidth="1"/>
    <col min="11530" max="11772" width="8.796875" style="540"/>
    <col min="11773" max="11773" width="14.19921875" style="540" customWidth="1"/>
    <col min="11774" max="11774" width="11.5" style="540" customWidth="1"/>
    <col min="11775" max="11775" width="7.8984375" style="540" customWidth="1"/>
    <col min="11776" max="11776" width="12.3984375" style="540" customWidth="1"/>
    <col min="11777" max="11777" width="7.8984375" style="540" customWidth="1"/>
    <col min="11778" max="11778" width="11.5" style="540" customWidth="1"/>
    <col min="11779" max="11779" width="9.69921875" style="540" customWidth="1"/>
    <col min="11780" max="11780" width="7.8984375" style="540" customWidth="1"/>
    <col min="11781" max="11781" width="8.796875" style="540"/>
    <col min="11782" max="11782" width="11.19921875" style="540" customWidth="1"/>
    <col min="11783" max="11783" width="11.09765625" style="540" customWidth="1"/>
    <col min="11784" max="11784" width="8.796875" style="540"/>
    <col min="11785" max="11785" width="10.8984375" style="540" customWidth="1"/>
    <col min="11786" max="12028" width="8.796875" style="540"/>
    <col min="12029" max="12029" width="14.19921875" style="540" customWidth="1"/>
    <col min="12030" max="12030" width="11.5" style="540" customWidth="1"/>
    <col min="12031" max="12031" width="7.8984375" style="540" customWidth="1"/>
    <col min="12032" max="12032" width="12.3984375" style="540" customWidth="1"/>
    <col min="12033" max="12033" width="7.8984375" style="540" customWidth="1"/>
    <col min="12034" max="12034" width="11.5" style="540" customWidth="1"/>
    <col min="12035" max="12035" width="9.69921875" style="540" customWidth="1"/>
    <col min="12036" max="12036" width="7.8984375" style="540" customWidth="1"/>
    <col min="12037" max="12037" width="8.796875" style="540"/>
    <col min="12038" max="12038" width="11.19921875" style="540" customWidth="1"/>
    <col min="12039" max="12039" width="11.09765625" style="540" customWidth="1"/>
    <col min="12040" max="12040" width="8.796875" style="540"/>
    <col min="12041" max="12041" width="10.8984375" style="540" customWidth="1"/>
    <col min="12042" max="12284" width="8.796875" style="540"/>
    <col min="12285" max="12285" width="14.19921875" style="540" customWidth="1"/>
    <col min="12286" max="12286" width="11.5" style="540" customWidth="1"/>
    <col min="12287" max="12287" width="7.8984375" style="540" customWidth="1"/>
    <col min="12288" max="12288" width="12.3984375" style="540" customWidth="1"/>
    <col min="12289" max="12289" width="7.8984375" style="540" customWidth="1"/>
    <col min="12290" max="12290" width="11.5" style="540" customWidth="1"/>
    <col min="12291" max="12291" width="9.69921875" style="540" customWidth="1"/>
    <col min="12292" max="12292" width="7.8984375" style="540" customWidth="1"/>
    <col min="12293" max="12293" width="8.796875" style="540"/>
    <col min="12294" max="12294" width="11.19921875" style="540" customWidth="1"/>
    <col min="12295" max="12295" width="11.09765625" style="540" customWidth="1"/>
    <col min="12296" max="12296" width="8.796875" style="540"/>
    <col min="12297" max="12297" width="10.8984375" style="540" customWidth="1"/>
    <col min="12298" max="12540" width="8.796875" style="540"/>
    <col min="12541" max="12541" width="14.19921875" style="540" customWidth="1"/>
    <col min="12542" max="12542" width="11.5" style="540" customWidth="1"/>
    <col min="12543" max="12543" width="7.8984375" style="540" customWidth="1"/>
    <col min="12544" max="12544" width="12.3984375" style="540" customWidth="1"/>
    <col min="12545" max="12545" width="7.8984375" style="540" customWidth="1"/>
    <col min="12546" max="12546" width="11.5" style="540" customWidth="1"/>
    <col min="12547" max="12547" width="9.69921875" style="540" customWidth="1"/>
    <col min="12548" max="12548" width="7.8984375" style="540" customWidth="1"/>
    <col min="12549" max="12549" width="8.796875" style="540"/>
    <col min="12550" max="12550" width="11.19921875" style="540" customWidth="1"/>
    <col min="12551" max="12551" width="11.09765625" style="540" customWidth="1"/>
    <col min="12552" max="12552" width="8.796875" style="540"/>
    <col min="12553" max="12553" width="10.8984375" style="540" customWidth="1"/>
    <col min="12554" max="12796" width="8.796875" style="540"/>
    <col min="12797" max="12797" width="14.19921875" style="540" customWidth="1"/>
    <col min="12798" max="12798" width="11.5" style="540" customWidth="1"/>
    <col min="12799" max="12799" width="7.8984375" style="540" customWidth="1"/>
    <col min="12800" max="12800" width="12.3984375" style="540" customWidth="1"/>
    <col min="12801" max="12801" width="7.8984375" style="540" customWidth="1"/>
    <col min="12802" max="12802" width="11.5" style="540" customWidth="1"/>
    <col min="12803" max="12803" width="9.69921875" style="540" customWidth="1"/>
    <col min="12804" max="12804" width="7.8984375" style="540" customWidth="1"/>
    <col min="12805" max="12805" width="8.796875" style="540"/>
    <col min="12806" max="12806" width="11.19921875" style="540" customWidth="1"/>
    <col min="12807" max="12807" width="11.09765625" style="540" customWidth="1"/>
    <col min="12808" max="12808" width="8.796875" style="540"/>
    <col min="12809" max="12809" width="10.8984375" style="540" customWidth="1"/>
    <col min="12810" max="13052" width="8.796875" style="540"/>
    <col min="13053" max="13053" width="14.19921875" style="540" customWidth="1"/>
    <col min="13054" max="13054" width="11.5" style="540" customWidth="1"/>
    <col min="13055" max="13055" width="7.8984375" style="540" customWidth="1"/>
    <col min="13056" max="13056" width="12.3984375" style="540" customWidth="1"/>
    <col min="13057" max="13057" width="7.8984375" style="540" customWidth="1"/>
    <col min="13058" max="13058" width="11.5" style="540" customWidth="1"/>
    <col min="13059" max="13059" width="9.69921875" style="540" customWidth="1"/>
    <col min="13060" max="13060" width="7.8984375" style="540" customWidth="1"/>
    <col min="13061" max="13061" width="8.796875" style="540"/>
    <col min="13062" max="13062" width="11.19921875" style="540" customWidth="1"/>
    <col min="13063" max="13063" width="11.09765625" style="540" customWidth="1"/>
    <col min="13064" max="13064" width="8.796875" style="540"/>
    <col min="13065" max="13065" width="10.8984375" style="540" customWidth="1"/>
    <col min="13066" max="13308" width="8.796875" style="540"/>
    <col min="13309" max="13309" width="14.19921875" style="540" customWidth="1"/>
    <col min="13310" max="13310" width="11.5" style="540" customWidth="1"/>
    <col min="13311" max="13311" width="7.8984375" style="540" customWidth="1"/>
    <col min="13312" max="13312" width="12.3984375" style="540" customWidth="1"/>
    <col min="13313" max="13313" width="7.8984375" style="540" customWidth="1"/>
    <col min="13314" max="13314" width="11.5" style="540" customWidth="1"/>
    <col min="13315" max="13315" width="9.69921875" style="540" customWidth="1"/>
    <col min="13316" max="13316" width="7.8984375" style="540" customWidth="1"/>
    <col min="13317" max="13317" width="8.796875" style="540"/>
    <col min="13318" max="13318" width="11.19921875" style="540" customWidth="1"/>
    <col min="13319" max="13319" width="11.09765625" style="540" customWidth="1"/>
    <col min="13320" max="13320" width="8.796875" style="540"/>
    <col min="13321" max="13321" width="10.8984375" style="540" customWidth="1"/>
    <col min="13322" max="13564" width="8.796875" style="540"/>
    <col min="13565" max="13565" width="14.19921875" style="540" customWidth="1"/>
    <col min="13566" max="13566" width="11.5" style="540" customWidth="1"/>
    <col min="13567" max="13567" width="7.8984375" style="540" customWidth="1"/>
    <col min="13568" max="13568" width="12.3984375" style="540" customWidth="1"/>
    <col min="13569" max="13569" width="7.8984375" style="540" customWidth="1"/>
    <col min="13570" max="13570" width="11.5" style="540" customWidth="1"/>
    <col min="13571" max="13571" width="9.69921875" style="540" customWidth="1"/>
    <col min="13572" max="13572" width="7.8984375" style="540" customWidth="1"/>
    <col min="13573" max="13573" width="8.796875" style="540"/>
    <col min="13574" max="13574" width="11.19921875" style="540" customWidth="1"/>
    <col min="13575" max="13575" width="11.09765625" style="540" customWidth="1"/>
    <col min="13576" max="13576" width="8.796875" style="540"/>
    <col min="13577" max="13577" width="10.8984375" style="540" customWidth="1"/>
    <col min="13578" max="13820" width="8.796875" style="540"/>
    <col min="13821" max="13821" width="14.19921875" style="540" customWidth="1"/>
    <col min="13822" max="13822" width="11.5" style="540" customWidth="1"/>
    <col min="13823" max="13823" width="7.8984375" style="540" customWidth="1"/>
    <col min="13824" max="13824" width="12.3984375" style="540" customWidth="1"/>
    <col min="13825" max="13825" width="7.8984375" style="540" customWidth="1"/>
    <col min="13826" max="13826" width="11.5" style="540" customWidth="1"/>
    <col min="13827" max="13827" width="9.69921875" style="540" customWidth="1"/>
    <col min="13828" max="13828" width="7.8984375" style="540" customWidth="1"/>
    <col min="13829" max="13829" width="8.796875" style="540"/>
    <col min="13830" max="13830" width="11.19921875" style="540" customWidth="1"/>
    <col min="13831" max="13831" width="11.09765625" style="540" customWidth="1"/>
    <col min="13832" max="13832" width="8.796875" style="540"/>
    <col min="13833" max="13833" width="10.8984375" style="540" customWidth="1"/>
    <col min="13834" max="14076" width="8.796875" style="540"/>
    <col min="14077" max="14077" width="14.19921875" style="540" customWidth="1"/>
    <col min="14078" max="14078" width="11.5" style="540" customWidth="1"/>
    <col min="14079" max="14079" width="7.8984375" style="540" customWidth="1"/>
    <col min="14080" max="14080" width="12.3984375" style="540" customWidth="1"/>
    <col min="14081" max="14081" width="7.8984375" style="540" customWidth="1"/>
    <col min="14082" max="14082" width="11.5" style="540" customWidth="1"/>
    <col min="14083" max="14083" width="9.69921875" style="540" customWidth="1"/>
    <col min="14084" max="14084" width="7.8984375" style="540" customWidth="1"/>
    <col min="14085" max="14085" width="8.796875" style="540"/>
    <col min="14086" max="14086" width="11.19921875" style="540" customWidth="1"/>
    <col min="14087" max="14087" width="11.09765625" style="540" customWidth="1"/>
    <col min="14088" max="14088" width="8.796875" style="540"/>
    <col min="14089" max="14089" width="10.8984375" style="540" customWidth="1"/>
    <col min="14090" max="14332" width="8.796875" style="540"/>
    <col min="14333" max="14333" width="14.19921875" style="540" customWidth="1"/>
    <col min="14334" max="14334" width="11.5" style="540" customWidth="1"/>
    <col min="14335" max="14335" width="7.8984375" style="540" customWidth="1"/>
    <col min="14336" max="14336" width="12.3984375" style="540" customWidth="1"/>
    <col min="14337" max="14337" width="7.8984375" style="540" customWidth="1"/>
    <col min="14338" max="14338" width="11.5" style="540" customWidth="1"/>
    <col min="14339" max="14339" width="9.69921875" style="540" customWidth="1"/>
    <col min="14340" max="14340" width="7.8984375" style="540" customWidth="1"/>
    <col min="14341" max="14341" width="8.796875" style="540"/>
    <col min="14342" max="14342" width="11.19921875" style="540" customWidth="1"/>
    <col min="14343" max="14343" width="11.09765625" style="540" customWidth="1"/>
    <col min="14344" max="14344" width="8.796875" style="540"/>
    <col min="14345" max="14345" width="10.8984375" style="540" customWidth="1"/>
    <col min="14346" max="14588" width="8.796875" style="540"/>
    <col min="14589" max="14589" width="14.19921875" style="540" customWidth="1"/>
    <col min="14590" max="14590" width="11.5" style="540" customWidth="1"/>
    <col min="14591" max="14591" width="7.8984375" style="540" customWidth="1"/>
    <col min="14592" max="14592" width="12.3984375" style="540" customWidth="1"/>
    <col min="14593" max="14593" width="7.8984375" style="540" customWidth="1"/>
    <col min="14594" max="14594" width="11.5" style="540" customWidth="1"/>
    <col min="14595" max="14595" width="9.69921875" style="540" customWidth="1"/>
    <col min="14596" max="14596" width="7.8984375" style="540" customWidth="1"/>
    <col min="14597" max="14597" width="8.796875" style="540"/>
    <col min="14598" max="14598" width="11.19921875" style="540" customWidth="1"/>
    <col min="14599" max="14599" width="11.09765625" style="540" customWidth="1"/>
    <col min="14600" max="14600" width="8.796875" style="540"/>
    <col min="14601" max="14601" width="10.8984375" style="540" customWidth="1"/>
    <col min="14602" max="14844" width="8.796875" style="540"/>
    <col min="14845" max="14845" width="14.19921875" style="540" customWidth="1"/>
    <col min="14846" max="14846" width="11.5" style="540" customWidth="1"/>
    <col min="14847" max="14847" width="7.8984375" style="540" customWidth="1"/>
    <col min="14848" max="14848" width="12.3984375" style="540" customWidth="1"/>
    <col min="14849" max="14849" width="7.8984375" style="540" customWidth="1"/>
    <col min="14850" max="14850" width="11.5" style="540" customWidth="1"/>
    <col min="14851" max="14851" width="9.69921875" style="540" customWidth="1"/>
    <col min="14852" max="14852" width="7.8984375" style="540" customWidth="1"/>
    <col min="14853" max="14853" width="8.796875" style="540"/>
    <col min="14854" max="14854" width="11.19921875" style="540" customWidth="1"/>
    <col min="14855" max="14855" width="11.09765625" style="540" customWidth="1"/>
    <col min="14856" max="14856" width="8.796875" style="540"/>
    <col min="14857" max="14857" width="10.8984375" style="540" customWidth="1"/>
    <col min="14858" max="15100" width="8.796875" style="540"/>
    <col min="15101" max="15101" width="14.19921875" style="540" customWidth="1"/>
    <col min="15102" max="15102" width="11.5" style="540" customWidth="1"/>
    <col min="15103" max="15103" width="7.8984375" style="540" customWidth="1"/>
    <col min="15104" max="15104" width="12.3984375" style="540" customWidth="1"/>
    <col min="15105" max="15105" width="7.8984375" style="540" customWidth="1"/>
    <col min="15106" max="15106" width="11.5" style="540" customWidth="1"/>
    <col min="15107" max="15107" width="9.69921875" style="540" customWidth="1"/>
    <col min="15108" max="15108" width="7.8984375" style="540" customWidth="1"/>
    <col min="15109" max="15109" width="8.796875" style="540"/>
    <col min="15110" max="15110" width="11.19921875" style="540" customWidth="1"/>
    <col min="15111" max="15111" width="11.09765625" style="540" customWidth="1"/>
    <col min="15112" max="15112" width="8.796875" style="540"/>
    <col min="15113" max="15113" width="10.8984375" style="540" customWidth="1"/>
    <col min="15114" max="15356" width="8.796875" style="540"/>
    <col min="15357" max="15357" width="14.19921875" style="540" customWidth="1"/>
    <col min="15358" max="15358" width="11.5" style="540" customWidth="1"/>
    <col min="15359" max="15359" width="7.8984375" style="540" customWidth="1"/>
    <col min="15360" max="15360" width="12.3984375" style="540" customWidth="1"/>
    <col min="15361" max="15361" width="7.8984375" style="540" customWidth="1"/>
    <col min="15362" max="15362" width="11.5" style="540" customWidth="1"/>
    <col min="15363" max="15363" width="9.69921875" style="540" customWidth="1"/>
    <col min="15364" max="15364" width="7.8984375" style="540" customWidth="1"/>
    <col min="15365" max="15365" width="8.796875" style="540"/>
    <col min="15366" max="15366" width="11.19921875" style="540" customWidth="1"/>
    <col min="15367" max="15367" width="11.09765625" style="540" customWidth="1"/>
    <col min="15368" max="15368" width="8.796875" style="540"/>
    <col min="15369" max="15369" width="10.8984375" style="540" customWidth="1"/>
    <col min="15370" max="15612" width="8.796875" style="540"/>
    <col min="15613" max="15613" width="14.19921875" style="540" customWidth="1"/>
    <col min="15614" max="15614" width="11.5" style="540" customWidth="1"/>
    <col min="15615" max="15615" width="7.8984375" style="540" customWidth="1"/>
    <col min="15616" max="15616" width="12.3984375" style="540" customWidth="1"/>
    <col min="15617" max="15617" width="7.8984375" style="540" customWidth="1"/>
    <col min="15618" max="15618" width="11.5" style="540" customWidth="1"/>
    <col min="15619" max="15619" width="9.69921875" style="540" customWidth="1"/>
    <col min="15620" max="15620" width="7.8984375" style="540" customWidth="1"/>
    <col min="15621" max="15621" width="8.796875" style="540"/>
    <col min="15622" max="15622" width="11.19921875" style="540" customWidth="1"/>
    <col min="15623" max="15623" width="11.09765625" style="540" customWidth="1"/>
    <col min="15624" max="15624" width="8.796875" style="540"/>
    <col min="15625" max="15625" width="10.8984375" style="540" customWidth="1"/>
    <col min="15626" max="15868" width="8.796875" style="540"/>
    <col min="15869" max="15869" width="14.19921875" style="540" customWidth="1"/>
    <col min="15870" max="15870" width="11.5" style="540" customWidth="1"/>
    <col min="15871" max="15871" width="7.8984375" style="540" customWidth="1"/>
    <col min="15872" max="15872" width="12.3984375" style="540" customWidth="1"/>
    <col min="15873" max="15873" width="7.8984375" style="540" customWidth="1"/>
    <col min="15874" max="15874" width="11.5" style="540" customWidth="1"/>
    <col min="15875" max="15875" width="9.69921875" style="540" customWidth="1"/>
    <col min="15876" max="15876" width="7.8984375" style="540" customWidth="1"/>
    <col min="15877" max="15877" width="8.796875" style="540"/>
    <col min="15878" max="15878" width="11.19921875" style="540" customWidth="1"/>
    <col min="15879" max="15879" width="11.09765625" style="540" customWidth="1"/>
    <col min="15880" max="15880" width="8.796875" style="540"/>
    <col min="15881" max="15881" width="10.8984375" style="540" customWidth="1"/>
    <col min="15882" max="16124" width="8.796875" style="540"/>
    <col min="16125" max="16125" width="14.19921875" style="540" customWidth="1"/>
    <col min="16126" max="16126" width="11.5" style="540" customWidth="1"/>
    <col min="16127" max="16127" width="7.8984375" style="540" customWidth="1"/>
    <col min="16128" max="16128" width="12.3984375" style="540" customWidth="1"/>
    <col min="16129" max="16129" width="7.8984375" style="540" customWidth="1"/>
    <col min="16130" max="16130" width="11.5" style="540" customWidth="1"/>
    <col min="16131" max="16131" width="9.69921875" style="540" customWidth="1"/>
    <col min="16132" max="16132" width="7.8984375" style="540" customWidth="1"/>
    <col min="16133" max="16133" width="8.796875" style="540"/>
    <col min="16134" max="16134" width="11.19921875" style="540" customWidth="1"/>
    <col min="16135" max="16135" width="11.09765625" style="540" customWidth="1"/>
    <col min="16136" max="16136" width="8.796875" style="540"/>
    <col min="16137" max="16137" width="10.8984375" style="540" customWidth="1"/>
    <col min="16138" max="16384" width="8.796875" style="540"/>
  </cols>
  <sheetData>
    <row r="1" spans="1:8" x14ac:dyDescent="0.25">
      <c r="A1" s="552"/>
      <c r="B1" s="552"/>
      <c r="C1" s="552"/>
      <c r="D1" s="552"/>
      <c r="E1" s="552"/>
      <c r="F1" s="552"/>
      <c r="G1" s="552"/>
      <c r="H1" s="553">
        <f>inputPrYr!D10</f>
        <v>2025</v>
      </c>
    </row>
    <row r="2" spans="1:8" x14ac:dyDescent="0.25">
      <c r="A2" s="818" t="s">
        <v>461</v>
      </c>
      <c r="B2" s="819"/>
      <c r="C2" s="819"/>
      <c r="D2" s="819"/>
      <c r="E2" s="819"/>
      <c r="F2" s="819"/>
      <c r="G2" s="819"/>
      <c r="H2" s="819"/>
    </row>
    <row r="3" spans="1:8" x14ac:dyDescent="0.25">
      <c r="A3" s="552"/>
      <c r="B3" s="552"/>
      <c r="C3" s="552"/>
      <c r="D3" s="552"/>
      <c r="E3" s="552"/>
      <c r="F3" s="552"/>
      <c r="G3" s="552"/>
      <c r="H3" s="552"/>
    </row>
    <row r="4" spans="1:8" x14ac:dyDescent="0.25">
      <c r="A4" s="820" t="s">
        <v>462</v>
      </c>
      <c r="B4" s="820"/>
      <c r="C4" s="820"/>
      <c r="D4" s="820"/>
      <c r="E4" s="820"/>
      <c r="F4" s="820"/>
      <c r="G4" s="820"/>
      <c r="H4" s="820"/>
    </row>
    <row r="5" spans="1:8" x14ac:dyDescent="0.25">
      <c r="A5" s="821">
        <f>inputPrYr!D4</f>
        <v>0</v>
      </c>
      <c r="B5" s="822"/>
      <c r="C5" s="822"/>
      <c r="D5" s="822"/>
      <c r="E5" s="822"/>
      <c r="F5" s="822"/>
      <c r="G5" s="822"/>
      <c r="H5" s="822"/>
    </row>
    <row r="6" spans="1:8" x14ac:dyDescent="0.25">
      <c r="A6" s="820" t="str">
        <f>CONCATENATE("will meet on ",inputHearing!B42," at ",inputHearing!B44," at ",inputHearing!B46," for the purpose of hearing and")</f>
        <v>will meet on  at  at  for the purpose of hearing and</v>
      </c>
      <c r="B6" s="820"/>
      <c r="C6" s="820"/>
      <c r="D6" s="820"/>
      <c r="E6" s="820"/>
      <c r="F6" s="820"/>
      <c r="G6" s="820"/>
      <c r="H6" s="820"/>
    </row>
    <row r="7" spans="1:8" ht="14.25" customHeight="1" x14ac:dyDescent="0.25">
      <c r="A7" s="820" t="s">
        <v>463</v>
      </c>
      <c r="B7" s="820"/>
      <c r="C7" s="820"/>
      <c r="D7" s="820"/>
      <c r="E7" s="820"/>
      <c r="F7" s="820"/>
      <c r="G7" s="820"/>
      <c r="H7" s="820"/>
    </row>
    <row r="8" spans="1:8" ht="11.25" customHeight="1" x14ac:dyDescent="0.25">
      <c r="A8" s="552"/>
      <c r="B8" s="552"/>
      <c r="C8" s="552"/>
      <c r="D8" s="552"/>
      <c r="E8" s="552"/>
      <c r="F8" s="552"/>
      <c r="G8" s="552"/>
      <c r="H8" s="552"/>
    </row>
    <row r="9" spans="1:8" ht="15" customHeight="1" x14ac:dyDescent="0.25">
      <c r="A9" s="822" t="s">
        <v>464</v>
      </c>
      <c r="B9" s="822"/>
      <c r="C9" s="822"/>
      <c r="D9" s="822"/>
      <c r="E9" s="822"/>
      <c r="F9" s="822"/>
      <c r="G9" s="822"/>
      <c r="H9" s="822"/>
    </row>
    <row r="10" spans="1:8" ht="12" customHeight="1" x14ac:dyDescent="0.25">
      <c r="A10" s="826">
        <f>inputPrYr!D5</f>
        <v>0</v>
      </c>
      <c r="B10" s="820"/>
      <c r="C10" s="820"/>
      <c r="D10" s="820"/>
      <c r="E10" s="820"/>
      <c r="F10" s="820"/>
      <c r="G10" s="820"/>
      <c r="H10" s="820"/>
    </row>
    <row r="11" spans="1:8" x14ac:dyDescent="0.25">
      <c r="A11" s="554"/>
      <c r="B11" s="555"/>
      <c r="C11" s="555"/>
      <c r="D11" s="555"/>
      <c r="E11" s="555"/>
      <c r="F11" s="555"/>
      <c r="G11" s="555"/>
      <c r="H11" s="555"/>
    </row>
    <row r="12" spans="1:8" x14ac:dyDescent="0.25">
      <c r="A12" s="554"/>
      <c r="B12" s="825" t="s">
        <v>449</v>
      </c>
      <c r="C12" s="825"/>
      <c r="D12" s="825"/>
      <c r="E12" s="825"/>
      <c r="F12" s="825"/>
      <c r="G12" s="825"/>
      <c r="H12" s="555"/>
    </row>
    <row r="13" spans="1:8" x14ac:dyDescent="0.25">
      <c r="A13" s="554"/>
      <c r="B13" s="823" t="s">
        <v>465</v>
      </c>
      <c r="C13" s="823"/>
      <c r="D13" s="556">
        <f>'Budget Hearing Notice'!H37</f>
        <v>0</v>
      </c>
      <c r="E13" s="823" t="s">
        <v>466</v>
      </c>
      <c r="F13" s="823"/>
      <c r="G13" s="557">
        <f>SUM('Budget Hearing Notice'!H21:H24)</f>
        <v>0</v>
      </c>
      <c r="H13" s="555"/>
    </row>
    <row r="14" spans="1:8" x14ac:dyDescent="0.25">
      <c r="A14" s="554"/>
      <c r="B14" s="611"/>
      <c r="C14" s="611"/>
      <c r="D14" s="612"/>
      <c r="E14" s="611"/>
      <c r="F14" s="611"/>
      <c r="G14" s="613"/>
      <c r="H14" s="555"/>
    </row>
    <row r="15" spans="1:8" x14ac:dyDescent="0.25">
      <c r="A15" s="554"/>
      <c r="B15" s="824" t="s">
        <v>467</v>
      </c>
      <c r="C15" s="824"/>
      <c r="D15" s="824"/>
      <c r="E15" s="824"/>
      <c r="F15" s="824"/>
      <c r="G15" s="824"/>
      <c r="H15" s="555"/>
    </row>
    <row r="16" spans="1:8" x14ac:dyDescent="0.25">
      <c r="A16" s="554"/>
      <c r="B16" s="823" t="s">
        <v>465</v>
      </c>
      <c r="C16" s="823"/>
      <c r="D16" s="556">
        <f>'Combined Rate-Bud Hearing Notic'!H38</f>
        <v>0</v>
      </c>
      <c r="E16" s="823" t="s">
        <v>466</v>
      </c>
      <c r="F16" s="823"/>
      <c r="G16" s="557">
        <f>SUM('Budget Hearing Notice'!H18:H20,'Budget Hearing Notice'!H25:H29)</f>
        <v>0</v>
      </c>
      <c r="H16" s="555"/>
    </row>
    <row r="17" spans="1:8" x14ac:dyDescent="0.25">
      <c r="A17" s="552"/>
      <c r="B17" s="558"/>
      <c r="C17" s="558"/>
      <c r="D17" s="558"/>
      <c r="E17" s="558"/>
      <c r="F17" s="558"/>
      <c r="G17" s="558"/>
      <c r="H17" s="558"/>
    </row>
    <row r="18" spans="1:8" x14ac:dyDescent="0.25">
      <c r="A18" s="552"/>
      <c r="B18" s="817" t="s">
        <v>468</v>
      </c>
      <c r="C18" s="817"/>
      <c r="D18" s="817"/>
      <c r="E18" s="817"/>
      <c r="F18" s="817"/>
      <c r="G18" s="552"/>
      <c r="H18" s="553"/>
    </row>
    <row r="19" spans="1:8" x14ac:dyDescent="0.25">
      <c r="A19" s="552"/>
      <c r="B19" s="817" t="s">
        <v>469</v>
      </c>
      <c r="C19" s="817"/>
      <c r="D19" s="817"/>
      <c r="E19" s="817"/>
      <c r="F19" s="817"/>
      <c r="G19" s="552"/>
      <c r="H19" s="553"/>
    </row>
    <row r="20" spans="1:8" x14ac:dyDescent="0.25">
      <c r="A20" s="552"/>
      <c r="B20" s="627"/>
      <c r="C20" s="627"/>
      <c r="D20" s="627"/>
      <c r="E20" s="627"/>
      <c r="F20" s="627"/>
      <c r="G20" s="552"/>
      <c r="H20" s="553"/>
    </row>
    <row r="21" spans="1:8" x14ac:dyDescent="0.25">
      <c r="A21" s="552"/>
      <c r="B21" s="627"/>
      <c r="C21" s="627"/>
      <c r="D21" s="559" t="s">
        <v>288</v>
      </c>
      <c r="E21" s="560"/>
      <c r="F21" s="627"/>
      <c r="G21" s="552"/>
      <c r="H21" s="553"/>
    </row>
    <row r="23" spans="1:8" x14ac:dyDescent="0.25">
      <c r="A23" s="561"/>
      <c r="B23" s="561"/>
      <c r="C23" s="561"/>
      <c r="D23" s="561"/>
      <c r="E23" s="561"/>
      <c r="F23" s="561"/>
      <c r="G23" s="561"/>
      <c r="H23" s="561"/>
    </row>
    <row r="25" spans="1:8" x14ac:dyDescent="0.25">
      <c r="A25" s="561"/>
      <c r="B25" s="561"/>
      <c r="C25" s="561"/>
      <c r="D25" s="561"/>
      <c r="E25" s="561"/>
      <c r="F25" s="561"/>
      <c r="G25" s="561"/>
      <c r="H25" s="561"/>
    </row>
    <row r="26" spans="1:8" x14ac:dyDescent="0.25">
      <c r="A26" s="561"/>
      <c r="B26" s="561"/>
      <c r="C26" s="561"/>
      <c r="D26" s="561"/>
      <c r="E26" s="561"/>
      <c r="F26" s="561"/>
      <c r="G26" s="561"/>
      <c r="H26" s="561"/>
    </row>
    <row r="27" spans="1:8" x14ac:dyDescent="0.25">
      <c r="A27" s="561"/>
      <c r="B27" s="561"/>
      <c r="C27" s="561"/>
      <c r="D27" s="561"/>
      <c r="E27" s="561"/>
      <c r="F27" s="561"/>
      <c r="G27" s="561"/>
      <c r="H27" s="561"/>
    </row>
    <row r="28" spans="1:8" x14ac:dyDescent="0.25">
      <c r="A28" s="561"/>
      <c r="B28" s="561"/>
      <c r="C28" s="561"/>
      <c r="D28" s="561"/>
      <c r="E28" s="561"/>
      <c r="F28" s="561"/>
      <c r="G28" s="561"/>
      <c r="H28" s="561"/>
    </row>
    <row r="29" spans="1:8" x14ac:dyDescent="0.25">
      <c r="A29" s="561"/>
      <c r="B29" s="561"/>
      <c r="C29" s="561"/>
      <c r="D29" s="561"/>
      <c r="E29" s="561"/>
      <c r="F29" s="561"/>
      <c r="G29" s="561"/>
      <c r="H29" s="561"/>
    </row>
    <row r="30" spans="1:8" x14ac:dyDescent="0.25">
      <c r="A30" s="561"/>
      <c r="B30" s="561"/>
      <c r="C30" s="561"/>
      <c r="D30" s="561"/>
      <c r="E30" s="561"/>
      <c r="F30" s="561"/>
      <c r="G30" s="561"/>
      <c r="H30" s="561"/>
    </row>
    <row r="31" spans="1:8" x14ac:dyDescent="0.25">
      <c r="A31" s="561"/>
      <c r="B31" s="561"/>
      <c r="C31" s="561"/>
      <c r="D31" s="561"/>
      <c r="E31" s="561"/>
      <c r="F31" s="561"/>
      <c r="G31" s="561"/>
      <c r="H31" s="561"/>
    </row>
    <row r="32" spans="1:8" x14ac:dyDescent="0.25">
      <c r="A32" s="561"/>
      <c r="B32" s="561"/>
      <c r="C32" s="561"/>
      <c r="D32" s="561"/>
      <c r="E32" s="561"/>
      <c r="F32" s="561"/>
      <c r="G32" s="561"/>
      <c r="H32" s="561"/>
    </row>
    <row r="33" spans="1:8" x14ac:dyDescent="0.25">
      <c r="A33" s="561"/>
      <c r="B33" s="561"/>
      <c r="C33" s="561"/>
      <c r="D33" s="561"/>
      <c r="E33" s="561"/>
      <c r="F33" s="561"/>
      <c r="G33" s="561"/>
      <c r="H33" s="561"/>
    </row>
    <row r="41" spans="1:8" ht="15" customHeight="1" x14ac:dyDescent="0.25"/>
  </sheetData>
  <sheetProtection sheet="1" objects="1" scenarios="1"/>
  <mergeCells count="15">
    <mergeCell ref="B18:F18"/>
    <mergeCell ref="B19:F19"/>
    <mergeCell ref="A2:H2"/>
    <mergeCell ref="A4:H4"/>
    <mergeCell ref="A5:H5"/>
    <mergeCell ref="A6:H6"/>
    <mergeCell ref="A7:H7"/>
    <mergeCell ref="A9:H9"/>
    <mergeCell ref="B16:C16"/>
    <mergeCell ref="E16:F16"/>
    <mergeCell ref="B15:G15"/>
    <mergeCell ref="B12:G12"/>
    <mergeCell ref="A10:H10"/>
    <mergeCell ref="B13:C13"/>
    <mergeCell ref="E13:F13"/>
  </mergeCells>
  <pageMargins left="1" right="1" top="0.5" bottom="0.5" header="0.5" footer="0.5"/>
  <pageSetup scale="79"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F41"/>
  <sheetViews>
    <sheetView workbookViewId="0">
      <selection activeCell="G2" sqref="G2"/>
    </sheetView>
  </sheetViews>
  <sheetFormatPr defaultRowHeight="15.75" x14ac:dyDescent="0.25"/>
  <cols>
    <col min="1" max="1" width="10.59765625" style="62" customWidth="1"/>
    <col min="2" max="2" width="13.69921875" style="62" customWidth="1"/>
    <col min="3" max="5" width="12.69921875" style="62" customWidth="1"/>
    <col min="6" max="16384" width="8.796875" style="62"/>
  </cols>
  <sheetData>
    <row r="1" spans="1:6" x14ac:dyDescent="0.25">
      <c r="A1" s="72">
        <f>inputPrYr!D4</f>
        <v>0</v>
      </c>
      <c r="B1" s="35"/>
      <c r="C1" s="35"/>
      <c r="D1" s="35"/>
      <c r="E1" s="35"/>
      <c r="F1" s="35">
        <f>inputPrYr!D10</f>
        <v>2025</v>
      </c>
    </row>
    <row r="2" spans="1:6" x14ac:dyDescent="0.25">
      <c r="A2" s="35"/>
      <c r="B2" s="35"/>
      <c r="C2" s="35"/>
      <c r="D2" s="35"/>
      <c r="E2" s="35"/>
      <c r="F2" s="35"/>
    </row>
    <row r="3" spans="1:6" x14ac:dyDescent="0.25">
      <c r="A3" s="35"/>
      <c r="B3" s="720" t="str">
        <f>CONCATENATE("",F1," Neighborhood Revitalization Rebate")</f>
        <v>2025 Neighborhood Revitalization Rebate</v>
      </c>
      <c r="C3" s="728"/>
      <c r="D3" s="728"/>
      <c r="E3" s="728"/>
      <c r="F3" s="35"/>
    </row>
    <row r="4" spans="1:6" x14ac:dyDescent="0.25">
      <c r="A4" s="35"/>
      <c r="B4" s="35"/>
      <c r="C4" s="35"/>
      <c r="D4" s="35"/>
      <c r="E4" s="35"/>
      <c r="F4" s="35"/>
    </row>
    <row r="5" spans="1:6" ht="51" customHeight="1" x14ac:dyDescent="0.25">
      <c r="A5" s="35"/>
      <c r="B5" s="212" t="str">
        <f>CONCATENATE("Budgeted Funds                            for ",F1,"")</f>
        <v>Budgeted Funds                            for 2025</v>
      </c>
      <c r="C5" s="212" t="str">
        <f>CONCATENATE("",F1-1," Ad Valorem before Rebate**")</f>
        <v>2024 Ad Valorem before Rebate**</v>
      </c>
      <c r="D5" s="213" t="str">
        <f>CONCATENATE("",F1-1," Mil Rate before Rebate")</f>
        <v>2024 Mil Rate before Rebate</v>
      </c>
      <c r="E5" s="214" t="str">
        <f>CONCATENATE("Estimate ",F1," NR Rebate")</f>
        <v>Estimate 2025 NR Rebate</v>
      </c>
      <c r="F5" s="119"/>
    </row>
    <row r="6" spans="1:6" x14ac:dyDescent="0.25">
      <c r="A6" s="35"/>
      <c r="B6" s="61" t="str">
        <f>IF(inputPrYr!B21&gt;0,inputPrYr!B21,"")</f>
        <v>General</v>
      </c>
      <c r="C6" s="215"/>
      <c r="D6" s="216" t="str">
        <f t="shared" ref="D6:D17" si="0">IF(C6&gt;0,C6/$D$23,"")</f>
        <v/>
      </c>
      <c r="E6" s="211">
        <f>IF(C6&gt;0,ROUND(D6*$D$27,0),0)</f>
        <v>0</v>
      </c>
      <c r="F6" s="119"/>
    </row>
    <row r="7" spans="1:6" x14ac:dyDescent="0.25">
      <c r="A7" s="35"/>
      <c r="B7" s="61" t="str">
        <f>IF(inputPrYr!B22&gt;0,inputPrYr!B22,"")</f>
        <v>Debt Service</v>
      </c>
      <c r="C7" s="215"/>
      <c r="D7" s="216" t="str">
        <f t="shared" si="0"/>
        <v/>
      </c>
      <c r="E7" s="211">
        <f t="shared" ref="E7:E17" si="1">IF(C7&gt;0,ROUND(D7*$D$27,0),0)</f>
        <v>0</v>
      </c>
      <c r="F7" s="119"/>
    </row>
    <row r="8" spans="1:6" x14ac:dyDescent="0.25">
      <c r="A8" s="35"/>
      <c r="B8" s="61" t="str">
        <f>IF(inputPrYr!B23&gt;0,inputPrYr!B23,"")</f>
        <v>Library</v>
      </c>
      <c r="C8" s="215"/>
      <c r="D8" s="216" t="str">
        <f>IF(C8&gt;0,C8/$D$23,"")</f>
        <v/>
      </c>
      <c r="E8" s="211">
        <f t="shared" si="1"/>
        <v>0</v>
      </c>
      <c r="F8" s="119"/>
    </row>
    <row r="9" spans="1:6" x14ac:dyDescent="0.25">
      <c r="A9" s="35"/>
      <c r="B9" s="61" t="str">
        <f>IF(inputPrYr!B24&gt;0,inputPrYr!B24,"")</f>
        <v>Road</v>
      </c>
      <c r="C9" s="215"/>
      <c r="D9" s="216" t="str">
        <f t="shared" si="0"/>
        <v/>
      </c>
      <c r="E9" s="211">
        <f t="shared" si="1"/>
        <v>0</v>
      </c>
      <c r="F9" s="119"/>
    </row>
    <row r="10" spans="1:6" x14ac:dyDescent="0.25">
      <c r="A10" s="35"/>
      <c r="B10" s="61" t="str">
        <f>IF(inputPrYr!B25&gt;0,inputPrYr!B25,"")</f>
        <v>Special Road</v>
      </c>
      <c r="C10" s="215"/>
      <c r="D10" s="216" t="str">
        <f t="shared" si="0"/>
        <v/>
      </c>
      <c r="E10" s="211">
        <f t="shared" si="1"/>
        <v>0</v>
      </c>
      <c r="F10" s="119"/>
    </row>
    <row r="11" spans="1:6" x14ac:dyDescent="0.25">
      <c r="A11" s="35"/>
      <c r="B11" s="61" t="str">
        <f>IF(inputPrYr!B26&gt;0,inputPrYr!B26,"")</f>
        <v>Noxious Weed</v>
      </c>
      <c r="C11" s="215"/>
      <c r="D11" s="216" t="str">
        <f t="shared" si="0"/>
        <v/>
      </c>
      <c r="E11" s="211">
        <f t="shared" si="1"/>
        <v>0</v>
      </c>
      <c r="F11" s="119"/>
    </row>
    <row r="12" spans="1:6" x14ac:dyDescent="0.25">
      <c r="A12" s="35"/>
      <c r="B12" s="61" t="str">
        <f>IF(inputPrYr!B27&gt;0,inputPrYr!B27,"")</f>
        <v>Fire Protection</v>
      </c>
      <c r="C12" s="215"/>
      <c r="D12" s="216" t="str">
        <f t="shared" si="0"/>
        <v/>
      </c>
      <c r="E12" s="211">
        <f t="shared" si="1"/>
        <v>0</v>
      </c>
      <c r="F12" s="119"/>
    </row>
    <row r="13" spans="1:6" x14ac:dyDescent="0.25">
      <c r="A13" s="35"/>
      <c r="B13" s="61" t="str">
        <f>IF(inputPrYr!B28&gt;0,inputPrYr!B28,"")</f>
        <v/>
      </c>
      <c r="C13" s="217"/>
      <c r="D13" s="216" t="str">
        <f t="shared" si="0"/>
        <v/>
      </c>
      <c r="E13" s="211">
        <f t="shared" si="1"/>
        <v>0</v>
      </c>
      <c r="F13" s="119"/>
    </row>
    <row r="14" spans="1:6" x14ac:dyDescent="0.25">
      <c r="A14" s="35"/>
      <c r="B14" s="61" t="str">
        <f>IF(inputPrYr!B29&gt;0,inputPrYr!B29,"")</f>
        <v/>
      </c>
      <c r="C14" s="217"/>
      <c r="D14" s="216" t="str">
        <f t="shared" si="0"/>
        <v/>
      </c>
      <c r="E14" s="211">
        <f t="shared" si="1"/>
        <v>0</v>
      </c>
      <c r="F14" s="119"/>
    </row>
    <row r="15" spans="1:6" x14ac:dyDescent="0.25">
      <c r="A15" s="35"/>
      <c r="B15" s="61" t="str">
        <f>IF(inputPrYr!B30&gt;0,inputPrYr!B30,"")</f>
        <v/>
      </c>
      <c r="C15" s="217"/>
      <c r="D15" s="216" t="str">
        <f t="shared" si="0"/>
        <v/>
      </c>
      <c r="E15" s="211">
        <f t="shared" si="1"/>
        <v>0</v>
      </c>
      <c r="F15" s="119"/>
    </row>
    <row r="16" spans="1:6" x14ac:dyDescent="0.25">
      <c r="A16" s="35"/>
      <c r="B16" s="61" t="str">
        <f>IF(inputPrYr!B31&gt;0,inputPrYr!B31,"")</f>
        <v/>
      </c>
      <c r="C16" s="217"/>
      <c r="D16" s="216" t="str">
        <f t="shared" si="0"/>
        <v/>
      </c>
      <c r="E16" s="211">
        <f t="shared" si="1"/>
        <v>0</v>
      </c>
      <c r="F16" s="119"/>
    </row>
    <row r="17" spans="1:6" x14ac:dyDescent="0.25">
      <c r="A17" s="35"/>
      <c r="B17" s="61" t="str">
        <f>IF(inputPrYr!B32&gt;0,inputPrYr!B32,"")</f>
        <v/>
      </c>
      <c r="C17" s="217"/>
      <c r="D17" s="216" t="str">
        <f t="shared" si="0"/>
        <v/>
      </c>
      <c r="E17" s="211">
        <f t="shared" si="1"/>
        <v>0</v>
      </c>
      <c r="F17" s="119"/>
    </row>
    <row r="18" spans="1:6" ht="16.5" thickBot="1" x14ac:dyDescent="0.3">
      <c r="A18" s="35"/>
      <c r="B18" s="132" t="s">
        <v>470</v>
      </c>
      <c r="C18" s="218">
        <f>SUM(C6:C17)</f>
        <v>0</v>
      </c>
      <c r="D18" s="219">
        <f>SUM(D6:D17)</f>
        <v>0</v>
      </c>
      <c r="E18" s="218">
        <f>SUM(E6:E17)</f>
        <v>0</v>
      </c>
      <c r="F18" s="119"/>
    </row>
    <row r="19" spans="1:6" ht="16.5" thickTop="1" x14ac:dyDescent="0.25">
      <c r="A19" s="35"/>
      <c r="B19" s="35"/>
      <c r="C19" s="35"/>
      <c r="D19" s="35"/>
      <c r="E19" s="35"/>
      <c r="F19" s="119"/>
    </row>
    <row r="20" spans="1:6" x14ac:dyDescent="0.25">
      <c r="A20" s="35"/>
      <c r="B20" s="35"/>
      <c r="C20" s="35"/>
      <c r="D20" s="35"/>
      <c r="E20" s="35"/>
      <c r="F20" s="119"/>
    </row>
    <row r="21" spans="1:6" x14ac:dyDescent="0.25">
      <c r="A21" s="827" t="str">
        <f>CONCATENATE("",F1-1," July 1 Valuation:")</f>
        <v>2024 July 1 Valuation:</v>
      </c>
      <c r="B21" s="828"/>
      <c r="C21" s="827"/>
      <c r="D21" s="220">
        <f>inputOth!E11</f>
        <v>0</v>
      </c>
      <c r="E21" s="35"/>
      <c r="F21" s="119"/>
    </row>
    <row r="22" spans="1:6" x14ac:dyDescent="0.25">
      <c r="A22" s="35"/>
      <c r="B22" s="35"/>
      <c r="C22" s="35"/>
      <c r="D22" s="35"/>
      <c r="E22" s="35"/>
      <c r="F22" s="119"/>
    </row>
    <row r="23" spans="1:6" x14ac:dyDescent="0.25">
      <c r="A23" s="35"/>
      <c r="B23" s="827" t="s">
        <v>471</v>
      </c>
      <c r="C23" s="827"/>
      <c r="D23" s="221" t="str">
        <f>IF(D21&gt;0,(D21*0.001),"")</f>
        <v/>
      </c>
      <c r="E23" s="35"/>
      <c r="F23" s="119"/>
    </row>
    <row r="24" spans="1:6" x14ac:dyDescent="0.25">
      <c r="A24" s="35"/>
      <c r="B24" s="140"/>
      <c r="C24" s="140"/>
      <c r="D24" s="222"/>
      <c r="E24" s="35"/>
      <c r="F24" s="119"/>
    </row>
    <row r="25" spans="1:6" x14ac:dyDescent="0.25">
      <c r="A25" s="827" t="s">
        <v>472</v>
      </c>
      <c r="B25" s="728"/>
      <c r="C25" s="728"/>
      <c r="D25" s="220">
        <f>inputOth!E33</f>
        <v>0</v>
      </c>
      <c r="E25" s="113"/>
      <c r="F25" s="113"/>
    </row>
    <row r="26" spans="1:6" x14ac:dyDescent="0.25">
      <c r="A26" s="113"/>
      <c r="B26" s="113"/>
      <c r="C26" s="113"/>
      <c r="D26" s="223"/>
      <c r="E26" s="113"/>
      <c r="F26" s="113"/>
    </row>
    <row r="27" spans="1:6" x14ac:dyDescent="0.25">
      <c r="A27" s="113"/>
      <c r="B27" s="827" t="s">
        <v>473</v>
      </c>
      <c r="C27" s="828"/>
      <c r="D27" s="221" t="str">
        <f>IF(D25&gt;0,(D25*0.001),"")</f>
        <v/>
      </c>
      <c r="E27" s="113"/>
      <c r="F27" s="113"/>
    </row>
    <row r="28" spans="1:6" x14ac:dyDescent="0.25">
      <c r="A28" s="113"/>
      <c r="B28" s="113"/>
      <c r="C28" s="113"/>
      <c r="D28" s="113"/>
      <c r="E28" s="113"/>
      <c r="F28" s="113"/>
    </row>
    <row r="29" spans="1:6" x14ac:dyDescent="0.25">
      <c r="A29" s="113"/>
      <c r="B29" s="113"/>
      <c r="C29" s="113"/>
      <c r="D29" s="113"/>
      <c r="E29" s="113"/>
      <c r="F29" s="113"/>
    </row>
    <row r="30" spans="1:6" x14ac:dyDescent="0.25">
      <c r="A30" s="113"/>
      <c r="B30" s="113"/>
      <c r="C30" s="113"/>
      <c r="D30" s="113"/>
      <c r="E30" s="113"/>
      <c r="F30" s="113"/>
    </row>
    <row r="31" spans="1:6" x14ac:dyDescent="0.25">
      <c r="A31" s="4" t="str">
        <f>CONCATENATE("**This information comes from the ",F1," Budget Summary page.  See instructions tab #12 for completing")</f>
        <v>**This information comes from the 2025 Budget Summary page.  See instructions tab #12 for completing</v>
      </c>
      <c r="B31" s="113"/>
      <c r="C31" s="113"/>
      <c r="D31" s="113"/>
      <c r="E31" s="113"/>
      <c r="F31" s="113"/>
    </row>
    <row r="32" spans="1:6" x14ac:dyDescent="0.25">
      <c r="A32" s="4" t="s">
        <v>474</v>
      </c>
      <c r="B32" s="113"/>
      <c r="C32" s="113"/>
      <c r="D32" s="113"/>
      <c r="E32" s="113"/>
      <c r="F32" s="113"/>
    </row>
    <row r="33" spans="1:6" x14ac:dyDescent="0.25">
      <c r="A33" s="4"/>
      <c r="B33" s="113"/>
      <c r="C33" s="113"/>
      <c r="D33" s="113"/>
      <c r="E33" s="113"/>
      <c r="F33" s="113"/>
    </row>
    <row r="34" spans="1:6" x14ac:dyDescent="0.25">
      <c r="A34" s="4"/>
      <c r="B34" s="113"/>
      <c r="C34" s="113"/>
      <c r="D34" s="113"/>
      <c r="E34" s="113"/>
      <c r="F34" s="113"/>
    </row>
    <row r="35" spans="1:6" x14ac:dyDescent="0.25">
      <c r="A35" s="4"/>
      <c r="B35" s="113"/>
      <c r="C35" s="113"/>
      <c r="D35" s="113"/>
      <c r="E35" s="113"/>
      <c r="F35" s="113"/>
    </row>
    <row r="36" spans="1:6" x14ac:dyDescent="0.25">
      <c r="A36" s="4"/>
      <c r="B36" s="113"/>
      <c r="C36" s="113"/>
      <c r="D36" s="113"/>
      <c r="E36" s="113"/>
      <c r="F36" s="113"/>
    </row>
    <row r="37" spans="1:6" x14ac:dyDescent="0.25">
      <c r="A37" s="4"/>
      <c r="B37" s="113"/>
      <c r="C37" s="113"/>
      <c r="D37" s="113"/>
      <c r="E37" s="113"/>
      <c r="F37" s="113"/>
    </row>
    <row r="38" spans="1:6" x14ac:dyDescent="0.25">
      <c r="A38" s="4"/>
      <c r="B38" s="113"/>
      <c r="C38" s="113"/>
      <c r="D38" s="113"/>
      <c r="E38" s="113"/>
      <c r="F38" s="113"/>
    </row>
    <row r="39" spans="1:6" x14ac:dyDescent="0.25">
      <c r="A39" s="113"/>
      <c r="B39" s="113"/>
      <c r="C39" s="113"/>
      <c r="D39" s="113"/>
      <c r="E39" s="113"/>
      <c r="F39" s="113"/>
    </row>
    <row r="40" spans="1:6" x14ac:dyDescent="0.25">
      <c r="A40" s="113"/>
      <c r="B40" s="140" t="s">
        <v>370</v>
      </c>
      <c r="C40" s="442"/>
      <c r="D40" s="113"/>
      <c r="E40" s="113"/>
      <c r="F40" s="113"/>
    </row>
    <row r="41" spans="1:6" x14ac:dyDescent="0.25">
      <c r="A41" s="119"/>
      <c r="B41" s="35"/>
      <c r="C41" s="35"/>
      <c r="D41" s="224"/>
      <c r="E41" s="119"/>
      <c r="F41" s="119"/>
    </row>
  </sheetData>
  <sheetProtection sheet="1"/>
  <mergeCells count="5">
    <mergeCell ref="B27:C27"/>
    <mergeCell ref="B3:E3"/>
    <mergeCell ref="A21:C21"/>
    <mergeCell ref="B23:C23"/>
    <mergeCell ref="A25:C25"/>
  </mergeCells>
  <phoneticPr fontId="10" type="noConversion"/>
  <pageMargins left="0.75" right="0.75" top="1" bottom="1" header="0.5" footer="0.5"/>
  <pageSetup scale="98" orientation="portrait" blackAndWhite="1" r:id="rId1"/>
  <headerFooter alignWithMargins="0">
    <oddHeader>&amp;RState of Kansas
Township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A4BDD-7CB6-4B2F-B458-280365DB42AE}">
  <dimension ref="A1:H14"/>
  <sheetViews>
    <sheetView workbookViewId="0">
      <selection activeCell="Q30" sqref="Q30"/>
    </sheetView>
  </sheetViews>
  <sheetFormatPr defaultRowHeight="15" x14ac:dyDescent="0.2"/>
  <cols>
    <col min="1" max="16384" width="8.796875" style="564"/>
  </cols>
  <sheetData>
    <row r="1" spans="1:8" ht="15.75" x14ac:dyDescent="0.25">
      <c r="A1" s="829" t="s">
        <v>488</v>
      </c>
      <c r="B1" s="829"/>
      <c r="C1" s="829"/>
      <c r="D1" s="829"/>
      <c r="E1" s="829"/>
      <c r="F1" s="829"/>
      <c r="G1" s="829"/>
      <c r="H1" s="829"/>
    </row>
    <row r="2" spans="1:8" ht="15.75" x14ac:dyDescent="0.25">
      <c r="A2" s="565"/>
      <c r="B2" s="565"/>
      <c r="C2" s="565"/>
      <c r="D2" s="565"/>
      <c r="E2" s="565"/>
      <c r="F2" s="565"/>
      <c r="G2" s="565"/>
      <c r="H2" s="565"/>
    </row>
    <row r="3" spans="1:8" ht="52.5" customHeight="1" x14ac:dyDescent="0.25">
      <c r="A3" s="830" t="s">
        <v>489</v>
      </c>
      <c r="B3" s="830"/>
      <c r="C3" s="830"/>
      <c r="D3" s="830"/>
      <c r="E3" s="830"/>
      <c r="F3" s="830"/>
      <c r="G3" s="830"/>
      <c r="H3" s="830"/>
    </row>
    <row r="4" spans="1:8" ht="15.75" x14ac:dyDescent="0.25">
      <c r="A4" s="565"/>
      <c r="B4" s="565"/>
      <c r="C4" s="565"/>
      <c r="D4" s="565"/>
      <c r="E4" s="565"/>
      <c r="F4" s="565"/>
      <c r="G4" s="565"/>
      <c r="H4" s="565"/>
    </row>
    <row r="5" spans="1:8" ht="52.5" customHeight="1" x14ac:dyDescent="0.25">
      <c r="A5" s="566"/>
      <c r="B5" s="831" t="s">
        <v>490</v>
      </c>
      <c r="C5" s="831"/>
      <c r="D5" s="831"/>
      <c r="E5" s="831"/>
      <c r="F5" s="831"/>
      <c r="G5" s="831"/>
      <c r="H5" s="831"/>
    </row>
    <row r="6" spans="1:8" ht="15.75" x14ac:dyDescent="0.25">
      <c r="A6" s="565"/>
      <c r="B6" s="565"/>
      <c r="C6" s="565"/>
      <c r="D6" s="565"/>
      <c r="E6" s="565"/>
      <c r="F6" s="565"/>
      <c r="G6" s="565"/>
      <c r="H6" s="565"/>
    </row>
    <row r="7" spans="1:8" ht="32.25" customHeight="1" x14ac:dyDescent="0.25">
      <c r="A7" s="566"/>
      <c r="B7" s="831" t="s">
        <v>491</v>
      </c>
      <c r="C7" s="831"/>
      <c r="D7" s="831"/>
      <c r="E7" s="831"/>
      <c r="F7" s="831"/>
      <c r="G7" s="831"/>
      <c r="H7" s="831"/>
    </row>
    <row r="8" spans="1:8" ht="15.75" x14ac:dyDescent="0.25">
      <c r="A8" s="565"/>
      <c r="B8" s="565"/>
      <c r="C8" s="565"/>
      <c r="D8" s="565"/>
      <c r="E8" s="565"/>
      <c r="F8" s="565"/>
      <c r="G8" s="565"/>
      <c r="H8" s="565"/>
    </row>
    <row r="9" spans="1:8" ht="15.75" x14ac:dyDescent="0.25">
      <c r="A9" s="832" t="s">
        <v>492</v>
      </c>
      <c r="B9" s="832"/>
      <c r="C9" s="832"/>
      <c r="D9" s="832"/>
      <c r="E9" s="832"/>
      <c r="F9" s="832"/>
      <c r="G9" s="832"/>
      <c r="H9" s="832"/>
    </row>
    <row r="10" spans="1:8" ht="15.75" x14ac:dyDescent="0.25">
      <c r="A10" s="565"/>
      <c r="B10" s="565"/>
      <c r="C10" s="565"/>
      <c r="D10" s="565"/>
      <c r="E10" s="565"/>
      <c r="F10" s="565"/>
      <c r="G10" s="565"/>
      <c r="H10" s="565"/>
    </row>
    <row r="11" spans="1:8" ht="15.75" x14ac:dyDescent="0.25">
      <c r="A11" s="565"/>
      <c r="B11" s="565"/>
      <c r="C11" s="565"/>
      <c r="D11" s="565"/>
      <c r="E11" s="565"/>
      <c r="F11" s="565"/>
      <c r="G11" s="565"/>
      <c r="H11" s="565"/>
    </row>
    <row r="12" spans="1:8" ht="15.75" x14ac:dyDescent="0.25">
      <c r="A12" s="565"/>
      <c r="B12" s="565"/>
      <c r="C12" s="565"/>
      <c r="D12" s="565"/>
      <c r="E12" s="565"/>
      <c r="F12" s="565"/>
      <c r="G12" s="565"/>
      <c r="H12" s="565"/>
    </row>
    <row r="13" spans="1:8" ht="15.75" x14ac:dyDescent="0.25">
      <c r="A13" s="565" t="s">
        <v>493</v>
      </c>
      <c r="B13" s="565"/>
      <c r="C13" s="565"/>
      <c r="D13" s="565"/>
      <c r="E13" s="565"/>
      <c r="F13" s="566"/>
      <c r="G13" s="566"/>
      <c r="H13" s="566"/>
    </row>
    <row r="14" spans="1:8" ht="15.75" x14ac:dyDescent="0.25">
      <c r="A14" s="565"/>
      <c r="B14" s="565"/>
      <c r="C14" s="565"/>
      <c r="D14" s="565"/>
      <c r="E14" s="565"/>
      <c r="F14" s="565" t="s">
        <v>494</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FB2FD-8408-41FE-A27F-63AC453C0F56}">
  <dimension ref="A1:G20"/>
  <sheetViews>
    <sheetView workbookViewId="0">
      <selection activeCell="O29" sqref="O29"/>
    </sheetView>
  </sheetViews>
  <sheetFormatPr defaultRowHeight="15.75" x14ac:dyDescent="0.25"/>
  <cols>
    <col min="1" max="4" width="10.3984375" style="663" customWidth="1"/>
    <col min="5" max="7" width="9.5" style="663" customWidth="1"/>
    <col min="8" max="256" width="8.796875" style="663"/>
    <col min="257" max="260" width="10.3984375" style="663" customWidth="1"/>
    <col min="261" max="263" width="9.5" style="663" customWidth="1"/>
    <col min="264" max="512" width="8.796875" style="663"/>
    <col min="513" max="516" width="10.3984375" style="663" customWidth="1"/>
    <col min="517" max="519" width="9.5" style="663" customWidth="1"/>
    <col min="520" max="768" width="8.796875" style="663"/>
    <col min="769" max="772" width="10.3984375" style="663" customWidth="1"/>
    <col min="773" max="775" width="9.5" style="663" customWidth="1"/>
    <col min="776" max="1024" width="8.796875" style="663"/>
    <col min="1025" max="1028" width="10.3984375" style="663" customWidth="1"/>
    <col min="1029" max="1031" width="9.5" style="663" customWidth="1"/>
    <col min="1032" max="1280" width="8.796875" style="663"/>
    <col min="1281" max="1284" width="10.3984375" style="663" customWidth="1"/>
    <col min="1285" max="1287" width="9.5" style="663" customWidth="1"/>
    <col min="1288" max="1536" width="8.796875" style="663"/>
    <col min="1537" max="1540" width="10.3984375" style="663" customWidth="1"/>
    <col min="1541" max="1543" width="9.5" style="663" customWidth="1"/>
    <col min="1544" max="1792" width="8.796875" style="663"/>
    <col min="1793" max="1796" width="10.3984375" style="663" customWidth="1"/>
    <col min="1797" max="1799" width="9.5" style="663" customWidth="1"/>
    <col min="1800" max="2048" width="8.796875" style="663"/>
    <col min="2049" max="2052" width="10.3984375" style="663" customWidth="1"/>
    <col min="2053" max="2055" width="9.5" style="663" customWidth="1"/>
    <col min="2056" max="2304" width="8.796875" style="663"/>
    <col min="2305" max="2308" width="10.3984375" style="663" customWidth="1"/>
    <col min="2309" max="2311" width="9.5" style="663" customWidth="1"/>
    <col min="2312" max="2560" width="8.796875" style="663"/>
    <col min="2561" max="2564" width="10.3984375" style="663" customWidth="1"/>
    <col min="2565" max="2567" width="9.5" style="663" customWidth="1"/>
    <col min="2568" max="2816" width="8.796875" style="663"/>
    <col min="2817" max="2820" width="10.3984375" style="663" customWidth="1"/>
    <col min="2821" max="2823" width="9.5" style="663" customWidth="1"/>
    <col min="2824" max="3072" width="8.796875" style="663"/>
    <col min="3073" max="3076" width="10.3984375" style="663" customWidth="1"/>
    <col min="3077" max="3079" width="9.5" style="663" customWidth="1"/>
    <col min="3080" max="3328" width="8.796875" style="663"/>
    <col min="3329" max="3332" width="10.3984375" style="663" customWidth="1"/>
    <col min="3333" max="3335" width="9.5" style="663" customWidth="1"/>
    <col min="3336" max="3584" width="8.796875" style="663"/>
    <col min="3585" max="3588" width="10.3984375" style="663" customWidth="1"/>
    <col min="3589" max="3591" width="9.5" style="663" customWidth="1"/>
    <col min="3592" max="3840" width="8.796875" style="663"/>
    <col min="3841" max="3844" width="10.3984375" style="663" customWidth="1"/>
    <col min="3845" max="3847" width="9.5" style="663" customWidth="1"/>
    <col min="3848" max="4096" width="8.796875" style="663"/>
    <col min="4097" max="4100" width="10.3984375" style="663" customWidth="1"/>
    <col min="4101" max="4103" width="9.5" style="663" customWidth="1"/>
    <col min="4104" max="4352" width="8.796875" style="663"/>
    <col min="4353" max="4356" width="10.3984375" style="663" customWidth="1"/>
    <col min="4357" max="4359" width="9.5" style="663" customWidth="1"/>
    <col min="4360" max="4608" width="8.796875" style="663"/>
    <col min="4609" max="4612" width="10.3984375" style="663" customWidth="1"/>
    <col min="4613" max="4615" width="9.5" style="663" customWidth="1"/>
    <col min="4616" max="4864" width="8.796875" style="663"/>
    <col min="4865" max="4868" width="10.3984375" style="663" customWidth="1"/>
    <col min="4869" max="4871" width="9.5" style="663" customWidth="1"/>
    <col min="4872" max="5120" width="8.796875" style="663"/>
    <col min="5121" max="5124" width="10.3984375" style="663" customWidth="1"/>
    <col min="5125" max="5127" width="9.5" style="663" customWidth="1"/>
    <col min="5128" max="5376" width="8.796875" style="663"/>
    <col min="5377" max="5380" width="10.3984375" style="663" customWidth="1"/>
    <col min="5381" max="5383" width="9.5" style="663" customWidth="1"/>
    <col min="5384" max="5632" width="8.796875" style="663"/>
    <col min="5633" max="5636" width="10.3984375" style="663" customWidth="1"/>
    <col min="5637" max="5639" width="9.5" style="663" customWidth="1"/>
    <col min="5640" max="5888" width="8.796875" style="663"/>
    <col min="5889" max="5892" width="10.3984375" style="663" customWidth="1"/>
    <col min="5893" max="5895" width="9.5" style="663" customWidth="1"/>
    <col min="5896" max="6144" width="8.796875" style="663"/>
    <col min="6145" max="6148" width="10.3984375" style="663" customWidth="1"/>
    <col min="6149" max="6151" width="9.5" style="663" customWidth="1"/>
    <col min="6152" max="6400" width="8.796875" style="663"/>
    <col min="6401" max="6404" width="10.3984375" style="663" customWidth="1"/>
    <col min="6405" max="6407" width="9.5" style="663" customWidth="1"/>
    <col min="6408" max="6656" width="8.796875" style="663"/>
    <col min="6657" max="6660" width="10.3984375" style="663" customWidth="1"/>
    <col min="6661" max="6663" width="9.5" style="663" customWidth="1"/>
    <col min="6664" max="6912" width="8.796875" style="663"/>
    <col min="6913" max="6916" width="10.3984375" style="663" customWidth="1"/>
    <col min="6917" max="6919" width="9.5" style="663" customWidth="1"/>
    <col min="6920" max="7168" width="8.796875" style="663"/>
    <col min="7169" max="7172" width="10.3984375" style="663" customWidth="1"/>
    <col min="7173" max="7175" width="9.5" style="663" customWidth="1"/>
    <col min="7176" max="7424" width="8.796875" style="663"/>
    <col min="7425" max="7428" width="10.3984375" style="663" customWidth="1"/>
    <col min="7429" max="7431" width="9.5" style="663" customWidth="1"/>
    <col min="7432" max="7680" width="8.796875" style="663"/>
    <col min="7681" max="7684" width="10.3984375" style="663" customWidth="1"/>
    <col min="7685" max="7687" width="9.5" style="663" customWidth="1"/>
    <col min="7688" max="7936" width="8.796875" style="663"/>
    <col min="7937" max="7940" width="10.3984375" style="663" customWidth="1"/>
    <col min="7941" max="7943" width="9.5" style="663" customWidth="1"/>
    <col min="7944" max="8192" width="8.796875" style="663"/>
    <col min="8193" max="8196" width="10.3984375" style="663" customWidth="1"/>
    <col min="8197" max="8199" width="9.5" style="663" customWidth="1"/>
    <col min="8200" max="8448" width="8.796875" style="663"/>
    <col min="8449" max="8452" width="10.3984375" style="663" customWidth="1"/>
    <col min="8453" max="8455" width="9.5" style="663" customWidth="1"/>
    <col min="8456" max="8704" width="8.796875" style="663"/>
    <col min="8705" max="8708" width="10.3984375" style="663" customWidth="1"/>
    <col min="8709" max="8711" width="9.5" style="663" customWidth="1"/>
    <col min="8712" max="8960" width="8.796875" style="663"/>
    <col min="8961" max="8964" width="10.3984375" style="663" customWidth="1"/>
    <col min="8965" max="8967" width="9.5" style="663" customWidth="1"/>
    <col min="8968" max="9216" width="8.796875" style="663"/>
    <col min="9217" max="9220" width="10.3984375" style="663" customWidth="1"/>
    <col min="9221" max="9223" width="9.5" style="663" customWidth="1"/>
    <col min="9224" max="9472" width="8.796875" style="663"/>
    <col min="9473" max="9476" width="10.3984375" style="663" customWidth="1"/>
    <col min="9477" max="9479" width="9.5" style="663" customWidth="1"/>
    <col min="9480" max="9728" width="8.796875" style="663"/>
    <col min="9729" max="9732" width="10.3984375" style="663" customWidth="1"/>
    <col min="9733" max="9735" width="9.5" style="663" customWidth="1"/>
    <col min="9736" max="9984" width="8.796875" style="663"/>
    <col min="9985" max="9988" width="10.3984375" style="663" customWidth="1"/>
    <col min="9989" max="9991" width="9.5" style="663" customWidth="1"/>
    <col min="9992" max="10240" width="8.796875" style="663"/>
    <col min="10241" max="10244" width="10.3984375" style="663" customWidth="1"/>
    <col min="10245" max="10247" width="9.5" style="663" customWidth="1"/>
    <col min="10248" max="10496" width="8.796875" style="663"/>
    <col min="10497" max="10500" width="10.3984375" style="663" customWidth="1"/>
    <col min="10501" max="10503" width="9.5" style="663" customWidth="1"/>
    <col min="10504" max="10752" width="8.796875" style="663"/>
    <col min="10753" max="10756" width="10.3984375" style="663" customWidth="1"/>
    <col min="10757" max="10759" width="9.5" style="663" customWidth="1"/>
    <col min="10760" max="11008" width="8.796875" style="663"/>
    <col min="11009" max="11012" width="10.3984375" style="663" customWidth="1"/>
    <col min="11013" max="11015" width="9.5" style="663" customWidth="1"/>
    <col min="11016" max="11264" width="8.796875" style="663"/>
    <col min="11265" max="11268" width="10.3984375" style="663" customWidth="1"/>
    <col min="11269" max="11271" width="9.5" style="663" customWidth="1"/>
    <col min="11272" max="11520" width="8.796875" style="663"/>
    <col min="11521" max="11524" width="10.3984375" style="663" customWidth="1"/>
    <col min="11525" max="11527" width="9.5" style="663" customWidth="1"/>
    <col min="11528" max="11776" width="8.796875" style="663"/>
    <col min="11777" max="11780" width="10.3984375" style="663" customWidth="1"/>
    <col min="11781" max="11783" width="9.5" style="663" customWidth="1"/>
    <col min="11784" max="12032" width="8.796875" style="663"/>
    <col min="12033" max="12036" width="10.3984375" style="663" customWidth="1"/>
    <col min="12037" max="12039" width="9.5" style="663" customWidth="1"/>
    <col min="12040" max="12288" width="8.796875" style="663"/>
    <col min="12289" max="12292" width="10.3984375" style="663" customWidth="1"/>
    <col min="12293" max="12295" width="9.5" style="663" customWidth="1"/>
    <col min="12296" max="12544" width="8.796875" style="663"/>
    <col min="12545" max="12548" width="10.3984375" style="663" customWidth="1"/>
    <col min="12549" max="12551" width="9.5" style="663" customWidth="1"/>
    <col min="12552" max="12800" width="8.796875" style="663"/>
    <col min="12801" max="12804" width="10.3984375" style="663" customWidth="1"/>
    <col min="12805" max="12807" width="9.5" style="663" customWidth="1"/>
    <col min="12808" max="13056" width="8.796875" style="663"/>
    <col min="13057" max="13060" width="10.3984375" style="663" customWidth="1"/>
    <col min="13061" max="13063" width="9.5" style="663" customWidth="1"/>
    <col min="13064" max="13312" width="8.796875" style="663"/>
    <col min="13313" max="13316" width="10.3984375" style="663" customWidth="1"/>
    <col min="13317" max="13319" width="9.5" style="663" customWidth="1"/>
    <col min="13320" max="13568" width="8.796875" style="663"/>
    <col min="13569" max="13572" width="10.3984375" style="663" customWidth="1"/>
    <col min="13573" max="13575" width="9.5" style="663" customWidth="1"/>
    <col min="13576" max="13824" width="8.796875" style="663"/>
    <col min="13825" max="13828" width="10.3984375" style="663" customWidth="1"/>
    <col min="13829" max="13831" width="9.5" style="663" customWidth="1"/>
    <col min="13832" max="14080" width="8.796875" style="663"/>
    <col min="14081" max="14084" width="10.3984375" style="663" customWidth="1"/>
    <col min="14085" max="14087" width="9.5" style="663" customWidth="1"/>
    <col min="14088" max="14336" width="8.796875" style="663"/>
    <col min="14337" max="14340" width="10.3984375" style="663" customWidth="1"/>
    <col min="14341" max="14343" width="9.5" style="663" customWidth="1"/>
    <col min="14344" max="14592" width="8.796875" style="663"/>
    <col min="14593" max="14596" width="10.3984375" style="663" customWidth="1"/>
    <col min="14597" max="14599" width="9.5" style="663" customWidth="1"/>
    <col min="14600" max="14848" width="8.796875" style="663"/>
    <col min="14849" max="14852" width="10.3984375" style="663" customWidth="1"/>
    <col min="14853" max="14855" width="9.5" style="663" customWidth="1"/>
    <col min="14856" max="15104" width="8.796875" style="663"/>
    <col min="15105" max="15108" width="10.3984375" style="663" customWidth="1"/>
    <col min="15109" max="15111" width="9.5" style="663" customWidth="1"/>
    <col min="15112" max="15360" width="8.796875" style="663"/>
    <col min="15361" max="15364" width="10.3984375" style="663" customWidth="1"/>
    <col min="15365" max="15367" width="9.5" style="663" customWidth="1"/>
    <col min="15368" max="15616" width="8.796875" style="663"/>
    <col min="15617" max="15620" width="10.3984375" style="663" customWidth="1"/>
    <col min="15621" max="15623" width="9.5" style="663" customWidth="1"/>
    <col min="15624" max="15872" width="8.796875" style="663"/>
    <col min="15873" max="15876" width="10.3984375" style="663" customWidth="1"/>
    <col min="15877" max="15879" width="9.5" style="663" customWidth="1"/>
    <col min="15880" max="16128" width="8.796875" style="663"/>
    <col min="16129" max="16132" width="10.3984375" style="663" customWidth="1"/>
    <col min="16133" max="16135" width="9.5" style="663" customWidth="1"/>
    <col min="16136" max="16384" width="8.796875" style="663"/>
  </cols>
  <sheetData>
    <row r="1" spans="1:7" ht="18.75" x14ac:dyDescent="0.3">
      <c r="A1" s="836" t="s">
        <v>984</v>
      </c>
      <c r="B1" s="836"/>
      <c r="C1" s="836"/>
      <c r="D1" s="836"/>
      <c r="E1" s="836"/>
      <c r="F1" s="836"/>
      <c r="G1" s="836"/>
    </row>
    <row r="2" spans="1:7" x14ac:dyDescent="0.25">
      <c r="A2" s="664"/>
      <c r="B2" s="664"/>
      <c r="C2" s="664"/>
      <c r="D2" s="664"/>
      <c r="E2" s="664"/>
      <c r="F2" s="664"/>
      <c r="G2" s="664"/>
    </row>
    <row r="3" spans="1:7" ht="32.25" customHeight="1" x14ac:dyDescent="0.25">
      <c r="A3" s="837" t="s">
        <v>985</v>
      </c>
      <c r="B3" s="837"/>
      <c r="C3" s="837"/>
      <c r="D3" s="837"/>
      <c r="E3" s="837"/>
      <c r="F3" s="837"/>
      <c r="G3" s="837"/>
    </row>
    <row r="4" spans="1:7" x14ac:dyDescent="0.25">
      <c r="A4" s="838" t="s">
        <v>986</v>
      </c>
      <c r="B4" s="838"/>
      <c r="C4" s="838"/>
      <c r="D4" s="838"/>
      <c r="E4" s="838"/>
      <c r="F4" s="838"/>
      <c r="G4" s="838"/>
    </row>
    <row r="5" spans="1:7" x14ac:dyDescent="0.25">
      <c r="A5" s="838" t="s">
        <v>987</v>
      </c>
      <c r="B5" s="838"/>
      <c r="C5" s="838"/>
      <c r="D5" s="838"/>
      <c r="E5" s="838"/>
      <c r="F5" s="838"/>
      <c r="G5" s="838"/>
    </row>
    <row r="6" spans="1:7" x14ac:dyDescent="0.25">
      <c r="A6" s="665"/>
      <c r="B6" s="665"/>
      <c r="C6" s="665"/>
      <c r="D6" s="665"/>
      <c r="E6" s="665"/>
      <c r="F6" s="665"/>
      <c r="G6" s="665"/>
    </row>
    <row r="7" spans="1:7" ht="22.5" customHeight="1" x14ac:dyDescent="0.25">
      <c r="A7" s="839" t="s">
        <v>988</v>
      </c>
      <c r="B7" s="840"/>
      <c r="C7" s="840"/>
      <c r="D7" s="841"/>
      <c r="E7" s="666" t="s">
        <v>989</v>
      </c>
      <c r="F7" s="666" t="s">
        <v>990</v>
      </c>
      <c r="G7" s="666" t="s">
        <v>991</v>
      </c>
    </row>
    <row r="8" spans="1:7" ht="22.5" customHeight="1" x14ac:dyDescent="0.25">
      <c r="A8" s="833"/>
      <c r="B8" s="834"/>
      <c r="C8" s="834"/>
      <c r="D8" s="835"/>
      <c r="E8" s="667"/>
      <c r="F8" s="667"/>
      <c r="G8" s="667"/>
    </row>
    <row r="9" spans="1:7" ht="22.5" customHeight="1" x14ac:dyDescent="0.25">
      <c r="A9" s="833"/>
      <c r="B9" s="834"/>
      <c r="C9" s="834"/>
      <c r="D9" s="835"/>
      <c r="E9" s="667"/>
      <c r="F9" s="667"/>
      <c r="G9" s="667"/>
    </row>
    <row r="10" spans="1:7" ht="22.5" customHeight="1" x14ac:dyDescent="0.25">
      <c r="A10" s="842"/>
      <c r="B10" s="842"/>
      <c r="C10" s="842"/>
      <c r="D10" s="842"/>
      <c r="E10" s="667"/>
      <c r="F10" s="667"/>
      <c r="G10" s="667"/>
    </row>
    <row r="11" spans="1:7" ht="22.5" customHeight="1" x14ac:dyDescent="0.25">
      <c r="A11" s="842"/>
      <c r="B11" s="842"/>
      <c r="C11" s="842"/>
      <c r="D11" s="842"/>
      <c r="E11" s="667"/>
      <c r="F11" s="667"/>
      <c r="G11" s="667"/>
    </row>
    <row r="12" spans="1:7" ht="22.5" customHeight="1" x14ac:dyDescent="0.25">
      <c r="A12" s="842"/>
      <c r="B12" s="842"/>
      <c r="C12" s="842"/>
      <c r="D12" s="842"/>
      <c r="E12" s="667"/>
      <c r="F12" s="667"/>
      <c r="G12" s="667"/>
    </row>
    <row r="13" spans="1:7" ht="22.5" customHeight="1" x14ac:dyDescent="0.25">
      <c r="A13" s="842"/>
      <c r="B13" s="842"/>
      <c r="C13" s="842"/>
      <c r="D13" s="842"/>
      <c r="E13" s="667"/>
      <c r="F13" s="667"/>
      <c r="G13" s="667"/>
    </row>
    <row r="14" spans="1:7" ht="22.5" customHeight="1" x14ac:dyDescent="0.25">
      <c r="A14" s="842"/>
      <c r="B14" s="842"/>
      <c r="C14" s="842"/>
      <c r="D14" s="842"/>
      <c r="E14" s="667"/>
      <c r="F14" s="667"/>
      <c r="G14" s="667"/>
    </row>
    <row r="15" spans="1:7" ht="22.5" customHeight="1" x14ac:dyDescent="0.25">
      <c r="A15" s="842"/>
      <c r="B15" s="842"/>
      <c r="C15" s="842"/>
      <c r="D15" s="842"/>
      <c r="E15" s="667"/>
      <c r="F15" s="667"/>
      <c r="G15" s="667"/>
    </row>
    <row r="16" spans="1:7" ht="22.5" customHeight="1" thickBot="1" x14ac:dyDescent="0.3">
      <c r="A16" s="843"/>
      <c r="B16" s="843"/>
      <c r="C16" s="843"/>
      <c r="D16" s="843"/>
      <c r="E16" s="668"/>
      <c r="F16" s="668"/>
      <c r="G16" s="668"/>
    </row>
    <row r="17" spans="1:7" ht="22.5" customHeight="1" thickTop="1" x14ac:dyDescent="0.25">
      <c r="A17" s="844" t="s">
        <v>470</v>
      </c>
      <c r="B17" s="844"/>
      <c r="C17" s="844"/>
      <c r="D17" s="844"/>
      <c r="E17" s="669"/>
      <c r="F17" s="669"/>
      <c r="G17" s="669"/>
    </row>
    <row r="19" spans="1:7" x14ac:dyDescent="0.25">
      <c r="A19" s="670" t="s">
        <v>992</v>
      </c>
      <c r="B19" s="671"/>
    </row>
    <row r="20" spans="1:7" x14ac:dyDescent="0.25">
      <c r="A20" s="845"/>
      <c r="B20" s="845"/>
    </row>
  </sheetData>
  <sheetProtection sheet="1" objects="1" scenarios="1"/>
  <mergeCells count="16">
    <mergeCell ref="A15:D15"/>
    <mergeCell ref="A16:D16"/>
    <mergeCell ref="A17:D17"/>
    <mergeCell ref="A20:B20"/>
    <mergeCell ref="A9:D9"/>
    <mergeCell ref="A10:D10"/>
    <mergeCell ref="A11:D11"/>
    <mergeCell ref="A12:D12"/>
    <mergeCell ref="A13:D13"/>
    <mergeCell ref="A14:D14"/>
    <mergeCell ref="A8:D8"/>
    <mergeCell ref="A1:G1"/>
    <mergeCell ref="A3:G3"/>
    <mergeCell ref="A4:G4"/>
    <mergeCell ref="A5:G5"/>
    <mergeCell ref="A7:D7"/>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2C58E-0583-4064-8E4E-5177D343EFAC}">
  <dimension ref="A1:G18"/>
  <sheetViews>
    <sheetView topLeftCell="A4" workbookViewId="0">
      <selection activeCell="A18" sqref="A18:G18"/>
    </sheetView>
  </sheetViews>
  <sheetFormatPr defaultRowHeight="15.75" x14ac:dyDescent="0.25"/>
  <cols>
    <col min="1" max="1" width="8.796875" style="563"/>
    <col min="2" max="3" width="8.796875" style="562"/>
    <col min="4" max="4" width="16.19921875" style="562" customWidth="1"/>
    <col min="5" max="6" width="8.796875" style="562"/>
    <col min="7" max="7" width="11.5" style="562" customWidth="1"/>
    <col min="8" max="16384" width="8.796875" style="562"/>
  </cols>
  <sheetData>
    <row r="1" spans="1:7" x14ac:dyDescent="0.25">
      <c r="A1" s="847" t="s">
        <v>475</v>
      </c>
      <c r="B1" s="847"/>
      <c r="C1" s="847"/>
      <c r="D1" s="847"/>
      <c r="E1" s="847"/>
      <c r="F1" s="847"/>
      <c r="G1" s="847"/>
    </row>
    <row r="3" spans="1:7" ht="55.5" customHeight="1" x14ac:dyDescent="0.25">
      <c r="A3" s="848" t="s">
        <v>476</v>
      </c>
      <c r="B3" s="848"/>
      <c r="C3" s="848"/>
      <c r="D3" s="848"/>
      <c r="E3" s="848"/>
      <c r="F3" s="848"/>
      <c r="G3" s="848"/>
    </row>
    <row r="4" spans="1:7" ht="55.5" customHeight="1" x14ac:dyDescent="0.25">
      <c r="A4" s="849" t="s">
        <v>477</v>
      </c>
      <c r="B4" s="849"/>
      <c r="C4" s="849"/>
      <c r="D4" s="849"/>
      <c r="E4" s="849"/>
      <c r="F4" s="849"/>
      <c r="G4" s="849"/>
    </row>
    <row r="5" spans="1:7" ht="55.5" customHeight="1" x14ac:dyDescent="0.25">
      <c r="A5" s="849" t="s">
        <v>478</v>
      </c>
      <c r="B5" s="849"/>
      <c r="C5" s="849"/>
      <c r="D5" s="849"/>
      <c r="E5" s="849"/>
      <c r="F5" s="849"/>
      <c r="G5" s="849"/>
    </row>
    <row r="6" spans="1:7" ht="55.5" customHeight="1" x14ac:dyDescent="0.25">
      <c r="A6" s="849" t="s">
        <v>479</v>
      </c>
      <c r="B6" s="849"/>
      <c r="C6" s="849"/>
      <c r="D6" s="849"/>
      <c r="E6" s="849"/>
      <c r="F6" s="849"/>
      <c r="G6" s="849"/>
    </row>
    <row r="7" spans="1:7" ht="55.5" customHeight="1" x14ac:dyDescent="0.25">
      <c r="A7" s="849" t="s">
        <v>480</v>
      </c>
      <c r="B7" s="849"/>
      <c r="C7" s="849"/>
      <c r="D7" s="849"/>
      <c r="E7" s="849"/>
      <c r="F7" s="849"/>
      <c r="G7" s="849"/>
    </row>
    <row r="8" spans="1:7" ht="55.5" customHeight="1" x14ac:dyDescent="0.25">
      <c r="A8" s="848" t="s">
        <v>481</v>
      </c>
      <c r="B8" s="848"/>
      <c r="C8" s="848"/>
      <c r="D8" s="848"/>
      <c r="E8" s="848"/>
      <c r="F8" s="848"/>
      <c r="G8" s="848"/>
    </row>
    <row r="9" spans="1:7" ht="55.5" customHeight="1" x14ac:dyDescent="0.25">
      <c r="A9" s="849" t="s">
        <v>482</v>
      </c>
      <c r="B9" s="849"/>
      <c r="C9" s="849"/>
      <c r="D9" s="849"/>
      <c r="E9" s="849"/>
      <c r="F9" s="849"/>
      <c r="G9" s="849"/>
    </row>
    <row r="10" spans="1:7" ht="55.5" customHeight="1" x14ac:dyDescent="0.25">
      <c r="A10" s="849" t="s">
        <v>483</v>
      </c>
      <c r="B10" s="849"/>
      <c r="C10" s="849"/>
      <c r="D10" s="849"/>
      <c r="E10" s="849"/>
      <c r="F10" s="849"/>
      <c r="G10" s="849"/>
    </row>
    <row r="11" spans="1:7" ht="55.5" customHeight="1" x14ac:dyDescent="0.25">
      <c r="A11" s="849" t="s">
        <v>484</v>
      </c>
      <c r="B11" s="849"/>
      <c r="C11" s="849"/>
      <c r="D11" s="849"/>
      <c r="E11" s="849"/>
      <c r="F11" s="849"/>
      <c r="G11" s="849"/>
    </row>
    <row r="12" spans="1:7" x14ac:dyDescent="0.25">
      <c r="A12" s="846" t="s">
        <v>485</v>
      </c>
      <c r="B12" s="846"/>
      <c r="C12" s="846"/>
      <c r="D12" s="846"/>
      <c r="E12" s="846"/>
      <c r="F12" s="846"/>
      <c r="G12" s="846"/>
    </row>
    <row r="13" spans="1:7" x14ac:dyDescent="0.25">
      <c r="A13" s="846" t="s">
        <v>485</v>
      </c>
      <c r="B13" s="846"/>
      <c r="C13" s="846"/>
      <c r="D13" s="846"/>
      <c r="E13" s="846"/>
      <c r="F13" s="846"/>
      <c r="G13" s="846"/>
    </row>
    <row r="14" spans="1:7" x14ac:dyDescent="0.25">
      <c r="A14" s="846" t="s">
        <v>485</v>
      </c>
      <c r="B14" s="846"/>
      <c r="C14" s="846"/>
      <c r="D14" s="846"/>
      <c r="E14" s="846"/>
      <c r="F14" s="846"/>
      <c r="G14" s="846"/>
    </row>
    <row r="15" spans="1:7" x14ac:dyDescent="0.25">
      <c r="A15" s="628"/>
      <c r="B15" s="628"/>
      <c r="C15" s="628"/>
      <c r="D15" s="628"/>
      <c r="E15" s="628"/>
      <c r="F15" s="628"/>
      <c r="G15" s="628"/>
    </row>
    <row r="16" spans="1:7" x14ac:dyDescent="0.25">
      <c r="A16" s="846" t="s">
        <v>486</v>
      </c>
      <c r="B16" s="846"/>
      <c r="C16" s="846"/>
      <c r="D16" s="846"/>
      <c r="E16" s="846"/>
      <c r="F16" s="846"/>
      <c r="G16" s="846"/>
    </row>
    <row r="17" spans="1:7" x14ac:dyDescent="0.25">
      <c r="A17" s="846" t="s">
        <v>487</v>
      </c>
      <c r="B17" s="846"/>
      <c r="C17" s="846"/>
      <c r="D17" s="846"/>
      <c r="E17" s="846"/>
      <c r="F17" s="846"/>
      <c r="G17" s="846"/>
    </row>
    <row r="18" spans="1:7" x14ac:dyDescent="0.25">
      <c r="A18" s="846"/>
      <c r="B18" s="846"/>
      <c r="C18" s="846"/>
      <c r="D18" s="846"/>
      <c r="E18" s="846"/>
      <c r="F18" s="846"/>
      <c r="G18" s="846"/>
    </row>
  </sheetData>
  <sheetProtection sheet="1" objects="1" scenarios="1"/>
  <mergeCells count="16">
    <mergeCell ref="A12:G12"/>
    <mergeCell ref="A7:G7"/>
    <mergeCell ref="A8:G8"/>
    <mergeCell ref="A9:G9"/>
    <mergeCell ref="A10:G10"/>
    <mergeCell ref="A11:G11"/>
    <mergeCell ref="A1:G1"/>
    <mergeCell ref="A3:G3"/>
    <mergeCell ref="A4:G4"/>
    <mergeCell ref="A5:G5"/>
    <mergeCell ref="A6:G6"/>
    <mergeCell ref="A16:G16"/>
    <mergeCell ref="A17:G17"/>
    <mergeCell ref="A18:G18"/>
    <mergeCell ref="A14:G14"/>
    <mergeCell ref="A13:G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106"/>
  <sheetViews>
    <sheetView workbookViewId="0">
      <selection activeCell="A80" sqref="A80:E80"/>
    </sheetView>
  </sheetViews>
  <sheetFormatPr defaultRowHeight="15.75" x14ac:dyDescent="0.25"/>
  <cols>
    <col min="1" max="1" width="16.19921875" style="1" customWidth="1"/>
    <col min="2" max="2" width="16.8984375" style="1" customWidth="1"/>
    <col min="3" max="7" width="10.69921875" style="1" customWidth="1"/>
    <col min="8" max="16384" width="8.796875" style="1"/>
  </cols>
  <sheetData>
    <row r="1" spans="1:5" x14ac:dyDescent="0.25">
      <c r="A1" s="20">
        <f>inputPrYr!D4</f>
        <v>0</v>
      </c>
      <c r="B1" s="4"/>
      <c r="C1" s="4"/>
      <c r="D1" s="4"/>
      <c r="E1" s="4">
        <f>inputPrYr!D10</f>
        <v>2025</v>
      </c>
    </row>
    <row r="2" spans="1:5" x14ac:dyDescent="0.25">
      <c r="A2" s="20">
        <f>inputPrYr!D5</f>
        <v>0</v>
      </c>
      <c r="B2" s="4"/>
      <c r="C2" s="4"/>
      <c r="D2" s="4"/>
      <c r="E2" s="4"/>
    </row>
    <row r="3" spans="1:5" x14ac:dyDescent="0.25">
      <c r="A3" s="4"/>
      <c r="B3" s="4"/>
      <c r="C3" s="4"/>
      <c r="D3" s="4"/>
      <c r="E3" s="4"/>
    </row>
    <row r="4" spans="1:5" x14ac:dyDescent="0.25">
      <c r="A4" s="692" t="s">
        <v>90</v>
      </c>
      <c r="B4" s="693"/>
      <c r="C4" s="693"/>
      <c r="D4" s="693"/>
      <c r="E4" s="693"/>
    </row>
    <row r="5" spans="1:5" x14ac:dyDescent="0.25">
      <c r="A5" s="4"/>
      <c r="B5" s="4"/>
      <c r="C5" s="4"/>
      <c r="D5" s="4"/>
      <c r="E5" s="4"/>
    </row>
    <row r="6" spans="1:5" x14ac:dyDescent="0.25">
      <c r="A6" s="686" t="str">
        <f>CONCATENATE("From the County Clerk's Budget Information for ",E1,":")</f>
        <v>From the County Clerk's Budget Information for 2025:</v>
      </c>
      <c r="B6" s="696"/>
      <c r="C6" s="696"/>
      <c r="D6" s="696"/>
      <c r="E6" s="697"/>
    </row>
    <row r="7" spans="1:5" x14ac:dyDescent="0.25">
      <c r="A7" s="29" t="str">
        <f>CONCATENATE("Assessed Valuation for ",E1-1,":")</f>
        <v>Assessed Valuation for 2024:</v>
      </c>
      <c r="B7" s="4"/>
      <c r="C7" s="4"/>
      <c r="D7" s="4"/>
      <c r="E7" s="17"/>
    </row>
    <row r="8" spans="1:5" x14ac:dyDescent="0.25">
      <c r="A8" s="10" t="s">
        <v>119</v>
      </c>
      <c r="B8" s="11"/>
      <c r="C8" s="11"/>
      <c r="D8" s="11"/>
      <c r="E8" s="2"/>
    </row>
    <row r="9" spans="1:5" x14ac:dyDescent="0.25">
      <c r="A9" s="12">
        <f>inputPrYr!D7</f>
        <v>0</v>
      </c>
      <c r="B9" s="13"/>
      <c r="C9" s="13"/>
      <c r="D9" s="13"/>
      <c r="E9" s="423"/>
    </row>
    <row r="10" spans="1:5" x14ac:dyDescent="0.25">
      <c r="A10" s="12">
        <f>inputPrYr!$D$8</f>
        <v>0</v>
      </c>
      <c r="B10" s="13"/>
      <c r="C10" s="13"/>
      <c r="D10" s="13"/>
      <c r="E10" s="423"/>
    </row>
    <row r="11" spans="1:5" x14ac:dyDescent="0.25">
      <c r="A11" s="12" t="str">
        <f>CONCATENATE("Total Assessed Valuation for ",$E$1-1,"")</f>
        <v>Total Assessed Valuation for 2024</v>
      </c>
      <c r="B11" s="13"/>
      <c r="C11" s="13"/>
      <c r="D11" s="13"/>
      <c r="E11" s="28">
        <f>SUM(E8:E10)</f>
        <v>0</v>
      </c>
    </row>
    <row r="12" spans="1:5" hidden="1" x14ac:dyDescent="0.25">
      <c r="A12" s="29" t="str">
        <f>CONCATENATE("New Improvements for ",E1-1,":")</f>
        <v>New Improvements for 2024:</v>
      </c>
      <c r="B12" s="4"/>
      <c r="C12" s="4"/>
      <c r="D12" s="4"/>
      <c r="E12" s="16"/>
    </row>
    <row r="13" spans="1:5" hidden="1" x14ac:dyDescent="0.25">
      <c r="A13" s="10" t="s">
        <v>119</v>
      </c>
      <c r="B13" s="11"/>
      <c r="C13" s="11"/>
      <c r="D13" s="11"/>
      <c r="E13" s="424"/>
    </row>
    <row r="14" spans="1:5" hidden="1" x14ac:dyDescent="0.25">
      <c r="A14" s="12">
        <f>inputPrYr!$D$7</f>
        <v>0</v>
      </c>
      <c r="B14" s="11"/>
      <c r="C14" s="11"/>
      <c r="D14" s="11"/>
      <c r="E14" s="424"/>
    </row>
    <row r="15" spans="1:5" hidden="1" x14ac:dyDescent="0.25">
      <c r="A15" s="12">
        <f>inputPrYr!$D$8</f>
        <v>0</v>
      </c>
      <c r="B15" s="11"/>
      <c r="C15" s="11"/>
      <c r="D15" s="11"/>
      <c r="E15" s="424"/>
    </row>
    <row r="16" spans="1:5" hidden="1" x14ac:dyDescent="0.25">
      <c r="A16" s="12" t="str">
        <f>CONCATENATE("Total New Improvements for ",$E$1-1,"")</f>
        <v>Total New Improvements for 2024</v>
      </c>
      <c r="B16" s="13"/>
      <c r="C16" s="13"/>
      <c r="D16" s="13"/>
      <c r="E16" s="27">
        <f>SUM(E13:E15)</f>
        <v>0</v>
      </c>
    </row>
    <row r="17" spans="1:5" hidden="1" x14ac:dyDescent="0.25">
      <c r="A17" s="29" t="str">
        <f>CONCATENATE("Personal Property - ",E1-1,":")</f>
        <v>Personal Property - 2024:</v>
      </c>
      <c r="B17" s="4"/>
      <c r="C17" s="4"/>
      <c r="D17" s="4"/>
      <c r="E17" s="16"/>
    </row>
    <row r="18" spans="1:5" hidden="1" x14ac:dyDescent="0.25">
      <c r="A18" s="10" t="s">
        <v>119</v>
      </c>
      <c r="B18" s="11"/>
      <c r="C18" s="11"/>
      <c r="D18" s="11"/>
      <c r="E18" s="424"/>
    </row>
    <row r="19" spans="1:5" hidden="1" x14ac:dyDescent="0.25">
      <c r="A19" s="12">
        <f>inputPrYr!$D$7</f>
        <v>0</v>
      </c>
      <c r="B19" s="13"/>
      <c r="C19" s="13"/>
      <c r="D19" s="13"/>
      <c r="E19" s="424"/>
    </row>
    <row r="20" spans="1:5" hidden="1" x14ac:dyDescent="0.25">
      <c r="A20" s="12">
        <f>inputPrYr!$D$8</f>
        <v>0</v>
      </c>
      <c r="B20" s="13"/>
      <c r="C20" s="13"/>
      <c r="D20" s="13"/>
      <c r="E20" s="424"/>
    </row>
    <row r="21" spans="1:5" hidden="1" x14ac:dyDescent="0.25">
      <c r="A21" s="12" t="str">
        <f>CONCATENATE("Total Personal Property - ",$E$1-1,"")</f>
        <v>Total Personal Property - 2024</v>
      </c>
      <c r="B21" s="13"/>
      <c r="C21" s="13"/>
      <c r="D21" s="13"/>
      <c r="E21" s="27">
        <f>SUM(E18:E20)</f>
        <v>0</v>
      </c>
    </row>
    <row r="22" spans="1:5" hidden="1" x14ac:dyDescent="0.25">
      <c r="A22" s="29" t="str">
        <f>CONCATENATE("Property that has changed in use for- ",E1-1,":")</f>
        <v>Property that has changed in use for- 2024:</v>
      </c>
      <c r="B22" s="4"/>
      <c r="C22" s="4"/>
      <c r="D22" s="4"/>
      <c r="E22" s="16"/>
    </row>
    <row r="23" spans="1:5" hidden="1" x14ac:dyDescent="0.25">
      <c r="A23" s="10" t="s">
        <v>119</v>
      </c>
      <c r="B23" s="11"/>
      <c r="C23" s="11"/>
      <c r="D23" s="11"/>
      <c r="E23" s="424"/>
    </row>
    <row r="24" spans="1:5" hidden="1" x14ac:dyDescent="0.25">
      <c r="A24" s="12">
        <f>inputPrYr!$D$7</f>
        <v>0</v>
      </c>
      <c r="B24" s="13"/>
      <c r="C24" s="13"/>
      <c r="D24" s="13"/>
      <c r="E24" s="424"/>
    </row>
    <row r="25" spans="1:5" hidden="1" x14ac:dyDescent="0.25">
      <c r="A25" s="12">
        <f>inputPrYr!$D$8</f>
        <v>0</v>
      </c>
      <c r="B25" s="13"/>
      <c r="C25" s="13"/>
      <c r="D25" s="13"/>
      <c r="E25" s="424"/>
    </row>
    <row r="26" spans="1:5" hidden="1" x14ac:dyDescent="0.25">
      <c r="A26" s="12" t="str">
        <f>CONCATENATE("Total Property that has changed in use for  - ",$E$1-1,"")</f>
        <v>Total Property that has changed in use for  - 2024</v>
      </c>
      <c r="B26" s="13"/>
      <c r="C26" s="13"/>
      <c r="D26" s="13"/>
      <c r="E26" s="27">
        <f>SUM(E23:E25)</f>
        <v>0</v>
      </c>
    </row>
    <row r="27" spans="1:5" hidden="1" x14ac:dyDescent="0.25">
      <c r="A27" s="29" t="str">
        <f>CONCATENATE("Personal Property - ",E1-2,":")</f>
        <v>Personal Property - 2023:</v>
      </c>
      <c r="B27" s="4"/>
      <c r="C27" s="4"/>
      <c r="D27" s="4"/>
      <c r="E27" s="16"/>
    </row>
    <row r="28" spans="1:5" hidden="1" x14ac:dyDescent="0.25">
      <c r="A28" s="10" t="s">
        <v>119</v>
      </c>
      <c r="B28" s="11"/>
      <c r="C28" s="11"/>
      <c r="D28" s="11"/>
      <c r="E28" s="424"/>
    </row>
    <row r="29" spans="1:5" hidden="1" x14ac:dyDescent="0.25">
      <c r="A29" s="12">
        <f>inputPrYr!$D$7</f>
        <v>0</v>
      </c>
      <c r="B29" s="13"/>
      <c r="C29" s="13"/>
      <c r="D29" s="13"/>
      <c r="E29" s="424"/>
    </row>
    <row r="30" spans="1:5" hidden="1" x14ac:dyDescent="0.25">
      <c r="A30" s="12">
        <f>inputPrYr!$D$8</f>
        <v>0</v>
      </c>
      <c r="B30" s="13"/>
      <c r="C30" s="13"/>
      <c r="D30" s="13"/>
      <c r="E30" s="424"/>
    </row>
    <row r="31" spans="1:5" hidden="1" x14ac:dyDescent="0.25">
      <c r="A31" s="12" t="str">
        <f>CONCATENATE("Total Personal Property - ",$E$1-2,"")</f>
        <v>Total Personal Property - 2023</v>
      </c>
      <c r="B31" s="13"/>
      <c r="C31" s="13"/>
      <c r="D31" s="13"/>
      <c r="E31" s="27">
        <f>SUM(E28:E30)</f>
        <v>0</v>
      </c>
    </row>
    <row r="32" spans="1:5" x14ac:dyDescent="0.25">
      <c r="A32" s="12" t="str">
        <f>CONCATENATE("Gross earnings (intangible) tax estimate for ",E1,"")</f>
        <v>Gross earnings (intangible) tax estimate for 2025</v>
      </c>
      <c r="B32" s="13"/>
      <c r="C32" s="13"/>
      <c r="D32" s="13"/>
      <c r="E32" s="424"/>
    </row>
    <row r="33" spans="1:12" x14ac:dyDescent="0.25">
      <c r="A33" s="12" t="str">
        <f>CONCATENATE("Neighborhood Revitalization for ",E1,"")</f>
        <v>Neighborhood Revitalization for 2025</v>
      </c>
      <c r="B33" s="13"/>
      <c r="C33" s="13"/>
      <c r="D33" s="13"/>
      <c r="E33" s="424"/>
    </row>
    <row r="34" spans="1:12" ht="16.5" customHeight="1" x14ac:dyDescent="0.25">
      <c r="A34" s="5"/>
      <c r="B34" s="4"/>
      <c r="C34" s="4"/>
      <c r="D34" s="4"/>
      <c r="E34" s="16"/>
      <c r="F34" s="685" t="s">
        <v>120</v>
      </c>
      <c r="G34" s="685"/>
      <c r="H34" s="685"/>
      <c r="I34" s="685"/>
      <c r="J34" s="685"/>
      <c r="K34" s="685"/>
      <c r="L34" s="685"/>
    </row>
    <row r="35" spans="1:12" ht="63.75" customHeight="1" x14ac:dyDescent="0.25">
      <c r="A35" s="5"/>
      <c r="B35" s="4"/>
      <c r="C35" s="4"/>
      <c r="D35" s="526" t="s">
        <v>121</v>
      </c>
      <c r="E35" s="526" t="s">
        <v>122</v>
      </c>
      <c r="F35" s="685"/>
      <c r="G35" s="685"/>
      <c r="H35" s="685"/>
      <c r="I35" s="685"/>
      <c r="J35" s="685"/>
      <c r="K35" s="685"/>
      <c r="L35" s="685"/>
    </row>
    <row r="36" spans="1:12" ht="16.5" customHeight="1" x14ac:dyDescent="0.25">
      <c r="A36" s="700" t="s">
        <v>123</v>
      </c>
      <c r="B36" s="700"/>
      <c r="C36" s="701"/>
      <c r="D36" s="609"/>
      <c r="E36" s="609"/>
      <c r="F36" s="685"/>
      <c r="G36" s="685"/>
      <c r="H36" s="685"/>
      <c r="I36" s="685"/>
      <c r="J36" s="685"/>
      <c r="K36" s="685"/>
      <c r="L36" s="685"/>
    </row>
    <row r="37" spans="1:12" ht="16.5" customHeight="1" x14ac:dyDescent="0.25">
      <c r="A37" s="5"/>
      <c r="B37" s="4"/>
      <c r="C37" s="4"/>
      <c r="D37" s="4"/>
      <c r="E37" s="16"/>
      <c r="F37" s="685"/>
      <c r="G37" s="685"/>
      <c r="H37" s="685"/>
      <c r="I37" s="685"/>
      <c r="J37" s="685"/>
      <c r="K37" s="685"/>
      <c r="L37" s="685"/>
    </row>
    <row r="38" spans="1:12" x14ac:dyDescent="0.25">
      <c r="A38" s="29" t="str">
        <f>CONCATENATE("Actual Tax Rates for the ",E1-1," Budget:")</f>
        <v>Actual Tax Rates for the 2024 Budget:</v>
      </c>
      <c r="B38" s="4"/>
      <c r="C38" s="4"/>
      <c r="D38" s="4"/>
      <c r="E38" s="17"/>
      <c r="F38" s="685"/>
      <c r="G38" s="685"/>
      <c r="H38" s="685"/>
      <c r="I38" s="685"/>
      <c r="J38" s="685"/>
      <c r="K38" s="685"/>
      <c r="L38" s="685"/>
    </row>
    <row r="39" spans="1:12" x14ac:dyDescent="0.25">
      <c r="A39" s="694" t="s">
        <v>124</v>
      </c>
      <c r="B39" s="695"/>
      <c r="C39" s="4"/>
      <c r="D39" s="18" t="s">
        <v>125</v>
      </c>
      <c r="E39" s="17"/>
    </row>
    <row r="40" spans="1:12" x14ac:dyDescent="0.25">
      <c r="A40" s="10" t="str">
        <f>inputPrYr!B21</f>
        <v>General</v>
      </c>
      <c r="B40" s="11"/>
      <c r="C40" s="4"/>
      <c r="D40" s="425"/>
      <c r="E40" s="17"/>
      <c r="F40" s="610"/>
      <c r="G40" s="610"/>
      <c r="H40" s="610"/>
      <c r="I40" s="610"/>
      <c r="J40" s="610"/>
      <c r="K40" s="610"/>
      <c r="L40" s="610"/>
    </row>
    <row r="41" spans="1:12" x14ac:dyDescent="0.25">
      <c r="A41" s="10" t="str">
        <f>inputPrYr!B22</f>
        <v>Debt Service</v>
      </c>
      <c r="B41" s="13"/>
      <c r="C41" s="4"/>
      <c r="D41" s="425"/>
      <c r="E41" s="17"/>
    </row>
    <row r="42" spans="1:12" x14ac:dyDescent="0.25">
      <c r="A42" s="10" t="str">
        <f>inputPrYr!B23</f>
        <v>Library</v>
      </c>
      <c r="B42" s="13"/>
      <c r="C42" s="4"/>
      <c r="D42" s="425"/>
      <c r="E42" s="17"/>
    </row>
    <row r="43" spans="1:12" x14ac:dyDescent="0.25">
      <c r="A43" s="10" t="str">
        <f>inputPrYr!B24</f>
        <v>Road</v>
      </c>
      <c r="B43" s="13"/>
      <c r="C43" s="4"/>
      <c r="D43" s="425"/>
      <c r="E43" s="17"/>
    </row>
    <row r="44" spans="1:12" x14ac:dyDescent="0.25">
      <c r="A44" s="10" t="str">
        <f>inputPrYr!B25</f>
        <v>Special Road</v>
      </c>
      <c r="B44" s="13"/>
      <c r="C44" s="4"/>
      <c r="D44" s="425"/>
      <c r="E44" s="17"/>
    </row>
    <row r="45" spans="1:12" x14ac:dyDescent="0.25">
      <c r="A45" s="10" t="str">
        <f>inputPrYr!B26</f>
        <v>Noxious Weed</v>
      </c>
      <c r="B45" s="13"/>
      <c r="C45" s="4"/>
      <c r="D45" s="425"/>
      <c r="E45" s="17"/>
    </row>
    <row r="46" spans="1:12" x14ac:dyDescent="0.25">
      <c r="A46" s="10" t="str">
        <f>inputPrYr!B27</f>
        <v>Fire Protection</v>
      </c>
      <c r="B46" s="13"/>
      <c r="C46" s="4"/>
      <c r="D46" s="426"/>
      <c r="E46" s="17"/>
    </row>
    <row r="47" spans="1:12" x14ac:dyDescent="0.25">
      <c r="A47" s="10">
        <f>inputPrYr!B28</f>
        <v>0</v>
      </c>
      <c r="B47" s="13"/>
      <c r="C47" s="4"/>
      <c r="D47" s="426"/>
      <c r="E47" s="17"/>
    </row>
    <row r="48" spans="1:12" x14ac:dyDescent="0.25">
      <c r="A48" s="10">
        <f>inputPrYr!B29</f>
        <v>0</v>
      </c>
      <c r="B48" s="13"/>
      <c r="C48" s="4"/>
      <c r="D48" s="426"/>
      <c r="E48" s="17"/>
    </row>
    <row r="49" spans="1:5" x14ac:dyDescent="0.25">
      <c r="A49" s="10">
        <f>inputPrYr!B30</f>
        <v>0</v>
      </c>
      <c r="B49" s="13"/>
      <c r="C49" s="4"/>
      <c r="D49" s="426"/>
      <c r="E49" s="17"/>
    </row>
    <row r="50" spans="1:5" x14ac:dyDescent="0.25">
      <c r="A50" s="10">
        <f>inputPrYr!B31</f>
        <v>0</v>
      </c>
      <c r="B50" s="13"/>
      <c r="C50" s="4"/>
      <c r="D50" s="426"/>
      <c r="E50" s="17"/>
    </row>
    <row r="51" spans="1:5" x14ac:dyDescent="0.25">
      <c r="A51" s="10">
        <f>inputPrYr!B32</f>
        <v>0</v>
      </c>
      <c r="B51" s="13"/>
      <c r="C51" s="4"/>
      <c r="D51" s="425"/>
      <c r="E51" s="17"/>
    </row>
    <row r="52" spans="1:5" x14ac:dyDescent="0.25">
      <c r="A52" s="4"/>
      <c r="B52" s="4" t="s">
        <v>126</v>
      </c>
      <c r="C52" s="4"/>
      <c r="D52" s="21">
        <f>SUM(D40:D51)</f>
        <v>0</v>
      </c>
      <c r="E52" s="4"/>
    </row>
    <row r="53" spans="1:5" x14ac:dyDescent="0.25">
      <c r="A53" s="4"/>
      <c r="B53" s="4"/>
      <c r="C53" s="4"/>
      <c r="D53" s="4"/>
      <c r="E53" s="4"/>
    </row>
    <row r="54" spans="1:5" x14ac:dyDescent="0.25">
      <c r="A54" s="26" t="str">
        <f>CONCATENATE("Final Assessed Valuation from the November 1, ",E1-2," Abstract:")</f>
        <v>Final Assessed Valuation from the November 1, 2023 Abstract:</v>
      </c>
      <c r="B54" s="4"/>
      <c r="C54" s="4"/>
      <c r="D54" s="4"/>
      <c r="E54" s="6"/>
    </row>
    <row r="55" spans="1:5" x14ac:dyDescent="0.25">
      <c r="A55" s="11" t="s">
        <v>119</v>
      </c>
      <c r="B55" s="11"/>
      <c r="C55" s="11"/>
      <c r="D55" s="11"/>
      <c r="E55" s="3"/>
    </row>
    <row r="56" spans="1:5" x14ac:dyDescent="0.25">
      <c r="A56" s="13">
        <f>inputPrYr!D7</f>
        <v>0</v>
      </c>
      <c r="B56" s="13"/>
      <c r="C56" s="13"/>
      <c r="D56" s="14"/>
      <c r="E56" s="3"/>
    </row>
    <row r="57" spans="1:5" x14ac:dyDescent="0.25">
      <c r="A57" s="13">
        <f>inputPrYr!D8</f>
        <v>0</v>
      </c>
      <c r="B57" s="13"/>
      <c r="C57" s="13"/>
      <c r="D57" s="14"/>
      <c r="E57" s="3"/>
    </row>
    <row r="58" spans="1:5" x14ac:dyDescent="0.25">
      <c r="A58" s="13" t="str">
        <f>CONCATENATE("Total  Final Assessed Valuation from the November 1, ",E1-2," Abstract:")</f>
        <v>Total  Final Assessed Valuation from the November 1, 2023 Abstract:</v>
      </c>
      <c r="B58" s="13"/>
      <c r="C58" s="13"/>
      <c r="D58" s="14"/>
      <c r="E58" s="25">
        <f>SUM(E55:E57)</f>
        <v>0</v>
      </c>
    </row>
    <row r="59" spans="1:5" x14ac:dyDescent="0.25">
      <c r="A59" s="4"/>
      <c r="B59" s="4"/>
      <c r="C59" s="4"/>
      <c r="D59" s="4"/>
      <c r="E59" s="4"/>
    </row>
    <row r="60" spans="1:5" x14ac:dyDescent="0.25">
      <c r="A60" s="446" t="str">
        <f>CONCATENATE("From the County Treasurer's Budget Information - ",E1," Budget Year Estimates:")</f>
        <v>From the County Treasurer's Budget Information - 2025 Budget Year Estimates:</v>
      </c>
      <c r="B60" s="445"/>
      <c r="C60" s="445"/>
      <c r="D60" s="444"/>
      <c r="E60" s="443"/>
    </row>
    <row r="61" spans="1:5" x14ac:dyDescent="0.25">
      <c r="A61" s="22" t="s">
        <v>127</v>
      </c>
      <c r="B61" s="11"/>
      <c r="C61" s="11"/>
      <c r="D61" s="7"/>
      <c r="E61" s="6"/>
    </row>
    <row r="62" spans="1:5" x14ac:dyDescent="0.25">
      <c r="A62" s="10" t="s">
        <v>128</v>
      </c>
      <c r="B62" s="11"/>
      <c r="C62" s="11"/>
      <c r="D62" s="7"/>
      <c r="E62" s="2"/>
    </row>
    <row r="63" spans="1:5" x14ac:dyDescent="0.25">
      <c r="A63" s="12" t="s">
        <v>129</v>
      </c>
      <c r="B63" s="13"/>
      <c r="C63" s="13"/>
      <c r="D63" s="464"/>
      <c r="E63" s="2"/>
    </row>
    <row r="64" spans="1:5" x14ac:dyDescent="0.25">
      <c r="A64" s="12" t="s">
        <v>130</v>
      </c>
      <c r="B64" s="13"/>
      <c r="C64" s="13"/>
      <c r="D64" s="464"/>
      <c r="E64" s="2"/>
    </row>
    <row r="65" spans="1:5" x14ac:dyDescent="0.25">
      <c r="A65" s="469" t="s">
        <v>131</v>
      </c>
      <c r="B65" s="13"/>
      <c r="C65" s="13"/>
      <c r="D65" s="464"/>
      <c r="E65" s="2"/>
    </row>
    <row r="66" spans="1:5" x14ac:dyDescent="0.25">
      <c r="A66" s="469" t="s">
        <v>132</v>
      </c>
      <c r="B66" s="13"/>
      <c r="C66" s="13"/>
      <c r="D66" s="464"/>
      <c r="E66" s="2"/>
    </row>
    <row r="67" spans="1:5" x14ac:dyDescent="0.25">
      <c r="A67" s="23" t="s">
        <v>133</v>
      </c>
      <c r="B67" s="24"/>
      <c r="C67" s="13"/>
      <c r="D67" s="464"/>
      <c r="E67" s="465"/>
    </row>
    <row r="68" spans="1:5" x14ac:dyDescent="0.25">
      <c r="A68" s="10" t="s">
        <v>134</v>
      </c>
      <c r="B68" s="13"/>
      <c r="C68" s="13"/>
      <c r="D68" s="464"/>
      <c r="E68" s="2"/>
    </row>
    <row r="69" spans="1:5" x14ac:dyDescent="0.25">
      <c r="A69" s="12" t="s">
        <v>135</v>
      </c>
      <c r="B69" s="13"/>
      <c r="C69" s="13"/>
      <c r="D69" s="464"/>
      <c r="E69" s="2"/>
    </row>
    <row r="70" spans="1:5" x14ac:dyDescent="0.25">
      <c r="A70" s="12" t="s">
        <v>136</v>
      </c>
      <c r="B70" s="13"/>
      <c r="C70" s="13"/>
      <c r="D70" s="464"/>
      <c r="E70" s="2"/>
    </row>
    <row r="71" spans="1:5" x14ac:dyDescent="0.25">
      <c r="A71" s="469" t="s">
        <v>131</v>
      </c>
      <c r="B71" s="13"/>
      <c r="C71" s="13"/>
      <c r="D71" s="464"/>
      <c r="E71" s="2"/>
    </row>
    <row r="72" spans="1:5" x14ac:dyDescent="0.25">
      <c r="A72" s="469" t="s">
        <v>132</v>
      </c>
      <c r="B72" s="13"/>
      <c r="C72" s="13"/>
      <c r="D72" s="464"/>
      <c r="E72" s="2"/>
    </row>
    <row r="73" spans="1:5" x14ac:dyDescent="0.25">
      <c r="A73" s="23" t="s">
        <v>137</v>
      </c>
      <c r="B73" s="24"/>
      <c r="C73" s="13"/>
      <c r="D73" s="464"/>
      <c r="E73" s="465"/>
    </row>
    <row r="74" spans="1:5" x14ac:dyDescent="0.25">
      <c r="A74" s="10" t="s">
        <v>134</v>
      </c>
      <c r="B74" s="13"/>
      <c r="C74" s="13"/>
      <c r="D74" s="464"/>
      <c r="E74" s="2"/>
    </row>
    <row r="75" spans="1:5" x14ac:dyDescent="0.25">
      <c r="A75" s="12" t="s">
        <v>135</v>
      </c>
      <c r="B75" s="13"/>
      <c r="C75" s="13"/>
      <c r="D75" s="464"/>
      <c r="E75" s="2"/>
    </row>
    <row r="76" spans="1:5" x14ac:dyDescent="0.25">
      <c r="A76" s="12" t="s">
        <v>136</v>
      </c>
      <c r="B76" s="13"/>
      <c r="C76" s="13"/>
      <c r="D76" s="464"/>
      <c r="E76" s="2"/>
    </row>
    <row r="77" spans="1:5" x14ac:dyDescent="0.25">
      <c r="A77" s="469" t="s">
        <v>131</v>
      </c>
      <c r="B77" s="13"/>
      <c r="C77" s="13"/>
      <c r="D77" s="464"/>
      <c r="E77" s="2"/>
    </row>
    <row r="78" spans="1:5" x14ac:dyDescent="0.25">
      <c r="A78" s="469" t="s">
        <v>132</v>
      </c>
      <c r="B78" s="13"/>
      <c r="C78" s="13"/>
      <c r="D78" s="464"/>
      <c r="E78" s="2"/>
    </row>
    <row r="79" spans="1:5" x14ac:dyDescent="0.25">
      <c r="A79" s="12"/>
      <c r="B79" s="13"/>
      <c r="C79" s="13"/>
      <c r="D79" s="464"/>
      <c r="E79" s="466"/>
    </row>
    <row r="80" spans="1:5" x14ac:dyDescent="0.25">
      <c r="A80" s="12" t="s">
        <v>139</v>
      </c>
      <c r="B80" s="11"/>
      <c r="C80" s="11"/>
      <c r="D80" s="19"/>
      <c r="E80" s="2"/>
    </row>
    <row r="81" spans="1:5" x14ac:dyDescent="0.25">
      <c r="A81" s="698" t="s">
        <v>140</v>
      </c>
      <c r="B81" s="699"/>
      <c r="C81" s="699"/>
      <c r="D81" s="699"/>
      <c r="E81" s="699"/>
    </row>
    <row r="82" spans="1:5" ht="33" customHeight="1" x14ac:dyDescent="0.25">
      <c r="A82" s="4"/>
      <c r="B82" s="4"/>
      <c r="C82" s="4"/>
      <c r="D82" s="4"/>
      <c r="E82" s="4"/>
    </row>
    <row r="83" spans="1:5" x14ac:dyDescent="0.25">
      <c r="A83" s="9" t="s">
        <v>141</v>
      </c>
      <c r="B83" s="8"/>
      <c r="C83" s="8"/>
      <c r="D83" s="4"/>
      <c r="E83" s="4"/>
    </row>
    <row r="84" spans="1:5" x14ac:dyDescent="0.25">
      <c r="A84" s="39" t="str">
        <f>CONCATENATE("Actual Delinquency for ",E39-3," Tax - (e.g. rate .01213 = 1.213%;  key in 1.2)")</f>
        <v>Actual Delinquency for -3 Tax - (e.g. rate .01213 = 1.213%;  key in 1.2)</v>
      </c>
      <c r="B84" s="4"/>
      <c r="C84" s="4"/>
      <c r="D84" s="4"/>
      <c r="E84" s="463"/>
    </row>
    <row r="85" spans="1:5" x14ac:dyDescent="0.25">
      <c r="A85" s="41" t="s">
        <v>142</v>
      </c>
      <c r="B85" s="5"/>
      <c r="C85" s="4"/>
      <c r="D85" s="4"/>
      <c r="E85" s="310">
        <v>0</v>
      </c>
    </row>
    <row r="86" spans="1:5" x14ac:dyDescent="0.25">
      <c r="A86" s="690" t="s">
        <v>143</v>
      </c>
      <c r="B86" s="691"/>
      <c r="C86" s="691"/>
      <c r="D86" s="691"/>
      <c r="E86" s="691"/>
    </row>
    <row r="87" spans="1:5" ht="34.5" customHeight="1" x14ac:dyDescent="0.25">
      <c r="A87" s="15"/>
      <c r="B87" s="15"/>
      <c r="C87" s="15"/>
      <c r="D87" s="15"/>
      <c r="E87" s="15"/>
    </row>
    <row r="88" spans="1:5" x14ac:dyDescent="0.25">
      <c r="A88" s="686" t="str">
        <f>CONCATENATE("From the ",E1-2," Budget Certificate Page")</f>
        <v>From the 2023 Budget Certificate Page</v>
      </c>
      <c r="B88" s="687"/>
      <c r="C88" s="15"/>
      <c r="D88" s="15"/>
      <c r="E88" s="15"/>
    </row>
    <row r="89" spans="1:5" x14ac:dyDescent="0.25">
      <c r="A89" s="30"/>
      <c r="B89" s="30" t="str">
        <f>CONCATENATE("",E1-2," Expenditure Amounts")</f>
        <v>2023 Expenditure Amounts</v>
      </c>
      <c r="C89" s="688" t="str">
        <f>CONCATENATE("Note: If the ",E1-2," budget was amended, then the")</f>
        <v>Note: If the 2023 budget was amended, then the</v>
      </c>
      <c r="D89" s="689"/>
      <c r="E89" s="689"/>
    </row>
    <row r="90" spans="1:5" x14ac:dyDescent="0.25">
      <c r="A90" s="31" t="s">
        <v>144</v>
      </c>
      <c r="B90" s="31" t="s">
        <v>145</v>
      </c>
      <c r="C90" s="32" t="s">
        <v>146</v>
      </c>
      <c r="D90" s="33"/>
      <c r="E90" s="33"/>
    </row>
    <row r="91" spans="1:5" x14ac:dyDescent="0.25">
      <c r="A91" s="34" t="str">
        <f>inputPrYr!B21</f>
        <v>General</v>
      </c>
      <c r="B91" s="3"/>
      <c r="C91" s="32" t="s">
        <v>147</v>
      </c>
      <c r="D91" s="33"/>
      <c r="E91" s="33"/>
    </row>
    <row r="92" spans="1:5" x14ac:dyDescent="0.25">
      <c r="A92" s="34" t="str">
        <f>inputPrYr!B22</f>
        <v>Debt Service</v>
      </c>
      <c r="B92" s="3"/>
      <c r="C92" s="32"/>
      <c r="D92" s="33"/>
      <c r="E92" s="33"/>
    </row>
    <row r="93" spans="1:5" x14ac:dyDescent="0.25">
      <c r="A93" s="34" t="str">
        <f>inputPrYr!B23</f>
        <v>Library</v>
      </c>
      <c r="B93" s="3"/>
      <c r="C93" s="32"/>
      <c r="D93" s="33"/>
      <c r="E93" s="33"/>
    </row>
    <row r="94" spans="1:5" x14ac:dyDescent="0.25">
      <c r="A94" s="34" t="str">
        <f>inputPrYr!B24</f>
        <v>Road</v>
      </c>
      <c r="B94" s="3"/>
      <c r="C94" s="15"/>
      <c r="D94" s="15"/>
      <c r="E94" s="15"/>
    </row>
    <row r="95" spans="1:5" x14ac:dyDescent="0.25">
      <c r="A95" s="34" t="str">
        <f>inputPrYr!B25</f>
        <v>Special Road</v>
      </c>
      <c r="B95" s="3"/>
      <c r="C95" s="15"/>
      <c r="D95" s="15"/>
      <c r="E95" s="15"/>
    </row>
    <row r="96" spans="1:5" x14ac:dyDescent="0.25">
      <c r="A96" s="34" t="str">
        <f>inputPrYr!B26</f>
        <v>Noxious Weed</v>
      </c>
      <c r="B96" s="3"/>
      <c r="C96" s="15"/>
      <c r="D96" s="15"/>
      <c r="E96" s="15"/>
    </row>
    <row r="97" spans="1:5" x14ac:dyDescent="0.25">
      <c r="A97" s="34" t="str">
        <f>inputPrYr!B27</f>
        <v>Fire Protection</v>
      </c>
      <c r="B97" s="3"/>
      <c r="C97" s="15"/>
      <c r="D97" s="15"/>
      <c r="E97" s="15"/>
    </row>
    <row r="98" spans="1:5" x14ac:dyDescent="0.25">
      <c r="A98" s="34">
        <f>inputPrYr!B28</f>
        <v>0</v>
      </c>
      <c r="B98" s="3"/>
      <c r="C98" s="15"/>
      <c r="D98" s="15"/>
      <c r="E98" s="15"/>
    </row>
    <row r="99" spans="1:5" x14ac:dyDescent="0.25">
      <c r="A99" s="34">
        <f>inputPrYr!B29</f>
        <v>0</v>
      </c>
      <c r="B99" s="3"/>
      <c r="C99" s="15"/>
      <c r="D99" s="15"/>
      <c r="E99" s="15"/>
    </row>
    <row r="100" spans="1:5" x14ac:dyDescent="0.25">
      <c r="A100" s="34">
        <f>inputPrYr!B30</f>
        <v>0</v>
      </c>
      <c r="B100" s="3"/>
      <c r="C100" s="15"/>
      <c r="D100" s="15"/>
      <c r="E100" s="15"/>
    </row>
    <row r="101" spans="1:5" x14ac:dyDescent="0.25">
      <c r="A101" s="34">
        <f>inputPrYr!B31</f>
        <v>0</v>
      </c>
      <c r="B101" s="3"/>
      <c r="C101" s="15"/>
      <c r="D101" s="15"/>
      <c r="E101" s="15"/>
    </row>
    <row r="102" spans="1:5" x14ac:dyDescent="0.25">
      <c r="A102" s="34">
        <f>inputPrYr!B32</f>
        <v>0</v>
      </c>
      <c r="B102" s="3"/>
      <c r="C102" s="15"/>
      <c r="D102" s="15"/>
      <c r="E102" s="15"/>
    </row>
    <row r="103" spans="1:5" x14ac:dyDescent="0.25">
      <c r="A103" s="34">
        <f>inputPrYr!B36</f>
        <v>0</v>
      </c>
      <c r="B103" s="3"/>
      <c r="C103" s="15"/>
      <c r="D103" s="15"/>
      <c r="E103" s="15"/>
    </row>
    <row r="104" spans="1:5" x14ac:dyDescent="0.25">
      <c r="A104" s="34">
        <f>inputPrYr!B37</f>
        <v>0</v>
      </c>
      <c r="B104" s="3"/>
      <c r="C104" s="15"/>
      <c r="D104" s="15"/>
      <c r="E104" s="15"/>
    </row>
    <row r="105" spans="1:5" x14ac:dyDescent="0.25">
      <c r="A105" s="34">
        <f>inputPrYr!B38</f>
        <v>0</v>
      </c>
      <c r="B105" s="3"/>
      <c r="C105" s="15"/>
      <c r="D105" s="15"/>
      <c r="E105" s="15"/>
    </row>
    <row r="106" spans="1:5" x14ac:dyDescent="0.25">
      <c r="A106" s="34">
        <f>inputPrYr!B39</f>
        <v>0</v>
      </c>
      <c r="B106" s="3"/>
      <c r="C106" s="15"/>
      <c r="D106" s="15"/>
      <c r="E106" s="15"/>
    </row>
  </sheetData>
  <sheetProtection sheet="1" objects="1" scenarios="1"/>
  <mergeCells count="9">
    <mergeCell ref="F34:L38"/>
    <mergeCell ref="A88:B88"/>
    <mergeCell ref="C89:E89"/>
    <mergeCell ref="A86:E86"/>
    <mergeCell ref="A4:E4"/>
    <mergeCell ref="A39:B39"/>
    <mergeCell ref="A6:E6"/>
    <mergeCell ref="A81:E81"/>
    <mergeCell ref="A36:C36"/>
  </mergeCells>
  <phoneticPr fontId="10" type="noConversion"/>
  <pageMargins left="0.75" right="0.75" top="1" bottom="1" header="0.5" footer="0.5"/>
  <pageSetup scale="50"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FF0000"/>
  </sheetPr>
  <dimension ref="A1:L85"/>
  <sheetViews>
    <sheetView workbookViewId="0">
      <selection activeCell="A8" sqref="A8"/>
    </sheetView>
  </sheetViews>
  <sheetFormatPr defaultRowHeight="15.75" x14ac:dyDescent="0.25"/>
  <cols>
    <col min="1" max="1" width="64.19921875" style="1" customWidth="1"/>
  </cols>
  <sheetData>
    <row r="1" spans="1:12" ht="20.25" x14ac:dyDescent="0.3">
      <c r="A1" s="603" t="s">
        <v>495</v>
      </c>
    </row>
    <row r="3" spans="1:12" x14ac:dyDescent="0.25">
      <c r="A3" s="599" t="s">
        <v>496</v>
      </c>
      <c r="B3" s="231"/>
      <c r="C3" s="231"/>
      <c r="D3" s="231"/>
      <c r="E3" s="231"/>
      <c r="F3" s="231"/>
      <c r="G3" s="231"/>
      <c r="H3" s="231"/>
      <c r="I3" s="231"/>
      <c r="J3" s="231"/>
      <c r="K3" s="231"/>
      <c r="L3" s="231"/>
    </row>
    <row r="5" spans="1:12" x14ac:dyDescent="0.25">
      <c r="A5" s="1" t="s">
        <v>497</v>
      </c>
    </row>
    <row r="6" spans="1:12" x14ac:dyDescent="0.25">
      <c r="A6" s="1" t="str">
        <f>CONCATENATE(inputPrYr!D10-2," 'total expenditures' exceed your ",inputPrYr!D10-2," 'budget authority.'")</f>
        <v>2023 'total expenditures' exceed your 2023 'budget authority.'</v>
      </c>
    </row>
    <row r="8" spans="1:12" x14ac:dyDescent="0.25">
      <c r="A8" s="1" t="s">
        <v>498</v>
      </c>
    </row>
    <row r="9" spans="1:12" x14ac:dyDescent="0.25">
      <c r="A9" s="1" t="s">
        <v>499</v>
      </c>
    </row>
    <row r="10" spans="1:12" x14ac:dyDescent="0.25">
      <c r="A10" s="1" t="s">
        <v>500</v>
      </c>
    </row>
    <row r="13" spans="1:12" x14ac:dyDescent="0.25">
      <c r="A13" s="600" t="s">
        <v>501</v>
      </c>
    </row>
    <row r="15" spans="1:12" x14ac:dyDescent="0.25">
      <c r="A15" s="1" t="s">
        <v>502</v>
      </c>
    </row>
    <row r="16" spans="1:12" x14ac:dyDescent="0.25">
      <c r="A16" s="1" t="str">
        <f>CONCATENATE("(i.e. an audit has not been completed, or the ",inputPrYr!D10," adopted")</f>
        <v>(i.e. an audit has not been completed, or the 2025 adopted</v>
      </c>
    </row>
    <row r="17" spans="1:1" x14ac:dyDescent="0.25">
      <c r="A17" s="1" t="s">
        <v>503</v>
      </c>
    </row>
    <row r="18" spans="1:1" x14ac:dyDescent="0.25">
      <c r="A18" s="1" t="s">
        <v>504</v>
      </c>
    </row>
    <row r="19" spans="1:1" x14ac:dyDescent="0.25">
      <c r="A19" s="1" t="s">
        <v>505</v>
      </c>
    </row>
    <row r="21" spans="1:1" x14ac:dyDescent="0.25">
      <c r="A21" s="600" t="s">
        <v>311</v>
      </c>
    </row>
    <row r="22" spans="1:1" x14ac:dyDescent="0.25">
      <c r="A22" s="600"/>
    </row>
    <row r="23" spans="1:1" x14ac:dyDescent="0.25">
      <c r="A23" s="1" t="s">
        <v>506</v>
      </c>
    </row>
    <row r="24" spans="1:1" x14ac:dyDescent="0.25">
      <c r="A24" s="1" t="s">
        <v>507</v>
      </c>
    </row>
    <row r="25" spans="1:1" x14ac:dyDescent="0.25">
      <c r="A25" s="1" t="str">
        <f>CONCATENATE("particular fund.  If your ",inputPrYr!D10-2," budget was amended, did you")</f>
        <v>particular fund.  If your 2023 budget was amended, did you</v>
      </c>
    </row>
    <row r="26" spans="1:1" x14ac:dyDescent="0.25">
      <c r="A26" s="1" t="s">
        <v>508</v>
      </c>
    </row>
    <row r="28" spans="1:1" x14ac:dyDescent="0.25">
      <c r="A28" s="1" t="str">
        <f>CONCATENATE("Next, look to see if any of your ",inputPrYr!D10-2," expenditures can be")</f>
        <v>Next, look to see if any of your 2023 expenditures can be</v>
      </c>
    </row>
    <row r="29" spans="1:1" x14ac:dyDescent="0.25">
      <c r="A29" s="1" t="s">
        <v>509</v>
      </c>
    </row>
    <row r="30" spans="1:1" x14ac:dyDescent="0.25">
      <c r="A30" s="1" t="s">
        <v>510</v>
      </c>
    </row>
    <row r="31" spans="1:1" x14ac:dyDescent="0.25">
      <c r="A31" s="1" t="s">
        <v>511</v>
      </c>
    </row>
    <row r="33" spans="1:1" x14ac:dyDescent="0.25">
      <c r="A33" s="1" t="str">
        <f>CONCATENATE("Additionally, do your ",inputPrYr!D10-2," receipts contain a reimbursement")</f>
        <v>Additionally, do your 2023 receipts contain a reimbursement</v>
      </c>
    </row>
    <row r="34" spans="1:1" x14ac:dyDescent="0.25">
      <c r="A34" s="1" t="s">
        <v>512</v>
      </c>
    </row>
    <row r="35" spans="1:1" x14ac:dyDescent="0.25">
      <c r="A35" s="1" t="s">
        <v>513</v>
      </c>
    </row>
    <row r="37" spans="1:1" x14ac:dyDescent="0.25">
      <c r="A37" s="1" t="s">
        <v>514</v>
      </c>
    </row>
    <row r="38" spans="1:1" x14ac:dyDescent="0.25">
      <c r="A38" s="1" t="s">
        <v>515</v>
      </c>
    </row>
    <row r="39" spans="1:1" x14ac:dyDescent="0.25">
      <c r="A39" s="1" t="s">
        <v>516</v>
      </c>
    </row>
    <row r="40" spans="1:1" x14ac:dyDescent="0.25">
      <c r="A40" s="1" t="s">
        <v>517</v>
      </c>
    </row>
    <row r="41" spans="1:1" x14ac:dyDescent="0.25">
      <c r="A41" s="1" t="s">
        <v>518</v>
      </c>
    </row>
    <row r="42" spans="1:1" x14ac:dyDescent="0.25">
      <c r="A42" s="1" t="s">
        <v>519</v>
      </c>
    </row>
    <row r="43" spans="1:1" x14ac:dyDescent="0.25">
      <c r="A43" s="1" t="s">
        <v>520</v>
      </c>
    </row>
    <row r="44" spans="1:1" x14ac:dyDescent="0.25">
      <c r="A44" s="1" t="s">
        <v>521</v>
      </c>
    </row>
    <row r="46" spans="1:1" x14ac:dyDescent="0.25">
      <c r="A46" s="1" t="s">
        <v>522</v>
      </c>
    </row>
    <row r="47" spans="1:1" x14ac:dyDescent="0.25">
      <c r="A47" s="1" t="s">
        <v>523</v>
      </c>
    </row>
    <row r="48" spans="1:1" x14ac:dyDescent="0.25">
      <c r="A48" s="1" t="s">
        <v>524</v>
      </c>
    </row>
    <row r="50" spans="1:1" x14ac:dyDescent="0.25">
      <c r="A50" s="1" t="s">
        <v>525</v>
      </c>
    </row>
    <row r="51" spans="1:1" x14ac:dyDescent="0.25">
      <c r="A51" s="1" t="s">
        <v>526</v>
      </c>
    </row>
    <row r="52" spans="1:1" x14ac:dyDescent="0.25">
      <c r="A52" s="1" t="s">
        <v>527</v>
      </c>
    </row>
    <row r="54" spans="1:1" x14ac:dyDescent="0.25">
      <c r="A54" s="600" t="s">
        <v>528</v>
      </c>
    </row>
    <row r="56" spans="1:1" x14ac:dyDescent="0.25">
      <c r="A56" s="1" t="s">
        <v>529</v>
      </c>
    </row>
    <row r="57" spans="1:1" x14ac:dyDescent="0.25">
      <c r="A57" s="1" t="s">
        <v>530</v>
      </c>
    </row>
    <row r="58" spans="1:1" x14ac:dyDescent="0.25">
      <c r="A58" s="1" t="s">
        <v>531</v>
      </c>
    </row>
    <row r="59" spans="1:1" x14ac:dyDescent="0.25">
      <c r="A59" s="1" t="s">
        <v>532</v>
      </c>
    </row>
    <row r="60" spans="1:1" x14ac:dyDescent="0.25">
      <c r="A60" s="1" t="s">
        <v>533</v>
      </c>
    </row>
    <row r="61" spans="1:1" x14ac:dyDescent="0.25">
      <c r="A61" s="1" t="s">
        <v>534</v>
      </c>
    </row>
    <row r="62" spans="1:1" x14ac:dyDescent="0.25">
      <c r="A62" s="1" t="s">
        <v>535</v>
      </c>
    </row>
    <row r="63" spans="1:1" x14ac:dyDescent="0.25">
      <c r="A63" s="1" t="s">
        <v>536</v>
      </c>
    </row>
    <row r="64" spans="1:1" x14ac:dyDescent="0.25">
      <c r="A64" s="1" t="s">
        <v>537</v>
      </c>
    </row>
    <row r="65" spans="1:1" x14ac:dyDescent="0.25">
      <c r="A65" s="1" t="s">
        <v>538</v>
      </c>
    </row>
    <row r="66" spans="1:1" x14ac:dyDescent="0.25">
      <c r="A66" s="1" t="s">
        <v>539</v>
      </c>
    </row>
    <row r="67" spans="1:1" x14ac:dyDescent="0.25">
      <c r="A67" s="1" t="s">
        <v>540</v>
      </c>
    </row>
    <row r="68" spans="1:1" x14ac:dyDescent="0.25">
      <c r="A68" s="1" t="s">
        <v>541</v>
      </c>
    </row>
    <row r="70" spans="1:1" x14ac:dyDescent="0.25">
      <c r="A70" s="1" t="s">
        <v>542</v>
      </c>
    </row>
    <row r="71" spans="1:1" x14ac:dyDescent="0.25">
      <c r="A71" s="1" t="s">
        <v>543</v>
      </c>
    </row>
    <row r="72" spans="1:1" x14ac:dyDescent="0.25">
      <c r="A72" s="1" t="s">
        <v>544</v>
      </c>
    </row>
    <row r="74" spans="1:1" x14ac:dyDescent="0.25">
      <c r="A74" s="600" t="str">
        <f>CONCATENATE("What if the ",inputPrYr!D10-2," financial records have been closed?")</f>
        <v>What if the 2023 financial records have been closed?</v>
      </c>
    </row>
    <row r="76" spans="1:1" x14ac:dyDescent="0.25">
      <c r="A76" s="1" t="s">
        <v>545</v>
      </c>
    </row>
    <row r="77" spans="1:1" x14ac:dyDescent="0.25">
      <c r="A77" s="1" t="str">
        <f>CONCATENATE("(i.e. an audit for ",inputPrYr!D10-2," has been completed, or the ",inputPrYr!D10)</f>
        <v>(i.e. an audit for 2023 has been completed, or the 2025</v>
      </c>
    </row>
    <row r="78" spans="1:1" x14ac:dyDescent="0.25">
      <c r="A78" s="1" t="s">
        <v>546</v>
      </c>
    </row>
    <row r="79" spans="1:1" x14ac:dyDescent="0.25">
      <c r="A79" s="1" t="s">
        <v>547</v>
      </c>
    </row>
    <row r="81" spans="1:1" x14ac:dyDescent="0.25">
      <c r="A81" s="1" t="s">
        <v>548</v>
      </c>
    </row>
    <row r="82" spans="1:1" x14ac:dyDescent="0.25">
      <c r="A82" s="1" t="s">
        <v>549</v>
      </c>
    </row>
    <row r="83" spans="1:1" x14ac:dyDescent="0.25">
      <c r="A83" s="1" t="s">
        <v>550</v>
      </c>
    </row>
    <row r="85" spans="1:1" x14ac:dyDescent="0.25">
      <c r="A85" s="1" t="s">
        <v>551</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rgb="FFFF0000"/>
  </sheetPr>
  <dimension ref="A1:J109"/>
  <sheetViews>
    <sheetView workbookViewId="0"/>
  </sheetViews>
  <sheetFormatPr defaultRowHeight="15.75" x14ac:dyDescent="0.25"/>
  <cols>
    <col min="1" max="1" width="64.19921875" style="1" customWidth="1"/>
  </cols>
  <sheetData>
    <row r="1" spans="1:10" ht="20.25" x14ac:dyDescent="0.3">
      <c r="A1" s="603" t="s">
        <v>552</v>
      </c>
    </row>
    <row r="3" spans="1:10" x14ac:dyDescent="0.25">
      <c r="A3" s="599" t="s">
        <v>553</v>
      </c>
      <c r="B3" s="231"/>
      <c r="C3" s="231"/>
      <c r="D3" s="231"/>
      <c r="E3" s="231"/>
      <c r="F3" s="231"/>
      <c r="G3" s="231"/>
      <c r="H3" s="233"/>
      <c r="I3" s="233"/>
      <c r="J3" s="233"/>
    </row>
    <row r="5" spans="1:10" x14ac:dyDescent="0.25">
      <c r="A5" s="1" t="s">
        <v>554</v>
      </c>
    </row>
    <row r="6" spans="1:10" x14ac:dyDescent="0.25">
      <c r="A6" s="1" t="str">
        <f>CONCATENATE(inputPrYr!D10-2," expenditures show that you finished the year with a ")</f>
        <v xml:space="preserve">2023 expenditures show that you finished the year with a </v>
      </c>
    </row>
    <row r="7" spans="1:10" x14ac:dyDescent="0.25">
      <c r="A7" s="1" t="s">
        <v>555</v>
      </c>
    </row>
    <row r="9" spans="1:10" x14ac:dyDescent="0.25">
      <c r="A9" s="1" t="s">
        <v>556</v>
      </c>
    </row>
    <row r="10" spans="1:10" x14ac:dyDescent="0.25">
      <c r="A10" s="1" t="s">
        <v>557</v>
      </c>
    </row>
    <row r="11" spans="1:10" x14ac:dyDescent="0.25">
      <c r="A11" s="1" t="s">
        <v>558</v>
      </c>
    </row>
    <row r="13" spans="1:10" x14ac:dyDescent="0.25">
      <c r="A13" s="600" t="s">
        <v>559</v>
      </c>
    </row>
    <row r="14" spans="1:10" x14ac:dyDescent="0.25">
      <c r="A14" s="600"/>
    </row>
    <row r="15" spans="1:10" x14ac:dyDescent="0.25">
      <c r="A15" s="1" t="s">
        <v>560</v>
      </c>
    </row>
    <row r="16" spans="1:10" x14ac:dyDescent="0.25">
      <c r="A16" s="1" t="s">
        <v>561</v>
      </c>
    </row>
    <row r="17" spans="1:1" x14ac:dyDescent="0.25">
      <c r="A17" s="1" t="s">
        <v>562</v>
      </c>
    </row>
    <row r="19" spans="1:1" x14ac:dyDescent="0.25">
      <c r="A19" s="600" t="s">
        <v>563</v>
      </c>
    </row>
    <row r="20" spans="1:1" x14ac:dyDescent="0.25">
      <c r="A20" s="600"/>
    </row>
    <row r="21" spans="1:1" x14ac:dyDescent="0.25">
      <c r="A21" s="1" t="s">
        <v>564</v>
      </c>
    </row>
    <row r="22" spans="1:1" x14ac:dyDescent="0.25">
      <c r="A22" s="1" t="s">
        <v>565</v>
      </c>
    </row>
    <row r="23" spans="1:1" x14ac:dyDescent="0.25">
      <c r="A23" s="1" t="s">
        <v>566</v>
      </c>
    </row>
    <row r="25" spans="1:1" x14ac:dyDescent="0.25">
      <c r="A25" s="600" t="s">
        <v>567</v>
      </c>
    </row>
    <row r="26" spans="1:1" x14ac:dyDescent="0.25">
      <c r="A26" s="600"/>
    </row>
    <row r="27" spans="1:1" x14ac:dyDescent="0.25">
      <c r="A27" s="1" t="s">
        <v>568</v>
      </c>
    </row>
    <row r="28" spans="1:1" x14ac:dyDescent="0.25">
      <c r="A28" s="1" t="s">
        <v>569</v>
      </c>
    </row>
    <row r="29" spans="1:1" x14ac:dyDescent="0.25">
      <c r="A29" s="1" t="s">
        <v>570</v>
      </c>
    </row>
    <row r="31" spans="1:1" x14ac:dyDescent="0.25">
      <c r="A31" s="600" t="s">
        <v>571</v>
      </c>
    </row>
    <row r="32" spans="1:1" x14ac:dyDescent="0.25">
      <c r="A32" s="600"/>
    </row>
    <row r="33" spans="1:8" x14ac:dyDescent="0.25">
      <c r="A33" s="1" t="str">
        <f>CONCATENATE("If your financial records for ",inputPrYr!D10-2," are not closed")</f>
        <v>If your financial records for 2023 are not closed</v>
      </c>
      <c r="B33" s="232"/>
      <c r="C33" s="232"/>
      <c r="D33" s="232"/>
      <c r="E33" s="232"/>
      <c r="F33" s="232"/>
      <c r="G33" s="232"/>
      <c r="H33" s="232"/>
    </row>
    <row r="34" spans="1:8" x14ac:dyDescent="0.25">
      <c r="A34" s="1" t="str">
        <f>CONCATENATE("(i.e. an audit has not been completed, or the ",inputPrYr!D10," adopted ")</f>
        <v xml:space="preserve">(i.e. an audit has not been completed, or the 2025 adopted </v>
      </c>
      <c r="B34" s="232"/>
      <c r="C34" s="232"/>
      <c r="D34" s="232"/>
      <c r="E34" s="232"/>
      <c r="F34" s="232"/>
      <c r="G34" s="232"/>
      <c r="H34" s="232"/>
    </row>
    <row r="35" spans="1:8" x14ac:dyDescent="0.25">
      <c r="A35" s="1" t="s">
        <v>572</v>
      </c>
      <c r="B35" s="232"/>
      <c r="C35" s="232"/>
      <c r="D35" s="232"/>
      <c r="E35" s="232"/>
      <c r="F35" s="232"/>
      <c r="G35" s="232"/>
      <c r="H35" s="232"/>
    </row>
    <row r="36" spans="1:8" x14ac:dyDescent="0.25">
      <c r="A36" s="1" t="s">
        <v>573</v>
      </c>
      <c r="B36" s="232"/>
      <c r="C36" s="232"/>
      <c r="D36" s="232"/>
      <c r="E36" s="232"/>
      <c r="F36" s="232"/>
      <c r="G36" s="232"/>
      <c r="H36" s="232"/>
    </row>
    <row r="37" spans="1:8" x14ac:dyDescent="0.25">
      <c r="A37" s="1" t="s">
        <v>574</v>
      </c>
      <c r="B37" s="232"/>
      <c r="C37" s="232"/>
      <c r="D37" s="232"/>
      <c r="E37" s="232"/>
      <c r="F37" s="232"/>
      <c r="G37" s="232"/>
      <c r="H37" s="232"/>
    </row>
    <row r="38" spans="1:8" x14ac:dyDescent="0.25">
      <c r="A38" s="1" t="s">
        <v>575</v>
      </c>
      <c r="B38" s="232"/>
      <c r="C38" s="232"/>
      <c r="D38" s="232"/>
      <c r="E38" s="232"/>
      <c r="F38" s="232"/>
      <c r="G38" s="232"/>
      <c r="H38" s="232"/>
    </row>
    <row r="39" spans="1:8" x14ac:dyDescent="0.25">
      <c r="A39" s="1" t="s">
        <v>576</v>
      </c>
      <c r="B39" s="232"/>
      <c r="C39" s="232"/>
      <c r="D39" s="232"/>
      <c r="E39" s="232"/>
      <c r="F39" s="232"/>
      <c r="G39" s="232"/>
      <c r="H39" s="232"/>
    </row>
    <row r="40" spans="1:8" x14ac:dyDescent="0.25">
      <c r="B40" s="232"/>
      <c r="C40" s="232"/>
      <c r="D40" s="232"/>
      <c r="E40" s="232"/>
      <c r="F40" s="232"/>
      <c r="G40" s="232"/>
      <c r="H40" s="232"/>
    </row>
    <row r="41" spans="1:8" x14ac:dyDescent="0.25">
      <c r="A41" s="1" t="s">
        <v>577</v>
      </c>
      <c r="B41" s="232"/>
      <c r="C41" s="232"/>
      <c r="D41" s="232"/>
      <c r="E41" s="232"/>
      <c r="F41" s="232"/>
      <c r="G41" s="232"/>
      <c r="H41" s="232"/>
    </row>
    <row r="42" spans="1:8" x14ac:dyDescent="0.25">
      <c r="A42" s="1" t="s">
        <v>578</v>
      </c>
      <c r="B42" s="232"/>
      <c r="C42" s="232"/>
      <c r="D42" s="232"/>
      <c r="E42" s="232"/>
      <c r="F42" s="232"/>
      <c r="G42" s="232"/>
      <c r="H42" s="232"/>
    </row>
    <row r="43" spans="1:8" x14ac:dyDescent="0.25">
      <c r="A43" s="1" t="s">
        <v>579</v>
      </c>
      <c r="B43" s="232"/>
      <c r="C43" s="232"/>
      <c r="D43" s="232"/>
      <c r="E43" s="232"/>
      <c r="F43" s="232"/>
      <c r="G43" s="232"/>
      <c r="H43" s="232"/>
    </row>
    <row r="44" spans="1:8" x14ac:dyDescent="0.25">
      <c r="A44" s="1" t="s">
        <v>580</v>
      </c>
      <c r="B44" s="232"/>
      <c r="C44" s="232"/>
      <c r="D44" s="232"/>
      <c r="E44" s="232"/>
      <c r="F44" s="232"/>
      <c r="G44" s="232"/>
      <c r="H44" s="232"/>
    </row>
    <row r="45" spans="1:8" x14ac:dyDescent="0.25">
      <c r="B45" s="232"/>
      <c r="C45" s="232"/>
      <c r="D45" s="232"/>
      <c r="E45" s="232"/>
      <c r="F45" s="232"/>
      <c r="G45" s="232"/>
      <c r="H45" s="232"/>
    </row>
    <row r="46" spans="1:8" x14ac:dyDescent="0.25">
      <c r="A46" s="1" t="s">
        <v>581</v>
      </c>
      <c r="B46" s="232"/>
      <c r="C46" s="232"/>
      <c r="D46" s="232"/>
      <c r="E46" s="232"/>
      <c r="F46" s="232"/>
      <c r="G46" s="232"/>
      <c r="H46" s="232"/>
    </row>
    <row r="47" spans="1:8" x14ac:dyDescent="0.25">
      <c r="A47" s="1" t="s">
        <v>582</v>
      </c>
      <c r="B47" s="232"/>
      <c r="C47" s="232"/>
      <c r="D47" s="232"/>
      <c r="E47" s="232"/>
      <c r="F47" s="232"/>
      <c r="G47" s="232"/>
      <c r="H47" s="232"/>
    </row>
    <row r="48" spans="1:8" x14ac:dyDescent="0.25">
      <c r="A48" s="1" t="s">
        <v>583</v>
      </c>
      <c r="B48" s="232"/>
      <c r="C48" s="232"/>
      <c r="D48" s="232"/>
      <c r="E48" s="232"/>
      <c r="F48" s="232"/>
      <c r="G48" s="232"/>
      <c r="H48" s="232"/>
    </row>
    <row r="49" spans="1:8" x14ac:dyDescent="0.25">
      <c r="A49" s="1" t="s">
        <v>584</v>
      </c>
      <c r="B49" s="232"/>
      <c r="C49" s="232"/>
      <c r="D49" s="232"/>
      <c r="E49" s="232"/>
      <c r="F49" s="232"/>
      <c r="G49" s="232"/>
      <c r="H49" s="232"/>
    </row>
    <row r="50" spans="1:8" x14ac:dyDescent="0.25">
      <c r="A50" s="1" t="s">
        <v>585</v>
      </c>
      <c r="B50" s="232"/>
      <c r="C50" s="232"/>
      <c r="D50" s="232"/>
      <c r="E50" s="232"/>
      <c r="F50" s="232"/>
      <c r="G50" s="232"/>
      <c r="H50" s="232"/>
    </row>
    <row r="51" spans="1:8" x14ac:dyDescent="0.25">
      <c r="B51" s="232"/>
      <c r="C51" s="232"/>
      <c r="D51" s="232"/>
      <c r="E51" s="232"/>
      <c r="F51" s="232"/>
      <c r="G51" s="232"/>
      <c r="H51" s="232"/>
    </row>
    <row r="52" spans="1:8" x14ac:dyDescent="0.25">
      <c r="A52" s="600" t="s">
        <v>586</v>
      </c>
      <c r="B52" s="233"/>
      <c r="C52" s="233"/>
      <c r="D52" s="233"/>
      <c r="E52" s="233"/>
      <c r="F52" s="233"/>
      <c r="G52" s="233"/>
      <c r="H52" s="232"/>
    </row>
    <row r="53" spans="1:8" x14ac:dyDescent="0.25">
      <c r="A53" s="600" t="s">
        <v>587</v>
      </c>
      <c r="B53" s="233"/>
      <c r="C53" s="233"/>
      <c r="D53" s="233"/>
      <c r="E53" s="233"/>
      <c r="F53" s="233"/>
      <c r="G53" s="233"/>
      <c r="H53" s="232"/>
    </row>
    <row r="54" spans="1:8" x14ac:dyDescent="0.25">
      <c r="B54" s="232"/>
      <c r="C54" s="232"/>
      <c r="D54" s="232"/>
      <c r="E54" s="232"/>
      <c r="F54" s="232"/>
      <c r="G54" s="232"/>
      <c r="H54" s="232"/>
    </row>
    <row r="55" spans="1:8" x14ac:dyDescent="0.25">
      <c r="A55" s="1" t="s">
        <v>588</v>
      </c>
      <c r="B55" s="232"/>
      <c r="C55" s="232"/>
      <c r="D55" s="232"/>
      <c r="E55" s="232"/>
      <c r="F55" s="232"/>
      <c r="G55" s="232"/>
      <c r="H55" s="232"/>
    </row>
    <row r="56" spans="1:8" x14ac:dyDescent="0.25">
      <c r="A56" s="1" t="s">
        <v>589</v>
      </c>
      <c r="B56" s="232"/>
      <c r="C56" s="232"/>
      <c r="D56" s="232"/>
      <c r="E56" s="232"/>
      <c r="F56" s="232"/>
      <c r="G56" s="232"/>
      <c r="H56" s="232"/>
    </row>
    <row r="57" spans="1:8" x14ac:dyDescent="0.25">
      <c r="A57" s="1" t="s">
        <v>590</v>
      </c>
      <c r="B57" s="232"/>
      <c r="C57" s="232"/>
      <c r="D57" s="232"/>
      <c r="E57" s="232"/>
      <c r="F57" s="232"/>
      <c r="G57" s="232"/>
      <c r="H57" s="232"/>
    </row>
    <row r="58" spans="1:8" x14ac:dyDescent="0.25">
      <c r="A58" s="1" t="s">
        <v>591</v>
      </c>
      <c r="B58" s="232"/>
      <c r="C58" s="232"/>
      <c r="D58" s="232"/>
      <c r="E58" s="232"/>
      <c r="F58" s="232"/>
      <c r="G58" s="232"/>
      <c r="H58" s="232"/>
    </row>
    <row r="59" spans="1:8" x14ac:dyDescent="0.25">
      <c r="B59" s="232"/>
      <c r="C59" s="232"/>
      <c r="D59" s="232"/>
      <c r="E59" s="232"/>
      <c r="F59" s="232"/>
      <c r="G59" s="232"/>
      <c r="H59" s="232"/>
    </row>
    <row r="60" spans="1:8" x14ac:dyDescent="0.25">
      <c r="A60" s="1" t="s">
        <v>592</v>
      </c>
      <c r="B60" s="232"/>
      <c r="C60" s="232"/>
      <c r="D60" s="232"/>
      <c r="E60" s="232"/>
      <c r="F60" s="232"/>
      <c r="G60" s="232"/>
      <c r="H60" s="232"/>
    </row>
    <row r="61" spans="1:8" x14ac:dyDescent="0.25">
      <c r="A61" s="1" t="s">
        <v>593</v>
      </c>
      <c r="B61" s="232"/>
      <c r="C61" s="232"/>
      <c r="D61" s="232"/>
      <c r="E61" s="232"/>
      <c r="F61" s="232"/>
      <c r="G61" s="232"/>
      <c r="H61" s="232"/>
    </row>
    <row r="62" spans="1:8" x14ac:dyDescent="0.25">
      <c r="A62" s="1" t="s">
        <v>594</v>
      </c>
      <c r="B62" s="232"/>
      <c r="C62" s="232"/>
      <c r="D62" s="232"/>
      <c r="E62" s="232"/>
      <c r="F62" s="232"/>
      <c r="G62" s="232"/>
      <c r="H62" s="232"/>
    </row>
    <row r="63" spans="1:8" x14ac:dyDescent="0.25">
      <c r="A63" s="1" t="s">
        <v>595</v>
      </c>
      <c r="B63" s="232"/>
      <c r="C63" s="232"/>
      <c r="D63" s="232"/>
      <c r="E63" s="232"/>
      <c r="F63" s="232"/>
      <c r="G63" s="232"/>
      <c r="H63" s="232"/>
    </row>
    <row r="64" spans="1:8" x14ac:dyDescent="0.25">
      <c r="A64" s="1" t="s">
        <v>596</v>
      </c>
      <c r="B64" s="232"/>
      <c r="C64" s="232"/>
      <c r="D64" s="232"/>
      <c r="E64" s="232"/>
      <c r="F64" s="232"/>
      <c r="G64" s="232"/>
      <c r="H64" s="232"/>
    </row>
    <row r="65" spans="1:8" x14ac:dyDescent="0.25">
      <c r="A65" s="1" t="s">
        <v>597</v>
      </c>
      <c r="B65" s="232"/>
      <c r="C65" s="232"/>
      <c r="D65" s="232"/>
      <c r="E65" s="232"/>
      <c r="F65" s="232"/>
      <c r="G65" s="232"/>
      <c r="H65" s="232"/>
    </row>
    <row r="66" spans="1:8" x14ac:dyDescent="0.25">
      <c r="B66" s="232"/>
      <c r="C66" s="232"/>
      <c r="D66" s="232"/>
      <c r="E66" s="232"/>
      <c r="F66" s="232"/>
      <c r="G66" s="232"/>
      <c r="H66" s="232"/>
    </row>
    <row r="67" spans="1:8" x14ac:dyDescent="0.25">
      <c r="A67" s="1" t="s">
        <v>598</v>
      </c>
      <c r="B67" s="232"/>
      <c r="C67" s="232"/>
      <c r="D67" s="232"/>
      <c r="E67" s="232"/>
      <c r="F67" s="232"/>
      <c r="G67" s="232"/>
      <c r="H67" s="232"/>
    </row>
    <row r="68" spans="1:8" x14ac:dyDescent="0.25">
      <c r="A68" s="1" t="s">
        <v>599</v>
      </c>
      <c r="B68" s="232"/>
      <c r="C68" s="232"/>
      <c r="D68" s="232"/>
      <c r="E68" s="232"/>
      <c r="F68" s="232"/>
      <c r="G68" s="232"/>
      <c r="H68" s="232"/>
    </row>
    <row r="69" spans="1:8" x14ac:dyDescent="0.25">
      <c r="A69" s="1" t="s">
        <v>600</v>
      </c>
      <c r="B69" s="232"/>
      <c r="C69" s="232"/>
      <c r="D69" s="232"/>
      <c r="E69" s="232"/>
      <c r="F69" s="232"/>
      <c r="G69" s="232"/>
      <c r="H69" s="232"/>
    </row>
    <row r="70" spans="1:8" x14ac:dyDescent="0.25">
      <c r="A70" s="1" t="s">
        <v>601</v>
      </c>
      <c r="B70" s="232"/>
      <c r="C70" s="232"/>
      <c r="D70" s="232"/>
      <c r="E70" s="232"/>
      <c r="F70" s="232"/>
      <c r="G70" s="232"/>
      <c r="H70" s="232"/>
    </row>
    <row r="71" spans="1:8" x14ac:dyDescent="0.25">
      <c r="A71" s="1" t="s">
        <v>602</v>
      </c>
      <c r="B71" s="232"/>
      <c r="C71" s="232"/>
      <c r="D71" s="232"/>
      <c r="E71" s="232"/>
      <c r="F71" s="232"/>
      <c r="G71" s="232"/>
      <c r="H71" s="232"/>
    </row>
    <row r="72" spans="1:8" x14ac:dyDescent="0.25">
      <c r="A72" s="1" t="s">
        <v>603</v>
      </c>
      <c r="B72" s="232"/>
      <c r="C72" s="232"/>
      <c r="D72" s="232"/>
      <c r="E72" s="232"/>
      <c r="F72" s="232"/>
      <c r="G72" s="232"/>
      <c r="H72" s="232"/>
    </row>
    <row r="73" spans="1:8" x14ac:dyDescent="0.25">
      <c r="A73" s="1" t="s">
        <v>604</v>
      </c>
      <c r="B73" s="232"/>
      <c r="C73" s="232"/>
      <c r="D73" s="232"/>
      <c r="E73" s="232"/>
      <c r="F73" s="232"/>
      <c r="G73" s="232"/>
      <c r="H73" s="232"/>
    </row>
    <row r="74" spans="1:8" x14ac:dyDescent="0.25">
      <c r="B74" s="232"/>
      <c r="C74" s="232"/>
      <c r="D74" s="232"/>
      <c r="E74" s="232"/>
      <c r="F74" s="232"/>
      <c r="G74" s="232"/>
      <c r="H74" s="232"/>
    </row>
    <row r="75" spans="1:8" x14ac:dyDescent="0.25">
      <c r="A75" s="1" t="s">
        <v>605</v>
      </c>
      <c r="B75" s="232"/>
      <c r="C75" s="232"/>
      <c r="D75" s="232"/>
      <c r="E75" s="232"/>
      <c r="F75" s="232"/>
      <c r="G75" s="232"/>
      <c r="H75" s="232"/>
    </row>
    <row r="76" spans="1:8" x14ac:dyDescent="0.25">
      <c r="A76" s="1" t="s">
        <v>606</v>
      </c>
      <c r="B76" s="232"/>
      <c r="C76" s="232"/>
      <c r="D76" s="232"/>
      <c r="E76" s="232"/>
      <c r="F76" s="232"/>
      <c r="G76" s="232"/>
      <c r="H76" s="232"/>
    </row>
    <row r="77" spans="1:8" x14ac:dyDescent="0.25">
      <c r="A77" s="1" t="s">
        <v>607</v>
      </c>
      <c r="B77" s="232"/>
      <c r="C77" s="232"/>
      <c r="D77" s="232"/>
      <c r="E77" s="232"/>
      <c r="F77" s="232"/>
      <c r="G77" s="232"/>
      <c r="H77" s="232"/>
    </row>
    <row r="78" spans="1:8" x14ac:dyDescent="0.25">
      <c r="B78" s="232"/>
      <c r="C78" s="232"/>
      <c r="D78" s="232"/>
      <c r="E78" s="232"/>
      <c r="F78" s="232"/>
      <c r="G78" s="232"/>
      <c r="H78" s="232"/>
    </row>
    <row r="79" spans="1:8" x14ac:dyDescent="0.25">
      <c r="A79" s="1" t="s">
        <v>551</v>
      </c>
    </row>
    <row r="80" spans="1:8" x14ac:dyDescent="0.25">
      <c r="A80" s="600"/>
    </row>
    <row r="107" spans="1:1" x14ac:dyDescent="0.25">
      <c r="A107" s="600"/>
    </row>
    <row r="108" spans="1:1" x14ac:dyDescent="0.25">
      <c r="A108" s="600"/>
    </row>
    <row r="109" spans="1:1" x14ac:dyDescent="0.25">
      <c r="A109" s="600"/>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FF0000"/>
  </sheetPr>
  <dimension ref="A1:L75"/>
  <sheetViews>
    <sheetView workbookViewId="0"/>
  </sheetViews>
  <sheetFormatPr defaultRowHeight="15.75" x14ac:dyDescent="0.25"/>
  <cols>
    <col min="1" max="1" width="64.19921875" style="1" customWidth="1"/>
  </cols>
  <sheetData>
    <row r="1" spans="1:12" ht="20.25" x14ac:dyDescent="0.3">
      <c r="A1" s="603" t="s">
        <v>608</v>
      </c>
    </row>
    <row r="3" spans="1:12" x14ac:dyDescent="0.25">
      <c r="A3" s="599" t="s">
        <v>609</v>
      </c>
      <c r="B3" s="231"/>
      <c r="C3" s="231"/>
      <c r="D3" s="231"/>
      <c r="E3" s="231"/>
      <c r="F3" s="231"/>
      <c r="G3" s="231"/>
      <c r="H3" s="231"/>
      <c r="I3" s="231"/>
      <c r="J3" s="231"/>
      <c r="K3" s="231"/>
      <c r="L3" s="231"/>
    </row>
    <row r="4" spans="1:12" x14ac:dyDescent="0.25">
      <c r="A4" s="599"/>
      <c r="B4" s="231"/>
      <c r="C4" s="231"/>
      <c r="D4" s="231"/>
      <c r="E4" s="231"/>
      <c r="F4" s="231"/>
      <c r="G4" s="231"/>
      <c r="H4" s="231"/>
      <c r="I4" s="231"/>
      <c r="J4" s="231"/>
      <c r="K4" s="231"/>
      <c r="L4" s="231"/>
    </row>
    <row r="5" spans="1:12" x14ac:dyDescent="0.25">
      <c r="A5" s="1" t="s">
        <v>497</v>
      </c>
      <c r="I5" s="231"/>
      <c r="J5" s="231"/>
      <c r="K5" s="231"/>
      <c r="L5" s="231"/>
    </row>
    <row r="6" spans="1:12" x14ac:dyDescent="0.25">
      <c r="A6" s="1" t="str">
        <f>CONCATENATE("estimated ",inputPrYr!D10-1," 'total expenditures' exceed your ",inputPrYr!D10-1,"")</f>
        <v>estimated 2024 'total expenditures' exceed your 2024</v>
      </c>
      <c r="I6" s="231"/>
      <c r="J6" s="231"/>
      <c r="K6" s="231"/>
      <c r="L6" s="231"/>
    </row>
    <row r="7" spans="1:12" x14ac:dyDescent="0.25">
      <c r="A7" s="601" t="s">
        <v>610</v>
      </c>
      <c r="I7" s="231"/>
      <c r="J7" s="231"/>
      <c r="K7" s="231"/>
      <c r="L7" s="231"/>
    </row>
    <row r="8" spans="1:12" x14ac:dyDescent="0.25">
      <c r="I8" s="231"/>
      <c r="J8" s="231"/>
      <c r="K8" s="231"/>
      <c r="L8" s="231"/>
    </row>
    <row r="9" spans="1:12" x14ac:dyDescent="0.25">
      <c r="A9" s="1" t="s">
        <v>611</v>
      </c>
      <c r="I9" s="231"/>
      <c r="J9" s="231"/>
      <c r="K9" s="231"/>
      <c r="L9" s="231"/>
    </row>
    <row r="10" spans="1:12" x14ac:dyDescent="0.25">
      <c r="A10" s="1" t="s">
        <v>612</v>
      </c>
      <c r="I10" s="231"/>
      <c r="J10" s="231"/>
      <c r="K10" s="231"/>
      <c r="L10" s="231"/>
    </row>
    <row r="11" spans="1:12" x14ac:dyDescent="0.25">
      <c r="A11" s="1" t="s">
        <v>613</v>
      </c>
      <c r="I11" s="231"/>
      <c r="J11" s="231"/>
      <c r="K11" s="231"/>
      <c r="L11" s="231"/>
    </row>
    <row r="12" spans="1:12" x14ac:dyDescent="0.25">
      <c r="A12" s="1" t="s">
        <v>614</v>
      </c>
      <c r="I12" s="231"/>
      <c r="J12" s="231"/>
      <c r="K12" s="231"/>
      <c r="L12" s="231"/>
    </row>
    <row r="13" spans="1:12" x14ac:dyDescent="0.25">
      <c r="A13" s="1" t="s">
        <v>615</v>
      </c>
      <c r="I13" s="231"/>
      <c r="J13" s="231"/>
      <c r="K13" s="231"/>
      <c r="L13" s="231"/>
    </row>
    <row r="14" spans="1:12" x14ac:dyDescent="0.25">
      <c r="A14" s="599"/>
      <c r="B14" s="231"/>
      <c r="C14" s="231"/>
      <c r="D14" s="231"/>
      <c r="E14" s="231"/>
      <c r="F14" s="231"/>
      <c r="G14" s="231"/>
      <c r="H14" s="231"/>
      <c r="I14" s="231"/>
      <c r="J14" s="231"/>
      <c r="K14" s="231"/>
      <c r="L14" s="231"/>
    </row>
    <row r="15" spans="1:12" x14ac:dyDescent="0.25">
      <c r="A15" s="600" t="s">
        <v>616</v>
      </c>
    </row>
    <row r="16" spans="1:12" x14ac:dyDescent="0.25">
      <c r="A16" s="600" t="s">
        <v>617</v>
      </c>
    </row>
    <row r="17" spans="1:7" x14ac:dyDescent="0.25">
      <c r="A17" s="600"/>
    </row>
    <row r="18" spans="1:7" x14ac:dyDescent="0.25">
      <c r="A18" s="1" t="s">
        <v>618</v>
      </c>
      <c r="B18" s="232"/>
      <c r="C18" s="232"/>
      <c r="D18" s="232"/>
      <c r="E18" s="232"/>
      <c r="F18" s="232"/>
      <c r="G18" s="232"/>
    </row>
    <row r="19" spans="1:7" x14ac:dyDescent="0.25">
      <c r="A19" s="1" t="str">
        <f>CONCATENATE("your ",inputPrYr!D10-1," numbers to see what steps might be necessary to")</f>
        <v>your 2024 numbers to see what steps might be necessary to</v>
      </c>
      <c r="B19" s="232"/>
      <c r="C19" s="232"/>
      <c r="D19" s="232"/>
      <c r="E19" s="232"/>
      <c r="F19" s="232"/>
      <c r="G19" s="232"/>
    </row>
    <row r="20" spans="1:7" x14ac:dyDescent="0.25">
      <c r="A20" s="1" t="s">
        <v>619</v>
      </c>
      <c r="B20" s="232"/>
      <c r="C20" s="232"/>
      <c r="D20" s="232"/>
      <c r="E20" s="232"/>
      <c r="F20" s="232"/>
      <c r="G20" s="232"/>
    </row>
    <row r="21" spans="1:7" x14ac:dyDescent="0.25">
      <c r="A21" s="1" t="s">
        <v>620</v>
      </c>
      <c r="B21" s="232"/>
      <c r="C21" s="232"/>
      <c r="D21" s="232"/>
      <c r="E21" s="232"/>
      <c r="F21" s="232"/>
      <c r="G21" s="232"/>
    </row>
    <row r="23" spans="1:7" x14ac:dyDescent="0.25">
      <c r="A23" s="600" t="s">
        <v>621</v>
      </c>
    </row>
    <row r="24" spans="1:7" x14ac:dyDescent="0.25">
      <c r="A24" s="600"/>
    </row>
    <row r="25" spans="1:7" x14ac:dyDescent="0.25">
      <c r="A25" s="1" t="s">
        <v>622</v>
      </c>
    </row>
    <row r="26" spans="1:7" x14ac:dyDescent="0.25">
      <c r="A26" s="1" t="s">
        <v>623</v>
      </c>
      <c r="B26" s="232"/>
      <c r="C26" s="232"/>
      <c r="D26" s="232"/>
      <c r="E26" s="232"/>
      <c r="F26" s="232"/>
    </row>
    <row r="27" spans="1:7" x14ac:dyDescent="0.25">
      <c r="A27" s="1" t="s">
        <v>624</v>
      </c>
      <c r="B27" s="232"/>
      <c r="C27" s="232"/>
      <c r="D27" s="232"/>
      <c r="E27" s="232"/>
      <c r="F27" s="232"/>
    </row>
    <row r="28" spans="1:7" x14ac:dyDescent="0.25">
      <c r="A28" s="1" t="s">
        <v>625</v>
      </c>
      <c r="B28" s="232"/>
      <c r="C28" s="232"/>
      <c r="D28" s="232"/>
      <c r="E28" s="232"/>
      <c r="F28" s="232"/>
    </row>
    <row r="29" spans="1:7" x14ac:dyDescent="0.25">
      <c r="B29" s="232"/>
      <c r="C29" s="232"/>
      <c r="D29" s="232"/>
      <c r="E29" s="232"/>
      <c r="F29" s="232"/>
    </row>
    <row r="30" spans="1:7" x14ac:dyDescent="0.25">
      <c r="A30" s="600" t="s">
        <v>626</v>
      </c>
      <c r="B30" s="233"/>
      <c r="C30" s="233"/>
      <c r="D30" s="233"/>
      <c r="E30" s="233"/>
      <c r="F30" s="233"/>
      <c r="G30" s="233"/>
    </row>
    <row r="31" spans="1:7" x14ac:dyDescent="0.25">
      <c r="A31" s="600" t="s">
        <v>627</v>
      </c>
      <c r="B31" s="233"/>
      <c r="C31" s="233"/>
      <c r="D31" s="233"/>
      <c r="E31" s="233"/>
      <c r="F31" s="233"/>
      <c r="G31" s="233"/>
    </row>
    <row r="32" spans="1:7" x14ac:dyDescent="0.25">
      <c r="B32" s="232"/>
      <c r="C32" s="232"/>
      <c r="D32" s="232"/>
      <c r="E32" s="232"/>
      <c r="F32" s="232"/>
    </row>
    <row r="33" spans="1:6" x14ac:dyDescent="0.25">
      <c r="A33" s="602" t="str">
        <f>CONCATENATE("Well, let's look to see if any of your ",inputPrYr!D10-1," expenditures can")</f>
        <v>Well, let's look to see if any of your 2024 expenditures can</v>
      </c>
      <c r="B33" s="232"/>
      <c r="C33" s="232"/>
      <c r="D33" s="232"/>
      <c r="E33" s="232"/>
      <c r="F33" s="232"/>
    </row>
    <row r="34" spans="1:6" x14ac:dyDescent="0.25">
      <c r="A34" s="602" t="s">
        <v>628</v>
      </c>
      <c r="B34" s="232"/>
      <c r="C34" s="232"/>
      <c r="D34" s="232"/>
      <c r="E34" s="232"/>
      <c r="F34" s="232"/>
    </row>
    <row r="35" spans="1:6" x14ac:dyDescent="0.25">
      <c r="A35" s="602" t="s">
        <v>510</v>
      </c>
      <c r="B35" s="232"/>
      <c r="C35" s="232"/>
      <c r="D35" s="232"/>
      <c r="E35" s="232"/>
      <c r="F35" s="232"/>
    </row>
    <row r="36" spans="1:6" x14ac:dyDescent="0.25">
      <c r="A36" s="602" t="s">
        <v>511</v>
      </c>
      <c r="B36" s="232"/>
      <c r="C36" s="232"/>
      <c r="D36" s="232"/>
      <c r="E36" s="232"/>
      <c r="F36" s="232"/>
    </row>
    <row r="37" spans="1:6" x14ac:dyDescent="0.25">
      <c r="A37" s="602"/>
      <c r="B37" s="232"/>
      <c r="C37" s="232"/>
      <c r="D37" s="232"/>
      <c r="E37" s="232"/>
      <c r="F37" s="232"/>
    </row>
    <row r="38" spans="1:6" x14ac:dyDescent="0.25">
      <c r="A38" s="602" t="str">
        <f>CONCATENATE("Additionally, do your ",inputPrYr!D10-1," receipts contain a reimbursement")</f>
        <v>Additionally, do your 2024 receipts contain a reimbursement</v>
      </c>
      <c r="B38" s="232"/>
      <c r="C38" s="232"/>
      <c r="D38" s="232"/>
      <c r="E38" s="232"/>
      <c r="F38" s="232"/>
    </row>
    <row r="39" spans="1:6" x14ac:dyDescent="0.25">
      <c r="A39" s="602" t="s">
        <v>512</v>
      </c>
      <c r="B39" s="232"/>
      <c r="C39" s="232"/>
      <c r="D39" s="232"/>
      <c r="E39" s="232"/>
      <c r="F39" s="232"/>
    </row>
    <row r="40" spans="1:6" x14ac:dyDescent="0.25">
      <c r="A40" s="602" t="s">
        <v>513</v>
      </c>
      <c r="B40" s="232"/>
      <c r="C40" s="232"/>
      <c r="D40" s="232"/>
      <c r="E40" s="232"/>
      <c r="F40" s="232"/>
    </row>
    <row r="41" spans="1:6" x14ac:dyDescent="0.25">
      <c r="A41" s="602"/>
      <c r="B41" s="232"/>
      <c r="C41" s="232"/>
      <c r="D41" s="232"/>
      <c r="E41" s="232"/>
      <c r="F41" s="232"/>
    </row>
    <row r="42" spans="1:6" x14ac:dyDescent="0.25">
      <c r="A42" s="602" t="s">
        <v>514</v>
      </c>
      <c r="B42" s="232"/>
      <c r="C42" s="232"/>
      <c r="D42" s="232"/>
      <c r="E42" s="232"/>
      <c r="F42" s="232"/>
    </row>
    <row r="43" spans="1:6" x14ac:dyDescent="0.25">
      <c r="A43" s="602" t="s">
        <v>515</v>
      </c>
      <c r="B43" s="232"/>
      <c r="C43" s="232"/>
      <c r="D43" s="232"/>
      <c r="E43" s="232"/>
      <c r="F43" s="232"/>
    </row>
    <row r="44" spans="1:6" x14ac:dyDescent="0.25">
      <c r="A44" s="602" t="s">
        <v>516</v>
      </c>
      <c r="B44" s="232"/>
      <c r="C44" s="232"/>
      <c r="D44" s="232"/>
      <c r="E44" s="232"/>
      <c r="F44" s="232"/>
    </row>
    <row r="45" spans="1:6" x14ac:dyDescent="0.25">
      <c r="A45" s="602" t="s">
        <v>629</v>
      </c>
      <c r="B45" s="232"/>
      <c r="C45" s="232"/>
      <c r="D45" s="232"/>
      <c r="E45" s="232"/>
      <c r="F45" s="232"/>
    </row>
    <row r="46" spans="1:6" x14ac:dyDescent="0.25">
      <c r="A46" s="602" t="s">
        <v>518</v>
      </c>
      <c r="B46" s="232"/>
      <c r="C46" s="232"/>
      <c r="D46" s="232"/>
      <c r="E46" s="232"/>
      <c r="F46" s="232"/>
    </row>
    <row r="47" spans="1:6" x14ac:dyDescent="0.25">
      <c r="A47" s="602" t="s">
        <v>630</v>
      </c>
      <c r="B47" s="232"/>
      <c r="C47" s="232"/>
      <c r="D47" s="232"/>
      <c r="E47" s="232"/>
      <c r="F47" s="232"/>
    </row>
    <row r="48" spans="1:6" x14ac:dyDescent="0.25">
      <c r="A48" s="602" t="s">
        <v>631</v>
      </c>
      <c r="B48" s="232"/>
      <c r="C48" s="232"/>
      <c r="D48" s="232"/>
      <c r="E48" s="232"/>
      <c r="F48" s="232"/>
    </row>
    <row r="49" spans="1:6" x14ac:dyDescent="0.25">
      <c r="A49" s="602" t="s">
        <v>521</v>
      </c>
      <c r="B49" s="232"/>
      <c r="C49" s="232"/>
      <c r="D49" s="232"/>
      <c r="E49" s="232"/>
      <c r="F49" s="232"/>
    </row>
    <row r="50" spans="1:6" x14ac:dyDescent="0.25">
      <c r="A50" s="602"/>
      <c r="B50" s="232"/>
      <c r="C50" s="232"/>
      <c r="D50" s="232"/>
      <c r="E50" s="232"/>
      <c r="F50" s="232"/>
    </row>
    <row r="51" spans="1:6" x14ac:dyDescent="0.25">
      <c r="A51" s="602" t="s">
        <v>522</v>
      </c>
      <c r="B51" s="232"/>
      <c r="C51" s="232"/>
      <c r="D51" s="232"/>
      <c r="E51" s="232"/>
      <c r="F51" s="232"/>
    </row>
    <row r="52" spans="1:6" x14ac:dyDescent="0.25">
      <c r="A52" s="602" t="s">
        <v>523</v>
      </c>
      <c r="B52" s="232"/>
      <c r="C52" s="232"/>
      <c r="D52" s="232"/>
      <c r="E52" s="232"/>
      <c r="F52" s="232"/>
    </row>
    <row r="53" spans="1:6" x14ac:dyDescent="0.25">
      <c r="A53" s="602" t="s">
        <v>524</v>
      </c>
      <c r="B53" s="232"/>
      <c r="C53" s="232"/>
      <c r="D53" s="232"/>
      <c r="E53" s="232"/>
      <c r="F53" s="232"/>
    </row>
    <row r="54" spans="1:6" x14ac:dyDescent="0.25">
      <c r="A54" s="602"/>
      <c r="B54" s="232"/>
      <c r="C54" s="232"/>
      <c r="D54" s="232"/>
      <c r="E54" s="232"/>
      <c r="F54" s="232"/>
    </row>
    <row r="55" spans="1:6" x14ac:dyDescent="0.25">
      <c r="A55" s="602" t="s">
        <v>632</v>
      </c>
      <c r="B55" s="232"/>
      <c r="C55" s="232"/>
      <c r="D55" s="232"/>
      <c r="E55" s="232"/>
      <c r="F55" s="232"/>
    </row>
    <row r="56" spans="1:6" x14ac:dyDescent="0.25">
      <c r="A56" s="602" t="s">
        <v>633</v>
      </c>
      <c r="B56" s="232"/>
      <c r="C56" s="232"/>
      <c r="D56" s="232"/>
      <c r="E56" s="232"/>
      <c r="F56" s="232"/>
    </row>
    <row r="57" spans="1:6" x14ac:dyDescent="0.25">
      <c r="A57" s="602" t="s">
        <v>634</v>
      </c>
      <c r="B57" s="232"/>
      <c r="C57" s="232"/>
      <c r="D57" s="232"/>
      <c r="E57" s="232"/>
      <c r="F57" s="232"/>
    </row>
    <row r="58" spans="1:6" x14ac:dyDescent="0.25">
      <c r="A58" s="602" t="s">
        <v>635</v>
      </c>
      <c r="B58" s="232"/>
      <c r="C58" s="232"/>
      <c r="D58" s="232"/>
      <c r="E58" s="232"/>
      <c r="F58" s="232"/>
    </row>
    <row r="59" spans="1:6" x14ac:dyDescent="0.25">
      <c r="A59" s="602" t="s">
        <v>636</v>
      </c>
      <c r="B59" s="232"/>
      <c r="C59" s="232"/>
      <c r="D59" s="232"/>
      <c r="E59" s="232"/>
      <c r="F59" s="232"/>
    </row>
    <row r="60" spans="1:6" x14ac:dyDescent="0.25">
      <c r="A60" s="602"/>
      <c r="B60" s="232"/>
      <c r="C60" s="232"/>
      <c r="D60" s="232"/>
      <c r="E60" s="232"/>
      <c r="F60" s="232"/>
    </row>
    <row r="61" spans="1:6" x14ac:dyDescent="0.25">
      <c r="A61" s="602" t="s">
        <v>637</v>
      </c>
      <c r="B61" s="232"/>
      <c r="C61" s="232"/>
      <c r="D61" s="232"/>
      <c r="E61" s="232"/>
      <c r="F61" s="232"/>
    </row>
    <row r="62" spans="1:6" x14ac:dyDescent="0.25">
      <c r="A62" s="602" t="s">
        <v>638</v>
      </c>
      <c r="B62" s="232"/>
      <c r="C62" s="232"/>
      <c r="D62" s="232"/>
      <c r="E62" s="232"/>
      <c r="F62" s="232"/>
    </row>
    <row r="63" spans="1:6" x14ac:dyDescent="0.25">
      <c r="A63" s="602" t="s">
        <v>639</v>
      </c>
      <c r="B63" s="232"/>
      <c r="C63" s="232"/>
      <c r="D63" s="232"/>
      <c r="E63" s="232"/>
      <c r="F63" s="232"/>
    </row>
    <row r="64" spans="1:6" x14ac:dyDescent="0.25">
      <c r="A64" s="602" t="s">
        <v>640</v>
      </c>
    </row>
    <row r="65" spans="1:1" x14ac:dyDescent="0.25">
      <c r="A65" s="602" t="s">
        <v>641</v>
      </c>
    </row>
    <row r="66" spans="1:1" x14ac:dyDescent="0.25">
      <c r="A66" s="602" t="s">
        <v>642</v>
      </c>
    </row>
    <row r="68" spans="1:1" x14ac:dyDescent="0.25">
      <c r="A68" s="1" t="s">
        <v>643</v>
      </c>
    </row>
    <row r="69" spans="1:1" x14ac:dyDescent="0.25">
      <c r="A69" s="1" t="s">
        <v>644</v>
      </c>
    </row>
    <row r="70" spans="1:1" x14ac:dyDescent="0.25">
      <c r="A70" s="1" t="s">
        <v>645</v>
      </c>
    </row>
    <row r="71" spans="1:1" x14ac:dyDescent="0.25">
      <c r="A71" s="1" t="s">
        <v>646</v>
      </c>
    </row>
    <row r="72" spans="1:1" x14ac:dyDescent="0.25">
      <c r="A72" s="1" t="s">
        <v>647</v>
      </c>
    </row>
    <row r="73" spans="1:1" x14ac:dyDescent="0.25">
      <c r="A73" s="1" t="s">
        <v>648</v>
      </c>
    </row>
    <row r="75" spans="1:1" x14ac:dyDescent="0.25">
      <c r="A75" s="1" t="s">
        <v>551</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rgb="FFFF0000"/>
  </sheetPr>
  <dimension ref="A1:G78"/>
  <sheetViews>
    <sheetView workbookViewId="0"/>
  </sheetViews>
  <sheetFormatPr defaultRowHeight="15.75" x14ac:dyDescent="0.25"/>
  <cols>
    <col min="1" max="1" width="64.19921875" style="1" customWidth="1"/>
  </cols>
  <sheetData>
    <row r="1" spans="1:7" ht="20.25" x14ac:dyDescent="0.3">
      <c r="A1" s="603" t="s">
        <v>649</v>
      </c>
    </row>
    <row r="3" spans="1:7" x14ac:dyDescent="0.25">
      <c r="A3" s="599" t="s">
        <v>650</v>
      </c>
      <c r="B3" s="231"/>
      <c r="C3" s="231"/>
      <c r="D3" s="231"/>
      <c r="E3" s="231"/>
      <c r="F3" s="231"/>
      <c r="G3" s="231"/>
    </row>
    <row r="4" spans="1:7" x14ac:dyDescent="0.25">
      <c r="A4" s="599"/>
      <c r="B4" s="231"/>
      <c r="C4" s="231"/>
      <c r="D4" s="231"/>
      <c r="E4" s="231"/>
      <c r="F4" s="231"/>
      <c r="G4" s="231"/>
    </row>
    <row r="5" spans="1:7" x14ac:dyDescent="0.25">
      <c r="A5" s="1" t="s">
        <v>554</v>
      </c>
    </row>
    <row r="6" spans="1:7" x14ac:dyDescent="0.25">
      <c r="A6" s="1" t="str">
        <f>CONCATENATE(inputPrYr!D10," estimated expenditures show that at the end of this year")</f>
        <v>2025 estimated expenditures show that at the end of this year</v>
      </c>
    </row>
    <row r="7" spans="1:7" x14ac:dyDescent="0.25">
      <c r="A7" s="1" t="s">
        <v>651</v>
      </c>
    </row>
    <row r="8" spans="1:7" x14ac:dyDescent="0.25">
      <c r="A8" s="1" t="s">
        <v>652</v>
      </c>
    </row>
    <row r="10" spans="1:7" x14ac:dyDescent="0.25">
      <c r="A10" s="1" t="s">
        <v>556</v>
      </c>
    </row>
    <row r="11" spans="1:7" x14ac:dyDescent="0.25">
      <c r="A11" s="1" t="s">
        <v>557</v>
      </c>
    </row>
    <row r="12" spans="1:7" x14ac:dyDescent="0.25">
      <c r="A12" s="1" t="s">
        <v>558</v>
      </c>
    </row>
    <row r="13" spans="1:7" x14ac:dyDescent="0.25">
      <c r="A13" s="599"/>
      <c r="B13" s="231"/>
      <c r="C13" s="231"/>
      <c r="D13" s="231"/>
      <c r="E13" s="231"/>
      <c r="F13" s="231"/>
      <c r="G13" s="231"/>
    </row>
    <row r="14" spans="1:7" x14ac:dyDescent="0.25">
      <c r="A14" s="600" t="s">
        <v>653</v>
      </c>
    </row>
    <row r="16" spans="1:7" x14ac:dyDescent="0.25">
      <c r="A16" s="1" t="s">
        <v>654</v>
      </c>
    </row>
    <row r="17" spans="1:7" x14ac:dyDescent="0.25">
      <c r="A17" s="1" t="s">
        <v>655</v>
      </c>
    </row>
    <row r="18" spans="1:7" x14ac:dyDescent="0.25">
      <c r="A18" s="1" t="s">
        <v>656</v>
      </c>
    </row>
    <row r="20" spans="1:7" x14ac:dyDescent="0.25">
      <c r="A20" s="1" t="s">
        <v>657</v>
      </c>
    </row>
    <row r="21" spans="1:7" x14ac:dyDescent="0.25">
      <c r="A21" s="1" t="s">
        <v>658</v>
      </c>
    </row>
    <row r="22" spans="1:7" x14ac:dyDescent="0.25">
      <c r="A22" s="1" t="s">
        <v>659</v>
      </c>
    </row>
    <row r="23" spans="1:7" x14ac:dyDescent="0.25">
      <c r="A23" s="1" t="s">
        <v>660</v>
      </c>
    </row>
    <row r="25" spans="1:7" x14ac:dyDescent="0.25">
      <c r="A25" s="600" t="s">
        <v>621</v>
      </c>
    </row>
    <row r="26" spans="1:7" x14ac:dyDescent="0.25">
      <c r="A26" s="600"/>
    </row>
    <row r="27" spans="1:7" x14ac:dyDescent="0.25">
      <c r="A27" s="1" t="s">
        <v>622</v>
      </c>
    </row>
    <row r="28" spans="1:7" x14ac:dyDescent="0.25">
      <c r="A28" s="1" t="s">
        <v>623</v>
      </c>
      <c r="B28" s="232"/>
      <c r="C28" s="232"/>
      <c r="D28" s="232"/>
      <c r="E28" s="232"/>
      <c r="F28" s="232"/>
    </row>
    <row r="29" spans="1:7" x14ac:dyDescent="0.25">
      <c r="A29" s="1" t="s">
        <v>624</v>
      </c>
      <c r="B29" s="232"/>
      <c r="C29" s="232"/>
      <c r="D29" s="232"/>
      <c r="E29" s="232"/>
      <c r="F29" s="232"/>
    </row>
    <row r="30" spans="1:7" x14ac:dyDescent="0.25">
      <c r="A30" s="1" t="s">
        <v>625</v>
      </c>
      <c r="B30" s="232"/>
      <c r="C30" s="232"/>
      <c r="D30" s="232"/>
      <c r="E30" s="232"/>
      <c r="F30" s="232"/>
    </row>
    <row r="32" spans="1:7" x14ac:dyDescent="0.25">
      <c r="A32" s="600" t="s">
        <v>626</v>
      </c>
      <c r="B32" s="233"/>
      <c r="C32" s="233"/>
      <c r="D32" s="233"/>
      <c r="E32" s="233"/>
      <c r="F32" s="233"/>
      <c r="G32" s="233"/>
    </row>
    <row r="33" spans="1:7" x14ac:dyDescent="0.25">
      <c r="A33" s="600" t="s">
        <v>627</v>
      </c>
      <c r="B33" s="233"/>
      <c r="C33" s="233"/>
      <c r="D33" s="233"/>
      <c r="E33" s="233"/>
      <c r="F33" s="233"/>
      <c r="G33" s="233"/>
    </row>
    <row r="34" spans="1:7" x14ac:dyDescent="0.25">
      <c r="A34" s="600"/>
      <c r="B34" s="233"/>
      <c r="C34" s="233"/>
      <c r="D34" s="233"/>
      <c r="E34" s="233"/>
      <c r="F34" s="233"/>
      <c r="G34" s="233"/>
    </row>
    <row r="35" spans="1:7" x14ac:dyDescent="0.25">
      <c r="A35" s="1" t="s">
        <v>661</v>
      </c>
      <c r="B35" s="232"/>
      <c r="C35" s="232"/>
      <c r="D35" s="232"/>
      <c r="E35" s="232"/>
      <c r="F35" s="232"/>
      <c r="G35" s="232"/>
    </row>
    <row r="36" spans="1:7" x14ac:dyDescent="0.25">
      <c r="A36" s="1" t="s">
        <v>662</v>
      </c>
      <c r="B36" s="232"/>
      <c r="C36" s="232"/>
      <c r="D36" s="232"/>
      <c r="E36" s="232"/>
      <c r="F36" s="232"/>
      <c r="G36" s="232"/>
    </row>
    <row r="37" spans="1:7" x14ac:dyDescent="0.25">
      <c r="A37" s="1" t="s">
        <v>663</v>
      </c>
      <c r="B37" s="232"/>
      <c r="C37" s="232"/>
      <c r="D37" s="232"/>
      <c r="E37" s="232"/>
      <c r="F37" s="232"/>
      <c r="G37" s="232"/>
    </row>
    <row r="38" spans="1:7" x14ac:dyDescent="0.25">
      <c r="A38" s="1" t="s">
        <v>664</v>
      </c>
      <c r="B38" s="232"/>
      <c r="C38" s="232"/>
      <c r="D38" s="232"/>
      <c r="E38" s="232"/>
      <c r="F38" s="232"/>
      <c r="G38" s="232"/>
    </row>
    <row r="39" spans="1:7" x14ac:dyDescent="0.25">
      <c r="A39" s="1" t="s">
        <v>665</v>
      </c>
      <c r="B39" s="232"/>
      <c r="C39" s="232"/>
      <c r="D39" s="232"/>
      <c r="E39" s="232"/>
      <c r="F39" s="232"/>
      <c r="G39" s="232"/>
    </row>
    <row r="40" spans="1:7" x14ac:dyDescent="0.25">
      <c r="A40" s="600"/>
      <c r="B40" s="233"/>
      <c r="C40" s="233"/>
      <c r="D40" s="233"/>
      <c r="E40" s="233"/>
      <c r="F40" s="233"/>
      <c r="G40" s="233"/>
    </row>
    <row r="41" spans="1:7" x14ac:dyDescent="0.25">
      <c r="A41" s="602" t="str">
        <f>CONCATENATE("So, let's look to see if any of your ",inputPrYr!D10-1," expenditures can")</f>
        <v>So, let's look to see if any of your 2024 expenditures can</v>
      </c>
      <c r="B41" s="232"/>
      <c r="C41" s="232"/>
      <c r="D41" s="232"/>
      <c r="E41" s="232"/>
      <c r="F41" s="232"/>
    </row>
    <row r="42" spans="1:7" x14ac:dyDescent="0.25">
      <c r="A42" s="602" t="s">
        <v>628</v>
      </c>
      <c r="B42" s="232"/>
      <c r="C42" s="232"/>
      <c r="D42" s="232"/>
      <c r="E42" s="232"/>
      <c r="F42" s="232"/>
    </row>
    <row r="43" spans="1:7" x14ac:dyDescent="0.25">
      <c r="A43" s="602" t="s">
        <v>510</v>
      </c>
      <c r="B43" s="232"/>
      <c r="C43" s="232"/>
      <c r="D43" s="232"/>
      <c r="E43" s="232"/>
      <c r="F43" s="232"/>
    </row>
    <row r="44" spans="1:7" x14ac:dyDescent="0.25">
      <c r="A44" s="602" t="s">
        <v>511</v>
      </c>
      <c r="B44" s="232"/>
      <c r="C44" s="232"/>
      <c r="D44" s="232"/>
      <c r="E44" s="232"/>
      <c r="F44" s="232"/>
    </row>
    <row r="46" spans="1:7" x14ac:dyDescent="0.25">
      <c r="A46" s="602" t="str">
        <f>CONCATENATE("Additionally, do your ",inputPrYr!D10-1," receipts contain a reimbursement")</f>
        <v>Additionally, do your 2024 receipts contain a reimbursement</v>
      </c>
      <c r="B46" s="232"/>
      <c r="C46" s="232"/>
      <c r="D46" s="232"/>
      <c r="E46" s="232"/>
      <c r="F46" s="232"/>
    </row>
    <row r="47" spans="1:7" x14ac:dyDescent="0.25">
      <c r="A47" s="602" t="s">
        <v>512</v>
      </c>
      <c r="B47" s="232"/>
      <c r="C47" s="232"/>
      <c r="D47" s="232"/>
      <c r="E47" s="232"/>
      <c r="F47" s="232"/>
    </row>
    <row r="48" spans="1:7" x14ac:dyDescent="0.25">
      <c r="A48" s="602" t="s">
        <v>513</v>
      </c>
      <c r="B48" s="232"/>
      <c r="C48" s="232"/>
      <c r="D48" s="232"/>
      <c r="E48" s="232"/>
      <c r="F48" s="232"/>
    </row>
    <row r="49" spans="1:7" x14ac:dyDescent="0.25">
      <c r="B49" s="232"/>
      <c r="C49" s="232"/>
      <c r="D49" s="232"/>
      <c r="E49" s="232"/>
      <c r="F49" s="232"/>
      <c r="G49" s="232"/>
    </row>
    <row r="50" spans="1:7" x14ac:dyDescent="0.25">
      <c r="A50" s="1" t="s">
        <v>581</v>
      </c>
      <c r="B50" s="232"/>
      <c r="C50" s="232"/>
      <c r="D50" s="232"/>
      <c r="E50" s="232"/>
      <c r="F50" s="232"/>
      <c r="G50" s="232"/>
    </row>
    <row r="51" spans="1:7" x14ac:dyDescent="0.25">
      <c r="A51" s="1" t="s">
        <v>582</v>
      </c>
      <c r="B51" s="232"/>
      <c r="C51" s="232"/>
      <c r="D51" s="232"/>
      <c r="E51" s="232"/>
      <c r="F51" s="232"/>
      <c r="G51" s="232"/>
    </row>
    <row r="52" spans="1:7" x14ac:dyDescent="0.25">
      <c r="A52" s="1" t="s">
        <v>583</v>
      </c>
      <c r="B52" s="232"/>
      <c r="C52" s="232"/>
      <c r="D52" s="232"/>
      <c r="E52" s="232"/>
      <c r="F52" s="232"/>
      <c r="G52" s="232"/>
    </row>
    <row r="53" spans="1:7" x14ac:dyDescent="0.25">
      <c r="A53" s="1" t="s">
        <v>584</v>
      </c>
      <c r="B53" s="232"/>
      <c r="C53" s="232"/>
      <c r="D53" s="232"/>
      <c r="E53" s="232"/>
      <c r="F53" s="232"/>
      <c r="G53" s="232"/>
    </row>
    <row r="54" spans="1:7" x14ac:dyDescent="0.25">
      <c r="A54" s="1" t="s">
        <v>585</v>
      </c>
      <c r="B54" s="232"/>
      <c r="C54" s="232"/>
      <c r="D54" s="232"/>
      <c r="E54" s="232"/>
      <c r="F54" s="232"/>
      <c r="G54" s="232"/>
    </row>
    <row r="55" spans="1:7" x14ac:dyDescent="0.25">
      <c r="B55" s="232"/>
      <c r="C55" s="232"/>
      <c r="D55" s="232"/>
      <c r="E55" s="232"/>
      <c r="F55" s="232"/>
      <c r="G55" s="232"/>
    </row>
    <row r="56" spans="1:7" x14ac:dyDescent="0.25">
      <c r="A56" s="602" t="s">
        <v>522</v>
      </c>
      <c r="B56" s="232"/>
      <c r="C56" s="232"/>
      <c r="D56" s="232"/>
      <c r="E56" s="232"/>
      <c r="F56" s="232"/>
    </row>
    <row r="57" spans="1:7" x14ac:dyDescent="0.25">
      <c r="A57" s="602" t="s">
        <v>523</v>
      </c>
      <c r="B57" s="232"/>
      <c r="C57" s="232"/>
      <c r="D57" s="232"/>
      <c r="E57" s="232"/>
      <c r="F57" s="232"/>
    </row>
    <row r="58" spans="1:7" x14ac:dyDescent="0.25">
      <c r="A58" s="602" t="s">
        <v>524</v>
      </c>
      <c r="B58" s="232"/>
      <c r="C58" s="232"/>
      <c r="D58" s="232"/>
      <c r="E58" s="232"/>
      <c r="F58" s="232"/>
    </row>
    <row r="59" spans="1:7" x14ac:dyDescent="0.25">
      <c r="A59" s="602"/>
      <c r="B59" s="232"/>
      <c r="C59" s="232"/>
      <c r="D59" s="232"/>
      <c r="E59" s="232"/>
      <c r="F59" s="232"/>
    </row>
    <row r="60" spans="1:7" x14ac:dyDescent="0.25">
      <c r="A60" s="1" t="s">
        <v>666</v>
      </c>
      <c r="B60" s="232"/>
      <c r="C60" s="232"/>
      <c r="D60" s="232"/>
      <c r="E60" s="232"/>
      <c r="F60" s="232"/>
      <c r="G60" s="232"/>
    </row>
    <row r="61" spans="1:7" x14ac:dyDescent="0.25">
      <c r="A61" s="1" t="s">
        <v>667</v>
      </c>
      <c r="B61" s="232"/>
      <c r="C61" s="232"/>
      <c r="D61" s="232"/>
      <c r="E61" s="232"/>
      <c r="F61" s="232"/>
      <c r="G61" s="232"/>
    </row>
    <row r="62" spans="1:7" x14ac:dyDescent="0.25">
      <c r="A62" s="1" t="s">
        <v>668</v>
      </c>
      <c r="B62" s="232"/>
      <c r="C62" s="232"/>
      <c r="D62" s="232"/>
      <c r="E62" s="232"/>
      <c r="F62" s="232"/>
      <c r="G62" s="232"/>
    </row>
    <row r="63" spans="1:7" x14ac:dyDescent="0.25">
      <c r="A63" s="1" t="s">
        <v>669</v>
      </c>
      <c r="B63" s="232"/>
      <c r="C63" s="232"/>
      <c r="D63" s="232"/>
      <c r="E63" s="232"/>
      <c r="F63" s="232"/>
      <c r="G63" s="232"/>
    </row>
    <row r="64" spans="1:7" x14ac:dyDescent="0.25">
      <c r="A64" s="1" t="s">
        <v>670</v>
      </c>
      <c r="B64" s="232"/>
      <c r="C64" s="232"/>
      <c r="D64" s="232"/>
      <c r="E64" s="232"/>
      <c r="F64" s="232"/>
      <c r="G64" s="232"/>
    </row>
    <row r="66" spans="1:6" x14ac:dyDescent="0.25">
      <c r="A66" s="602" t="s">
        <v>632</v>
      </c>
      <c r="B66" s="232"/>
      <c r="C66" s="232"/>
      <c r="D66" s="232"/>
      <c r="E66" s="232"/>
      <c r="F66" s="232"/>
    </row>
    <row r="67" spans="1:6" x14ac:dyDescent="0.25">
      <c r="A67" s="602" t="s">
        <v>633</v>
      </c>
      <c r="B67" s="232"/>
      <c r="C67" s="232"/>
      <c r="D67" s="232"/>
      <c r="E67" s="232"/>
      <c r="F67" s="232"/>
    </row>
    <row r="68" spans="1:6" x14ac:dyDescent="0.25">
      <c r="A68" s="602" t="s">
        <v>634</v>
      </c>
      <c r="B68" s="232"/>
      <c r="C68" s="232"/>
      <c r="D68" s="232"/>
      <c r="E68" s="232"/>
      <c r="F68" s="232"/>
    </row>
    <row r="69" spans="1:6" x14ac:dyDescent="0.25">
      <c r="A69" s="602" t="s">
        <v>635</v>
      </c>
      <c r="B69" s="232"/>
      <c r="C69" s="232"/>
      <c r="D69" s="232"/>
      <c r="E69" s="232"/>
      <c r="F69" s="232"/>
    </row>
    <row r="70" spans="1:6" x14ac:dyDescent="0.25">
      <c r="A70" s="602" t="s">
        <v>636</v>
      </c>
      <c r="B70" s="232"/>
      <c r="C70" s="232"/>
      <c r="D70" s="232"/>
      <c r="E70" s="232"/>
      <c r="F70" s="232"/>
    </row>
    <row r="72" spans="1:6" x14ac:dyDescent="0.25">
      <c r="A72" s="1" t="s">
        <v>551</v>
      </c>
    </row>
    <row r="78" spans="1:6" x14ac:dyDescent="0.25">
      <c r="A78" s="600"/>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rgb="FFFF0000"/>
  </sheetPr>
  <dimension ref="A1:G52"/>
  <sheetViews>
    <sheetView workbookViewId="0"/>
  </sheetViews>
  <sheetFormatPr defaultRowHeight="15.75" x14ac:dyDescent="0.25"/>
  <cols>
    <col min="1" max="1" width="64.19921875" style="1" customWidth="1"/>
  </cols>
  <sheetData>
    <row r="1" spans="1:7" ht="20.25" x14ac:dyDescent="0.3">
      <c r="A1" s="603" t="s">
        <v>671</v>
      </c>
    </row>
    <row r="3" spans="1:7" x14ac:dyDescent="0.25">
      <c r="A3" s="599" t="s">
        <v>672</v>
      </c>
      <c r="B3" s="231"/>
      <c r="C3" s="231"/>
      <c r="D3" s="231"/>
      <c r="E3" s="231"/>
      <c r="F3" s="231"/>
      <c r="G3" s="231"/>
    </row>
    <row r="4" spans="1:7" x14ac:dyDescent="0.25">
      <c r="A4" s="599" t="s">
        <v>673</v>
      </c>
      <c r="B4" s="231"/>
      <c r="C4" s="231"/>
      <c r="D4" s="231"/>
      <c r="E4" s="231"/>
      <c r="F4" s="231"/>
      <c r="G4" s="231"/>
    </row>
    <row r="5" spans="1:7" x14ac:dyDescent="0.25">
      <c r="A5" s="599"/>
      <c r="B5" s="231"/>
      <c r="C5" s="231"/>
      <c r="D5" s="231"/>
      <c r="E5" s="231"/>
      <c r="F5" s="231"/>
      <c r="G5" s="231"/>
    </row>
    <row r="6" spans="1:7" x14ac:dyDescent="0.25">
      <c r="A6" s="599"/>
      <c r="B6" s="231"/>
      <c r="C6" s="231"/>
      <c r="D6" s="231"/>
      <c r="E6" s="231"/>
      <c r="F6" s="231"/>
      <c r="G6" s="231"/>
    </row>
    <row r="7" spans="1:7" x14ac:dyDescent="0.25">
      <c r="A7" s="1" t="s">
        <v>497</v>
      </c>
    </row>
    <row r="8" spans="1:7" x14ac:dyDescent="0.25">
      <c r="A8" s="1" t="str">
        <f>CONCATENATE("estimated ",inputPrYr!D10," 'total expenditures' exceed your ",inputPrYr!D10,"")</f>
        <v>estimated 2025 'total expenditures' exceed your 2025</v>
      </c>
    </row>
    <row r="9" spans="1:7" x14ac:dyDescent="0.25">
      <c r="A9" s="601" t="s">
        <v>674</v>
      </c>
    </row>
    <row r="11" spans="1:7" x14ac:dyDescent="0.25">
      <c r="A11" s="1" t="s">
        <v>675</v>
      </c>
    </row>
    <row r="12" spans="1:7" x14ac:dyDescent="0.25">
      <c r="A12" s="1" t="s">
        <v>676</v>
      </c>
    </row>
    <row r="13" spans="1:7" x14ac:dyDescent="0.25">
      <c r="A13" s="1" t="s">
        <v>677</v>
      </c>
    </row>
    <row r="15" spans="1:7" x14ac:dyDescent="0.25">
      <c r="A15" s="600" t="s">
        <v>678</v>
      </c>
    </row>
    <row r="16" spans="1:7" x14ac:dyDescent="0.25">
      <c r="A16" s="599"/>
      <c r="B16" s="231"/>
      <c r="C16" s="231"/>
      <c r="D16" s="231"/>
      <c r="E16" s="231"/>
      <c r="F16" s="231"/>
      <c r="G16" s="231"/>
    </row>
    <row r="17" spans="1:7" x14ac:dyDescent="0.25">
      <c r="A17" s="1" t="s">
        <v>679</v>
      </c>
    </row>
    <row r="18" spans="1:7" x14ac:dyDescent="0.25">
      <c r="A18" s="1" t="s">
        <v>680</v>
      </c>
      <c r="B18" s="234"/>
      <c r="C18" s="234"/>
      <c r="D18" s="234"/>
      <c r="E18" s="234"/>
      <c r="F18" s="234"/>
      <c r="G18" s="234"/>
    </row>
    <row r="19" spans="1:7" x14ac:dyDescent="0.25">
      <c r="A19" s="1" t="s">
        <v>681</v>
      </c>
    </row>
    <row r="20" spans="1:7" x14ac:dyDescent="0.25">
      <c r="A20" s="1" t="s">
        <v>682</v>
      </c>
    </row>
    <row r="22" spans="1:7" x14ac:dyDescent="0.25">
      <c r="A22" s="600" t="s">
        <v>683</v>
      </c>
    </row>
    <row r="24" spans="1:7" x14ac:dyDescent="0.25">
      <c r="A24" s="1" t="s">
        <v>684</v>
      </c>
    </row>
    <row r="25" spans="1:7" x14ac:dyDescent="0.25">
      <c r="A25" s="1" t="s">
        <v>685</v>
      </c>
    </row>
    <row r="26" spans="1:7" x14ac:dyDescent="0.25">
      <c r="A26" s="1" t="s">
        <v>686</v>
      </c>
    </row>
    <row r="28" spans="1:7" x14ac:dyDescent="0.25">
      <c r="A28" s="600" t="s">
        <v>687</v>
      </c>
    </row>
    <row r="30" spans="1:7" x14ac:dyDescent="0.25">
      <c r="A30" s="1" t="s">
        <v>688</v>
      </c>
    </row>
    <row r="31" spans="1:7" x14ac:dyDescent="0.25">
      <c r="A31" s="1" t="s">
        <v>689</v>
      </c>
    </row>
    <row r="32" spans="1:7" x14ac:dyDescent="0.25">
      <c r="A32" s="1" t="s">
        <v>690</v>
      </c>
    </row>
    <row r="33" spans="1:1" x14ac:dyDescent="0.25">
      <c r="A33" s="1" t="s">
        <v>691</v>
      </c>
    </row>
    <row r="35" spans="1:1" x14ac:dyDescent="0.25">
      <c r="A35" s="1" t="s">
        <v>692</v>
      </c>
    </row>
    <row r="36" spans="1:1" x14ac:dyDescent="0.25">
      <c r="A36" s="1" t="s">
        <v>693</v>
      </c>
    </row>
    <row r="37" spans="1:1" x14ac:dyDescent="0.25">
      <c r="A37" s="1" t="s">
        <v>694</v>
      </c>
    </row>
    <row r="38" spans="1:1" x14ac:dyDescent="0.25">
      <c r="A38" s="1" t="s">
        <v>695</v>
      </c>
    </row>
    <row r="40" spans="1:1" x14ac:dyDescent="0.25">
      <c r="A40" s="1" t="s">
        <v>696</v>
      </c>
    </row>
    <row r="41" spans="1:1" x14ac:dyDescent="0.25">
      <c r="A41" s="1" t="s">
        <v>697</v>
      </c>
    </row>
    <row r="42" spans="1:1" x14ac:dyDescent="0.25">
      <c r="A42" s="1" t="s">
        <v>698</v>
      </c>
    </row>
    <row r="43" spans="1:1" x14ac:dyDescent="0.25">
      <c r="A43" s="1" t="s">
        <v>699</v>
      </c>
    </row>
    <row r="44" spans="1:1" x14ac:dyDescent="0.25">
      <c r="A44" s="1" t="s">
        <v>700</v>
      </c>
    </row>
    <row r="45" spans="1:1" x14ac:dyDescent="0.25">
      <c r="A45" s="1" t="s">
        <v>701</v>
      </c>
    </row>
    <row r="47" spans="1:1" x14ac:dyDescent="0.25">
      <c r="A47" s="1" t="s">
        <v>702</v>
      </c>
    </row>
    <row r="48" spans="1:1" x14ac:dyDescent="0.25">
      <c r="A48" s="1" t="s">
        <v>703</v>
      </c>
    </row>
    <row r="49" spans="1:1" x14ac:dyDescent="0.25">
      <c r="A49" s="1" t="s">
        <v>704</v>
      </c>
    </row>
    <row r="50" spans="1:1" x14ac:dyDescent="0.25">
      <c r="A50" s="1" t="s">
        <v>705</v>
      </c>
    </row>
    <row r="52" spans="1:1" x14ac:dyDescent="0.25">
      <c r="A52" s="1" t="s">
        <v>551</v>
      </c>
    </row>
  </sheetData>
  <sheetProtection sheet="1"/>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3C780-923B-4048-8CEE-899D1DB74BA5}">
  <dimension ref="A1:N245"/>
  <sheetViews>
    <sheetView workbookViewId="0">
      <selection activeCell="E41" sqref="E41"/>
    </sheetView>
  </sheetViews>
  <sheetFormatPr defaultRowHeight="15" x14ac:dyDescent="0.2"/>
  <cols>
    <col min="1" max="1" width="3.09765625" style="564" customWidth="1"/>
    <col min="2" max="2" width="7.19921875" style="564" customWidth="1"/>
    <col min="3" max="16384" width="8.796875" style="564"/>
  </cols>
  <sheetData>
    <row r="1" spans="1:14" ht="15.75" customHeight="1" x14ac:dyDescent="0.2">
      <c r="A1" s="850" t="s">
        <v>958</v>
      </c>
      <c r="B1" s="850"/>
      <c r="C1" s="850"/>
      <c r="D1" s="850"/>
      <c r="E1" s="850"/>
      <c r="F1" s="850"/>
      <c r="G1" s="850"/>
      <c r="H1" s="850"/>
      <c r="I1" s="850"/>
      <c r="J1" s="850"/>
      <c r="K1" s="850"/>
      <c r="L1" s="850"/>
      <c r="M1" s="850"/>
      <c r="N1" s="850"/>
    </row>
    <row r="2" spans="1:14" ht="9.75" customHeight="1" x14ac:dyDescent="0.2">
      <c r="A2" s="850"/>
      <c r="B2" s="850"/>
      <c r="C2" s="850"/>
      <c r="D2" s="850"/>
      <c r="E2" s="850"/>
      <c r="F2" s="850"/>
      <c r="G2" s="850"/>
      <c r="H2" s="850"/>
      <c r="I2" s="850"/>
      <c r="J2" s="850"/>
      <c r="K2" s="850"/>
      <c r="L2" s="850"/>
      <c r="M2" s="850"/>
      <c r="N2" s="850"/>
    </row>
    <row r="3" spans="1:14" ht="18" x14ac:dyDescent="0.25">
      <c r="A3" s="650" t="s">
        <v>959</v>
      </c>
    </row>
    <row r="4" spans="1:14" ht="9.75" customHeight="1" x14ac:dyDescent="0.55000000000000004">
      <c r="B4" s="651"/>
    </row>
    <row r="5" spans="1:14" ht="15.75" x14ac:dyDescent="0.2">
      <c r="B5" s="652" t="s">
        <v>960</v>
      </c>
    </row>
    <row r="6" spans="1:14" ht="8.1" customHeight="1" x14ac:dyDescent="0.2">
      <c r="B6" s="652"/>
    </row>
    <row r="7" spans="1:14" ht="15.75" x14ac:dyDescent="0.2">
      <c r="B7" s="652" t="s">
        <v>961</v>
      </c>
    </row>
    <row r="8" spans="1:14" ht="15.75" x14ac:dyDescent="0.2">
      <c r="B8" s="653" t="s">
        <v>962</v>
      </c>
    </row>
    <row r="9" spans="1:14" ht="8.1" customHeight="1" x14ac:dyDescent="0.2">
      <c r="B9" s="653"/>
    </row>
    <row r="10" spans="1:14" ht="15.75" x14ac:dyDescent="0.2">
      <c r="C10" s="654" t="s">
        <v>963</v>
      </c>
      <c r="D10" s="652" t="s">
        <v>964</v>
      </c>
    </row>
    <row r="11" spans="1:14" ht="15.75" customHeight="1" x14ac:dyDescent="0.2">
      <c r="B11" s="652"/>
      <c r="D11" s="652" t="s">
        <v>965</v>
      </c>
    </row>
    <row r="12" spans="1:14" ht="15.75" customHeight="1" x14ac:dyDescent="0.2">
      <c r="B12" s="652"/>
      <c r="D12" s="652"/>
    </row>
    <row r="13" spans="1:14" ht="15.75" customHeight="1" x14ac:dyDescent="0.2">
      <c r="B13" s="652" t="s">
        <v>966</v>
      </c>
      <c r="E13" s="652" t="s">
        <v>967</v>
      </c>
    </row>
    <row r="14" spans="1:14" ht="15.75" customHeight="1" x14ac:dyDescent="0.2">
      <c r="B14" s="652"/>
      <c r="E14" s="652" t="s">
        <v>968</v>
      </c>
    </row>
    <row r="15" spans="1:14" ht="15.75" customHeight="1" x14ac:dyDescent="0.2">
      <c r="B15" s="652"/>
      <c r="E15" s="652" t="s">
        <v>969</v>
      </c>
    </row>
    <row r="16" spans="1:14" ht="15.75" customHeight="1" x14ac:dyDescent="0.2">
      <c r="B16" s="652"/>
      <c r="E16" s="652" t="s">
        <v>970</v>
      </c>
    </row>
    <row r="17" spans="2:5" ht="15.75" customHeight="1" x14ac:dyDescent="0.2">
      <c r="B17" s="652"/>
      <c r="E17" s="652"/>
    </row>
    <row r="18" spans="2:5" ht="15.75" customHeight="1" x14ac:dyDescent="0.2">
      <c r="B18" s="652"/>
      <c r="E18" s="652"/>
    </row>
    <row r="19" spans="2:5" ht="15.75" customHeight="1" x14ac:dyDescent="0.2">
      <c r="B19" s="652"/>
      <c r="E19" s="652"/>
    </row>
    <row r="20" spans="2:5" ht="15.75" customHeight="1" x14ac:dyDescent="0.2">
      <c r="B20" s="652"/>
      <c r="E20" s="652"/>
    </row>
    <row r="21" spans="2:5" ht="15.75" customHeight="1" x14ac:dyDescent="0.2">
      <c r="B21" s="652"/>
      <c r="E21" s="652"/>
    </row>
    <row r="22" spans="2:5" ht="15.75" customHeight="1" x14ac:dyDescent="0.2">
      <c r="B22" s="652"/>
      <c r="E22" s="652"/>
    </row>
    <row r="23" spans="2:5" ht="15.75" customHeight="1" x14ac:dyDescent="0.2">
      <c r="B23" s="652"/>
      <c r="E23" s="652"/>
    </row>
    <row r="24" spans="2:5" ht="15.75" customHeight="1" x14ac:dyDescent="0.2">
      <c r="B24" s="652"/>
      <c r="E24" s="652"/>
    </row>
    <row r="25" spans="2:5" ht="15.75" customHeight="1" x14ac:dyDescent="0.2">
      <c r="B25" s="652"/>
      <c r="E25" s="652"/>
    </row>
    <row r="26" spans="2:5" ht="15.75" customHeight="1" x14ac:dyDescent="0.2">
      <c r="B26" s="652"/>
      <c r="E26" s="652"/>
    </row>
    <row r="27" spans="2:5" ht="15.75" customHeight="1" x14ac:dyDescent="0.2">
      <c r="B27" s="652"/>
      <c r="E27" s="652"/>
    </row>
    <row r="28" spans="2:5" ht="15.75" customHeight="1" x14ac:dyDescent="0.2">
      <c r="B28" s="652"/>
      <c r="E28" s="652"/>
    </row>
    <row r="29" spans="2:5" ht="15.75" customHeight="1" x14ac:dyDescent="0.2">
      <c r="B29" s="652"/>
      <c r="E29" s="652"/>
    </row>
    <row r="30" spans="2:5" ht="15.75" customHeight="1" x14ac:dyDescent="0.2">
      <c r="B30" s="652"/>
      <c r="E30" s="652"/>
    </row>
    <row r="31" spans="2:5" ht="15.75" customHeight="1" x14ac:dyDescent="0.2">
      <c r="B31" s="652"/>
      <c r="E31" s="652"/>
    </row>
    <row r="32" spans="2:5" ht="15.75" customHeight="1" x14ac:dyDescent="0.2">
      <c r="B32" s="652"/>
      <c r="E32" s="652"/>
    </row>
    <row r="33" spans="2:5" ht="15.75" customHeight="1" x14ac:dyDescent="0.2">
      <c r="B33" s="652"/>
      <c r="E33" s="652"/>
    </row>
    <row r="34" spans="2:5" ht="15.75" customHeight="1" x14ac:dyDescent="0.2">
      <c r="B34" s="652"/>
      <c r="E34" s="652"/>
    </row>
    <row r="35" spans="2:5" ht="15.75" customHeight="1" x14ac:dyDescent="0.2">
      <c r="B35" s="652"/>
      <c r="E35" s="652"/>
    </row>
    <row r="36" spans="2:5" ht="15.75" customHeight="1" x14ac:dyDescent="0.2">
      <c r="B36" s="652" t="s">
        <v>971</v>
      </c>
      <c r="D36" s="652"/>
      <c r="E36" s="652" t="s">
        <v>972</v>
      </c>
    </row>
    <row r="37" spans="2:5" ht="15.75" customHeight="1" x14ac:dyDescent="0.2">
      <c r="B37" s="652"/>
      <c r="D37" s="652"/>
      <c r="E37" s="652" t="s">
        <v>973</v>
      </c>
    </row>
    <row r="38" spans="2:5" ht="15.75" customHeight="1" x14ac:dyDescent="0.2">
      <c r="B38" s="652"/>
      <c r="D38" s="652"/>
      <c r="E38" s="652" t="s">
        <v>974</v>
      </c>
    </row>
    <row r="39" spans="2:5" ht="15.75" customHeight="1" x14ac:dyDescent="0.2">
      <c r="B39" s="652"/>
      <c r="D39" s="652"/>
      <c r="E39" s="652" t="s">
        <v>975</v>
      </c>
    </row>
    <row r="40" spans="2:5" ht="15.75" customHeight="1" x14ac:dyDescent="0.2"/>
    <row r="41" spans="2:5" ht="15.75" customHeight="1" x14ac:dyDescent="0.2">
      <c r="B41" s="652" t="s">
        <v>959</v>
      </c>
      <c r="E41" s="655" t="s">
        <v>976</v>
      </c>
    </row>
    <row r="42" spans="2:5" ht="15.75" customHeight="1" x14ac:dyDescent="0.2">
      <c r="B42" s="652"/>
      <c r="E42" s="655"/>
    </row>
    <row r="43" spans="2:5" ht="15.75" customHeight="1" x14ac:dyDescent="0.2">
      <c r="E43" s="655"/>
    </row>
    <row r="44" spans="2:5" ht="15.75" customHeight="1" x14ac:dyDescent="0.2">
      <c r="B44" s="652" t="s">
        <v>977</v>
      </c>
      <c r="D44" s="652"/>
      <c r="E44" s="655" t="s">
        <v>978</v>
      </c>
    </row>
    <row r="45" spans="2:5" ht="15.75" customHeight="1" x14ac:dyDescent="0.2">
      <c r="B45" s="652"/>
      <c r="D45" s="652"/>
      <c r="E45" s="652"/>
    </row>
    <row r="46" spans="2:5" ht="15.75" customHeight="1" x14ac:dyDescent="0.2">
      <c r="B46" s="652"/>
      <c r="D46" s="652"/>
    </row>
    <row r="47" spans="2:5" ht="15.75" customHeight="1" x14ac:dyDescent="0.2">
      <c r="B47" s="652"/>
      <c r="D47" s="652"/>
    </row>
    <row r="48" spans="2:5" ht="15.75" customHeight="1" x14ac:dyDescent="0.2">
      <c r="B48" s="652"/>
      <c r="D48" s="652"/>
    </row>
    <row r="49" spans="1:14" ht="15.75" customHeight="1" x14ac:dyDescent="0.2">
      <c r="B49" s="652"/>
      <c r="D49" s="652"/>
    </row>
    <row r="50" spans="1:14" ht="15.75" customHeight="1" x14ac:dyDescent="0.2">
      <c r="B50" s="652"/>
      <c r="D50" s="652"/>
    </row>
    <row r="51" spans="1:14" ht="15.75" customHeight="1" x14ac:dyDescent="0.2">
      <c r="B51" s="652"/>
      <c r="D51" s="652"/>
    </row>
    <row r="52" spans="1:14" ht="15.75" customHeight="1" x14ac:dyDescent="0.2">
      <c r="B52" s="652"/>
      <c r="D52" s="652"/>
    </row>
    <row r="53" spans="1:14" ht="15.75" customHeight="1" x14ac:dyDescent="0.2">
      <c r="B53" s="652"/>
      <c r="D53" s="652"/>
    </row>
    <row r="54" spans="1:14" ht="15.75" customHeight="1" x14ac:dyDescent="0.2">
      <c r="B54" s="652"/>
      <c r="D54" s="652"/>
    </row>
    <row r="55" spans="1:14" ht="15.75" customHeight="1" x14ac:dyDescent="0.2">
      <c r="B55" s="652"/>
    </row>
    <row r="56" spans="1:14" ht="15.75" customHeight="1" x14ac:dyDescent="0.2">
      <c r="B56" s="652"/>
    </row>
    <row r="57" spans="1:14" ht="15.75" customHeight="1" x14ac:dyDescent="0.2">
      <c r="B57" s="652"/>
    </row>
    <row r="58" spans="1:14" ht="15.75" customHeight="1" x14ac:dyDescent="0.2">
      <c r="B58" s="652"/>
    </row>
    <row r="59" spans="1:14" ht="3" customHeight="1" x14ac:dyDescent="0.2">
      <c r="A59" s="656"/>
      <c r="B59" s="657"/>
      <c r="C59" s="656"/>
      <c r="D59" s="656"/>
      <c r="E59" s="656"/>
      <c r="F59" s="656"/>
      <c r="G59" s="656"/>
      <c r="H59" s="656"/>
      <c r="I59" s="656"/>
      <c r="J59" s="656"/>
      <c r="K59" s="656"/>
      <c r="L59" s="656"/>
      <c r="M59" s="656"/>
      <c r="N59" s="656"/>
    </row>
    <row r="60" spans="1:14" ht="15.75" customHeight="1" x14ac:dyDescent="0.2">
      <c r="B60" s="652"/>
    </row>
    <row r="61" spans="1:14" ht="15.75" customHeight="1" x14ac:dyDescent="0.25">
      <c r="A61" s="851" t="s">
        <v>979</v>
      </c>
      <c r="B61" s="851"/>
      <c r="C61" s="851"/>
      <c r="D61" s="851"/>
      <c r="E61" s="851"/>
      <c r="F61" s="851"/>
      <c r="G61" s="851"/>
      <c r="H61" s="851"/>
      <c r="I61" s="851"/>
      <c r="J61" s="851"/>
      <c r="K61" s="658"/>
    </row>
    <row r="62" spans="1:14" ht="21.75" customHeight="1" x14ac:dyDescent="0.25">
      <c r="A62" s="851"/>
      <c r="B62" s="851"/>
      <c r="C62" s="851"/>
      <c r="D62" s="851"/>
      <c r="E62" s="851"/>
      <c r="F62" s="851"/>
      <c r="G62" s="851"/>
      <c r="H62" s="851"/>
      <c r="I62" s="851"/>
      <c r="J62" s="851"/>
      <c r="K62" s="658"/>
    </row>
    <row r="63" spans="1:14" ht="15.75" customHeight="1" x14ac:dyDescent="0.2">
      <c r="B63" s="652"/>
    </row>
    <row r="64" spans="1:14" ht="15.75" x14ac:dyDescent="0.2">
      <c r="B64" s="652"/>
    </row>
    <row r="65" spans="2:2" ht="18.75" customHeight="1" x14ac:dyDescent="0.2">
      <c r="B65" s="652"/>
    </row>
    <row r="66" spans="2:2" ht="13.5" customHeight="1" x14ac:dyDescent="0.2">
      <c r="B66" s="652"/>
    </row>
    <row r="67" spans="2:2" ht="15.75" x14ac:dyDescent="0.2">
      <c r="B67" s="652"/>
    </row>
    <row r="82" spans="12:12" x14ac:dyDescent="0.2">
      <c r="L82" s="659"/>
    </row>
    <row r="214" spans="1:14" ht="3" customHeight="1" x14ac:dyDescent="0.2">
      <c r="A214" s="656"/>
      <c r="B214" s="657"/>
      <c r="C214" s="656"/>
      <c r="D214" s="656"/>
      <c r="E214" s="656"/>
      <c r="F214" s="656"/>
      <c r="G214" s="656"/>
      <c r="H214" s="656"/>
      <c r="I214" s="656"/>
      <c r="J214" s="656"/>
      <c r="K214" s="656"/>
      <c r="L214" s="656"/>
      <c r="M214" s="656"/>
      <c r="N214" s="656"/>
    </row>
    <row r="217" spans="1:14" ht="18" x14ac:dyDescent="0.25">
      <c r="A217" s="660" t="s">
        <v>706</v>
      </c>
      <c r="B217" s="661"/>
    </row>
    <row r="218" spans="1:14" ht="15.75" x14ac:dyDescent="0.25">
      <c r="B218" s="565"/>
    </row>
    <row r="219" spans="1:14" ht="30" customHeight="1" x14ac:dyDescent="0.25">
      <c r="B219" s="831" t="s">
        <v>707</v>
      </c>
      <c r="C219" s="831"/>
      <c r="D219" s="831"/>
      <c r="E219" s="831"/>
      <c r="F219" s="831"/>
      <c r="G219" s="831"/>
      <c r="H219" s="831"/>
      <c r="I219" s="831"/>
      <c r="J219" s="604"/>
    </row>
    <row r="220" spans="1:14" ht="15.75" x14ac:dyDescent="0.25">
      <c r="B220" s="522" t="s">
        <v>708</v>
      </c>
    </row>
    <row r="221" spans="1:14" ht="15.75" x14ac:dyDescent="0.25">
      <c r="B221" s="565"/>
    </row>
    <row r="222" spans="1:14" ht="45.75" customHeight="1" x14ac:dyDescent="0.25">
      <c r="B222" s="831" t="s">
        <v>709</v>
      </c>
      <c r="C222" s="831"/>
      <c r="D222" s="831"/>
      <c r="E222" s="831"/>
      <c r="F222" s="831"/>
      <c r="G222" s="831"/>
      <c r="H222" s="831"/>
    </row>
    <row r="223" spans="1:14" ht="15.75" x14ac:dyDescent="0.25">
      <c r="B223" s="522" t="s">
        <v>710</v>
      </c>
    </row>
    <row r="224" spans="1:14" ht="15.75" x14ac:dyDescent="0.25">
      <c r="B224" s="565"/>
    </row>
    <row r="225" spans="2:2" ht="15.75" x14ac:dyDescent="0.25">
      <c r="B225" s="565" t="s">
        <v>711</v>
      </c>
    </row>
    <row r="226" spans="2:2" ht="15.75" x14ac:dyDescent="0.25">
      <c r="B226" s="522" t="s">
        <v>712</v>
      </c>
    </row>
    <row r="227" spans="2:2" ht="15.75" x14ac:dyDescent="0.25">
      <c r="B227" s="565"/>
    </row>
    <row r="228" spans="2:2" ht="15.75" x14ac:dyDescent="0.25">
      <c r="B228" s="565" t="s">
        <v>713</v>
      </c>
    </row>
    <row r="229" spans="2:2" ht="15.75" x14ac:dyDescent="0.25">
      <c r="B229" s="522" t="s">
        <v>714</v>
      </c>
    </row>
    <row r="230" spans="2:2" ht="15.75" x14ac:dyDescent="0.25">
      <c r="B230" s="565"/>
    </row>
    <row r="231" spans="2:2" ht="15.75" x14ac:dyDescent="0.25">
      <c r="B231" s="565" t="s">
        <v>715</v>
      </c>
    </row>
    <row r="232" spans="2:2" ht="15.75" x14ac:dyDescent="0.25">
      <c r="B232" s="522" t="s">
        <v>716</v>
      </c>
    </row>
    <row r="233" spans="2:2" ht="15.75" x14ac:dyDescent="0.25">
      <c r="B233" s="565"/>
    </row>
    <row r="234" spans="2:2" ht="15.75" x14ac:dyDescent="0.25">
      <c r="B234" s="565" t="s">
        <v>717</v>
      </c>
    </row>
    <row r="235" spans="2:2" ht="15.75" x14ac:dyDescent="0.25">
      <c r="B235" s="522" t="s">
        <v>718</v>
      </c>
    </row>
    <row r="236" spans="2:2" ht="15.75" x14ac:dyDescent="0.25">
      <c r="B236" s="565"/>
    </row>
    <row r="237" spans="2:2" ht="15.75" x14ac:dyDescent="0.25">
      <c r="B237" s="565" t="s">
        <v>719</v>
      </c>
    </row>
    <row r="238" spans="2:2" ht="15.75" x14ac:dyDescent="0.25">
      <c r="B238" s="522" t="s">
        <v>720</v>
      </c>
    </row>
    <row r="239" spans="2:2" ht="15.75" x14ac:dyDescent="0.25">
      <c r="B239" s="565"/>
    </row>
    <row r="240" spans="2:2" ht="15.75" x14ac:dyDescent="0.25">
      <c r="B240" s="565" t="s">
        <v>721</v>
      </c>
    </row>
    <row r="241" spans="2:2" ht="15.75" x14ac:dyDescent="0.25">
      <c r="B241" s="522" t="s">
        <v>722</v>
      </c>
    </row>
    <row r="242" spans="2:2" ht="15.75" x14ac:dyDescent="0.25">
      <c r="B242" s="565"/>
    </row>
    <row r="243" spans="2:2" ht="15.75" x14ac:dyDescent="0.25">
      <c r="B243" s="565" t="s">
        <v>723</v>
      </c>
    </row>
    <row r="244" spans="2:2" ht="15.75" x14ac:dyDescent="0.25">
      <c r="B244" s="522" t="s">
        <v>724</v>
      </c>
    </row>
    <row r="245" spans="2:2" ht="15.75" x14ac:dyDescent="0.25">
      <c r="B245" s="565"/>
    </row>
  </sheetData>
  <sheetProtection sheet="1" objects="1" scenarios="1"/>
  <mergeCells count="4">
    <mergeCell ref="A1:N2"/>
    <mergeCell ref="A61:J62"/>
    <mergeCell ref="B219:I219"/>
    <mergeCell ref="B222:H222"/>
  </mergeCells>
  <hyperlinks>
    <hyperlink ref="B244" r:id="rId1" xr:uid="{02989A82-DAB3-4A5B-96A7-7D3C79368EFE}"/>
  </hyperlinks>
  <pageMargins left="0.7" right="0.7" top="0.75" bottom="0.75" header="0.3" footer="0.3"/>
  <pageSetup orientation="landscape"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A1:A280"/>
  <sheetViews>
    <sheetView workbookViewId="0"/>
  </sheetViews>
  <sheetFormatPr defaultRowHeight="15.75" x14ac:dyDescent="0.25"/>
  <cols>
    <col min="1" max="1" width="72.796875" style="65" customWidth="1"/>
    <col min="2" max="16384" width="8.796875" style="65"/>
  </cols>
  <sheetData>
    <row r="1" spans="1:1" x14ac:dyDescent="0.25">
      <c r="A1" s="530" t="s">
        <v>995</v>
      </c>
    </row>
    <row r="2" spans="1:1" x14ac:dyDescent="0.25">
      <c r="A2" s="137" t="s">
        <v>993</v>
      </c>
    </row>
    <row r="3" spans="1:1" x14ac:dyDescent="0.25">
      <c r="A3" s="65" t="s">
        <v>994</v>
      </c>
    </row>
    <row r="4" spans="1:1" x14ac:dyDescent="0.25">
      <c r="A4" s="65" t="s">
        <v>996</v>
      </c>
    </row>
    <row r="6" spans="1:1" x14ac:dyDescent="0.25">
      <c r="A6" s="662" t="s">
        <v>980</v>
      </c>
    </row>
    <row r="7" spans="1:1" x14ac:dyDescent="0.25">
      <c r="A7" s="1" t="s">
        <v>981</v>
      </c>
    </row>
    <row r="8" spans="1:1" x14ac:dyDescent="0.25">
      <c r="A8" s="1" t="s">
        <v>982</v>
      </c>
    </row>
    <row r="9" spans="1:1" x14ac:dyDescent="0.25">
      <c r="A9" s="1" t="s">
        <v>983</v>
      </c>
    </row>
    <row r="10" spans="1:1" x14ac:dyDescent="0.25">
      <c r="A10" s="1"/>
    </row>
    <row r="11" spans="1:1" x14ac:dyDescent="0.25">
      <c r="A11" s="530" t="s">
        <v>725</v>
      </c>
    </row>
    <row r="12" spans="1:1" x14ac:dyDescent="0.25">
      <c r="A12" s="137" t="s">
        <v>726</v>
      </c>
    </row>
    <row r="13" spans="1:1" x14ac:dyDescent="0.25">
      <c r="A13" s="137" t="s">
        <v>727</v>
      </c>
    </row>
    <row r="14" spans="1:1" ht="31.5" x14ac:dyDescent="0.25">
      <c r="A14" s="137" t="s">
        <v>728</v>
      </c>
    </row>
    <row r="15" spans="1:1" ht="31.5" x14ac:dyDescent="0.25">
      <c r="A15" s="137" t="s">
        <v>729</v>
      </c>
    </row>
    <row r="16" spans="1:1" x14ac:dyDescent="0.25">
      <c r="A16" s="137" t="s">
        <v>730</v>
      </c>
    </row>
    <row r="17" spans="1:1" ht="31.5" x14ac:dyDescent="0.25">
      <c r="A17" s="137" t="s">
        <v>731</v>
      </c>
    </row>
    <row r="18" spans="1:1" x14ac:dyDescent="0.25">
      <c r="A18" s="137" t="s">
        <v>732</v>
      </c>
    </row>
    <row r="19" spans="1:1" x14ac:dyDescent="0.25">
      <c r="A19" s="137" t="s">
        <v>733</v>
      </c>
    </row>
    <row r="20" spans="1:1" x14ac:dyDescent="0.25">
      <c r="A20" s="137" t="s">
        <v>734</v>
      </c>
    </row>
    <row r="21" spans="1:1" x14ac:dyDescent="0.25">
      <c r="A21" s="137" t="s">
        <v>735</v>
      </c>
    </row>
    <row r="22" spans="1:1" x14ac:dyDescent="0.25">
      <c r="A22" s="137"/>
    </row>
    <row r="23" spans="1:1" x14ac:dyDescent="0.25">
      <c r="A23" s="235" t="s">
        <v>736</v>
      </c>
    </row>
    <row r="24" spans="1:1" x14ac:dyDescent="0.25">
      <c r="A24" s="65" t="s">
        <v>737</v>
      </c>
    </row>
    <row r="25" spans="1:1" x14ac:dyDescent="0.25">
      <c r="A25" s="65" t="s">
        <v>738</v>
      </c>
    </row>
    <row r="26" spans="1:1" x14ac:dyDescent="0.25">
      <c r="A26" s="65" t="s">
        <v>739</v>
      </c>
    </row>
    <row r="27" spans="1:1" x14ac:dyDescent="0.25">
      <c r="A27" s="65" t="s">
        <v>740</v>
      </c>
    </row>
    <row r="28" spans="1:1" x14ac:dyDescent="0.25">
      <c r="A28" s="65" t="s">
        <v>741</v>
      </c>
    </row>
    <row r="29" spans="1:1" x14ac:dyDescent="0.25">
      <c r="A29" s="65" t="s">
        <v>742</v>
      </c>
    </row>
    <row r="31" spans="1:1" x14ac:dyDescent="0.25">
      <c r="A31" s="523" t="s">
        <v>743</v>
      </c>
    </row>
    <row r="32" spans="1:1" x14ac:dyDescent="0.25">
      <c r="A32" s="65" t="s">
        <v>744</v>
      </c>
    </row>
    <row r="33" spans="1:1" x14ac:dyDescent="0.25">
      <c r="A33" s="65" t="s">
        <v>745</v>
      </c>
    </row>
    <row r="34" spans="1:1" x14ac:dyDescent="0.25">
      <c r="A34" s="65" t="s">
        <v>746</v>
      </c>
    </row>
    <row r="36" spans="1:1" x14ac:dyDescent="0.25">
      <c r="A36" s="235" t="s">
        <v>747</v>
      </c>
    </row>
    <row r="37" spans="1:1" x14ac:dyDescent="0.25">
      <c r="A37" s="65" t="s">
        <v>748</v>
      </c>
    </row>
    <row r="38" spans="1:1" x14ac:dyDescent="0.25">
      <c r="A38" s="65" t="s">
        <v>749</v>
      </c>
    </row>
    <row r="39" spans="1:1" x14ac:dyDescent="0.25">
      <c r="A39" s="65" t="s">
        <v>750</v>
      </c>
    </row>
    <row r="41" spans="1:1" x14ac:dyDescent="0.25">
      <c r="A41" s="235" t="s">
        <v>751</v>
      </c>
    </row>
    <row r="42" spans="1:1" x14ac:dyDescent="0.25">
      <c r="A42" s="65" t="s">
        <v>752</v>
      </c>
    </row>
    <row r="43" spans="1:1" x14ac:dyDescent="0.25">
      <c r="A43" s="65" t="s">
        <v>753</v>
      </c>
    </row>
    <row r="44" spans="1:1" x14ac:dyDescent="0.25">
      <c r="A44" s="65" t="s">
        <v>754</v>
      </c>
    </row>
    <row r="45" spans="1:1" x14ac:dyDescent="0.25">
      <c r="A45" s="65" t="s">
        <v>755</v>
      </c>
    </row>
    <row r="46" spans="1:1" x14ac:dyDescent="0.25">
      <c r="A46" s="65" t="s">
        <v>756</v>
      </c>
    </row>
    <row r="48" spans="1:1" x14ac:dyDescent="0.25">
      <c r="A48" s="488" t="s">
        <v>757</v>
      </c>
    </row>
    <row r="49" spans="1:1" x14ac:dyDescent="0.25">
      <c r="A49" s="65" t="s">
        <v>758</v>
      </c>
    </row>
    <row r="51" spans="1:1" x14ac:dyDescent="0.25">
      <c r="A51" s="488" t="s">
        <v>759</v>
      </c>
    </row>
    <row r="52" spans="1:1" x14ac:dyDescent="0.25">
      <c r="A52" s="489" t="s">
        <v>760</v>
      </c>
    </row>
    <row r="54" spans="1:1" x14ac:dyDescent="0.25">
      <c r="A54" s="488" t="s">
        <v>761</v>
      </c>
    </row>
    <row r="55" spans="1:1" x14ac:dyDescent="0.25">
      <c r="A55" s="487" t="s">
        <v>762</v>
      </c>
    </row>
    <row r="57" spans="1:1" x14ac:dyDescent="0.25">
      <c r="A57" s="488" t="s">
        <v>763</v>
      </c>
    </row>
    <row r="58" spans="1:1" x14ac:dyDescent="0.25">
      <c r="A58" s="487" t="s">
        <v>764</v>
      </c>
    </row>
    <row r="59" spans="1:1" x14ac:dyDescent="0.25">
      <c r="A59" s="487" t="s">
        <v>765</v>
      </c>
    </row>
    <row r="60" spans="1:1" x14ac:dyDescent="0.25">
      <c r="A60" s="487" t="s">
        <v>766</v>
      </c>
    </row>
    <row r="61" spans="1:1" x14ac:dyDescent="0.25">
      <c r="A61" s="487" t="s">
        <v>767</v>
      </c>
    </row>
    <row r="62" spans="1:1" x14ac:dyDescent="0.25">
      <c r="A62" s="487" t="s">
        <v>768</v>
      </c>
    </row>
    <row r="64" spans="1:1" x14ac:dyDescent="0.25">
      <c r="A64" s="302" t="s">
        <v>769</v>
      </c>
    </row>
    <row r="65" spans="1:1" x14ac:dyDescent="0.25">
      <c r="A65" s="65" t="s">
        <v>770</v>
      </c>
    </row>
    <row r="67" spans="1:1" x14ac:dyDescent="0.25">
      <c r="A67" s="302" t="s">
        <v>771</v>
      </c>
    </row>
    <row r="68" spans="1:1" x14ac:dyDescent="0.25">
      <c r="A68" s="438" t="s">
        <v>772</v>
      </c>
    </row>
    <row r="69" spans="1:1" x14ac:dyDescent="0.25">
      <c r="A69" s="473" t="s">
        <v>773</v>
      </c>
    </row>
    <row r="71" spans="1:1" x14ac:dyDescent="0.25">
      <c r="A71" s="302" t="s">
        <v>774</v>
      </c>
    </row>
    <row r="72" spans="1:1" x14ac:dyDescent="0.25">
      <c r="A72" s="438" t="s">
        <v>775</v>
      </c>
    </row>
    <row r="74" spans="1:1" x14ac:dyDescent="0.25">
      <c r="A74" s="302" t="s">
        <v>776</v>
      </c>
    </row>
    <row r="75" spans="1:1" x14ac:dyDescent="0.25">
      <c r="A75" s="438" t="s">
        <v>777</v>
      </c>
    </row>
    <row r="77" spans="1:1" x14ac:dyDescent="0.25">
      <c r="A77" s="302" t="s">
        <v>778</v>
      </c>
    </row>
    <row r="78" spans="1:1" x14ac:dyDescent="0.25">
      <c r="A78" s="65" t="s">
        <v>779</v>
      </c>
    </row>
    <row r="80" spans="1:1" x14ac:dyDescent="0.25">
      <c r="A80" s="302" t="s">
        <v>780</v>
      </c>
    </row>
    <row r="81" spans="1:1" x14ac:dyDescent="0.25">
      <c r="A81" s="65" t="s">
        <v>781</v>
      </c>
    </row>
    <row r="83" spans="1:1" x14ac:dyDescent="0.25">
      <c r="A83" s="302" t="s">
        <v>782</v>
      </c>
    </row>
    <row r="84" spans="1:1" x14ac:dyDescent="0.25">
      <c r="A84" s="438" t="s">
        <v>783</v>
      </c>
    </row>
    <row r="86" spans="1:1" x14ac:dyDescent="0.25">
      <c r="A86" s="302" t="s">
        <v>784</v>
      </c>
    </row>
    <row r="87" spans="1:1" x14ac:dyDescent="0.25">
      <c r="A87" s="434" t="s">
        <v>785</v>
      </c>
    </row>
    <row r="89" spans="1:1" x14ac:dyDescent="0.25">
      <c r="A89" s="302" t="s">
        <v>786</v>
      </c>
    </row>
    <row r="90" spans="1:1" x14ac:dyDescent="0.25">
      <c r="A90" s="65" t="s">
        <v>787</v>
      </c>
    </row>
    <row r="92" spans="1:1" x14ac:dyDescent="0.25">
      <c r="A92" s="302" t="s">
        <v>788</v>
      </c>
    </row>
    <row r="93" spans="1:1" x14ac:dyDescent="0.25">
      <c r="A93" s="419" t="s">
        <v>789</v>
      </c>
    </row>
    <row r="95" spans="1:1" x14ac:dyDescent="0.25">
      <c r="A95" s="302" t="s">
        <v>790</v>
      </c>
    </row>
    <row r="96" spans="1:1" x14ac:dyDescent="0.25">
      <c r="A96" s="419" t="s">
        <v>791</v>
      </c>
    </row>
    <row r="98" spans="1:1" x14ac:dyDescent="0.25">
      <c r="A98" s="302" t="s">
        <v>792</v>
      </c>
    </row>
    <row r="99" spans="1:1" x14ac:dyDescent="0.25">
      <c r="A99" s="420" t="s">
        <v>793</v>
      </c>
    </row>
    <row r="101" spans="1:1" x14ac:dyDescent="0.25">
      <c r="A101" s="302" t="s">
        <v>792</v>
      </c>
    </row>
    <row r="102" spans="1:1" x14ac:dyDescent="0.25">
      <c r="A102" s="420" t="s">
        <v>794</v>
      </c>
    </row>
    <row r="104" spans="1:1" x14ac:dyDescent="0.25">
      <c r="A104" s="302" t="s">
        <v>795</v>
      </c>
    </row>
    <row r="105" spans="1:1" x14ac:dyDescent="0.25">
      <c r="A105" s="419" t="s">
        <v>796</v>
      </c>
    </row>
    <row r="107" spans="1:1" x14ac:dyDescent="0.25">
      <c r="A107" s="302" t="s">
        <v>797</v>
      </c>
    </row>
    <row r="108" spans="1:1" x14ac:dyDescent="0.25">
      <c r="A108" s="417" t="s">
        <v>798</v>
      </c>
    </row>
    <row r="109" spans="1:1" x14ac:dyDescent="0.25">
      <c r="A109" s="417" t="s">
        <v>799</v>
      </c>
    </row>
    <row r="110" spans="1:1" x14ac:dyDescent="0.25">
      <c r="A110" s="417" t="s">
        <v>800</v>
      </c>
    </row>
    <row r="111" spans="1:1" x14ac:dyDescent="0.25">
      <c r="A111" s="417" t="s">
        <v>801</v>
      </c>
    </row>
    <row r="112" spans="1:1" x14ac:dyDescent="0.25">
      <c r="A112" s="417" t="s">
        <v>802</v>
      </c>
    </row>
    <row r="113" spans="1:1" x14ac:dyDescent="0.25">
      <c r="A113" s="417" t="s">
        <v>803</v>
      </c>
    </row>
    <row r="114" spans="1:1" x14ac:dyDescent="0.25">
      <c r="A114" s="417" t="s">
        <v>804</v>
      </c>
    </row>
    <row r="115" spans="1:1" x14ac:dyDescent="0.25">
      <c r="A115" s="417" t="s">
        <v>805</v>
      </c>
    </row>
    <row r="116" spans="1:1" ht="15.75" customHeight="1" x14ac:dyDescent="0.25">
      <c r="A116" s="417" t="s">
        <v>806</v>
      </c>
    </row>
    <row r="117" spans="1:1" x14ac:dyDescent="0.25">
      <c r="A117" s="417" t="s">
        <v>807</v>
      </c>
    </row>
    <row r="118" spans="1:1" x14ac:dyDescent="0.25">
      <c r="A118" s="417" t="s">
        <v>808</v>
      </c>
    </row>
    <row r="119" spans="1:1" x14ac:dyDescent="0.25">
      <c r="A119" s="417" t="s">
        <v>809</v>
      </c>
    </row>
    <row r="120" spans="1:1" x14ac:dyDescent="0.25">
      <c r="A120" s="417" t="s">
        <v>810</v>
      </c>
    </row>
    <row r="121" spans="1:1" x14ac:dyDescent="0.25">
      <c r="A121" s="417" t="s">
        <v>811</v>
      </c>
    </row>
    <row r="122" spans="1:1" x14ac:dyDescent="0.25">
      <c r="A122" s="417" t="s">
        <v>812</v>
      </c>
    </row>
    <row r="123" spans="1:1" x14ac:dyDescent="0.25">
      <c r="A123" s="417" t="s">
        <v>813</v>
      </c>
    </row>
    <row r="124" spans="1:1" x14ac:dyDescent="0.25">
      <c r="A124" s="417" t="s">
        <v>814</v>
      </c>
    </row>
    <row r="125" spans="1:1" x14ac:dyDescent="0.25">
      <c r="A125" s="417" t="s">
        <v>815</v>
      </c>
    </row>
    <row r="126" spans="1:1" x14ac:dyDescent="0.25">
      <c r="A126" s="417" t="s">
        <v>816</v>
      </c>
    </row>
    <row r="127" spans="1:1" x14ac:dyDescent="0.25">
      <c r="A127" s="417" t="s">
        <v>817</v>
      </c>
    </row>
    <row r="128" spans="1:1" x14ac:dyDescent="0.25">
      <c r="A128" s="417" t="s">
        <v>818</v>
      </c>
    </row>
    <row r="129" spans="1:1" x14ac:dyDescent="0.25">
      <c r="A129" s="417" t="s">
        <v>819</v>
      </c>
    </row>
    <row r="130" spans="1:1" x14ac:dyDescent="0.25">
      <c r="A130" s="417" t="s">
        <v>820</v>
      </c>
    </row>
    <row r="131" spans="1:1" x14ac:dyDescent="0.25">
      <c r="A131" s="417" t="s">
        <v>821</v>
      </c>
    </row>
    <row r="132" spans="1:1" x14ac:dyDescent="0.25">
      <c r="A132" s="417" t="s">
        <v>822</v>
      </c>
    </row>
    <row r="133" spans="1:1" x14ac:dyDescent="0.25">
      <c r="A133" s="417" t="s">
        <v>823</v>
      </c>
    </row>
    <row r="134" spans="1:1" x14ac:dyDescent="0.25">
      <c r="A134" s="417" t="s">
        <v>824</v>
      </c>
    </row>
    <row r="135" spans="1:1" x14ac:dyDescent="0.25">
      <c r="A135" s="417" t="s">
        <v>825</v>
      </c>
    </row>
    <row r="136" spans="1:1" x14ac:dyDescent="0.25">
      <c r="A136" s="417" t="s">
        <v>826</v>
      </c>
    </row>
    <row r="138" spans="1:1" x14ac:dyDescent="0.25">
      <c r="A138" s="302" t="s">
        <v>827</v>
      </c>
    </row>
    <row r="139" spans="1:1" x14ac:dyDescent="0.25">
      <c r="A139" s="65" t="s">
        <v>828</v>
      </c>
    </row>
    <row r="140" spans="1:1" x14ac:dyDescent="0.25">
      <c r="A140" s="65" t="s">
        <v>829</v>
      </c>
    </row>
    <row r="142" spans="1:1" x14ac:dyDescent="0.25">
      <c r="A142" s="302" t="s">
        <v>830</v>
      </c>
    </row>
    <row r="143" spans="1:1" x14ac:dyDescent="0.25">
      <c r="A143" s="287" t="s">
        <v>831</v>
      </c>
    </row>
    <row r="144" spans="1:1" ht="15.75" customHeight="1" x14ac:dyDescent="0.25"/>
    <row r="145" spans="1:1" x14ac:dyDescent="0.25">
      <c r="A145" s="236" t="s">
        <v>832</v>
      </c>
    </row>
    <row r="146" spans="1:1" x14ac:dyDescent="0.25">
      <c r="A146" s="287" t="s">
        <v>833</v>
      </c>
    </row>
    <row r="147" spans="1:1" x14ac:dyDescent="0.25">
      <c r="A147" s="287" t="s">
        <v>834</v>
      </c>
    </row>
    <row r="148" spans="1:1" ht="31.5" x14ac:dyDescent="0.25">
      <c r="A148" s="286" t="s">
        <v>835</v>
      </c>
    </row>
    <row r="149" spans="1:1" ht="36" customHeight="1" x14ac:dyDescent="0.25">
      <c r="A149" s="287" t="s">
        <v>836</v>
      </c>
    </row>
    <row r="150" spans="1:1" x14ac:dyDescent="0.25">
      <c r="A150" s="287" t="s">
        <v>837</v>
      </c>
    </row>
    <row r="151" spans="1:1" x14ac:dyDescent="0.25">
      <c r="A151" s="287" t="s">
        <v>838</v>
      </c>
    </row>
    <row r="152" spans="1:1" x14ac:dyDescent="0.25">
      <c r="A152" s="287" t="s">
        <v>839</v>
      </c>
    </row>
    <row r="153" spans="1:1" x14ac:dyDescent="0.25">
      <c r="A153" s="287" t="s">
        <v>840</v>
      </c>
    </row>
    <row r="154" spans="1:1" x14ac:dyDescent="0.25">
      <c r="A154" s="287" t="s">
        <v>841</v>
      </c>
    </row>
    <row r="155" spans="1:1" x14ac:dyDescent="0.25">
      <c r="A155" s="287" t="s">
        <v>842</v>
      </c>
    </row>
    <row r="156" spans="1:1" x14ac:dyDescent="0.25">
      <c r="A156" s="287" t="s">
        <v>843</v>
      </c>
    </row>
    <row r="157" spans="1:1" x14ac:dyDescent="0.25">
      <c r="A157" s="287" t="s">
        <v>844</v>
      </c>
    </row>
    <row r="158" spans="1:1" x14ac:dyDescent="0.25">
      <c r="A158" s="287" t="s">
        <v>845</v>
      </c>
    </row>
    <row r="159" spans="1:1" x14ac:dyDescent="0.25">
      <c r="A159" s="287" t="s">
        <v>846</v>
      </c>
    </row>
    <row r="160" spans="1:1" x14ac:dyDescent="0.25">
      <c r="A160" s="287" t="s">
        <v>847</v>
      </c>
    </row>
    <row r="161" spans="1:1" x14ac:dyDescent="0.25">
      <c r="A161" s="287" t="s">
        <v>848</v>
      </c>
    </row>
    <row r="162" spans="1:1" x14ac:dyDescent="0.25">
      <c r="A162" s="287" t="s">
        <v>849</v>
      </c>
    </row>
    <row r="163" spans="1:1" ht="15.75" customHeight="1" x14ac:dyDescent="0.25">
      <c r="A163" s="287" t="s">
        <v>850</v>
      </c>
    </row>
    <row r="164" spans="1:1" x14ac:dyDescent="0.25">
      <c r="A164" s="287" t="s">
        <v>851</v>
      </c>
    </row>
    <row r="165" spans="1:1" x14ac:dyDescent="0.25">
      <c r="A165" s="287" t="s">
        <v>852</v>
      </c>
    </row>
    <row r="166" spans="1:1" x14ac:dyDescent="0.25">
      <c r="A166" s="287" t="s">
        <v>853</v>
      </c>
    </row>
    <row r="167" spans="1:1" x14ac:dyDescent="0.25">
      <c r="A167" s="287" t="s">
        <v>854</v>
      </c>
    </row>
    <row r="168" spans="1:1" x14ac:dyDescent="0.25">
      <c r="A168" s="65" t="s">
        <v>855</v>
      </c>
    </row>
    <row r="170" spans="1:1" x14ac:dyDescent="0.25">
      <c r="A170" s="236" t="s">
        <v>856</v>
      </c>
    </row>
    <row r="171" spans="1:1" ht="31.5" x14ac:dyDescent="0.25">
      <c r="A171" s="137" t="s">
        <v>857</v>
      </c>
    </row>
    <row r="173" spans="1:1" x14ac:dyDescent="0.25">
      <c r="A173" s="236" t="s">
        <v>858</v>
      </c>
    </row>
    <row r="174" spans="1:1" x14ac:dyDescent="0.25">
      <c r="A174" s="65" t="s">
        <v>859</v>
      </c>
    </row>
    <row r="175" spans="1:1" x14ac:dyDescent="0.25">
      <c r="A175" s="65" t="s">
        <v>860</v>
      </c>
    </row>
    <row r="176" spans="1:1" x14ac:dyDescent="0.25">
      <c r="A176" s="65" t="s">
        <v>861</v>
      </c>
    </row>
    <row r="178" spans="1:1" x14ac:dyDescent="0.25">
      <c r="A178" s="236" t="s">
        <v>862</v>
      </c>
    </row>
    <row r="179" spans="1:1" x14ac:dyDescent="0.25">
      <c r="A179" s="65" t="s">
        <v>863</v>
      </c>
    </row>
    <row r="181" spans="1:1" x14ac:dyDescent="0.25">
      <c r="A181" s="235" t="s">
        <v>864</v>
      </c>
    </row>
    <row r="182" spans="1:1" ht="15.75" customHeight="1" x14ac:dyDescent="0.25">
      <c r="A182" s="65" t="s">
        <v>865</v>
      </c>
    </row>
    <row r="183" spans="1:1" x14ac:dyDescent="0.25">
      <c r="A183" s="65" t="s">
        <v>866</v>
      </c>
    </row>
    <row r="184" spans="1:1" x14ac:dyDescent="0.25">
      <c r="A184" s="65" t="s">
        <v>867</v>
      </c>
    </row>
    <row r="185" spans="1:1" x14ac:dyDescent="0.25">
      <c r="A185" s="65" t="s">
        <v>868</v>
      </c>
    </row>
    <row r="186" spans="1:1" x14ac:dyDescent="0.25">
      <c r="A186" s="65" t="s">
        <v>869</v>
      </c>
    </row>
    <row r="187" spans="1:1" x14ac:dyDescent="0.25">
      <c r="A187" s="65" t="s">
        <v>870</v>
      </c>
    </row>
    <row r="189" spans="1:1" x14ac:dyDescent="0.25">
      <c r="A189" s="235" t="s">
        <v>871</v>
      </c>
    </row>
    <row r="190" spans="1:1" x14ac:dyDescent="0.25">
      <c r="A190" s="65" t="s">
        <v>872</v>
      </c>
    </row>
    <row r="191" spans="1:1" x14ac:dyDescent="0.25">
      <c r="A191" s="65" t="s">
        <v>873</v>
      </c>
    </row>
    <row r="192" spans="1:1" x14ac:dyDescent="0.25">
      <c r="A192" s="65" t="s">
        <v>874</v>
      </c>
    </row>
    <row r="193" spans="1:1" ht="15.75" customHeight="1" x14ac:dyDescent="0.25">
      <c r="A193" s="65" t="s">
        <v>875</v>
      </c>
    </row>
    <row r="194" spans="1:1" x14ac:dyDescent="0.25">
      <c r="A194" s="65" t="s">
        <v>876</v>
      </c>
    </row>
    <row r="195" spans="1:1" x14ac:dyDescent="0.25">
      <c r="A195" s="65" t="s">
        <v>877</v>
      </c>
    </row>
    <row r="196" spans="1:1" x14ac:dyDescent="0.25">
      <c r="A196" s="65" t="s">
        <v>878</v>
      </c>
    </row>
    <row r="197" spans="1:1" ht="15.75" customHeight="1" x14ac:dyDescent="0.25">
      <c r="A197" s="65" t="s">
        <v>879</v>
      </c>
    </row>
    <row r="198" spans="1:1" x14ac:dyDescent="0.25">
      <c r="A198" s="65" t="s">
        <v>880</v>
      </c>
    </row>
    <row r="199" spans="1:1" x14ac:dyDescent="0.25">
      <c r="A199" s="65" t="s">
        <v>881</v>
      </c>
    </row>
    <row r="200" spans="1:1" x14ac:dyDescent="0.25">
      <c r="A200" s="65" t="s">
        <v>882</v>
      </c>
    </row>
    <row r="201" spans="1:1" x14ac:dyDescent="0.25">
      <c r="A201" s="65" t="s">
        <v>883</v>
      </c>
    </row>
    <row r="202" spans="1:1" x14ac:dyDescent="0.25">
      <c r="A202" s="65" t="s">
        <v>884</v>
      </c>
    </row>
    <row r="203" spans="1:1" x14ac:dyDescent="0.25">
      <c r="A203" s="65" t="s">
        <v>885</v>
      </c>
    </row>
    <row r="204" spans="1:1" x14ac:dyDescent="0.25">
      <c r="A204" s="65" t="s">
        <v>886</v>
      </c>
    </row>
    <row r="205" spans="1:1" x14ac:dyDescent="0.25">
      <c r="A205" s="65" t="s">
        <v>887</v>
      </c>
    </row>
    <row r="206" spans="1:1" x14ac:dyDescent="0.25">
      <c r="A206" s="230" t="s">
        <v>888</v>
      </c>
    </row>
    <row r="208" spans="1:1" x14ac:dyDescent="0.25">
      <c r="A208" s="235" t="s">
        <v>889</v>
      </c>
    </row>
    <row r="209" spans="1:1" x14ac:dyDescent="0.25">
      <c r="A209" s="65" t="s">
        <v>890</v>
      </c>
    </row>
    <row r="211" spans="1:1" x14ac:dyDescent="0.25">
      <c r="A211" s="235" t="s">
        <v>891</v>
      </c>
    </row>
    <row r="212" spans="1:1" x14ac:dyDescent="0.25">
      <c r="A212" s="65" t="s">
        <v>892</v>
      </c>
    </row>
    <row r="214" spans="1:1" x14ac:dyDescent="0.25">
      <c r="A214" s="235" t="s">
        <v>893</v>
      </c>
    </row>
    <row r="215" spans="1:1" x14ac:dyDescent="0.25">
      <c r="A215" s="65" t="s">
        <v>894</v>
      </c>
    </row>
    <row r="216" spans="1:1" x14ac:dyDescent="0.25">
      <c r="A216" s="65" t="s">
        <v>895</v>
      </c>
    </row>
    <row r="217" spans="1:1" x14ac:dyDescent="0.25">
      <c r="A217" s="65" t="s">
        <v>896</v>
      </c>
    </row>
    <row r="219" spans="1:1" x14ac:dyDescent="0.25">
      <c r="A219" s="235" t="s">
        <v>897</v>
      </c>
    </row>
    <row r="220" spans="1:1" x14ac:dyDescent="0.25">
      <c r="A220" s="65" t="s">
        <v>898</v>
      </c>
    </row>
    <row r="221" spans="1:1" x14ac:dyDescent="0.25">
      <c r="A221" s="65" t="s">
        <v>899</v>
      </c>
    </row>
    <row r="223" spans="1:1" x14ac:dyDescent="0.25">
      <c r="A223" s="235" t="s">
        <v>900</v>
      </c>
    </row>
    <row r="224" spans="1:1" x14ac:dyDescent="0.25">
      <c r="A224" s="65" t="s">
        <v>901</v>
      </c>
    </row>
    <row r="225" spans="1:1" ht="31.5" x14ac:dyDescent="0.25">
      <c r="A225" s="137" t="s">
        <v>902</v>
      </c>
    </row>
    <row r="226" spans="1:1" x14ac:dyDescent="0.25">
      <c r="A226" s="65" t="s">
        <v>903</v>
      </c>
    </row>
    <row r="227" spans="1:1" x14ac:dyDescent="0.25">
      <c r="A227" s="65" t="s">
        <v>904</v>
      </c>
    </row>
    <row r="228" spans="1:1" x14ac:dyDescent="0.25">
      <c r="A228" s="65" t="s">
        <v>905</v>
      </c>
    </row>
    <row r="229" spans="1:1" x14ac:dyDescent="0.25">
      <c r="A229" s="65" t="s">
        <v>906</v>
      </c>
    </row>
    <row r="230" spans="1:1" ht="31.5" x14ac:dyDescent="0.25">
      <c r="A230" s="137" t="s">
        <v>907</v>
      </c>
    </row>
    <row r="231" spans="1:1" ht="31.5" x14ac:dyDescent="0.25">
      <c r="A231" s="137" t="s">
        <v>908</v>
      </c>
    </row>
    <row r="232" spans="1:1" ht="31.5" x14ac:dyDescent="0.25">
      <c r="A232" s="137" t="s">
        <v>909</v>
      </c>
    </row>
    <row r="233" spans="1:1" x14ac:dyDescent="0.25">
      <c r="A233" s="137" t="s">
        <v>910</v>
      </c>
    </row>
    <row r="234" spans="1:1" ht="31.5" x14ac:dyDescent="0.25">
      <c r="A234" s="137" t="s">
        <v>911</v>
      </c>
    </row>
    <row r="235" spans="1:1" x14ac:dyDescent="0.25">
      <c r="A235" s="65" t="s">
        <v>912</v>
      </c>
    </row>
    <row r="236" spans="1:1" x14ac:dyDescent="0.25">
      <c r="A236" s="65" t="s">
        <v>913</v>
      </c>
    </row>
    <row r="237" spans="1:1" x14ac:dyDescent="0.25">
      <c r="A237" s="65" t="s">
        <v>914</v>
      </c>
    </row>
    <row r="238" spans="1:1" x14ac:dyDescent="0.25">
      <c r="A238" s="65" t="s">
        <v>915</v>
      </c>
    </row>
    <row r="239" spans="1:1" ht="31.5" x14ac:dyDescent="0.25">
      <c r="A239" s="137" t="s">
        <v>916</v>
      </c>
    </row>
    <row r="240" spans="1:1" x14ac:dyDescent="0.25">
      <c r="A240" s="137" t="s">
        <v>917</v>
      </c>
    </row>
    <row r="241" spans="1:1" ht="31.5" x14ac:dyDescent="0.25">
      <c r="A241" s="137" t="s">
        <v>918</v>
      </c>
    </row>
    <row r="242" spans="1:1" x14ac:dyDescent="0.25">
      <c r="A242" s="137" t="s">
        <v>919</v>
      </c>
    </row>
    <row r="243" spans="1:1" x14ac:dyDescent="0.25">
      <c r="A243" s="137" t="s">
        <v>920</v>
      </c>
    </row>
    <row r="244" spans="1:1" x14ac:dyDescent="0.25">
      <c r="A244" s="137" t="s">
        <v>921</v>
      </c>
    </row>
    <row r="245" spans="1:1" ht="31.5" x14ac:dyDescent="0.25">
      <c r="A245" s="137" t="s">
        <v>922</v>
      </c>
    </row>
    <row r="246" spans="1:1" ht="31.5" x14ac:dyDescent="0.25">
      <c r="A246" s="137" t="s">
        <v>923</v>
      </c>
    </row>
    <row r="247" spans="1:1" ht="31.5" x14ac:dyDescent="0.25">
      <c r="A247" s="137" t="s">
        <v>924</v>
      </c>
    </row>
    <row r="248" spans="1:1" ht="31.5" x14ac:dyDescent="0.25">
      <c r="A248" s="137" t="s">
        <v>925</v>
      </c>
    </row>
    <row r="249" spans="1:1" x14ac:dyDescent="0.25">
      <c r="A249" s="137" t="s">
        <v>926</v>
      </c>
    </row>
    <row r="250" spans="1:1" x14ac:dyDescent="0.25">
      <c r="A250" s="137"/>
    </row>
    <row r="251" spans="1:1" x14ac:dyDescent="0.25">
      <c r="A251" s="235" t="s">
        <v>927</v>
      </c>
    </row>
    <row r="252" spans="1:1" ht="47.25" x14ac:dyDescent="0.25">
      <c r="A252" s="137" t="s">
        <v>928</v>
      </c>
    </row>
    <row r="253" spans="1:1" x14ac:dyDescent="0.25">
      <c r="A253" s="65" t="s">
        <v>929</v>
      </c>
    </row>
    <row r="254" spans="1:1" x14ac:dyDescent="0.25">
      <c r="A254" s="65" t="s">
        <v>930</v>
      </c>
    </row>
    <row r="255" spans="1:1" x14ac:dyDescent="0.25">
      <c r="A255" s="65" t="s">
        <v>931</v>
      </c>
    </row>
    <row r="256" spans="1:1" ht="15.75" customHeight="1" x14ac:dyDescent="0.25">
      <c r="A256" s="65" t="s">
        <v>932</v>
      </c>
    </row>
    <row r="257" spans="1:1" ht="15.75" customHeight="1" x14ac:dyDescent="0.25">
      <c r="A257" s="65" t="s">
        <v>933</v>
      </c>
    </row>
    <row r="258" spans="1:1" x14ac:dyDescent="0.25">
      <c r="A258" s="65" t="s">
        <v>934</v>
      </c>
    </row>
    <row r="259" spans="1:1" x14ac:dyDescent="0.25">
      <c r="A259" s="137" t="s">
        <v>935</v>
      </c>
    </row>
    <row r="260" spans="1:1" x14ac:dyDescent="0.25">
      <c r="A260" s="65" t="s">
        <v>936</v>
      </c>
    </row>
    <row r="261" spans="1:1" x14ac:dyDescent="0.25">
      <c r="A261" s="65" t="s">
        <v>937</v>
      </c>
    </row>
    <row r="262" spans="1:1" x14ac:dyDescent="0.25">
      <c r="A262" s="65" t="s">
        <v>938</v>
      </c>
    </row>
    <row r="263" spans="1:1" x14ac:dyDescent="0.25">
      <c r="A263" s="65" t="s">
        <v>939</v>
      </c>
    </row>
    <row r="264" spans="1:1" x14ac:dyDescent="0.25">
      <c r="A264" s="65" t="s">
        <v>940</v>
      </c>
    </row>
    <row r="265" spans="1:1" x14ac:dyDescent="0.25">
      <c r="A265" s="65" t="s">
        <v>941</v>
      </c>
    </row>
    <row r="266" spans="1:1" x14ac:dyDescent="0.25">
      <c r="A266" s="65" t="s">
        <v>942</v>
      </c>
    </row>
    <row r="267" spans="1:1" x14ac:dyDescent="0.25">
      <c r="A267" s="65" t="s">
        <v>943</v>
      </c>
    </row>
    <row r="268" spans="1:1" x14ac:dyDescent="0.25">
      <c r="A268" s="65" t="s">
        <v>944</v>
      </c>
    </row>
    <row r="269" spans="1:1" ht="31.5" x14ac:dyDescent="0.25">
      <c r="A269" s="137" t="s">
        <v>945</v>
      </c>
    </row>
    <row r="270" spans="1:1" x14ac:dyDescent="0.25">
      <c r="A270" s="65" t="s">
        <v>946</v>
      </c>
    </row>
    <row r="271" spans="1:1" x14ac:dyDescent="0.25">
      <c r="A271" s="65" t="s">
        <v>947</v>
      </c>
    </row>
    <row r="272" spans="1:1" x14ac:dyDescent="0.25">
      <c r="A272" s="65" t="s">
        <v>948</v>
      </c>
    </row>
    <row r="273" spans="1:1" x14ac:dyDescent="0.25">
      <c r="A273" s="65" t="s">
        <v>949</v>
      </c>
    </row>
    <row r="274" spans="1:1" x14ac:dyDescent="0.25">
      <c r="A274" s="65" t="s">
        <v>950</v>
      </c>
    </row>
    <row r="275" spans="1:1" x14ac:dyDescent="0.25">
      <c r="A275" s="65" t="s">
        <v>951</v>
      </c>
    </row>
    <row r="276" spans="1:1" x14ac:dyDescent="0.25">
      <c r="A276" s="65" t="s">
        <v>952</v>
      </c>
    </row>
    <row r="277" spans="1:1" x14ac:dyDescent="0.25">
      <c r="A277" s="65" t="s">
        <v>953</v>
      </c>
    </row>
    <row r="278" spans="1:1" x14ac:dyDescent="0.25">
      <c r="A278" s="65" t="s">
        <v>954</v>
      </c>
    </row>
    <row r="279" spans="1:1" x14ac:dyDescent="0.25">
      <c r="A279" s="65" t="s">
        <v>955</v>
      </c>
    </row>
    <row r="280" spans="1:1" x14ac:dyDescent="0.25">
      <c r="A280" s="65" t="s">
        <v>956</v>
      </c>
    </row>
  </sheetData>
  <sheetProtection sheet="1" objects="1" scenario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1633-D70F-410E-83BF-85BE76FEDB3C}">
  <dimension ref="A1:K49"/>
  <sheetViews>
    <sheetView zoomScale="80" zoomScaleNormal="80" workbookViewId="0">
      <selection activeCell="L2" sqref="L2"/>
    </sheetView>
  </sheetViews>
  <sheetFormatPr defaultRowHeight="15.75" x14ac:dyDescent="0.25"/>
  <cols>
    <col min="1" max="1" width="15.5" style="531" customWidth="1"/>
    <col min="2" max="2" width="14.5" style="531" customWidth="1"/>
    <col min="3" max="7" width="8.796875" style="531"/>
    <col min="8" max="8" width="11.3984375" style="532" customWidth="1"/>
    <col min="9" max="9" width="11.19921875" style="532" customWidth="1"/>
    <col min="10" max="11" width="8.796875" style="532"/>
    <col min="12" max="16384" width="8.796875" style="531"/>
  </cols>
  <sheetData>
    <row r="1" spans="1:11" x14ac:dyDescent="0.25">
      <c r="A1" s="710" t="s">
        <v>148</v>
      </c>
      <c r="B1" s="710"/>
      <c r="C1" s="710"/>
      <c r="D1" s="710"/>
      <c r="E1" s="710"/>
      <c r="F1" s="710"/>
      <c r="H1" s="702" t="s">
        <v>149</v>
      </c>
      <c r="I1" s="702"/>
      <c r="J1" s="702"/>
      <c r="K1" s="702"/>
    </row>
    <row r="2" spans="1:11" x14ac:dyDescent="0.25">
      <c r="A2" s="710"/>
      <c r="B2" s="710"/>
      <c r="C2" s="710"/>
      <c r="D2" s="710"/>
      <c r="E2" s="710"/>
      <c r="F2" s="710"/>
      <c r="H2" s="702"/>
      <c r="I2" s="702"/>
      <c r="J2" s="702"/>
      <c r="K2" s="702"/>
    </row>
    <row r="3" spans="1:11" ht="18" customHeight="1" x14ac:dyDescent="0.25">
      <c r="A3" s="711" t="s">
        <v>150</v>
      </c>
      <c r="B3" s="711"/>
      <c r="C3" s="711"/>
      <c r="D3" s="711"/>
      <c r="E3" s="711"/>
      <c r="F3" s="711"/>
      <c r="H3" s="307" t="s">
        <v>151</v>
      </c>
      <c r="I3" s="703" t="s">
        <v>152</v>
      </c>
      <c r="J3" s="704"/>
      <c r="K3" s="705"/>
    </row>
    <row r="4" spans="1:11" ht="18" customHeight="1" x14ac:dyDescent="0.25">
      <c r="A4" s="711"/>
      <c r="B4" s="711"/>
      <c r="C4" s="711"/>
      <c r="D4" s="711"/>
      <c r="E4" s="711"/>
      <c r="F4" s="711"/>
      <c r="H4" s="307"/>
      <c r="I4" s="307"/>
    </row>
    <row r="5" spans="1:11" ht="18" customHeight="1" x14ac:dyDescent="0.25">
      <c r="A5" s="711"/>
      <c r="B5" s="711"/>
      <c r="C5" s="711"/>
      <c r="D5" s="711"/>
      <c r="E5" s="711"/>
      <c r="F5" s="711"/>
      <c r="H5" s="307" t="s">
        <v>153</v>
      </c>
      <c r="I5" s="703" t="s">
        <v>154</v>
      </c>
      <c r="J5" s="704"/>
      <c r="K5" s="705"/>
    </row>
    <row r="6" spans="1:11" ht="18" customHeight="1" x14ac:dyDescent="0.25">
      <c r="A6" s="711"/>
      <c r="B6" s="711"/>
      <c r="C6" s="711"/>
      <c r="D6" s="711"/>
      <c r="E6" s="711"/>
      <c r="F6" s="711"/>
      <c r="H6" s="307"/>
      <c r="I6" s="307"/>
    </row>
    <row r="7" spans="1:11" ht="18" customHeight="1" x14ac:dyDescent="0.25">
      <c r="A7" s="711"/>
      <c r="B7" s="711"/>
      <c r="C7" s="711"/>
      <c r="D7" s="711"/>
      <c r="E7" s="711"/>
      <c r="F7" s="711"/>
      <c r="H7" s="307" t="s">
        <v>155</v>
      </c>
      <c r="I7" s="703" t="s">
        <v>156</v>
      </c>
      <c r="J7" s="704"/>
      <c r="K7" s="705"/>
    </row>
    <row r="8" spans="1:11" ht="18" customHeight="1" x14ac:dyDescent="0.25">
      <c r="A8" s="711"/>
      <c r="B8" s="711"/>
      <c r="C8" s="711"/>
      <c r="D8" s="711"/>
      <c r="E8" s="711"/>
      <c r="F8" s="711"/>
      <c r="H8" s="307"/>
      <c r="I8" s="307"/>
    </row>
    <row r="9" spans="1:11" ht="18" customHeight="1" x14ac:dyDescent="0.25">
      <c r="A9" s="711"/>
      <c r="B9" s="711"/>
      <c r="C9" s="711"/>
      <c r="D9" s="711"/>
      <c r="E9" s="711"/>
      <c r="F9" s="711"/>
      <c r="H9" s="307" t="s">
        <v>157</v>
      </c>
      <c r="I9" s="703" t="s">
        <v>158</v>
      </c>
      <c r="J9" s="704"/>
      <c r="K9" s="705"/>
    </row>
    <row r="10" spans="1:11" ht="18" customHeight="1" x14ac:dyDescent="0.25">
      <c r="A10" s="711"/>
      <c r="B10" s="711"/>
      <c r="C10" s="711"/>
      <c r="D10" s="711"/>
      <c r="E10" s="711"/>
      <c r="F10" s="711"/>
      <c r="H10" s="307"/>
      <c r="I10" s="307"/>
    </row>
    <row r="11" spans="1:11" ht="18" customHeight="1" x14ac:dyDescent="0.25">
      <c r="A11" s="711"/>
      <c r="B11" s="711"/>
      <c r="C11" s="711"/>
      <c r="D11" s="711"/>
      <c r="E11" s="711"/>
      <c r="F11" s="711"/>
      <c r="H11" s="307" t="s">
        <v>159</v>
      </c>
      <c r="I11" s="703" t="s">
        <v>158</v>
      </c>
      <c r="J11" s="704"/>
      <c r="K11" s="705"/>
    </row>
    <row r="12" spans="1:11" ht="18" customHeight="1" x14ac:dyDescent="0.25">
      <c r="A12" s="711"/>
      <c r="B12" s="711"/>
      <c r="C12" s="711"/>
      <c r="D12" s="711"/>
      <c r="E12" s="711"/>
      <c r="F12" s="711"/>
    </row>
    <row r="13" spans="1:11" ht="20.25" x14ac:dyDescent="0.25">
      <c r="A13" s="702" t="s">
        <v>160</v>
      </c>
      <c r="B13" s="702"/>
      <c r="C13" s="702"/>
      <c r="D13" s="702"/>
      <c r="E13" s="702"/>
      <c r="F13" s="702"/>
      <c r="G13" s="702"/>
      <c r="H13" s="702"/>
      <c r="I13" s="702"/>
      <c r="J13" s="702"/>
      <c r="K13" s="702"/>
    </row>
    <row r="14" spans="1:11" x14ac:dyDescent="0.25">
      <c r="A14" s="533" t="s">
        <v>161</v>
      </c>
      <c r="B14" s="703"/>
      <c r="C14" s="704"/>
      <c r="D14" s="704"/>
      <c r="E14" s="705"/>
      <c r="H14" s="706" t="s">
        <v>162</v>
      </c>
      <c r="I14" s="706"/>
      <c r="J14" s="706"/>
      <c r="K14" s="706"/>
    </row>
    <row r="15" spans="1:11" x14ac:dyDescent="0.25">
      <c r="A15" s="533"/>
      <c r="B15" s="534"/>
      <c r="C15" s="535"/>
      <c r="D15" s="535"/>
      <c r="E15" s="535"/>
      <c r="H15" s="706"/>
      <c r="I15" s="706"/>
      <c r="J15" s="706"/>
      <c r="K15" s="706"/>
    </row>
    <row r="16" spans="1:11" x14ac:dyDescent="0.25">
      <c r="A16" s="533" t="s">
        <v>151</v>
      </c>
      <c r="B16" s="703"/>
      <c r="C16" s="704"/>
      <c r="D16" s="704"/>
      <c r="E16" s="705"/>
      <c r="H16" s="706"/>
      <c r="I16" s="706"/>
      <c r="J16" s="706"/>
      <c r="K16" s="706"/>
    </row>
    <row r="17" spans="1:11" x14ac:dyDescent="0.25">
      <c r="A17" s="536"/>
      <c r="B17" s="535"/>
      <c r="C17" s="535"/>
      <c r="D17" s="535"/>
      <c r="E17" s="535"/>
      <c r="H17" s="706"/>
      <c r="I17" s="706"/>
      <c r="J17" s="706"/>
      <c r="K17" s="706"/>
    </row>
    <row r="18" spans="1:11" x14ac:dyDescent="0.25">
      <c r="A18" s="537" t="s">
        <v>153</v>
      </c>
      <c r="B18" s="703"/>
      <c r="C18" s="704"/>
      <c r="D18" s="704"/>
      <c r="E18" s="705"/>
      <c r="H18" s="706"/>
      <c r="I18" s="706"/>
      <c r="J18" s="706"/>
      <c r="K18" s="706"/>
    </row>
    <row r="19" spans="1:11" x14ac:dyDescent="0.25">
      <c r="A19" s="538" t="s">
        <v>163</v>
      </c>
      <c r="B19" s="535"/>
      <c r="C19" s="535"/>
      <c r="D19" s="307"/>
      <c r="E19" s="535"/>
      <c r="H19" s="706"/>
      <c r="I19" s="706"/>
      <c r="J19" s="706"/>
      <c r="K19" s="706"/>
    </row>
    <row r="20" spans="1:11" x14ac:dyDescent="0.25">
      <c r="A20" s="537" t="s">
        <v>155</v>
      </c>
      <c r="B20" s="703"/>
      <c r="C20" s="704"/>
      <c r="D20" s="704"/>
      <c r="E20" s="705"/>
      <c r="H20" s="706"/>
      <c r="I20" s="706"/>
      <c r="J20" s="706"/>
      <c r="K20" s="706"/>
    </row>
    <row r="21" spans="1:11" x14ac:dyDescent="0.25">
      <c r="A21" s="537"/>
      <c r="B21" s="307"/>
      <c r="C21" s="307"/>
      <c r="D21" s="307"/>
      <c r="E21" s="535"/>
      <c r="H21" s="706"/>
      <c r="I21" s="706"/>
      <c r="J21" s="706"/>
      <c r="K21" s="706"/>
    </row>
    <row r="22" spans="1:11" x14ac:dyDescent="0.25">
      <c r="A22" s="537" t="s">
        <v>157</v>
      </c>
      <c r="B22" s="707"/>
      <c r="C22" s="708"/>
      <c r="D22" s="708"/>
      <c r="E22" s="709"/>
      <c r="H22" s="706"/>
      <c r="I22" s="706"/>
      <c r="J22" s="706"/>
      <c r="K22" s="706"/>
    </row>
    <row r="23" spans="1:11" x14ac:dyDescent="0.25">
      <c r="A23" s="537"/>
      <c r="B23" s="307"/>
      <c r="C23" s="307"/>
      <c r="D23" s="307"/>
      <c r="E23" s="535"/>
      <c r="H23" s="706"/>
      <c r="I23" s="706"/>
      <c r="J23" s="706"/>
      <c r="K23" s="706"/>
    </row>
    <row r="24" spans="1:11" x14ac:dyDescent="0.25">
      <c r="A24" s="537" t="s">
        <v>164</v>
      </c>
      <c r="B24" s="707"/>
      <c r="C24" s="708"/>
      <c r="D24" s="708"/>
      <c r="E24" s="709"/>
      <c r="H24" s="706"/>
      <c r="I24" s="706"/>
      <c r="J24" s="706"/>
      <c r="K24" s="706"/>
    </row>
    <row r="27" spans="1:11" ht="20.25" x14ac:dyDescent="0.25">
      <c r="A27" s="702" t="s">
        <v>165</v>
      </c>
      <c r="B27" s="702"/>
      <c r="C27" s="702"/>
      <c r="D27" s="702"/>
      <c r="E27" s="702"/>
      <c r="F27" s="702"/>
      <c r="G27" s="702"/>
      <c r="H27" s="702"/>
      <c r="I27" s="702"/>
      <c r="J27" s="702"/>
      <c r="K27" s="702"/>
    </row>
    <row r="28" spans="1:11" x14ac:dyDescent="0.25">
      <c r="A28" s="533" t="s">
        <v>161</v>
      </c>
      <c r="B28" s="703"/>
      <c r="C28" s="704"/>
      <c r="D28" s="704"/>
      <c r="E28" s="705"/>
      <c r="H28" s="706" t="s">
        <v>166</v>
      </c>
      <c r="I28" s="706"/>
      <c r="J28" s="706"/>
      <c r="K28" s="706"/>
    </row>
    <row r="29" spans="1:11" x14ac:dyDescent="0.25">
      <c r="A29" s="533"/>
      <c r="B29" s="534"/>
      <c r="H29" s="706"/>
      <c r="I29" s="706"/>
      <c r="J29" s="706"/>
      <c r="K29" s="706"/>
    </row>
    <row r="30" spans="1:11" x14ac:dyDescent="0.25">
      <c r="A30" s="533" t="s">
        <v>151</v>
      </c>
      <c r="B30" s="703"/>
      <c r="C30" s="704"/>
      <c r="D30" s="704"/>
      <c r="E30" s="705"/>
      <c r="H30" s="706"/>
      <c r="I30" s="706"/>
      <c r="J30" s="706"/>
      <c r="K30" s="706"/>
    </row>
    <row r="31" spans="1:11" x14ac:dyDescent="0.25">
      <c r="A31" s="536"/>
      <c r="H31" s="706"/>
      <c r="I31" s="706"/>
      <c r="J31" s="706"/>
      <c r="K31" s="706"/>
    </row>
    <row r="32" spans="1:11" x14ac:dyDescent="0.25">
      <c r="A32" s="537" t="s">
        <v>153</v>
      </c>
      <c r="B32" s="703"/>
      <c r="C32" s="704"/>
      <c r="D32" s="704"/>
      <c r="E32" s="705"/>
      <c r="H32" s="706"/>
      <c r="I32" s="706"/>
      <c r="J32" s="706"/>
      <c r="K32" s="706"/>
    </row>
    <row r="33" spans="1:11" x14ac:dyDescent="0.25">
      <c r="A33" s="538" t="s">
        <v>163</v>
      </c>
      <c r="D33" s="307"/>
      <c r="H33" s="706"/>
      <c r="I33" s="706"/>
      <c r="J33" s="706"/>
      <c r="K33" s="706"/>
    </row>
    <row r="34" spans="1:11" x14ac:dyDescent="0.25">
      <c r="A34" s="537" t="s">
        <v>155</v>
      </c>
      <c r="B34" s="703"/>
      <c r="C34" s="704"/>
      <c r="D34" s="704"/>
      <c r="E34" s="705"/>
      <c r="H34" s="706"/>
      <c r="I34" s="706"/>
      <c r="J34" s="706"/>
      <c r="K34" s="706"/>
    </row>
    <row r="35" spans="1:11" x14ac:dyDescent="0.25">
      <c r="A35" s="537"/>
      <c r="B35" s="307"/>
      <c r="C35" s="307"/>
      <c r="D35" s="307"/>
      <c r="H35" s="706"/>
      <c r="I35" s="706"/>
      <c r="J35" s="706"/>
      <c r="K35" s="706"/>
    </row>
    <row r="36" spans="1:11" x14ac:dyDescent="0.25">
      <c r="A36" s="537" t="s">
        <v>157</v>
      </c>
      <c r="B36" s="707"/>
      <c r="C36" s="708"/>
      <c r="D36" s="708"/>
      <c r="E36" s="709"/>
      <c r="H36" s="706"/>
      <c r="I36" s="706"/>
      <c r="J36" s="706"/>
      <c r="K36" s="706"/>
    </row>
    <row r="37" spans="1:11" x14ac:dyDescent="0.25">
      <c r="A37" s="537"/>
      <c r="B37" s="307"/>
      <c r="C37" s="307"/>
      <c r="D37" s="307"/>
      <c r="H37" s="706"/>
      <c r="I37" s="706"/>
      <c r="J37" s="706"/>
      <c r="K37" s="706"/>
    </row>
    <row r="38" spans="1:11" x14ac:dyDescent="0.25">
      <c r="A38" s="537" t="s">
        <v>164</v>
      </c>
      <c r="B38" s="707"/>
      <c r="C38" s="708"/>
      <c r="D38" s="708"/>
      <c r="E38" s="709"/>
      <c r="H38" s="706"/>
      <c r="I38" s="706"/>
      <c r="J38" s="706"/>
      <c r="K38" s="706"/>
    </row>
    <row r="39" spans="1:11" x14ac:dyDescent="0.25">
      <c r="H39" s="706"/>
      <c r="I39" s="706"/>
      <c r="J39" s="706"/>
      <c r="K39" s="706"/>
    </row>
    <row r="41" spans="1:11" ht="20.25" x14ac:dyDescent="0.25">
      <c r="A41" s="702" t="s">
        <v>167</v>
      </c>
      <c r="B41" s="702"/>
      <c r="C41" s="702"/>
      <c r="D41" s="702"/>
      <c r="E41" s="702"/>
      <c r="F41" s="702"/>
      <c r="G41" s="702"/>
      <c r="H41" s="702"/>
      <c r="I41" s="702"/>
      <c r="J41" s="702"/>
      <c r="K41" s="702"/>
    </row>
    <row r="42" spans="1:11" x14ac:dyDescent="0.25">
      <c r="A42" s="537" t="s">
        <v>153</v>
      </c>
      <c r="B42" s="703"/>
      <c r="C42" s="704"/>
      <c r="D42" s="704"/>
      <c r="E42" s="705"/>
      <c r="H42" s="706" t="s">
        <v>168</v>
      </c>
      <c r="I42" s="706"/>
      <c r="J42" s="706"/>
      <c r="K42" s="706"/>
    </row>
    <row r="43" spans="1:11" x14ac:dyDescent="0.25">
      <c r="A43" s="538" t="s">
        <v>163</v>
      </c>
      <c r="B43" s="535"/>
      <c r="C43" s="535"/>
      <c r="D43" s="307"/>
      <c r="E43" s="535"/>
      <c r="H43" s="706"/>
      <c r="I43" s="706"/>
      <c r="J43" s="706"/>
      <c r="K43" s="706"/>
    </row>
    <row r="44" spans="1:11" x14ac:dyDescent="0.25">
      <c r="A44" s="537" t="s">
        <v>155</v>
      </c>
      <c r="B44" s="703"/>
      <c r="C44" s="704"/>
      <c r="D44" s="704"/>
      <c r="E44" s="705"/>
      <c r="H44" s="706"/>
      <c r="I44" s="706"/>
      <c r="J44" s="706"/>
      <c r="K44" s="706"/>
    </row>
    <row r="45" spans="1:11" x14ac:dyDescent="0.25">
      <c r="A45" s="537"/>
      <c r="B45" s="307"/>
      <c r="C45" s="307"/>
      <c r="D45" s="307"/>
      <c r="E45" s="535"/>
      <c r="H45" s="706"/>
      <c r="I45" s="706"/>
      <c r="J45" s="706"/>
      <c r="K45" s="706"/>
    </row>
    <row r="46" spans="1:11" x14ac:dyDescent="0.25">
      <c r="A46" s="537" t="s">
        <v>157</v>
      </c>
      <c r="B46" s="707"/>
      <c r="C46" s="708"/>
      <c r="D46" s="708"/>
      <c r="E46" s="709"/>
      <c r="H46" s="706"/>
      <c r="I46" s="706"/>
      <c r="J46" s="706"/>
      <c r="K46" s="706"/>
    </row>
    <row r="47" spans="1:11" x14ac:dyDescent="0.25">
      <c r="H47" s="706"/>
      <c r="I47" s="706"/>
      <c r="J47" s="706"/>
      <c r="K47" s="706"/>
    </row>
    <row r="48" spans="1:11" x14ac:dyDescent="0.25">
      <c r="H48" s="706"/>
      <c r="I48" s="706"/>
      <c r="J48" s="706"/>
      <c r="K48" s="706"/>
    </row>
    <row r="49" spans="8:11" x14ac:dyDescent="0.25">
      <c r="H49" s="706"/>
      <c r="I49" s="706"/>
      <c r="J49" s="706"/>
      <c r="K49" s="706"/>
    </row>
  </sheetData>
  <sheetProtection sheet="1"/>
  <mergeCells count="29">
    <mergeCell ref="A1:F2"/>
    <mergeCell ref="H1:K2"/>
    <mergeCell ref="A3:F12"/>
    <mergeCell ref="I3:K3"/>
    <mergeCell ref="I5:K5"/>
    <mergeCell ref="I7:K7"/>
    <mergeCell ref="I9:K9"/>
    <mergeCell ref="I11:K11"/>
    <mergeCell ref="A13:K13"/>
    <mergeCell ref="B14:E14"/>
    <mergeCell ref="H14:K24"/>
    <mergeCell ref="B16:E16"/>
    <mergeCell ref="B18:E18"/>
    <mergeCell ref="B20:E20"/>
    <mergeCell ref="B22:E22"/>
    <mergeCell ref="B24:E24"/>
    <mergeCell ref="A27:K27"/>
    <mergeCell ref="B28:E28"/>
    <mergeCell ref="H28:K39"/>
    <mergeCell ref="B30:E30"/>
    <mergeCell ref="B32:E32"/>
    <mergeCell ref="B34:E34"/>
    <mergeCell ref="B36:E36"/>
    <mergeCell ref="B38:E38"/>
    <mergeCell ref="A41:K41"/>
    <mergeCell ref="B42:E42"/>
    <mergeCell ref="H42:K49"/>
    <mergeCell ref="B44:E44"/>
    <mergeCell ref="B46:E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00B0F0"/>
  </sheetPr>
  <dimension ref="A1:A46"/>
  <sheetViews>
    <sheetView workbookViewId="0">
      <selection sqref="A1:A40"/>
    </sheetView>
  </sheetViews>
  <sheetFormatPr defaultRowHeight="15.75" x14ac:dyDescent="0.25"/>
  <cols>
    <col min="1" max="1" width="87.8984375" customWidth="1"/>
  </cols>
  <sheetData>
    <row r="1" spans="1:1" x14ac:dyDescent="0.25">
      <c r="A1" s="712" t="s">
        <v>169</v>
      </c>
    </row>
    <row r="2" spans="1:1" x14ac:dyDescent="0.25">
      <c r="A2" s="712"/>
    </row>
    <row r="3" spans="1:1" x14ac:dyDescent="0.25">
      <c r="A3" s="712"/>
    </row>
    <row r="4" spans="1:1" x14ac:dyDescent="0.25">
      <c r="A4" s="712"/>
    </row>
    <row r="5" spans="1:1" x14ac:dyDescent="0.25">
      <c r="A5" s="712"/>
    </row>
    <row r="6" spans="1:1" x14ac:dyDescent="0.25">
      <c r="A6" s="712"/>
    </row>
    <row r="7" spans="1:1" x14ac:dyDescent="0.25">
      <c r="A7" s="712"/>
    </row>
    <row r="8" spans="1:1" x14ac:dyDescent="0.25">
      <c r="A8" s="712"/>
    </row>
    <row r="9" spans="1:1" x14ac:dyDescent="0.25">
      <c r="A9" s="712"/>
    </row>
    <row r="10" spans="1:1" x14ac:dyDescent="0.25">
      <c r="A10" s="712"/>
    </row>
    <row r="11" spans="1:1" x14ac:dyDescent="0.25">
      <c r="A11" s="712"/>
    </row>
    <row r="12" spans="1:1" x14ac:dyDescent="0.25">
      <c r="A12" s="712"/>
    </row>
    <row r="13" spans="1:1" x14ac:dyDescent="0.25">
      <c r="A13" s="712"/>
    </row>
    <row r="14" spans="1:1" x14ac:dyDescent="0.25">
      <c r="A14" s="712"/>
    </row>
    <row r="15" spans="1:1" x14ac:dyDescent="0.25">
      <c r="A15" s="712"/>
    </row>
    <row r="16" spans="1:1" x14ac:dyDescent="0.25">
      <c r="A16" s="712"/>
    </row>
    <row r="17" spans="1:1" x14ac:dyDescent="0.25">
      <c r="A17" s="712"/>
    </row>
    <row r="18" spans="1:1" x14ac:dyDescent="0.25">
      <c r="A18" s="712"/>
    </row>
    <row r="19" spans="1:1" x14ac:dyDescent="0.25">
      <c r="A19" s="712"/>
    </row>
    <row r="20" spans="1:1" x14ac:dyDescent="0.25">
      <c r="A20" s="712"/>
    </row>
    <row r="21" spans="1:1" x14ac:dyDescent="0.25">
      <c r="A21" s="712"/>
    </row>
    <row r="22" spans="1:1" x14ac:dyDescent="0.25">
      <c r="A22" s="712"/>
    </row>
    <row r="23" spans="1:1" x14ac:dyDescent="0.25">
      <c r="A23" s="712"/>
    </row>
    <row r="24" spans="1:1" x14ac:dyDescent="0.25">
      <c r="A24" s="712"/>
    </row>
    <row r="25" spans="1:1" x14ac:dyDescent="0.25">
      <c r="A25" s="712"/>
    </row>
    <row r="26" spans="1:1" x14ac:dyDescent="0.25">
      <c r="A26" s="712"/>
    </row>
    <row r="27" spans="1:1" x14ac:dyDescent="0.25">
      <c r="A27" s="712"/>
    </row>
    <row r="28" spans="1:1" x14ac:dyDescent="0.25">
      <c r="A28" s="712"/>
    </row>
    <row r="29" spans="1:1" x14ac:dyDescent="0.25">
      <c r="A29" s="712"/>
    </row>
    <row r="30" spans="1:1" x14ac:dyDescent="0.25">
      <c r="A30" s="712"/>
    </row>
    <row r="31" spans="1:1" x14ac:dyDescent="0.25">
      <c r="A31" s="712"/>
    </row>
    <row r="32" spans="1:1" x14ac:dyDescent="0.25">
      <c r="A32" s="712"/>
    </row>
    <row r="33" spans="1:1" x14ac:dyDescent="0.25">
      <c r="A33" s="712"/>
    </row>
    <row r="34" spans="1:1" x14ac:dyDescent="0.25">
      <c r="A34" s="712"/>
    </row>
    <row r="35" spans="1:1" x14ac:dyDescent="0.25">
      <c r="A35" s="712"/>
    </row>
    <row r="36" spans="1:1" x14ac:dyDescent="0.25">
      <c r="A36" s="712"/>
    </row>
    <row r="37" spans="1:1" x14ac:dyDescent="0.25">
      <c r="A37" s="712"/>
    </row>
    <row r="38" spans="1:1" x14ac:dyDescent="0.25">
      <c r="A38" s="712"/>
    </row>
    <row r="39" spans="1:1" x14ac:dyDescent="0.25">
      <c r="A39" s="712"/>
    </row>
    <row r="40" spans="1:1" x14ac:dyDescent="0.25">
      <c r="A40" s="712"/>
    </row>
    <row r="41" spans="1:1" x14ac:dyDescent="0.25">
      <c r="A41" s="137"/>
    </row>
    <row r="42" spans="1:1" x14ac:dyDescent="0.25">
      <c r="A42" s="137"/>
    </row>
    <row r="43" spans="1:1" x14ac:dyDescent="0.25">
      <c r="A43" s="137"/>
    </row>
    <row r="44" spans="1:1" x14ac:dyDescent="0.25">
      <c r="A44" s="137"/>
    </row>
    <row r="45" spans="1:1" x14ac:dyDescent="0.25">
      <c r="A45" s="137"/>
    </row>
    <row r="46" spans="1:1" x14ac:dyDescent="0.25">
      <c r="A46" s="137"/>
    </row>
  </sheetData>
  <sheetProtection sheet="1" objects="1" scenarios="1"/>
  <mergeCells count="1">
    <mergeCell ref="A1:A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F0"/>
    <pageSetUpPr fitToPage="1"/>
  </sheetPr>
  <dimension ref="A1:AH76"/>
  <sheetViews>
    <sheetView workbookViewId="0">
      <selection activeCell="F49" sqref="F49"/>
    </sheetView>
  </sheetViews>
  <sheetFormatPr defaultRowHeight="15.75" x14ac:dyDescent="0.25"/>
  <cols>
    <col min="1" max="1" width="22.3984375" style="65" customWidth="1"/>
    <col min="2" max="2" width="10.8984375" style="65" customWidth="1"/>
    <col min="3" max="3" width="5.69921875" style="65" customWidth="1"/>
    <col min="4" max="4" width="12.8984375" style="65" customWidth="1"/>
    <col min="5" max="5" width="12.69921875" style="65" customWidth="1"/>
    <col min="6" max="6" width="12.5" style="65" customWidth="1"/>
    <col min="7" max="16384" width="8.796875" style="65"/>
  </cols>
  <sheetData>
    <row r="1" spans="1:34" s="35" customFormat="1" x14ac:dyDescent="0.25">
      <c r="A1" s="720" t="s">
        <v>170</v>
      </c>
      <c r="B1" s="720"/>
      <c r="C1" s="720"/>
      <c r="D1" s="720"/>
      <c r="E1" s="720"/>
      <c r="F1" s="720"/>
      <c r="G1" s="35">
        <f>inputPrYr!D10</f>
        <v>2025</v>
      </c>
      <c r="H1" s="65"/>
      <c r="I1" s="65"/>
      <c r="J1" s="65"/>
      <c r="K1" s="65"/>
      <c r="L1" s="65"/>
      <c r="M1" s="65"/>
      <c r="N1" s="65"/>
      <c r="O1" s="65"/>
      <c r="P1" s="65"/>
      <c r="Q1" s="65"/>
      <c r="R1" s="65"/>
      <c r="S1" s="65"/>
      <c r="T1" s="65"/>
      <c r="U1" s="65"/>
      <c r="V1" s="65"/>
      <c r="W1" s="65"/>
      <c r="X1" s="65"/>
      <c r="Y1" s="65"/>
      <c r="Z1" s="65"/>
      <c r="AA1" s="65"/>
      <c r="AB1" s="65"/>
      <c r="AC1" s="65"/>
      <c r="AD1" s="65"/>
      <c r="AE1" s="65"/>
      <c r="AF1" s="65"/>
      <c r="AG1" s="65"/>
      <c r="AH1" s="65"/>
    </row>
    <row r="2" spans="1:34" s="35" customFormat="1" x14ac:dyDescent="0.25">
      <c r="B2" s="36"/>
      <c r="C2" s="36"/>
      <c r="D2" s="36"/>
      <c r="E2" s="36"/>
      <c r="F2" s="37"/>
      <c r="H2" s="65"/>
      <c r="I2" s="65"/>
      <c r="J2" s="65"/>
      <c r="K2" s="65"/>
      <c r="L2" s="65"/>
      <c r="M2" s="65"/>
      <c r="N2" s="65"/>
      <c r="O2" s="65"/>
      <c r="P2" s="65"/>
      <c r="Q2" s="65"/>
      <c r="R2" s="65"/>
      <c r="S2" s="65"/>
      <c r="T2" s="65"/>
      <c r="U2" s="65"/>
      <c r="V2" s="65"/>
      <c r="W2" s="65"/>
      <c r="X2" s="65"/>
      <c r="Y2" s="65"/>
      <c r="Z2" s="65"/>
      <c r="AA2" s="65"/>
      <c r="AB2" s="65"/>
      <c r="AC2" s="65"/>
      <c r="AD2" s="65"/>
      <c r="AE2" s="65"/>
      <c r="AF2" s="65"/>
      <c r="AG2" s="65"/>
      <c r="AH2" s="65"/>
    </row>
    <row r="3" spans="1:34" s="35" customFormat="1" x14ac:dyDescent="0.25">
      <c r="A3" s="729" t="str">
        <f>CONCATENATE("To the Clerk of ",inputPrYr!D5,", State of Kansas")</f>
        <v>To the Clerk of , State of Kansas</v>
      </c>
      <c r="B3" s="728"/>
      <c r="C3" s="728"/>
      <c r="D3" s="728"/>
      <c r="E3" s="728"/>
      <c r="F3" s="728"/>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4" s="35" customFormat="1" x14ac:dyDescent="0.25">
      <c r="A4" s="729" t="s">
        <v>171</v>
      </c>
      <c r="B4" s="677"/>
      <c r="C4" s="677"/>
      <c r="D4" s="677"/>
      <c r="E4" s="677"/>
      <c r="F4" s="677"/>
      <c r="H4" s="65"/>
      <c r="I4" s="65"/>
      <c r="J4" s="65"/>
      <c r="K4" s="65"/>
      <c r="L4" s="65"/>
      <c r="M4" s="65"/>
      <c r="N4" s="65"/>
      <c r="O4" s="65"/>
      <c r="P4" s="65"/>
      <c r="Q4" s="65"/>
      <c r="R4" s="65"/>
      <c r="S4" s="65"/>
      <c r="T4" s="65"/>
      <c r="U4" s="65"/>
      <c r="V4" s="65"/>
      <c r="W4" s="65"/>
      <c r="X4" s="65"/>
      <c r="Y4" s="65"/>
      <c r="Z4" s="65"/>
      <c r="AA4" s="65"/>
      <c r="AB4" s="65"/>
      <c r="AC4" s="65"/>
      <c r="AD4" s="65"/>
      <c r="AE4" s="65"/>
      <c r="AF4" s="65"/>
      <c r="AG4" s="65"/>
      <c r="AH4" s="65"/>
    </row>
    <row r="5" spans="1:34" s="35" customFormat="1" x14ac:dyDescent="0.25">
      <c r="A5" s="676">
        <f>inputPrYr!D4</f>
        <v>0</v>
      </c>
      <c r="B5" s="677"/>
      <c r="C5" s="677"/>
      <c r="D5" s="677"/>
      <c r="E5" s="677"/>
      <c r="F5" s="677"/>
      <c r="H5" s="65"/>
      <c r="I5" s="65"/>
      <c r="J5" s="65"/>
      <c r="K5" s="65"/>
      <c r="L5" s="65"/>
      <c r="M5" s="65"/>
      <c r="N5" s="65"/>
      <c r="O5" s="65"/>
      <c r="P5" s="65"/>
      <c r="Q5" s="65"/>
      <c r="R5" s="65"/>
      <c r="S5" s="65"/>
      <c r="T5" s="65"/>
      <c r="U5" s="65"/>
      <c r="V5" s="65"/>
      <c r="W5" s="65"/>
      <c r="X5" s="65"/>
      <c r="Y5" s="65"/>
      <c r="Z5" s="65"/>
      <c r="AA5" s="65"/>
      <c r="AB5" s="65"/>
      <c r="AC5" s="65"/>
      <c r="AD5" s="65"/>
      <c r="AE5" s="65"/>
      <c r="AF5" s="65"/>
      <c r="AG5" s="65"/>
      <c r="AH5" s="65"/>
    </row>
    <row r="6" spans="1:34" s="35" customFormat="1" x14ac:dyDescent="0.25">
      <c r="A6" s="727" t="s">
        <v>172</v>
      </c>
      <c r="B6" s="728"/>
      <c r="C6" s="728"/>
      <c r="D6" s="728"/>
      <c r="E6" s="728"/>
      <c r="F6" s="728"/>
      <c r="H6" s="65"/>
      <c r="I6" s="65"/>
      <c r="J6" s="65"/>
      <c r="K6" s="65"/>
      <c r="L6" s="65"/>
      <c r="M6" s="65"/>
      <c r="N6" s="65"/>
      <c r="O6" s="65"/>
      <c r="P6" s="65"/>
      <c r="Q6" s="65"/>
      <c r="R6" s="65"/>
      <c r="S6" s="65"/>
      <c r="T6" s="65"/>
      <c r="U6" s="65"/>
      <c r="V6" s="65"/>
      <c r="W6" s="65"/>
      <c r="X6" s="65"/>
      <c r="Y6" s="65"/>
      <c r="Z6" s="65"/>
      <c r="AA6" s="65"/>
      <c r="AB6" s="65"/>
      <c r="AC6" s="65"/>
      <c r="AD6" s="65"/>
      <c r="AE6" s="65"/>
      <c r="AF6" s="65"/>
      <c r="AG6" s="65"/>
      <c r="AH6" s="65"/>
    </row>
    <row r="7" spans="1:34" s="35" customFormat="1" ht="15.75" customHeight="1" x14ac:dyDescent="0.25">
      <c r="A7" s="729" t="s">
        <v>173</v>
      </c>
      <c r="B7" s="677"/>
      <c r="C7" s="677"/>
      <c r="D7" s="677"/>
      <c r="E7" s="677"/>
      <c r="F7" s="677"/>
      <c r="H7" s="65"/>
      <c r="I7" s="65"/>
      <c r="J7" s="65"/>
      <c r="K7" s="65"/>
      <c r="L7" s="65"/>
      <c r="M7" s="65"/>
      <c r="N7" s="65"/>
      <c r="O7" s="65"/>
      <c r="P7" s="65"/>
      <c r="Q7" s="65"/>
      <c r="R7" s="65"/>
      <c r="S7" s="65"/>
      <c r="T7" s="65"/>
      <c r="U7" s="65"/>
      <c r="V7" s="65"/>
      <c r="W7" s="65"/>
      <c r="X7" s="65"/>
      <c r="Y7" s="65"/>
      <c r="Z7" s="65"/>
      <c r="AA7" s="65"/>
      <c r="AB7" s="65"/>
      <c r="AC7" s="65"/>
      <c r="AD7" s="65"/>
      <c r="AE7" s="65"/>
      <c r="AF7" s="65"/>
      <c r="AG7" s="65"/>
      <c r="AH7" s="65"/>
    </row>
    <row r="8" spans="1:34" s="35" customFormat="1" ht="15.75" customHeight="1" x14ac:dyDescent="0.25">
      <c r="A8" s="729" t="str">
        <f>CONCATENATE("maximum expenditures for the various funds for the year ",G1,"; and (3) the")</f>
        <v>maximum expenditures for the various funds for the year 2025; and (3) the</v>
      </c>
      <c r="B8" s="677"/>
      <c r="C8" s="677"/>
      <c r="D8" s="677"/>
      <c r="E8" s="677"/>
      <c r="F8" s="677"/>
      <c r="H8" s="65"/>
      <c r="I8" s="65"/>
      <c r="J8" s="65"/>
      <c r="K8" s="65"/>
      <c r="L8" s="65"/>
      <c r="M8" s="65"/>
      <c r="N8" s="65"/>
      <c r="O8" s="65"/>
      <c r="P8" s="65"/>
      <c r="Q8" s="65"/>
      <c r="R8" s="65"/>
      <c r="S8" s="65"/>
      <c r="T8" s="65"/>
      <c r="U8" s="65"/>
      <c r="V8" s="65"/>
      <c r="W8" s="65"/>
      <c r="X8" s="65"/>
      <c r="Y8" s="65"/>
      <c r="Z8" s="65"/>
      <c r="AA8" s="65"/>
      <c r="AB8" s="65"/>
      <c r="AC8" s="65"/>
      <c r="AD8" s="65"/>
      <c r="AE8" s="65"/>
      <c r="AF8" s="65"/>
      <c r="AG8" s="65"/>
      <c r="AH8" s="65"/>
    </row>
    <row r="9" spans="1:34" s="35" customFormat="1" ht="15.75" customHeight="1" x14ac:dyDescent="0.25">
      <c r="A9" s="729" t="str">
        <f>CONCATENATE("Amount(s) of ",G1-1," Ad Valorem Tax are within statutory limitations for the ",G1," Budget.")</f>
        <v>Amount(s) of 2024 Ad Valorem Tax are within statutory limitations for the 2025 Budget.</v>
      </c>
      <c r="B9" s="677"/>
      <c r="C9" s="677"/>
      <c r="D9" s="677"/>
      <c r="E9" s="677"/>
      <c r="F9" s="677"/>
      <c r="H9" s="65"/>
      <c r="I9" s="65"/>
      <c r="J9" s="65"/>
      <c r="K9" s="65"/>
      <c r="L9" s="65"/>
      <c r="M9" s="65"/>
      <c r="N9" s="65"/>
      <c r="O9" s="65"/>
      <c r="P9" s="65"/>
      <c r="Q9" s="65"/>
      <c r="R9" s="65"/>
      <c r="S9" s="65"/>
      <c r="T9" s="65"/>
      <c r="U9" s="65"/>
      <c r="V9" s="65"/>
      <c r="W9" s="65"/>
      <c r="X9" s="65"/>
      <c r="Y9" s="65"/>
      <c r="Z9" s="65"/>
      <c r="AA9" s="65"/>
      <c r="AB9" s="65"/>
      <c r="AC9" s="65"/>
      <c r="AD9" s="65"/>
      <c r="AE9" s="65"/>
      <c r="AF9" s="65"/>
      <c r="AG9" s="65"/>
      <c r="AH9" s="65"/>
    </row>
    <row r="10" spans="1:34" s="35" customFormat="1" ht="15.75" customHeight="1" x14ac:dyDescent="0.25">
      <c r="D10" s="38"/>
      <c r="E10" s="38"/>
      <c r="F10" s="38"/>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row>
    <row r="11" spans="1:34" s="35" customFormat="1" x14ac:dyDescent="0.25">
      <c r="D11" s="724" t="str">
        <f>CONCATENATE("",G1," Adopted Budget")</f>
        <v>2025 Adopted Budget</v>
      </c>
      <c r="E11" s="725"/>
      <c r="F11" s="726"/>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row>
    <row r="12" spans="1:34" s="35" customFormat="1" x14ac:dyDescent="0.25">
      <c r="A12" s="39"/>
      <c r="C12" s="38"/>
      <c r="D12" s="721" t="s">
        <v>174</v>
      </c>
      <c r="E12" s="721" t="str">
        <f>CONCATENATE("Amount of ",G1-1," Ad Valorem Tax")</f>
        <v>Amount of 2024 Ad Valorem Tax</v>
      </c>
      <c r="F12" s="721" t="s">
        <v>175</v>
      </c>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34" s="35" customFormat="1" x14ac:dyDescent="0.25">
      <c r="C13" s="625" t="s">
        <v>176</v>
      </c>
      <c r="D13" s="730"/>
      <c r="E13" s="722"/>
      <c r="F13" s="730"/>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34" s="35" customFormat="1" x14ac:dyDescent="0.25">
      <c r="A14" s="41" t="s">
        <v>177</v>
      </c>
      <c r="B14" s="42"/>
      <c r="C14" s="626" t="s">
        <v>178</v>
      </c>
      <c r="D14" s="731"/>
      <c r="E14" s="723"/>
      <c r="F14" s="731"/>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row>
    <row r="15" spans="1:34" s="35" customFormat="1" x14ac:dyDescent="0.25">
      <c r="A15" s="43" t="s">
        <v>179</v>
      </c>
      <c r="B15" s="44"/>
      <c r="C15" s="46">
        <v>2</v>
      </c>
      <c r="F15" s="47"/>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row>
    <row r="16" spans="1:34" s="35" customFormat="1" x14ac:dyDescent="0.25">
      <c r="A16" s="48" t="s">
        <v>180</v>
      </c>
      <c r="B16" s="44"/>
      <c r="C16" s="46">
        <v>3</v>
      </c>
      <c r="F16" s="47"/>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row>
    <row r="17" spans="1:34" s="35" customFormat="1" x14ac:dyDescent="0.25">
      <c r="A17" s="48" t="s">
        <v>181</v>
      </c>
      <c r="B17" s="44"/>
      <c r="C17" s="46">
        <v>4</v>
      </c>
      <c r="F17" s="47"/>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row>
    <row r="18" spans="1:34" s="35" customFormat="1" x14ac:dyDescent="0.25">
      <c r="A18" s="48" t="str">
        <f>IF(inputPrYr!D23="","","Computation to Determine State Library Grant")</f>
        <v/>
      </c>
      <c r="B18" s="44"/>
      <c r="C18" s="46" t="str">
        <f>IF(inputPrYr!D23="","",'Library Grant'!F40)</f>
        <v/>
      </c>
      <c r="F18" s="47"/>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row>
    <row r="19" spans="1:34" s="35" customFormat="1" x14ac:dyDescent="0.25">
      <c r="A19" s="49" t="s">
        <v>124</v>
      </c>
      <c r="B19" s="50" t="s">
        <v>182</v>
      </c>
      <c r="C19" s="51"/>
      <c r="F19" s="52"/>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row>
    <row r="20" spans="1:34" s="35" customFormat="1" x14ac:dyDescent="0.25">
      <c r="A20" s="53" t="str">
        <f>inputPrYr!B21</f>
        <v>General</v>
      </c>
      <c r="B20" s="46" t="str">
        <f>inputPrYr!C21</f>
        <v>79-1962</v>
      </c>
      <c r="C20" s="54" t="str">
        <f>IF(General!C62&gt;0,General!C62,"  ")</f>
        <v xml:space="preserve">  </v>
      </c>
      <c r="D20" s="308" t="str">
        <f>IF(General!$E$49&lt;&gt;0,General!$E$49,"  ")</f>
        <v xml:space="preserve">  </v>
      </c>
      <c r="E20" s="308">
        <f>IF(General!$E$56&lt;&gt;0,General!$E$56,0)</f>
        <v>0</v>
      </c>
      <c r="F20" s="309" t="str">
        <f>IF(AND(General!E56=0,$F$44&gt;=0)," ",IF(AND(E20&gt;0,$F$44=0)," ",IF(AND(E20&gt;0,$F$44&gt;0),ROUND(E20/$F$44*1000,3))))</f>
        <v xml:space="preserve"> </v>
      </c>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row>
    <row r="21" spans="1:34" s="35" customFormat="1" x14ac:dyDescent="0.25">
      <c r="A21" s="53" t="s">
        <v>101</v>
      </c>
      <c r="B21" s="46" t="str">
        <f>IF(inputPrYr!C22&gt;0,inputPrYr!C22,"")</f>
        <v>10-113</v>
      </c>
      <c r="C21" s="54" t="str">
        <f>IF('DebtSvs-Library'!C88&gt;0,'DebtSvs-Library'!C88,"  ")</f>
        <v xml:space="preserve">  </v>
      </c>
      <c r="D21" s="308" t="str">
        <f>IF('DebtSvs-Library'!E34&lt;&gt;0,'DebtSvs-Library'!E34,"  ")</f>
        <v xml:space="preserve">  </v>
      </c>
      <c r="E21" s="308" t="str">
        <f>IF('DebtSvs-Library'!E41&lt;&gt;0,'DebtSvs-Library'!E41,"  ")</f>
        <v xml:space="preserve">  </v>
      </c>
      <c r="F21" s="309" t="str">
        <f>IF(AND('DebtSvs-Library'!E41=0,$F$44&gt;=0)," ",IF(AND(E21&gt;0,$F$44=0)," ",IF(AND(E21&gt;0,$F$44&gt;0),ROUND(E21/$F$44*1000,3))))</f>
        <v xml:space="preserve"> </v>
      </c>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row>
    <row r="22" spans="1:34" s="35" customFormat="1" x14ac:dyDescent="0.25">
      <c r="A22" s="53" t="str">
        <f>IF(inputPrYr!$B23&gt;"  ",inputPrYr!$B23,"  ")</f>
        <v>Library</v>
      </c>
      <c r="B22" s="46" t="str">
        <f>IF(inputPrYr!C23&gt;0,inputPrYr!C23,"")</f>
        <v>12-1220</v>
      </c>
      <c r="C22" s="54" t="str">
        <f>IF('DebtSvs-Library'!C88&gt;0,'DebtSvs-Library'!C88,"  ")</f>
        <v xml:space="preserve">  </v>
      </c>
      <c r="D22" s="308" t="str">
        <f>IF('DebtSvs-Library'!E75&lt;&gt;0,'DebtSvs-Library'!E75,"  ")</f>
        <v xml:space="preserve">  </v>
      </c>
      <c r="E22" s="308" t="str">
        <f>IF('DebtSvs-Library'!E82&lt;&gt;0,'DebtSvs-Library'!E82,"  ")</f>
        <v xml:space="preserve">  </v>
      </c>
      <c r="F22" s="309" t="str">
        <f>IF(AND('DebtSvs-Library'!E82=0,$F$44&gt;=0)," ",IF(AND(E22&gt;0,$F$44=0)," ",IF(AND(E22&gt;0,$F$44&gt;0),ROUND(E22/$F$44*1000,3))))</f>
        <v xml:space="preserve"> </v>
      </c>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row>
    <row r="23" spans="1:34" s="35" customFormat="1" x14ac:dyDescent="0.25">
      <c r="A23" s="53" t="str">
        <f>IF(inputPrYr!$B24&gt;"  ",inputPrYr!$B24,"  ")</f>
        <v>Road</v>
      </c>
      <c r="B23" s="46" t="str">
        <f>IF(inputPrYr!C24&gt;0,inputPrYr!C24,"  ")</f>
        <v>68-518c</v>
      </c>
      <c r="C23" s="54" t="str">
        <f>IF(Road!C71&gt;0,Road!C71,"  ")</f>
        <v xml:space="preserve">  </v>
      </c>
      <c r="D23" s="308" t="str">
        <f>IF(Road!$E$43&lt;&gt;0,Road!$E$43,"  ")</f>
        <v xml:space="preserve">  </v>
      </c>
      <c r="E23" s="308" t="str">
        <f>IF(Road!$E$50&lt;&gt;0,Road!$E$50,"  ")</f>
        <v xml:space="preserve">  </v>
      </c>
      <c r="F23" s="309" t="str">
        <f>IF(AND(Road!E50=0,$F$41&gt;=0)," ",IF(AND(E23&gt;0,$F$41=0)," ",IF(AND(E23&gt;0,$F$41&gt;0),ROUND(E23/$F$41*1000,3))))</f>
        <v xml:space="preserve"> </v>
      </c>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row>
    <row r="24" spans="1:34" s="35" customFormat="1" x14ac:dyDescent="0.25">
      <c r="A24" s="53" t="str">
        <f>IF(inputPrYr!$B25&gt;"  ",inputPrYr!$B25,"  ")</f>
        <v>Special Road</v>
      </c>
      <c r="B24" s="46" t="str">
        <f>IF(inputPrYr!C25&gt;0,inputPrYr!C25,"  ")</f>
        <v>80-1413</v>
      </c>
      <c r="C24" s="54" t="str">
        <f>IF('Spec Road &amp; Noxious Weed'!C88&gt;0,'Spec Road &amp; Noxious Weed'!C88,"  ")</f>
        <v xml:space="preserve">  </v>
      </c>
      <c r="D24" s="308" t="str">
        <f>IF('Spec Road &amp; Noxious Weed'!$E$34&lt;&gt;0,'Spec Road &amp; Noxious Weed'!$E$34,"  ")</f>
        <v xml:space="preserve">  </v>
      </c>
      <c r="E24" s="308" t="str">
        <f>IF('Spec Road &amp; Noxious Weed'!$E$41&lt;&gt;0,'Spec Road &amp; Noxious Weed'!$E$41,"  ")</f>
        <v xml:space="preserve">  </v>
      </c>
      <c r="F24" s="309" t="str">
        <f>IF(AND('Spec Road &amp; Noxious Weed'!E41=0,$F$41&gt;=0)," ",IF(AND(E24&gt;0,$F$41=0)," ",IF(AND(E24&gt;0,$F$41&gt;0),ROUND(E24/$F$41*1000,3))))</f>
        <v xml:space="preserve"> </v>
      </c>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row>
    <row r="25" spans="1:34" s="35" customFormat="1" x14ac:dyDescent="0.25">
      <c r="A25" s="53" t="str">
        <f>IF(inputPrYr!$B26&gt;"  ",inputPrYr!$B26,"  ")</f>
        <v>Noxious Weed</v>
      </c>
      <c r="B25" s="46" t="str">
        <f>IF(inputPrYr!C26&gt;0,inputPrYr!C26,"  ")</f>
        <v>2-1318</v>
      </c>
      <c r="C25" s="54" t="str">
        <f>IF('Spec Road &amp; Noxious Weed'!C88&gt;0,'Spec Road &amp; Noxious Weed'!C88,"  ")</f>
        <v xml:space="preserve">  </v>
      </c>
      <c r="D25" s="308" t="str">
        <f>IF('Spec Road &amp; Noxious Weed'!$E$75&lt;&gt;0,'Spec Road &amp; Noxious Weed'!$E$75,"  ")</f>
        <v xml:space="preserve">  </v>
      </c>
      <c r="E25" s="308" t="str">
        <f>IF('Spec Road &amp; Noxious Weed'!$E$82&lt;&gt;0,'Spec Road &amp; Noxious Weed'!$E$82,"  ")</f>
        <v xml:space="preserve">  </v>
      </c>
      <c r="F25" s="309" t="str">
        <f>IF(AND('Spec Road &amp; Noxious Weed'!E82=0,$F$41&gt;=0)," ",IF(AND(E25&gt;0,$F$41=0)," ",IF(AND(E25&gt;0,$F$41&gt;0),ROUND(E25/$F$41*1000,3))))</f>
        <v xml:space="preserve"> </v>
      </c>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row>
    <row r="26" spans="1:34" s="35" customFormat="1" x14ac:dyDescent="0.25">
      <c r="A26" s="53" t="str">
        <f>IF(inputPrYr!$B27&gt;"  ",inputPrYr!$B27,"  ")</f>
        <v>Fire Protection</v>
      </c>
      <c r="B26" s="46" t="str">
        <f>IF(inputPrYr!C27&gt;0,inputPrYr!C27,"  ")</f>
        <v>80-1503</v>
      </c>
      <c r="C26" s="54" t="str">
        <f>IF('Levy Page 10'!C88&gt;0,'Levy Page 10'!C88,"  ")</f>
        <v xml:space="preserve">  </v>
      </c>
      <c r="D26" s="308" t="str">
        <f>IF('Levy Page 10'!$E$34&lt;&gt;0,'Levy Page 10'!$E$34,"  ")</f>
        <v xml:space="preserve">  </v>
      </c>
      <c r="E26" s="308" t="str">
        <f>IF('Levy Page 10'!$E$41&lt;&gt;0,'Levy Page 10'!$E$41,"  ")</f>
        <v xml:space="preserve">  </v>
      </c>
      <c r="F26" s="309" t="str">
        <f>IF(AND('Levy Page 10'!$E$41=0,$F$41&gt;=0)," ",IF(AND(E26&gt;0,$F$41=0)," ",IF(AND(E26&gt;0,$F$41&gt;0),ROUND(E26/$F$41*1000,3))))</f>
        <v xml:space="preserve"> </v>
      </c>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row>
    <row r="27" spans="1:34" s="35" customFormat="1" x14ac:dyDescent="0.25">
      <c r="A27" s="53" t="str">
        <f>IF(inputPrYr!$B28&gt;"  ",inputPrYr!$B28,"  ")</f>
        <v xml:space="preserve">  </v>
      </c>
      <c r="B27" s="46" t="str">
        <f>IF(inputPrYr!C28&gt;0,inputPrYr!C28,"  ")</f>
        <v xml:space="preserve">  </v>
      </c>
      <c r="C27" s="54" t="str">
        <f>IF('Levy Page 10'!C88&gt;0,'Levy Page 10'!C88,"  ")</f>
        <v xml:space="preserve">  </v>
      </c>
      <c r="D27" s="308" t="str">
        <f>IF('Levy Page 10'!$E$75&lt;&gt;0,'Levy Page 10'!$E$75,"  ")</f>
        <v xml:space="preserve">  </v>
      </c>
      <c r="E27" s="308" t="str">
        <f>IF('Levy Page 10'!$E$82&lt;&gt;0,'Levy Page 10'!$E$82,"  ")</f>
        <v xml:space="preserve">  </v>
      </c>
      <c r="F27" s="309" t="str">
        <f>IF(AND('Levy Page 10'!$E$82=0,$F$44&gt;=0)," ",IF(AND(E27&gt;0,$F$44=0)," ",IF(AND(E27&gt;0,$F$44&gt;0),ROUND(E27/$F$44*1000,3))))</f>
        <v xml:space="preserve"> </v>
      </c>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row>
    <row r="28" spans="1:34" s="35" customFormat="1" x14ac:dyDescent="0.25">
      <c r="A28" s="53" t="str">
        <f>IF(inputPrYr!$B29&gt;"  ",inputPrYr!$B29,"  ")</f>
        <v xml:space="preserve">  </v>
      </c>
      <c r="B28" s="46" t="str">
        <f>IF(inputPrYr!C29&gt;0,inputPrYr!C29,"  ")</f>
        <v xml:space="preserve">  </v>
      </c>
      <c r="C28" s="54" t="str">
        <f>IF('Levy Page 11'!C88&gt;0,'Levy Page 11'!C88,"  ")</f>
        <v xml:space="preserve">  </v>
      </c>
      <c r="D28" s="308" t="str">
        <f>IF('Levy Page 11'!$E$34&lt;&gt;0,'Levy Page 11'!$E$34,"  ")</f>
        <v xml:space="preserve">  </v>
      </c>
      <c r="E28" s="308" t="str">
        <f>IF('Levy Page 11'!$E$41&lt;&gt;0,'Levy Page 11'!$E$41,"  ")</f>
        <v xml:space="preserve">  </v>
      </c>
      <c r="F28" s="309" t="str">
        <f>IF(AND('Levy Page 11'!$E$41=0,$F$44&gt;=0)," ",IF(AND(E28&gt;0,$F$44=0)," ",IF(AND(E28&gt;0,$F$44&gt;0),ROUND(E28/$F$44*1000,3))))</f>
        <v xml:space="preserve"> </v>
      </c>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row>
    <row r="29" spans="1:34" s="35" customFormat="1" x14ac:dyDescent="0.25">
      <c r="A29" s="53" t="str">
        <f>IF(inputPrYr!$B30&gt;"  ",inputPrYr!$B30,"  ")</f>
        <v xml:space="preserve">  </v>
      </c>
      <c r="B29" s="46" t="str">
        <f>IF(inputPrYr!C30&gt;0,inputPrYr!C30,"  ")</f>
        <v xml:space="preserve">  </v>
      </c>
      <c r="C29" s="54" t="str">
        <f>IF('Levy Page 11'!C88&gt;0,'Levy Page 11'!C88,"  ")</f>
        <v xml:space="preserve">  </v>
      </c>
      <c r="D29" s="308" t="str">
        <f>IF('Levy Page 11'!$E$75&lt;&gt;0,'Levy Page 11'!$E$75,"  ")</f>
        <v xml:space="preserve">  </v>
      </c>
      <c r="E29" s="308" t="str">
        <f>IF('Levy Page 11'!$E$82&lt;&gt;0,'Levy Page 11'!$E$82,"  ")</f>
        <v xml:space="preserve">  </v>
      </c>
      <c r="F29" s="309" t="str">
        <f>IF(AND('Levy Page 11'!$E$82=0,$F$44&gt;=0)," ",IF(AND(E29&gt;0,$F$44=0)," ",IF(AND(E29&gt;0,$F$44&gt;0),ROUND(E29/$F$44*1000,3))))</f>
        <v xml:space="preserve"> </v>
      </c>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row>
    <row r="30" spans="1:34" s="35" customFormat="1" x14ac:dyDescent="0.25">
      <c r="A30" s="53" t="str">
        <f>IF(inputPrYr!$B31&gt;"  ",inputPrYr!$B31,"  ")</f>
        <v xml:space="preserve">  </v>
      </c>
      <c r="B30" s="46" t="str">
        <f>IF(inputPrYr!C31&gt;0,inputPrYr!C31,"  ")</f>
        <v xml:space="preserve">  </v>
      </c>
      <c r="C30" s="54" t="str">
        <f>IF('Levy Page 12'!C89&gt;0,'Levy Page 12'!C89,"  ")</f>
        <v xml:space="preserve">  </v>
      </c>
      <c r="D30" s="308" t="str">
        <f>IF('Levy Page 12'!$E$34&lt;&gt;0,'Levy Page 12'!$E$34,"  ")</f>
        <v xml:space="preserve">  </v>
      </c>
      <c r="E30" s="308" t="str">
        <f>IF('Levy Page 12'!$E$41&lt;&gt;0,'Levy Page 12'!$E$41,"  ")</f>
        <v xml:space="preserve">  </v>
      </c>
      <c r="F30" s="309" t="str">
        <f>IF(AND('Levy Page 12'!$E$41=0,$F$44&gt;=0)," ",IF(AND(E30&gt;0,$F$44=0)," ",IF(AND(E30&gt;0,$F$44&gt;0),ROUND(E30/$F$44*1000,3))))</f>
        <v xml:space="preserve"> </v>
      </c>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row>
    <row r="31" spans="1:34" s="35" customFormat="1" x14ac:dyDescent="0.25">
      <c r="A31" s="53" t="str">
        <f>IF(inputPrYr!$B32&gt;"  ",inputPrYr!$B32,"  ")</f>
        <v xml:space="preserve">  </v>
      </c>
      <c r="B31" s="46" t="str">
        <f>IF(inputPrYr!C32&gt;0,inputPrYr!C32,"  ")</f>
        <v xml:space="preserve">  </v>
      </c>
      <c r="C31" s="54" t="str">
        <f>IF('Levy Page 12'!C89&gt;0,'Levy Page 12'!C89,"  ")</f>
        <v xml:space="preserve">  </v>
      </c>
      <c r="D31" s="308" t="str">
        <f>IF('Levy Page 12'!$E$75&lt;&gt;0,'Levy Page 12'!$E$75,"  ")</f>
        <v xml:space="preserve">  </v>
      </c>
      <c r="E31" s="308" t="str">
        <f>IF('Levy Page 12'!$E$82&lt;&gt;0,'Levy Page 12'!$E$82,"  ")</f>
        <v xml:space="preserve">  </v>
      </c>
      <c r="F31" s="309" t="str">
        <f>IF(AND('Levy Page 12'!$E$82=0,$F$44&gt;=0)," ",IF(AND(E31&gt;0,$F$44=0)," ",IF(AND(E31&gt;0,$F$44&gt;0),ROUND(E31/$F$44*1000,3))))</f>
        <v xml:space="preserve"> </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row>
    <row r="32" spans="1:34" s="35" customFormat="1" x14ac:dyDescent="0.25">
      <c r="A32" s="56" t="str">
        <f>IF(inputPrYr!$B36&gt;"  ",inputPrYr!$B36,"  ")</f>
        <v xml:space="preserve">  </v>
      </c>
      <c r="B32" s="57"/>
      <c r="C32" s="58" t="str">
        <f>IF('No Levy Page 13'!$C$65&gt;0,'No Levy Page 13'!$C$65,"  ")</f>
        <v xml:space="preserve">  </v>
      </c>
      <c r="D32" s="308" t="str">
        <f>IF('No Levy Page 13'!$E$27&lt;&gt;0,'No Levy Page 13'!$E$27,"  ")</f>
        <v xml:space="preserve">  </v>
      </c>
      <c r="E32" s="308"/>
      <c r="F32" s="309"/>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row>
    <row r="33" spans="1:34" s="35" customFormat="1" x14ac:dyDescent="0.25">
      <c r="A33" s="56" t="str">
        <f>IF(inputPrYr!$B37&gt;"  ",inputPrYr!$B37,"  ")</f>
        <v xml:space="preserve">  </v>
      </c>
      <c r="B33" s="59"/>
      <c r="C33" s="58" t="str">
        <f>IF('No Levy Page 13'!$C$65&gt;0,'No Levy Page 13'!$C$65,"  ")</f>
        <v xml:space="preserve">  </v>
      </c>
      <c r="D33" s="308" t="str">
        <f>IF('No Levy Page 13'!$E$57&lt;&gt;0,'No Levy Page 13'!$E$57,"  ")</f>
        <v xml:space="preserve">  </v>
      </c>
      <c r="E33" s="308"/>
      <c r="F33" s="309"/>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row>
    <row r="34" spans="1:34" s="35" customFormat="1" x14ac:dyDescent="0.25">
      <c r="A34" s="56" t="str">
        <f>IF(inputPrYr!$B38&gt;"  ",inputPrYr!$B38,"  ")</f>
        <v xml:space="preserve">  </v>
      </c>
      <c r="B34" s="57"/>
      <c r="C34" s="58" t="str">
        <f>IF('No Levy Page 14'!$C$65&gt;0,'No Levy Page 14'!$C$65,"  ")</f>
        <v xml:space="preserve">  </v>
      </c>
      <c r="D34" s="308" t="str">
        <f>IF('No Levy Page 14'!$E$27&lt;&gt;0,'No Levy Page 14'!$E$27,"  ")</f>
        <v xml:space="preserve">  </v>
      </c>
      <c r="E34" s="308"/>
      <c r="F34" s="309"/>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row>
    <row r="35" spans="1:34" s="35" customFormat="1" x14ac:dyDescent="0.25">
      <c r="A35" s="56" t="str">
        <f>IF(inputPrYr!$B39&gt;"  ",inputPrYr!$B39,"  ")</f>
        <v xml:space="preserve">  </v>
      </c>
      <c r="B35" s="57"/>
      <c r="C35" s="58" t="str">
        <f>IF('No Levy Page 14'!$C$65&gt;0,'No Levy Page 14'!$C$65,"  ")</f>
        <v xml:space="preserve">  </v>
      </c>
      <c r="D35" s="308" t="str">
        <f>IF('No Levy Page 14'!$E$57&lt;&gt;0,'No Levy Page 14'!$E$57,"  ")</f>
        <v xml:space="preserve">  </v>
      </c>
      <c r="E35" s="308"/>
      <c r="F35" s="309"/>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row>
    <row r="36" spans="1:34" s="35" customFormat="1" x14ac:dyDescent="0.25">
      <c r="A36" s="56" t="str">
        <f>IF(inputPrYr!B42&gt;"",'Non-Budgeted Funds'!A3,"")</f>
        <v/>
      </c>
      <c r="B36" s="59"/>
      <c r="C36" s="58" t="str">
        <f>IF('Non-Budgeted Funds'!F37&gt;0,'Non-Budgeted Funds'!F37,"  ")</f>
        <v xml:space="preserve">  </v>
      </c>
      <c r="D36" s="308"/>
      <c r="E36" s="308"/>
      <c r="F36" s="309"/>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row>
    <row r="37" spans="1:34" s="35" customFormat="1" ht="16.5" thickBot="1" x14ac:dyDescent="0.3">
      <c r="A37" s="43" t="s">
        <v>183</v>
      </c>
      <c r="B37" s="57"/>
      <c r="C37" s="58" t="str">
        <f>IF(Road!C71&gt;0,Road!C71,"  ")</f>
        <v xml:space="preserve">  </v>
      </c>
      <c r="D37" s="614"/>
      <c r="E37" s="614"/>
      <c r="F37" s="61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row>
    <row r="38" spans="1:34" s="35" customFormat="1" x14ac:dyDescent="0.25">
      <c r="A38" s="60" t="s">
        <v>184</v>
      </c>
      <c r="B38" s="44"/>
      <c r="C38" s="616" t="s">
        <v>185</v>
      </c>
      <c r="D38" s="617">
        <f>SUM(D20:D37)</f>
        <v>0</v>
      </c>
      <c r="E38" s="617">
        <f>SUM(E20:E37)</f>
        <v>0</v>
      </c>
      <c r="F38" s="617" t="str">
        <f>IF(SUM(F20:F37)&gt;0,SUM(F20:F37),"")</f>
        <v/>
      </c>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row>
    <row r="39" spans="1:34" s="35" customFormat="1" x14ac:dyDescent="0.25">
      <c r="A39" s="48" t="s">
        <v>186</v>
      </c>
      <c r="B39" s="52"/>
      <c r="C39" s="608" t="str">
        <f>IF('Budget Hearing Notice'!C57&gt;0,'Budget Hearing Notice'!C57, " ")</f>
        <v xml:space="preserve"> </v>
      </c>
      <c r="D39" s="136"/>
      <c r="E39" s="715" t="s">
        <v>187</v>
      </c>
      <c r="F39" s="713" t="s">
        <v>188</v>
      </c>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row>
    <row r="40" spans="1:34" s="35" customFormat="1" x14ac:dyDescent="0.25">
      <c r="A40" s="568" t="s">
        <v>189</v>
      </c>
      <c r="B40" s="44"/>
      <c r="C40" s="569" t="str">
        <f>IF('Combined Rate-Bud Hearing Notic'!C57&gt;0, 'Combined Rate-Bud Hearing Notic'!C57, " ")</f>
        <v xml:space="preserve"> </v>
      </c>
      <c r="D40" s="136"/>
      <c r="E40" s="715"/>
      <c r="F40" s="714"/>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row>
    <row r="41" spans="1:34" s="35" customFormat="1" x14ac:dyDescent="0.25">
      <c r="A41" s="568" t="s">
        <v>190</v>
      </c>
      <c r="B41" s="47"/>
      <c r="C41" s="569" t="str">
        <f>IF('RNR Hearing Notice'!E21&gt;0, 'RNR Hearing Notice'!E21, " ")</f>
        <v xml:space="preserve"> </v>
      </c>
      <c r="E41" s="61">
        <f>inputPrYr!D4</f>
        <v>0</v>
      </c>
      <c r="F41" s="154"/>
      <c r="H41" s="65"/>
      <c r="I41" s="65"/>
      <c r="J41" s="65"/>
      <c r="K41" s="65"/>
      <c r="L41" s="65"/>
      <c r="M41" s="618"/>
      <c r="N41" s="65"/>
      <c r="O41" s="65"/>
      <c r="P41" s="65"/>
      <c r="Q41" s="65"/>
      <c r="R41" s="65"/>
      <c r="S41" s="65"/>
      <c r="T41" s="65"/>
      <c r="U41" s="65"/>
      <c r="V41" s="65"/>
      <c r="W41" s="65"/>
      <c r="X41" s="65"/>
      <c r="Y41" s="65"/>
      <c r="Z41" s="65"/>
      <c r="AA41" s="65"/>
      <c r="AB41" s="65"/>
      <c r="AC41" s="65"/>
      <c r="AD41" s="65"/>
      <c r="AE41" s="65"/>
      <c r="AF41" s="65"/>
      <c r="AG41" s="65"/>
      <c r="AH41" s="65"/>
    </row>
    <row r="42" spans="1:34" s="35" customFormat="1" ht="15.75" customHeight="1" x14ac:dyDescent="0.25">
      <c r="A42" s="43" t="s">
        <v>191</v>
      </c>
      <c r="B42" s="44"/>
      <c r="C42" s="58" t="str">
        <f>IF('NR Rebate'!C40&gt;0,'NR Rebate'!C40," ")</f>
        <v xml:space="preserve"> </v>
      </c>
      <c r="E42" s="61">
        <f>inputPrYr!D7</f>
        <v>0</v>
      </c>
      <c r="F42" s="154"/>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row>
    <row r="43" spans="1:34" s="35" customFormat="1" ht="15.75" customHeight="1" thickBot="1" x14ac:dyDescent="0.3">
      <c r="A43" s="39"/>
      <c r="C43" s="570"/>
      <c r="E43" s="647">
        <f>inputPrYr!D8</f>
        <v>0</v>
      </c>
      <c r="F43" s="648"/>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row>
    <row r="44" spans="1:34" s="35" customFormat="1" ht="15" customHeight="1" x14ac:dyDescent="0.25">
      <c r="A44" s="39"/>
      <c r="C44" s="570"/>
      <c r="E44" s="716" t="str">
        <f>CONCATENATE("Nov 1, ", inputPrYr!D10-1, " Total Assessed Valuation")</f>
        <v>Nov 1, 2024 Total Assessed Valuation</v>
      </c>
      <c r="F44" s="718">
        <f>SUM(F41:F43)</f>
        <v>0</v>
      </c>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row>
    <row r="45" spans="1:34" s="35" customFormat="1" ht="15" customHeight="1" x14ac:dyDescent="0.25">
      <c r="A45" s="39"/>
      <c r="C45" s="570"/>
      <c r="E45" s="717"/>
      <c r="F45" s="719"/>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row>
    <row r="46" spans="1:34" s="35" customFormat="1" x14ac:dyDescent="0.25">
      <c r="A46" s="39"/>
      <c r="C46" s="570"/>
      <c r="D46" s="39"/>
      <c r="E46" s="39"/>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row>
    <row r="47" spans="1:34" s="35" customFormat="1" x14ac:dyDescent="0.25">
      <c r="A47" s="39"/>
      <c r="C47" s="570"/>
      <c r="D47" s="571"/>
      <c r="E47" s="140" t="s">
        <v>192</v>
      </c>
      <c r="F47" s="572">
        <f>inputOth!D36</f>
        <v>0</v>
      </c>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row>
    <row r="48" spans="1:34" s="35" customFormat="1" x14ac:dyDescent="0.25">
      <c r="A48" s="39"/>
      <c r="C48" s="570"/>
      <c r="D48" s="571"/>
      <c r="E48" s="140" t="s">
        <v>193</v>
      </c>
      <c r="F48" s="572">
        <f>inputOth!E36</f>
        <v>0</v>
      </c>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row>
    <row r="49" spans="1:34" s="35" customFormat="1" x14ac:dyDescent="0.25">
      <c r="A49" s="853" t="s">
        <v>997</v>
      </c>
      <c r="B49" s="854"/>
      <c r="C49" s="854"/>
      <c r="D49" s="854"/>
      <c r="E49" s="854"/>
      <c r="F49" s="572" t="str">
        <f>IF(E38&gt;inputPrYr!E33,"YES","NO")</f>
        <v>NO</v>
      </c>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row>
    <row r="50" spans="1:34" s="35" customFormat="1" x14ac:dyDescent="0.25">
      <c r="A50" s="39"/>
      <c r="C50" s="570"/>
      <c r="D50" s="571"/>
      <c r="E50" s="140"/>
      <c r="F50" s="852"/>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row>
    <row r="51" spans="1:34" s="35" customFormat="1" x14ac:dyDescent="0.25">
      <c r="A51" s="39" t="s">
        <v>194</v>
      </c>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row>
    <row r="52" spans="1:34" s="35" customFormat="1" x14ac:dyDescent="0.25">
      <c r="A52" s="63"/>
      <c r="B52" s="63"/>
      <c r="D52" s="4" t="s">
        <v>195</v>
      </c>
      <c r="E52" s="4"/>
      <c r="F52" s="39"/>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row>
    <row r="53" spans="1:34" s="35" customFormat="1" x14ac:dyDescent="0.25">
      <c r="A53" s="64"/>
      <c r="B53" s="64"/>
      <c r="D53" s="4"/>
      <c r="E53" s="4"/>
      <c r="F53" s="4"/>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row>
    <row r="54" spans="1:34" s="35" customFormat="1" x14ac:dyDescent="0.25">
      <c r="A54" s="39" t="s">
        <v>196</v>
      </c>
      <c r="D54" s="4" t="s">
        <v>195</v>
      </c>
      <c r="E54" s="4"/>
      <c r="F54" s="4"/>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row>
    <row r="55" spans="1:34" s="35" customFormat="1" x14ac:dyDescent="0.25">
      <c r="A55" s="63"/>
      <c r="B55" s="63"/>
      <c r="C55" s="39"/>
      <c r="D55" s="4"/>
      <c r="E55" s="4"/>
      <c r="F55" s="4"/>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row>
    <row r="56" spans="1:34" s="35" customFormat="1" x14ac:dyDescent="0.25">
      <c r="A56" s="64"/>
      <c r="B56" s="64"/>
      <c r="C56" s="39"/>
      <c r="D56" s="4" t="s">
        <v>195</v>
      </c>
      <c r="E56" s="573"/>
      <c r="F56" s="4"/>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row>
    <row r="57" spans="1:34" x14ac:dyDescent="0.25">
      <c r="A57" s="39" t="s">
        <v>197</v>
      </c>
      <c r="B57" s="35"/>
      <c r="C57" s="39"/>
      <c r="D57" s="5"/>
      <c r="E57" s="4"/>
      <c r="F57" s="573"/>
      <c r="G57" s="35"/>
    </row>
    <row r="58" spans="1:34" x14ac:dyDescent="0.25">
      <c r="A58" s="63"/>
      <c r="B58" s="63"/>
      <c r="C58" s="39"/>
      <c r="D58" s="4" t="s">
        <v>195</v>
      </c>
      <c r="E58" s="573"/>
      <c r="F58" s="4"/>
      <c r="G58" s="35"/>
    </row>
    <row r="59" spans="1:34" x14ac:dyDescent="0.25">
      <c r="A59" s="38"/>
      <c r="B59" s="35"/>
      <c r="C59" s="39"/>
      <c r="D59" s="5"/>
      <c r="E59" s="4"/>
      <c r="F59" s="573"/>
      <c r="G59" s="35"/>
    </row>
    <row r="60" spans="1:34" x14ac:dyDescent="0.25">
      <c r="A60" s="244" t="s">
        <v>198</v>
      </c>
      <c r="B60" s="68">
        <f>G1-1</f>
        <v>2024</v>
      </c>
      <c r="C60" s="39"/>
      <c r="D60" s="4" t="s">
        <v>195</v>
      </c>
      <c r="E60" s="573"/>
      <c r="F60" s="4"/>
      <c r="G60" s="35"/>
    </row>
    <row r="61" spans="1:34" x14ac:dyDescent="0.25">
      <c r="A61" s="35"/>
      <c r="B61" s="35"/>
      <c r="C61" s="35"/>
      <c r="D61" s="4"/>
      <c r="E61" s="5"/>
      <c r="F61" s="573"/>
      <c r="G61" s="35"/>
    </row>
    <row r="62" spans="1:34" x14ac:dyDescent="0.25">
      <c r="A62" s="624"/>
      <c r="B62" s="35"/>
      <c r="C62" s="35"/>
      <c r="D62" s="4" t="s">
        <v>195</v>
      </c>
      <c r="E62" s="4"/>
      <c r="F62" s="4"/>
      <c r="G62" s="35"/>
    </row>
    <row r="63" spans="1:34" x14ac:dyDescent="0.25">
      <c r="A63" s="574" t="s">
        <v>199</v>
      </c>
      <c r="B63" s="35"/>
      <c r="C63" s="35"/>
      <c r="D63" s="574" t="s">
        <v>200</v>
      </c>
      <c r="E63" s="35"/>
      <c r="F63" s="35"/>
      <c r="G63" s="35"/>
    </row>
    <row r="64" spans="1:34" x14ac:dyDescent="0.25">
      <c r="A64" s="35"/>
      <c r="B64" s="35"/>
      <c r="C64" s="35"/>
      <c r="D64" s="35"/>
      <c r="E64" s="35"/>
      <c r="F64" s="35"/>
      <c r="G64" s="35"/>
    </row>
    <row r="65" spans="1:7" x14ac:dyDescent="0.25">
      <c r="A65" s="35"/>
      <c r="B65" s="35"/>
      <c r="C65" s="35"/>
      <c r="D65" s="35"/>
      <c r="E65" s="35"/>
      <c r="F65" s="35"/>
      <c r="G65" s="35"/>
    </row>
    <row r="66" spans="1:7" x14ac:dyDescent="0.25">
      <c r="A66" s="67" t="s">
        <v>201</v>
      </c>
      <c r="B66" s="66"/>
      <c r="C66" s="66"/>
      <c r="D66" s="66"/>
      <c r="E66" s="119"/>
      <c r="F66" s="35"/>
      <c r="G66" s="35"/>
    </row>
    <row r="67" spans="1:7" x14ac:dyDescent="0.25">
      <c r="A67" s="67" t="s">
        <v>202</v>
      </c>
      <c r="B67" s="66"/>
      <c r="C67" s="66"/>
      <c r="D67" s="66"/>
      <c r="E67" s="119"/>
      <c r="F67" s="35"/>
      <c r="G67" s="35"/>
    </row>
    <row r="68" spans="1:7" x14ac:dyDescent="0.25">
      <c r="A68" s="67"/>
      <c r="B68" s="66"/>
      <c r="C68" s="66"/>
      <c r="D68" s="66"/>
      <c r="E68" s="119"/>
      <c r="F68" s="35"/>
      <c r="G68" s="35"/>
    </row>
    <row r="69" spans="1:7" x14ac:dyDescent="0.25">
      <c r="A69" s="35"/>
      <c r="B69" s="35"/>
      <c r="C69" s="35"/>
      <c r="D69" s="35"/>
      <c r="E69" s="35"/>
      <c r="F69" s="35"/>
      <c r="G69" s="35"/>
    </row>
    <row r="70" spans="1:7" x14ac:dyDescent="0.25">
      <c r="A70" s="575" t="s">
        <v>203</v>
      </c>
      <c r="B70" s="576"/>
      <c r="C70" s="576"/>
      <c r="D70" s="576"/>
      <c r="E70" s="576"/>
      <c r="F70" s="577"/>
      <c r="G70" s="578"/>
    </row>
    <row r="71" spans="1:7" x14ac:dyDescent="0.25">
      <c r="A71" s="578"/>
      <c r="B71" s="139"/>
      <c r="C71" s="139"/>
      <c r="D71" s="139"/>
      <c r="E71" s="139"/>
      <c r="F71" s="579"/>
      <c r="G71" s="578"/>
    </row>
    <row r="72" spans="1:7" x14ac:dyDescent="0.25">
      <c r="A72" s="578"/>
      <c r="B72" s="139"/>
      <c r="C72" s="139"/>
      <c r="D72" s="139"/>
      <c r="E72" s="139"/>
      <c r="F72" s="579"/>
      <c r="G72" s="578"/>
    </row>
    <row r="73" spans="1:7" x14ac:dyDescent="0.25">
      <c r="A73" s="580"/>
      <c r="B73" s="581"/>
      <c r="C73" s="581"/>
      <c r="D73" s="581"/>
      <c r="E73" s="581"/>
      <c r="F73" s="582"/>
      <c r="G73" s="578"/>
    </row>
    <row r="74" spans="1:7" x14ac:dyDescent="0.25">
      <c r="A74" s="300"/>
    </row>
    <row r="75" spans="1:7" x14ac:dyDescent="0.25">
      <c r="A75" s="300"/>
    </row>
    <row r="76" spans="1:7" x14ac:dyDescent="0.25">
      <c r="A76" s="300"/>
      <c r="D76" s="301"/>
      <c r="E76" s="299"/>
    </row>
  </sheetData>
  <sheetProtection sheet="1"/>
  <mergeCells count="17">
    <mergeCell ref="A49:E49"/>
    <mergeCell ref="F39:F40"/>
    <mergeCell ref="E39:E40"/>
    <mergeCell ref="E44:E45"/>
    <mergeCell ref="F44:F45"/>
    <mergeCell ref="A1:F1"/>
    <mergeCell ref="E12:E14"/>
    <mergeCell ref="D11:F11"/>
    <mergeCell ref="A6:F6"/>
    <mergeCell ref="A7:F7"/>
    <mergeCell ref="A3:F3"/>
    <mergeCell ref="D12:D14"/>
    <mergeCell ref="F12:F14"/>
    <mergeCell ref="A9:F9"/>
    <mergeCell ref="A4:F4"/>
    <mergeCell ref="A5:F5"/>
    <mergeCell ref="A8:F8"/>
  </mergeCells>
  <phoneticPr fontId="0" type="noConversion"/>
  <conditionalFormatting sqref="E20">
    <cfRule type="cellIs" dxfId="199" priority="2" stopIfTrue="1" operator="equal">
      <formula>0</formula>
    </cfRule>
  </conditionalFormatting>
  <conditionalFormatting sqref="F49">
    <cfRule type="containsText" dxfId="0" priority="1" operator="containsText" text="YES">
      <formula>NOT(ISERROR(SEARCH("YES",F49)))</formula>
    </cfRule>
  </conditionalFormatting>
  <pageMargins left="0.91" right="0.56000000000000005" top="0.83" bottom="0.85" header="0.3" footer="0.6"/>
  <pageSetup scale="67" orientation="portrait" blackAndWhite="1" r:id="rId1"/>
  <headerFooter alignWithMargins="0">
    <oddHeader xml:space="preserve">&amp;RState of Kansas
Township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pageSetUpPr fitToPage="1"/>
  </sheetPr>
  <dimension ref="A1:N34"/>
  <sheetViews>
    <sheetView zoomScale="80" zoomScaleNormal="80" workbookViewId="0">
      <selection activeCell="O1" sqref="O1"/>
    </sheetView>
  </sheetViews>
  <sheetFormatPr defaultRowHeight="15.75" x14ac:dyDescent="0.25"/>
  <cols>
    <col min="1" max="1" width="6.3984375" style="65" customWidth="1"/>
    <col min="2" max="2" width="24.3984375" style="65" customWidth="1"/>
    <col min="3" max="3" width="12.8984375" style="65" customWidth="1"/>
    <col min="4" max="5" width="14.69921875" style="65" customWidth="1"/>
    <col min="6" max="13" width="14.796875" style="65" customWidth="1"/>
    <col min="14" max="14" width="6.3984375" style="65" customWidth="1"/>
    <col min="15" max="16384" width="8.796875" style="65"/>
  </cols>
  <sheetData>
    <row r="1" spans="1:14" x14ac:dyDescent="0.25">
      <c r="A1" s="35"/>
      <c r="B1" s="72">
        <f>inputPrYr!D4</f>
        <v>0</v>
      </c>
      <c r="C1" s="35"/>
      <c r="D1" s="35"/>
      <c r="E1" s="35"/>
      <c r="F1" s="35"/>
      <c r="G1" s="35"/>
      <c r="H1" s="35"/>
      <c r="I1" s="35"/>
      <c r="J1" s="35"/>
      <c r="K1" s="35"/>
      <c r="L1" s="35"/>
      <c r="M1" s="35"/>
      <c r="N1" s="140">
        <f>inputPrYr!D10</f>
        <v>2025</v>
      </c>
    </row>
    <row r="2" spans="1:14" x14ac:dyDescent="0.25">
      <c r="A2" s="35"/>
      <c r="B2" s="72"/>
      <c r="C2" s="35"/>
      <c r="D2" s="35"/>
      <c r="E2" s="35"/>
      <c r="F2" s="35"/>
      <c r="G2" s="35"/>
      <c r="H2" s="136"/>
      <c r="I2" s="136"/>
      <c r="J2" s="136"/>
      <c r="K2" s="136"/>
      <c r="L2" s="136"/>
      <c r="M2" s="136"/>
      <c r="N2" s="136"/>
    </row>
    <row r="3" spans="1:14" x14ac:dyDescent="0.25">
      <c r="A3" s="35"/>
      <c r="B3" s="72"/>
      <c r="C3" s="35"/>
      <c r="D3" s="35"/>
      <c r="E3" s="35"/>
      <c r="F3" s="35"/>
      <c r="G3" s="35"/>
      <c r="H3" s="136"/>
      <c r="I3" s="136"/>
      <c r="J3" s="136"/>
      <c r="K3" s="136"/>
      <c r="L3" s="136"/>
      <c r="M3" s="136"/>
      <c r="N3" s="136"/>
    </row>
    <row r="4" spans="1:14" x14ac:dyDescent="0.25">
      <c r="A4" s="35"/>
      <c r="B4" s="72"/>
      <c r="C4" s="35"/>
      <c r="D4" s="35"/>
      <c r="E4" s="35"/>
      <c r="F4" s="35"/>
      <c r="G4" s="35"/>
      <c r="H4" s="136"/>
      <c r="I4" s="136"/>
      <c r="J4" s="136"/>
      <c r="K4" s="136"/>
      <c r="L4" s="136"/>
      <c r="M4" s="136"/>
      <c r="N4" s="136"/>
    </row>
    <row r="5" spans="1:14" x14ac:dyDescent="0.25">
      <c r="A5" s="35"/>
      <c r="B5" s="35"/>
      <c r="C5" s="35"/>
      <c r="D5" s="35"/>
      <c r="E5" s="35"/>
      <c r="F5" s="35"/>
      <c r="G5" s="35"/>
      <c r="H5" s="35"/>
      <c r="I5" s="35"/>
      <c r="J5" s="35"/>
      <c r="K5" s="35"/>
      <c r="L5" s="35"/>
      <c r="M5" s="35"/>
      <c r="N5" s="35"/>
    </row>
    <row r="6" spans="1:14" x14ac:dyDescent="0.25">
      <c r="A6" s="735" t="s">
        <v>204</v>
      </c>
      <c r="B6" s="735"/>
      <c r="C6" s="735"/>
      <c r="D6" s="735"/>
      <c r="E6" s="735"/>
      <c r="F6" s="735"/>
      <c r="G6" s="735"/>
      <c r="H6" s="735"/>
      <c r="I6" s="735"/>
      <c r="J6" s="735"/>
      <c r="K6" s="735"/>
      <c r="L6" s="735"/>
      <c r="M6" s="735"/>
      <c r="N6" s="736"/>
    </row>
    <row r="7" spans="1:14" ht="16.5" x14ac:dyDescent="0.25">
      <c r="A7" s="35"/>
      <c r="B7" s="720"/>
      <c r="C7" s="732"/>
      <c r="D7" s="732"/>
      <c r="E7" s="732"/>
      <c r="F7" s="732"/>
      <c r="G7" s="732"/>
      <c r="H7" s="732"/>
      <c r="I7" s="732"/>
      <c r="J7" s="732"/>
      <c r="K7" s="732"/>
      <c r="L7" s="732"/>
      <c r="M7" s="732"/>
      <c r="N7" s="732"/>
    </row>
    <row r="8" spans="1:14" x14ac:dyDescent="0.25">
      <c r="A8" s="35"/>
      <c r="B8" s="35"/>
      <c r="C8" s="141"/>
      <c r="D8" s="36"/>
      <c r="E8" s="36"/>
      <c r="F8" s="36"/>
      <c r="G8" s="36"/>
      <c r="H8" s="35"/>
      <c r="I8" s="35"/>
      <c r="J8" s="35"/>
      <c r="K8" s="35"/>
      <c r="L8" s="35"/>
      <c r="M8" s="35"/>
      <c r="N8" s="35"/>
    </row>
    <row r="9" spans="1:14" ht="21" customHeight="1" x14ac:dyDescent="0.25">
      <c r="A9" s="35"/>
      <c r="B9" s="142" t="s">
        <v>205</v>
      </c>
      <c r="C9" s="733" t="str">
        <f>CONCATENATE("Tax Levies in the ",N1-1," Budget")</f>
        <v>Tax Levies in the 2024 Budget</v>
      </c>
      <c r="D9" s="724" t="str">
        <f>CONCATENATE("Allocation for Year ",N1,"")</f>
        <v>Allocation for Year 2025</v>
      </c>
      <c r="E9" s="737"/>
      <c r="F9" s="738"/>
      <c r="G9" s="738"/>
      <c r="H9" s="738"/>
      <c r="I9" s="738"/>
      <c r="J9" s="738"/>
      <c r="K9" s="738"/>
      <c r="L9" s="738"/>
      <c r="M9" s="739"/>
      <c r="N9" s="480"/>
    </row>
    <row r="10" spans="1:14" x14ac:dyDescent="0.25">
      <c r="A10" s="35"/>
      <c r="B10" s="626" t="str">
        <f>CONCATENATE("for ",N1-1,"")</f>
        <v>for 2024</v>
      </c>
      <c r="C10" s="734"/>
      <c r="D10" s="626" t="s">
        <v>206</v>
      </c>
      <c r="E10" s="626" t="s">
        <v>207</v>
      </c>
      <c r="F10" s="626" t="s">
        <v>208</v>
      </c>
      <c r="G10" s="626" t="s">
        <v>209</v>
      </c>
      <c r="H10" s="626" t="s">
        <v>210</v>
      </c>
      <c r="I10" s="626" t="s">
        <v>211</v>
      </c>
      <c r="J10" s="470" t="s">
        <v>212</v>
      </c>
      <c r="K10" s="470" t="s">
        <v>213</v>
      </c>
      <c r="L10" s="470" t="s">
        <v>214</v>
      </c>
      <c r="M10" s="470" t="s">
        <v>215</v>
      </c>
      <c r="N10" s="136"/>
    </row>
    <row r="11" spans="1:14" x14ac:dyDescent="0.25">
      <c r="A11" s="474" t="s">
        <v>216</v>
      </c>
      <c r="B11" s="53" t="str">
        <f>inputPrYr!B21</f>
        <v>General</v>
      </c>
      <c r="C11" s="475">
        <f>inputOth!D40</f>
        <v>0</v>
      </c>
      <c r="D11" s="53">
        <f>IF(C11=0,0,(C11/C23*inputOth!E62))</f>
        <v>0</v>
      </c>
      <c r="E11" s="53">
        <f>IF(C11=0,0,(C11/C24*(inputOth!E68+inputOth!E74)))</f>
        <v>0</v>
      </c>
      <c r="F11" s="53">
        <f>IF(C11=0,0,(C11/C23*inputOth!E63))</f>
        <v>0</v>
      </c>
      <c r="G11" s="53">
        <f>IF(C11=0,0,(C11/C24*(inputOth!E69+inputOth!E75)))</f>
        <v>0</v>
      </c>
      <c r="H11" s="53">
        <f>IF(C11=0,0,(C11/C23*inputOth!E64))</f>
        <v>0</v>
      </c>
      <c r="I11" s="53">
        <f>IF(C11=0,0,(C11/C24*(inputOth!E70+inputOth!E76)))</f>
        <v>0</v>
      </c>
      <c r="J11" s="53">
        <f>IF(C11=0,0,(C11/C23*inputOth!E65))</f>
        <v>0</v>
      </c>
      <c r="K11" s="53">
        <f>IF(C11=0,0,(C11/C24*(inputOth!E71+inputOth!E77)))</f>
        <v>0</v>
      </c>
      <c r="L11" s="53">
        <f>IF(C11=0,0,(C11/C23*inputOth!E66))</f>
        <v>0</v>
      </c>
      <c r="M11" s="53">
        <f>IF(C11=0,0,(C11/C24*(inputOth!E72+inputOth!E78)))</f>
        <v>0</v>
      </c>
      <c r="N11" s="136"/>
    </row>
    <row r="12" spans="1:14" x14ac:dyDescent="0.25">
      <c r="A12" s="474" t="s">
        <v>216</v>
      </c>
      <c r="B12" s="53" t="str">
        <f>inputPrYr!B22</f>
        <v>Debt Service</v>
      </c>
      <c r="C12" s="475">
        <f>inputOth!D41</f>
        <v>0</v>
      </c>
      <c r="D12" s="53">
        <f>IF(C12=0,0,(C12/C23*inputOth!E62))</f>
        <v>0</v>
      </c>
      <c r="E12" s="53">
        <f>IF(C12=0,0,(C12/C24*(inputOth!E68+inputOth!E74)))</f>
        <v>0</v>
      </c>
      <c r="F12" s="53">
        <f>IF(C12=0,0,(C12/C23*inputOth!E63))</f>
        <v>0</v>
      </c>
      <c r="G12" s="53">
        <f>IF(C12=0,0,(C12/C24*(inputOth!E69+inputOth!E75)))</f>
        <v>0</v>
      </c>
      <c r="H12" s="53">
        <f>IF(C12=0,0,(C12/C23*inputOth!E64))</f>
        <v>0</v>
      </c>
      <c r="I12" s="53">
        <f>IF(C12=0,0,(C12/C24*(inputOth!E70+inputOth!E76)))</f>
        <v>0</v>
      </c>
      <c r="J12" s="53">
        <f>IF(C12=0,0,(C12/C23*inputOth!E65))</f>
        <v>0</v>
      </c>
      <c r="K12" s="53">
        <f>IF(C12=0,0,(C12/C24*(inputOth!E71+inputOth!E77)))</f>
        <v>0</v>
      </c>
      <c r="L12" s="53">
        <f>IF(C12=0,0,(C12/C23*inputOth!E66))</f>
        <v>0</v>
      </c>
      <c r="M12" s="53">
        <f>IF(C12=0,0,(C12/C24*(inputOth!E72+inputOth!E78)))</f>
        <v>0</v>
      </c>
      <c r="N12" s="136"/>
    </row>
    <row r="13" spans="1:14" x14ac:dyDescent="0.25">
      <c r="A13" s="474" t="s">
        <v>216</v>
      </c>
      <c r="B13" s="53" t="str">
        <f>IF(inputPrYr!$B23&gt;"  ",inputPrYr!$B23,"  ")</f>
        <v>Library</v>
      </c>
      <c r="C13" s="475">
        <f>inputOth!D42</f>
        <v>0</v>
      </c>
      <c r="D13" s="53">
        <f>IF(C13=0,0,(C13/C23*inputOth!E62))</f>
        <v>0</v>
      </c>
      <c r="E13" s="53">
        <f>IF(C13=0,0,(C13/C24*(inputOth!E68+inputOth!E74)))</f>
        <v>0</v>
      </c>
      <c r="F13" s="53">
        <f>IF(C13=0,0,(C13/C23*inputOth!E63))</f>
        <v>0</v>
      </c>
      <c r="G13" s="53">
        <f>IF(C13=0,0,(C13/C24*(inputOth!E69+inputOth!E75)))</f>
        <v>0</v>
      </c>
      <c r="H13" s="53">
        <f>IF(C13=0,0,(C13/C23*inputOth!E64))</f>
        <v>0</v>
      </c>
      <c r="I13" s="53">
        <f>IF(C13=0,0,(C13/C24*(inputOth!E70+inputOth!E76)))</f>
        <v>0</v>
      </c>
      <c r="J13" s="53">
        <f>IF(C13=0,0,(C13/C23*inputOth!E65))</f>
        <v>0</v>
      </c>
      <c r="K13" s="53">
        <f>IF(C13=0,0,(C13/C24*(inputOth!E71+inputOth!E77)))</f>
        <v>0</v>
      </c>
      <c r="L13" s="53">
        <f>IF(C13=0,0,(C13/C23*inputOth!E66))</f>
        <v>0</v>
      </c>
      <c r="M13" s="53">
        <f>IF(C13=0,0,(C13/C24*(inputOth!E72+inputOth!E78)))</f>
        <v>0</v>
      </c>
      <c r="N13" s="136"/>
    </row>
    <row r="14" spans="1:14" x14ac:dyDescent="0.25">
      <c r="A14" s="474"/>
      <c r="B14" s="53" t="str">
        <f>IF(inputPrYr!$B24&gt;"  ",inputPrYr!$B24,"  ")</f>
        <v>Road</v>
      </c>
      <c r="C14" s="475">
        <f>inputOth!D43</f>
        <v>0</v>
      </c>
      <c r="D14" s="53">
        <f>IF(C14=0,0,(C14/C23*inputOth!E62))</f>
        <v>0</v>
      </c>
      <c r="E14" s="53"/>
      <c r="F14" s="53">
        <f>IF(C14=0,0,(C14/C23*inputOth!E63))</f>
        <v>0</v>
      </c>
      <c r="G14" s="53"/>
      <c r="H14" s="53">
        <f>IF(C14=0,0,(C14/C23*inputOth!E64))</f>
        <v>0</v>
      </c>
      <c r="I14" s="53"/>
      <c r="J14" s="53">
        <f>IF(C14=0,0,(C14/C23*inputOth!E65))</f>
        <v>0</v>
      </c>
      <c r="K14" s="53"/>
      <c r="L14" s="53">
        <f>IF(C14=0,0,(C14/C23*inputOth!E66))</f>
        <v>0</v>
      </c>
      <c r="M14" s="53"/>
      <c r="N14" s="136"/>
    </row>
    <row r="15" spans="1:14" x14ac:dyDescent="0.25">
      <c r="A15" s="474"/>
      <c r="B15" s="53" t="str">
        <f>IF(inputPrYr!$B25&gt;"  ",inputPrYr!$B25,"  ")</f>
        <v>Special Road</v>
      </c>
      <c r="C15" s="475">
        <f>inputOth!D44</f>
        <v>0</v>
      </c>
      <c r="D15" s="53">
        <f>IF(C15=0,0,(C15/C23*inputOth!E62))</f>
        <v>0</v>
      </c>
      <c r="E15" s="53"/>
      <c r="F15" s="53">
        <f>IF(C15=0,0,(C15/C23*inputOth!E63))</f>
        <v>0</v>
      </c>
      <c r="G15" s="53"/>
      <c r="H15" s="53">
        <f>IF(C15=0,0,(C15/C23*inputOth!E64))</f>
        <v>0</v>
      </c>
      <c r="I15" s="53"/>
      <c r="J15" s="53">
        <f>IF(C15=0,0,(C15/C23*inputOth!E65))</f>
        <v>0</v>
      </c>
      <c r="K15" s="53"/>
      <c r="L15" s="53">
        <f>IF(C15=0,0,(C15/C23*inputOth!E66))</f>
        <v>0</v>
      </c>
      <c r="M15" s="53"/>
      <c r="N15" s="136"/>
    </row>
    <row r="16" spans="1:14" x14ac:dyDescent="0.25">
      <c r="A16" s="474"/>
      <c r="B16" s="53" t="str">
        <f>IF(inputPrYr!$B26&gt;"  ",inputPrYr!$B26,"  ")</f>
        <v>Noxious Weed</v>
      </c>
      <c r="C16" s="475">
        <f>inputOth!D45</f>
        <v>0</v>
      </c>
      <c r="D16" s="53">
        <f>IF(C16=0,0,(C16/C23*inputOth!E62))</f>
        <v>0</v>
      </c>
      <c r="E16" s="53"/>
      <c r="F16" s="53">
        <f>IF(C16=0,0,(C16/C23*inputOth!E63))</f>
        <v>0</v>
      </c>
      <c r="G16" s="53"/>
      <c r="H16" s="53">
        <f>IF(C16=0,0,(C16/C23*inputOth!E64))</f>
        <v>0</v>
      </c>
      <c r="I16" s="53"/>
      <c r="J16" s="53">
        <f>IF(C16=0,0,(C16/C23*inputOth!E65))</f>
        <v>0</v>
      </c>
      <c r="K16" s="53"/>
      <c r="L16" s="53">
        <f>IF(C16=0,0,(C16/C23*inputOth!E66))</f>
        <v>0</v>
      </c>
      <c r="M16" s="53"/>
      <c r="N16" s="136"/>
    </row>
    <row r="17" spans="1:14" x14ac:dyDescent="0.25">
      <c r="A17" s="474"/>
      <c r="B17" s="53" t="str">
        <f>IF(inputPrYr!$B27&gt;"  ",inputPrYr!$B27,"  ")</f>
        <v>Fire Protection</v>
      </c>
      <c r="C17" s="475">
        <f>inputOth!D46</f>
        <v>0</v>
      </c>
      <c r="D17" s="53">
        <f>IF(C17=0,0,(C17/C23*inputOth!E62))</f>
        <v>0</v>
      </c>
      <c r="E17" s="53"/>
      <c r="F17" s="53">
        <f>IF(C17=0,0,(C17/C23*inputOth!E63))</f>
        <v>0</v>
      </c>
      <c r="G17" s="53"/>
      <c r="H17" s="53">
        <f>IF(C17=0,0,(C17/C23*inputOth!E64))</f>
        <v>0</v>
      </c>
      <c r="I17" s="53"/>
      <c r="J17" s="53">
        <f>IF(C17=0,0,(C17/C23*inputOth!E65))</f>
        <v>0</v>
      </c>
      <c r="K17" s="53"/>
      <c r="L17" s="53">
        <f>IF(C17=0,0,(C17/C23*inputOth!E66))</f>
        <v>0</v>
      </c>
      <c r="M17" s="53"/>
      <c r="N17" s="136"/>
    </row>
    <row r="18" spans="1:14" x14ac:dyDescent="0.25">
      <c r="A18" s="474" t="s">
        <v>216</v>
      </c>
      <c r="B18" s="53" t="str">
        <f>IF(inputPrYr!$B28&gt;"  ",inputPrYr!$B28,"  ")</f>
        <v xml:space="preserve">  </v>
      </c>
      <c r="C18" s="475">
        <f>inputOth!D47</f>
        <v>0</v>
      </c>
      <c r="D18" s="53">
        <f>IF(C18=0,0,(C18/C23*inputOth!E62))</f>
        <v>0</v>
      </c>
      <c r="E18" s="53">
        <f>IF(C18=0,0,(C18/C24*(inputOth!E68+inputOth!E74)))</f>
        <v>0</v>
      </c>
      <c r="F18" s="53">
        <f>IF(C18=0,0,(C18/C23*inputOth!E63))</f>
        <v>0</v>
      </c>
      <c r="G18" s="53">
        <f>IF(C18=0,0,(C18/C24*(inputOth!E69+inputOth!E75)))</f>
        <v>0</v>
      </c>
      <c r="H18" s="53">
        <f>IF(C18=0,0,(C18/C23*inputOth!E64))</f>
        <v>0</v>
      </c>
      <c r="I18" s="53">
        <f>IF(C18=0,0,(C18/C24*(inputOth!E70+inputOth!E76)))</f>
        <v>0</v>
      </c>
      <c r="J18" s="53">
        <f>IF(C18=0,0,(C18/C23*inputOth!E65))</f>
        <v>0</v>
      </c>
      <c r="K18" s="53">
        <f>IF(C18=0,0,(C18/C24*(inputOth!E71+inputOth!E77)))</f>
        <v>0</v>
      </c>
      <c r="L18" s="53">
        <f>IF(C18=0,0,(C18/C23*inputOth!E66))</f>
        <v>0</v>
      </c>
      <c r="M18" s="53">
        <f>IF(C18=0,0,(C18/C24*(inputOth!E72+inputOth!E78)))</f>
        <v>0</v>
      </c>
      <c r="N18" s="136"/>
    </row>
    <row r="19" spans="1:14" x14ac:dyDescent="0.25">
      <c r="A19" s="474" t="s">
        <v>216</v>
      </c>
      <c r="B19" s="53" t="str">
        <f>IF(inputPrYr!$B29&gt;"  ",inputPrYr!$B29,"  ")</f>
        <v xml:space="preserve">  </v>
      </c>
      <c r="C19" s="475">
        <f>inputOth!D48</f>
        <v>0</v>
      </c>
      <c r="D19" s="53">
        <f>IF(C19=0,0,(C19/C23*inputOth!E62))</f>
        <v>0</v>
      </c>
      <c r="E19" s="53">
        <f>IF(C19=0,0,(C19/C24*(inputOth!E68+inputOth!E74)))</f>
        <v>0</v>
      </c>
      <c r="F19" s="53">
        <f>IF(C19=0,0,(C19/C23*inputOth!E63))</f>
        <v>0</v>
      </c>
      <c r="G19" s="53">
        <f>IF(C19=0,0,(C19/C24*(inputOth!E69+inputOth!E75)))</f>
        <v>0</v>
      </c>
      <c r="H19" s="53">
        <f>IF(C19=0,0,(C19/C23*inputOth!E64))</f>
        <v>0</v>
      </c>
      <c r="I19" s="53">
        <f>IF(C19=0,0,(C19/C24*(inputOth!E70+inputOth!E76)))</f>
        <v>0</v>
      </c>
      <c r="J19" s="53">
        <f>IF(C19=0,0,(C19/C23*inputOth!E65))</f>
        <v>0</v>
      </c>
      <c r="K19" s="53">
        <f>IF(C19=0,0,(C19/C24*(inputOth!E71+inputOth!E77)))</f>
        <v>0</v>
      </c>
      <c r="L19" s="53">
        <f>IF(C19=0,0,(C19/C23*inputOth!E66))</f>
        <v>0</v>
      </c>
      <c r="M19" s="53">
        <f>IF(C19=0,0,(C19/C24*(inputOth!E72+inputOth!E78)))</f>
        <v>0</v>
      </c>
      <c r="N19" s="136"/>
    </row>
    <row r="20" spans="1:14" x14ac:dyDescent="0.25">
      <c r="A20" s="474" t="s">
        <v>216</v>
      </c>
      <c r="B20" s="53" t="str">
        <f>IF(inputPrYr!$B30&gt;"  ",inputPrYr!$B30,"  ")</f>
        <v xml:space="preserve">  </v>
      </c>
      <c r="C20" s="475">
        <f>inputOth!D49</f>
        <v>0</v>
      </c>
      <c r="D20" s="53">
        <f>IF(C20=0,0,(C20/C23*inputOth!E62))</f>
        <v>0</v>
      </c>
      <c r="E20" s="53">
        <f>IF(C20=0,0,(C20/C24*(inputOth!E68+inputOth!E74)))</f>
        <v>0</v>
      </c>
      <c r="F20" s="53">
        <f>IF(C20=0,0,(C20/C23*inputOth!E63))</f>
        <v>0</v>
      </c>
      <c r="G20" s="53">
        <f>IF(C20=0,0,(C20/C24*(inputOth!E69+inputOth!E75)))</f>
        <v>0</v>
      </c>
      <c r="H20" s="53">
        <f>IF(C20=0,0,(C20/C23*inputOth!E64))</f>
        <v>0</v>
      </c>
      <c r="I20" s="53">
        <f>IF(C20=0,0,(C20/C24*(inputOth!E70+inputOth!E76)))</f>
        <v>0</v>
      </c>
      <c r="J20" s="53">
        <f>IF(C20=0,0,(C20/C23*inputOth!E65))</f>
        <v>0</v>
      </c>
      <c r="K20" s="53">
        <f>IF(C20=0,0,(C20/C24*(inputOth!E71+inputOth!E77)))</f>
        <v>0</v>
      </c>
      <c r="L20" s="53">
        <f>IF(C20=0,0,(C20/C23*inputOth!E66))</f>
        <v>0</v>
      </c>
      <c r="M20" s="53">
        <f>IF(C20=0,0,(C20/C24*(inputOth!E72+inputOth!E78)))</f>
        <v>0</v>
      </c>
      <c r="N20" s="136"/>
    </row>
    <row r="21" spans="1:14" x14ac:dyDescent="0.25">
      <c r="A21" s="474" t="s">
        <v>216</v>
      </c>
      <c r="B21" s="53" t="str">
        <f>IF(inputPrYr!$B31&gt;"  ",inputPrYr!$B31,"  ")</f>
        <v xml:space="preserve">  </v>
      </c>
      <c r="C21" s="475">
        <f>inputOth!D50</f>
        <v>0</v>
      </c>
      <c r="D21" s="53">
        <f>IF(C21=0,0,(C21/C23*inputOth!E62))</f>
        <v>0</v>
      </c>
      <c r="E21" s="53">
        <f>IF(C21=0,0,(C21/C24*(inputOth!E68+inputOth!E74)))</f>
        <v>0</v>
      </c>
      <c r="F21" s="53">
        <f>IF(C21=0,0,(C21/C23*inputOth!E63))</f>
        <v>0</v>
      </c>
      <c r="G21" s="53">
        <f>IF(C21=0,0,(C21/C24*(inputOth!E69+inputOth!E75)))</f>
        <v>0</v>
      </c>
      <c r="H21" s="53">
        <f>IF(C21=0,0,(C21/C23*inputOth!E64))</f>
        <v>0</v>
      </c>
      <c r="I21" s="53">
        <f>IF(C21=0,0,(C21/C24*(inputOth!E70+inputOth!E76)))</f>
        <v>0</v>
      </c>
      <c r="J21" s="53">
        <f>IF(C21=0,0,(C21/C23*inputOth!E65))</f>
        <v>0</v>
      </c>
      <c r="K21" s="53">
        <f>IF(C21=0,0,(C21/C24*(inputOth!E71+inputOth!E77)))</f>
        <v>0</v>
      </c>
      <c r="L21" s="53">
        <f>IF(C21=0,0,(C21/C23*inputOth!E66))</f>
        <v>0</v>
      </c>
      <c r="M21" s="53">
        <f>IF(C21=0,0,(C21/C24*(inputOth!E72+inputOth!E78)))</f>
        <v>0</v>
      </c>
      <c r="N21" s="136"/>
    </row>
    <row r="22" spans="1:14" x14ac:dyDescent="0.25">
      <c r="A22" s="474" t="s">
        <v>216</v>
      </c>
      <c r="B22" s="476" t="str">
        <f>IF(inputPrYr!$B32&gt;"  ",inputPrYr!$B32,"  ")</f>
        <v xml:space="preserve">  </v>
      </c>
      <c r="C22" s="477">
        <f>inputOth!D51</f>
        <v>0</v>
      </c>
      <c r="D22" s="53">
        <f>IF(C22=0,0,(C22/C23*inputOth!E62))</f>
        <v>0</v>
      </c>
      <c r="E22" s="53">
        <f>IF(C22=0,0,(C22/C24*(inputOth!E68+inputOth!E74)))</f>
        <v>0</v>
      </c>
      <c r="F22" s="53">
        <f>IF(C22=0,0,(C22/C23*inputOth!E63))</f>
        <v>0</v>
      </c>
      <c r="G22" s="53">
        <f>IF(C22=0,0,(C22/C24*(inputOth!E69+inputOth!E75)))</f>
        <v>0</v>
      </c>
      <c r="H22" s="53">
        <f>IF(C22=0,0,(C22/C23*inputOth!E64))</f>
        <v>0</v>
      </c>
      <c r="I22" s="53">
        <f>IF(C22=0,0,(C22/C24*(inputOth!E70+inputOth!E76)))</f>
        <v>0</v>
      </c>
      <c r="J22" s="53">
        <f>IF(C22=0,0,(C22/C23*inputOth!E65))</f>
        <v>0</v>
      </c>
      <c r="K22" s="53">
        <f>IF(C22=0,0,(C22/C24*(inputOth!E71+inputOth!E77)))</f>
        <v>0</v>
      </c>
      <c r="L22" s="53">
        <f>IF(C22=0,0,(C22/C23*inputOth!E66))</f>
        <v>0</v>
      </c>
      <c r="M22" s="53">
        <f>IF(C22=0,0,(C22/C24*(inputOth!E72+inputOth!E78)))</f>
        <v>0</v>
      </c>
      <c r="N22" s="136"/>
    </row>
    <row r="23" spans="1:14" ht="16.5" thickBot="1" x14ac:dyDescent="0.3">
      <c r="A23" s="35"/>
      <c r="B23" s="485" t="s">
        <v>126</v>
      </c>
      <c r="C23" s="484">
        <f t="shared" ref="C23:L23" si="0">SUM(C11:C22)</f>
        <v>0</v>
      </c>
      <c r="D23" s="481">
        <f t="shared" si="0"/>
        <v>0</v>
      </c>
      <c r="E23" s="476"/>
      <c r="F23" s="481">
        <f t="shared" si="0"/>
        <v>0</v>
      </c>
      <c r="G23" s="486"/>
      <c r="H23" s="481">
        <f t="shared" si="0"/>
        <v>0</v>
      </c>
      <c r="I23" s="486"/>
      <c r="J23" s="481">
        <f t="shared" si="0"/>
        <v>0</v>
      </c>
      <c r="K23" s="486"/>
      <c r="L23" s="481">
        <f t="shared" si="0"/>
        <v>0</v>
      </c>
      <c r="M23" s="486"/>
      <c r="N23" s="136"/>
    </row>
    <row r="24" spans="1:14" ht="17.25" thickTop="1" thickBot="1" x14ac:dyDescent="0.3">
      <c r="A24" s="35"/>
      <c r="B24" s="483" t="s">
        <v>217</v>
      </c>
      <c r="C24" s="482">
        <f>SUM(C11+C12+C13+C18+C19+C20+C21+C22)</f>
        <v>0</v>
      </c>
      <c r="D24" s="478"/>
      <c r="E24" s="481">
        <f>SUM(E11:E22)</f>
        <v>0</v>
      </c>
      <c r="F24" s="478"/>
      <c r="G24" s="481">
        <f>SUM(G11:G23)</f>
        <v>0</v>
      </c>
      <c r="H24" s="478"/>
      <c r="I24" s="481">
        <f>SUM(I11:I23)</f>
        <v>0</v>
      </c>
      <c r="J24" s="478"/>
      <c r="K24" s="481">
        <f>SUM(K11:K23)</f>
        <v>0</v>
      </c>
      <c r="L24" s="478"/>
      <c r="M24" s="481">
        <f>SUM(M11:M23)</f>
        <v>0</v>
      </c>
      <c r="N24" s="136"/>
    </row>
    <row r="25" spans="1:14" ht="16.5" thickTop="1" x14ac:dyDescent="0.25">
      <c r="A25" s="35"/>
      <c r="B25" s="479"/>
      <c r="C25" s="478"/>
      <c r="D25" s="478"/>
      <c r="E25" s="478"/>
      <c r="F25" s="478"/>
      <c r="G25" s="478"/>
      <c r="H25" s="478"/>
      <c r="I25" s="478"/>
      <c r="J25" s="478"/>
      <c r="K25" s="478"/>
      <c r="L25" s="478"/>
      <c r="M25" s="478"/>
      <c r="N25" s="136"/>
    </row>
    <row r="26" spans="1:14" x14ac:dyDescent="0.25">
      <c r="A26" s="35"/>
      <c r="B26" s="479"/>
      <c r="C26" s="478"/>
      <c r="D26" s="478"/>
      <c r="E26" s="478"/>
      <c r="F26" s="478"/>
      <c r="G26" s="478"/>
      <c r="H26" s="478"/>
      <c r="I26" s="478"/>
      <c r="J26" s="478"/>
      <c r="K26" s="478"/>
      <c r="L26" s="478"/>
      <c r="M26" s="478"/>
      <c r="N26" s="136"/>
    </row>
    <row r="27" spans="1:14" x14ac:dyDescent="0.25">
      <c r="A27" s="35"/>
      <c r="B27" s="479"/>
      <c r="C27" s="478"/>
      <c r="D27" s="478"/>
      <c r="E27" s="478"/>
      <c r="F27" s="478"/>
      <c r="G27" s="478"/>
      <c r="H27" s="478"/>
      <c r="I27" s="478"/>
      <c r="J27" s="478"/>
      <c r="K27" s="478"/>
      <c r="L27" s="478"/>
      <c r="M27" s="478"/>
      <c r="N27" s="136"/>
    </row>
    <row r="28" spans="1:14" x14ac:dyDescent="0.25">
      <c r="A28" s="35"/>
      <c r="B28" s="471"/>
      <c r="C28" s="471"/>
      <c r="D28" s="471"/>
      <c r="E28" s="471"/>
      <c r="F28" s="471"/>
      <c r="G28" s="471"/>
      <c r="H28" s="471"/>
      <c r="I28" s="471"/>
      <c r="J28" s="471"/>
      <c r="K28" s="471"/>
      <c r="L28" s="471"/>
      <c r="M28" s="471"/>
      <c r="N28" s="35"/>
    </row>
    <row r="29" spans="1:14" x14ac:dyDescent="0.25">
      <c r="A29" s="35"/>
      <c r="B29" s="35"/>
      <c r="C29" s="35"/>
      <c r="D29" s="471"/>
      <c r="E29" s="471"/>
      <c r="F29" s="471"/>
      <c r="G29" s="471"/>
      <c r="H29" s="471"/>
      <c r="I29" s="471"/>
      <c r="J29" s="471"/>
      <c r="K29" s="471"/>
      <c r="L29" s="471"/>
      <c r="M29" s="471"/>
      <c r="N29" s="35"/>
    </row>
    <row r="30" spans="1:14" x14ac:dyDescent="0.25">
      <c r="A30" s="35"/>
      <c r="B30" s="35"/>
      <c r="C30" s="35"/>
      <c r="D30" s="35"/>
      <c r="E30" s="35"/>
      <c r="F30" s="35"/>
      <c r="G30" s="35"/>
      <c r="H30" s="35"/>
      <c r="I30" s="35"/>
      <c r="J30" s="35"/>
      <c r="K30" s="35"/>
      <c r="L30" s="35"/>
      <c r="M30" s="35"/>
      <c r="N30" s="35"/>
    </row>
    <row r="34" spans="2:5" x14ac:dyDescent="0.25">
      <c r="B34" s="145"/>
      <c r="C34" s="145"/>
      <c r="D34" s="145"/>
      <c r="E34" s="145"/>
    </row>
  </sheetData>
  <sheetProtection sheet="1"/>
  <mergeCells count="4">
    <mergeCell ref="B7:N7"/>
    <mergeCell ref="C9:C10"/>
    <mergeCell ref="A6:N6"/>
    <mergeCell ref="D9:M9"/>
  </mergeCells>
  <phoneticPr fontId="0" type="noConversion"/>
  <pageMargins left="0.4" right="0.67" top="0.83" bottom="0.85" header="0.3" footer="0.6"/>
  <pageSetup scale="50" orientation="landscape"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pageSetUpPr fitToPage="1"/>
  </sheetPr>
  <dimension ref="A1:F29"/>
  <sheetViews>
    <sheetView workbookViewId="0">
      <selection activeCell="F36" sqref="F36"/>
    </sheetView>
  </sheetViews>
  <sheetFormatPr defaultRowHeight="15.75" x14ac:dyDescent="0.25"/>
  <cols>
    <col min="1" max="2" width="16" style="99" customWidth="1"/>
    <col min="3" max="6" width="11.5" style="99" customWidth="1"/>
    <col min="7" max="16384" width="8.796875" style="99"/>
  </cols>
  <sheetData>
    <row r="1" spans="1:6" x14ac:dyDescent="0.25">
      <c r="A1" s="72"/>
      <c r="B1" s="35"/>
      <c r="C1" s="35"/>
      <c r="D1" s="35"/>
      <c r="E1" s="136"/>
      <c r="F1" s="35">
        <f>inputPrYr!D10</f>
        <v>2025</v>
      </c>
    </row>
    <row r="2" spans="1:6" x14ac:dyDescent="0.25">
      <c r="A2" s="72">
        <f>inputPrYr!D4</f>
        <v>0</v>
      </c>
      <c r="B2" s="72"/>
      <c r="C2" s="35"/>
      <c r="D2" s="35"/>
      <c r="E2" s="136"/>
      <c r="F2" s="35"/>
    </row>
    <row r="3" spans="1:6" x14ac:dyDescent="0.25">
      <c r="A3" s="72"/>
      <c r="B3" s="72"/>
      <c r="C3" s="35"/>
      <c r="D3" s="35"/>
      <c r="E3" s="136"/>
      <c r="F3" s="35"/>
    </row>
    <row r="4" spans="1:6" x14ac:dyDescent="0.25">
      <c r="A4" s="72"/>
      <c r="B4" s="35"/>
      <c r="C4" s="35"/>
      <c r="D4" s="35"/>
      <c r="E4" s="136"/>
      <c r="F4" s="35"/>
    </row>
    <row r="5" spans="1:6" ht="15" customHeight="1" x14ac:dyDescent="0.25">
      <c r="A5" s="720" t="s">
        <v>180</v>
      </c>
      <c r="B5" s="720"/>
      <c r="C5" s="720"/>
      <c r="D5" s="720"/>
      <c r="E5" s="720"/>
      <c r="F5" s="720"/>
    </row>
    <row r="6" spans="1:6" ht="14.25" customHeight="1" x14ac:dyDescent="0.25">
      <c r="A6" s="70"/>
      <c r="B6" s="146"/>
      <c r="C6" s="146"/>
      <c r="D6" s="146"/>
      <c r="E6" s="146"/>
      <c r="F6" s="146"/>
    </row>
    <row r="7" spans="1:6" ht="15" customHeight="1" x14ac:dyDescent="0.25">
      <c r="A7" s="147" t="s">
        <v>218</v>
      </c>
      <c r="B7" s="147" t="s">
        <v>219</v>
      </c>
      <c r="C7" s="148" t="s">
        <v>220</v>
      </c>
      <c r="D7" s="148" t="s">
        <v>221</v>
      </c>
      <c r="E7" s="147" t="s">
        <v>222</v>
      </c>
      <c r="F7" s="147" t="s">
        <v>223</v>
      </c>
    </row>
    <row r="8" spans="1:6" ht="15" customHeight="1" x14ac:dyDescent="0.25">
      <c r="A8" s="149" t="s">
        <v>224</v>
      </c>
      <c r="B8" s="149" t="s">
        <v>225</v>
      </c>
      <c r="C8" s="150" t="s">
        <v>226</v>
      </c>
      <c r="D8" s="150" t="s">
        <v>226</v>
      </c>
      <c r="E8" s="150" t="s">
        <v>226</v>
      </c>
      <c r="F8" s="150" t="s">
        <v>227</v>
      </c>
    </row>
    <row r="9" spans="1:6" s="153" customFormat="1" ht="15" customHeight="1" thickBot="1" x14ac:dyDescent="0.3">
      <c r="A9" s="151" t="s">
        <v>228</v>
      </c>
      <c r="B9" s="152" t="s">
        <v>229</v>
      </c>
      <c r="C9" s="152">
        <f>F1-2</f>
        <v>2023</v>
      </c>
      <c r="D9" s="152">
        <f>F1-1</f>
        <v>2024</v>
      </c>
      <c r="E9" s="152">
        <f>F1</f>
        <v>2025</v>
      </c>
      <c r="F9" s="152" t="s">
        <v>94</v>
      </c>
    </row>
    <row r="10" spans="1:6" ht="15" customHeight="1" thickTop="1" x14ac:dyDescent="0.25">
      <c r="A10" s="132" t="s">
        <v>957</v>
      </c>
      <c r="B10" s="132" t="s">
        <v>183</v>
      </c>
      <c r="C10" s="649">
        <f>General!C43</f>
        <v>0</v>
      </c>
      <c r="D10" s="649">
        <f>General!D43</f>
        <v>0</v>
      </c>
      <c r="E10" s="649">
        <f>General!E43</f>
        <v>0</v>
      </c>
      <c r="F10" s="132" t="str">
        <f>IF(C10+D10+E10&gt;0,"KSA 80-1406b","")</f>
        <v/>
      </c>
    </row>
    <row r="11" spans="1:6" ht="15" customHeight="1" x14ac:dyDescent="0.25">
      <c r="A11" s="132" t="s">
        <v>957</v>
      </c>
      <c r="B11" s="132" t="s">
        <v>183</v>
      </c>
      <c r="C11" s="649">
        <f>General!C45</f>
        <v>0</v>
      </c>
      <c r="D11" s="649">
        <f>General!D45</f>
        <v>0</v>
      </c>
      <c r="E11" s="649">
        <f>General!E45</f>
        <v>0</v>
      </c>
      <c r="F11" s="132" t="str">
        <f>IF(C11+D11+E11&gt;0,"KSA 80-122","")</f>
        <v/>
      </c>
    </row>
    <row r="12" spans="1:6" ht="15" customHeight="1" x14ac:dyDescent="0.25">
      <c r="A12" s="132" t="s">
        <v>105</v>
      </c>
      <c r="B12" s="132" t="s">
        <v>183</v>
      </c>
      <c r="C12" s="649">
        <f>Road!C39</f>
        <v>0</v>
      </c>
      <c r="D12" s="649">
        <f>Road!D39</f>
        <v>0</v>
      </c>
      <c r="E12" s="649">
        <f>Road!E39</f>
        <v>0</v>
      </c>
      <c r="F12" s="132" t="str">
        <f>IF(C12+D12+E12&gt;0,"KSA 68-141g","")</f>
        <v/>
      </c>
    </row>
    <row r="13" spans="1:6" ht="15" customHeight="1" x14ac:dyDescent="0.25">
      <c r="A13" s="114"/>
      <c r="B13" s="114"/>
      <c r="C13" s="155"/>
      <c r="D13" s="155"/>
      <c r="E13" s="155"/>
      <c r="F13" s="114"/>
    </row>
    <row r="14" spans="1:6" ht="15" customHeight="1" x14ac:dyDescent="0.25">
      <c r="A14" s="114"/>
      <c r="B14" s="114"/>
      <c r="C14" s="155"/>
      <c r="D14" s="155"/>
      <c r="E14" s="155"/>
      <c r="F14" s="114"/>
    </row>
    <row r="15" spans="1:6" ht="15" customHeight="1" x14ac:dyDescent="0.25">
      <c r="A15" s="114"/>
      <c r="B15" s="114"/>
      <c r="C15" s="155"/>
      <c r="D15" s="155"/>
      <c r="E15" s="155"/>
      <c r="F15" s="114"/>
    </row>
    <row r="16" spans="1:6" ht="15" customHeight="1" x14ac:dyDescent="0.25">
      <c r="A16" s="114"/>
      <c r="B16" s="156"/>
      <c r="C16" s="155"/>
      <c r="D16" s="155"/>
      <c r="E16" s="155"/>
      <c r="F16" s="114"/>
    </row>
    <row r="17" spans="1:6" ht="15" customHeight="1" x14ac:dyDescent="0.25">
      <c r="A17" s="114"/>
      <c r="B17" s="114"/>
      <c r="C17" s="155"/>
      <c r="D17" s="155"/>
      <c r="E17" s="155"/>
      <c r="F17" s="114"/>
    </row>
    <row r="18" spans="1:6" ht="15" customHeight="1" x14ac:dyDescent="0.25">
      <c r="A18" s="114"/>
      <c r="B18" s="114"/>
      <c r="C18" s="155"/>
      <c r="D18" s="155"/>
      <c r="E18" s="155"/>
      <c r="F18" s="114"/>
    </row>
    <row r="19" spans="1:6" ht="15" customHeight="1" x14ac:dyDescent="0.25">
      <c r="A19" s="114"/>
      <c r="B19" s="114"/>
      <c r="C19" s="155"/>
      <c r="D19" s="155"/>
      <c r="E19" s="155"/>
      <c r="F19" s="114"/>
    </row>
    <row r="20" spans="1:6" ht="15" customHeight="1" x14ac:dyDescent="0.25">
      <c r="A20" s="114"/>
      <c r="B20" s="114"/>
      <c r="C20" s="155"/>
      <c r="D20" s="155"/>
      <c r="E20" s="155"/>
      <c r="F20" s="114"/>
    </row>
    <row r="21" spans="1:6" ht="15" customHeight="1" x14ac:dyDescent="0.25">
      <c r="A21" s="114"/>
      <c r="B21" s="114"/>
      <c r="C21" s="155"/>
      <c r="D21" s="155"/>
      <c r="E21" s="155"/>
      <c r="F21" s="114"/>
    </row>
    <row r="22" spans="1:6" ht="15" customHeight="1" x14ac:dyDescent="0.25">
      <c r="A22" s="114"/>
      <c r="B22" s="114"/>
      <c r="C22" s="155"/>
      <c r="D22" s="155"/>
      <c r="E22" s="155"/>
      <c r="F22" s="114"/>
    </row>
    <row r="23" spans="1:6" ht="15" customHeight="1" x14ac:dyDescent="0.25">
      <c r="A23" s="114"/>
      <c r="B23" s="114"/>
      <c r="C23" s="155"/>
      <c r="D23" s="155"/>
      <c r="E23" s="155"/>
      <c r="F23" s="114"/>
    </row>
    <row r="24" spans="1:6" ht="15" customHeight="1" x14ac:dyDescent="0.25">
      <c r="A24" s="119"/>
      <c r="B24" s="51" t="s">
        <v>126</v>
      </c>
      <c r="C24" s="157">
        <f>SUM(C10:C23)</f>
        <v>0</v>
      </c>
      <c r="D24" s="157">
        <f>SUM(D10:D23)</f>
        <v>0</v>
      </c>
      <c r="E24" s="157">
        <f>SUM(E10:E23)</f>
        <v>0</v>
      </c>
      <c r="F24" s="119"/>
    </row>
    <row r="25" spans="1:6" ht="15" customHeight="1" x14ac:dyDescent="0.25">
      <c r="A25" s="119"/>
      <c r="B25" s="51" t="s">
        <v>230</v>
      </c>
      <c r="C25" s="35"/>
      <c r="D25" s="114"/>
      <c r="E25" s="114"/>
      <c r="F25" s="119"/>
    </row>
    <row r="26" spans="1:6" ht="15" customHeight="1" x14ac:dyDescent="0.25">
      <c r="A26" s="119"/>
      <c r="B26" s="51" t="s">
        <v>231</v>
      </c>
      <c r="C26" s="157">
        <f>C24</f>
        <v>0</v>
      </c>
      <c r="D26" s="157">
        <f>SUM(D24-D25)</f>
        <v>0</v>
      </c>
      <c r="E26" s="157">
        <f>SUM(E24-E25)</f>
        <v>0</v>
      </c>
      <c r="F26" s="119"/>
    </row>
    <row r="27" spans="1:6" x14ac:dyDescent="0.25">
      <c r="A27" s="119"/>
      <c r="B27" s="35"/>
      <c r="C27" s="35"/>
      <c r="D27" s="35"/>
      <c r="E27" s="35"/>
      <c r="F27" s="119"/>
    </row>
    <row r="28" spans="1:6" x14ac:dyDescent="0.25">
      <c r="A28" s="119"/>
      <c r="B28" s="35"/>
      <c r="C28" s="35"/>
      <c r="D28" s="35"/>
      <c r="E28" s="35"/>
      <c r="F28" s="119"/>
    </row>
    <row r="29" spans="1:6" x14ac:dyDescent="0.25">
      <c r="A29" s="740" t="str">
        <f>CONCATENATE("*Note: Adjustments are required only if the transfer is being made in ",D9," and/or ",E9," from a non-budgeted fund.")</f>
        <v>*Note: Adjustments are required only if the transfer is being made in 2024 and/or 2025 from a non-budgeted fund.</v>
      </c>
      <c r="B29" s="740"/>
      <c r="C29" s="740"/>
      <c r="D29" s="740"/>
      <c r="E29" s="740"/>
      <c r="F29" s="740"/>
    </row>
  </sheetData>
  <sheetProtection sheet="1"/>
  <mergeCells count="2">
    <mergeCell ref="A5:F5"/>
    <mergeCell ref="A29:F29"/>
  </mergeCells>
  <phoneticPr fontId="10" type="noConversion"/>
  <pageMargins left="0.75" right="0.75" top="1" bottom="1" header="0.5" footer="0.5"/>
  <pageSetup scale="89" orientation="portrait" blackAndWhite="1" r:id="rId1"/>
  <headerFooter alignWithMargins="0">
    <oddHeader>&amp;RState of Kansas
Township</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A1:A27"/>
  <sheetViews>
    <sheetView workbookViewId="0">
      <selection activeCell="L63" sqref="L63"/>
    </sheetView>
  </sheetViews>
  <sheetFormatPr defaultRowHeight="15.75" x14ac:dyDescent="0.25"/>
  <cols>
    <col min="1" max="1" width="70.09765625" style="62" customWidth="1"/>
    <col min="2" max="16384" width="8.796875" style="62"/>
  </cols>
  <sheetData>
    <row r="1" spans="1:1" ht="18.75" x14ac:dyDescent="0.25">
      <c r="A1" s="229" t="s">
        <v>232</v>
      </c>
    </row>
    <row r="2" spans="1:1" x14ac:dyDescent="0.25">
      <c r="A2" s="65"/>
    </row>
    <row r="3" spans="1:1" x14ac:dyDescent="0.25">
      <c r="A3" s="65"/>
    </row>
    <row r="4" spans="1:1" ht="52.5" customHeight="1" x14ac:dyDescent="0.25">
      <c r="A4" s="138" t="s">
        <v>233</v>
      </c>
    </row>
    <row r="5" spans="1:1" x14ac:dyDescent="0.25">
      <c r="A5" s="65"/>
    </row>
    <row r="6" spans="1:1" x14ac:dyDescent="0.25">
      <c r="A6" s="65"/>
    </row>
    <row r="7" spans="1:1" ht="70.5" customHeight="1" x14ac:dyDescent="0.25">
      <c r="A7" s="138" t="s">
        <v>234</v>
      </c>
    </row>
    <row r="8" spans="1:1" x14ac:dyDescent="0.25">
      <c r="A8" s="629"/>
    </row>
    <row r="9" spans="1:1" x14ac:dyDescent="0.25">
      <c r="A9" s="65"/>
    </row>
    <row r="10" spans="1:1" ht="56.25" customHeight="1" x14ac:dyDescent="0.25">
      <c r="A10" s="138" t="s">
        <v>235</v>
      </c>
    </row>
    <row r="11" spans="1:1" x14ac:dyDescent="0.25">
      <c r="A11" s="629"/>
    </row>
    <row r="12" spans="1:1" x14ac:dyDescent="0.25">
      <c r="A12" s="629"/>
    </row>
    <row r="13" spans="1:1" ht="57.75" customHeight="1" x14ac:dyDescent="0.25">
      <c r="A13" s="138" t="s">
        <v>236</v>
      </c>
    </row>
    <row r="14" spans="1:1" x14ac:dyDescent="0.25">
      <c r="A14" s="629"/>
    </row>
    <row r="15" spans="1:1" x14ac:dyDescent="0.25">
      <c r="A15" s="629"/>
    </row>
    <row r="16" spans="1:1" ht="87.75" customHeight="1" x14ac:dyDescent="0.25">
      <c r="A16" s="138" t="s">
        <v>237</v>
      </c>
    </row>
    <row r="17" spans="1:1" x14ac:dyDescent="0.25">
      <c r="A17" s="629"/>
    </row>
    <row r="18" spans="1:1" x14ac:dyDescent="0.25">
      <c r="A18" s="65"/>
    </row>
    <row r="19" spans="1:1" ht="54.75" customHeight="1" x14ac:dyDescent="0.25">
      <c r="A19" s="138" t="s">
        <v>238</v>
      </c>
    </row>
    <row r="20" spans="1:1" x14ac:dyDescent="0.25">
      <c r="A20" s="65"/>
    </row>
    <row r="21" spans="1:1" x14ac:dyDescent="0.25">
      <c r="A21" s="65"/>
    </row>
    <row r="22" spans="1:1" ht="69" customHeight="1" x14ac:dyDescent="0.25">
      <c r="A22" s="138" t="s">
        <v>239</v>
      </c>
    </row>
    <row r="23" spans="1:1" x14ac:dyDescent="0.25">
      <c r="A23" s="65"/>
    </row>
    <row r="24" spans="1:1" x14ac:dyDescent="0.25">
      <c r="A24" s="227"/>
    </row>
    <row r="25" spans="1:1" ht="47.25" customHeight="1" x14ac:dyDescent="0.25">
      <c r="A25" s="228" t="s">
        <v>240</v>
      </c>
    </row>
    <row r="26" spans="1:1" x14ac:dyDescent="0.25">
      <c r="A26" s="630"/>
    </row>
    <row r="27" spans="1:1" x14ac:dyDescent="0.25">
      <c r="A27" s="227"/>
    </row>
  </sheetData>
  <sheetProtection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da53aa1-44b3-4cd7-9bce-6d7e34741e4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1DC2A4-C52B-4C94-8603-4A322C8604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8B0BAE-264E-4D3C-B392-BF09F4E4FFC0}">
  <ds:schemaRefs>
    <ds:schemaRef ds:uri="http://schemas.microsoft.com/office/2006/metadata/properties"/>
    <ds:schemaRef ds:uri="http://schemas.microsoft.com/office/infopath/2007/PartnerControls"/>
    <ds:schemaRef ds:uri="eda53aa1-44b3-4cd7-9bce-6d7e34741e47"/>
  </ds:schemaRefs>
</ds:datastoreItem>
</file>

<file path=customXml/itemProps3.xml><?xml version="1.0" encoding="utf-8"?>
<ds:datastoreItem xmlns:ds="http://schemas.openxmlformats.org/officeDocument/2006/customXml" ds:itemID="{B49B2969-09E1-41BE-BE6E-FC418AF84D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15</vt:i4>
      </vt:variant>
    </vt:vector>
  </HeadingPairs>
  <TitlesOfParts>
    <vt:vector size="51" baseType="lpstr">
      <vt:lpstr>Instructions</vt:lpstr>
      <vt:lpstr>inputPrYr</vt:lpstr>
      <vt:lpstr>inputOth</vt:lpstr>
      <vt:lpstr>inputHearing</vt:lpstr>
      <vt:lpstr>CPA Summary</vt:lpstr>
      <vt:lpstr>Cert</vt:lpstr>
      <vt:lpstr>Mvalloc</vt:lpstr>
      <vt:lpstr>Transfers</vt:lpstr>
      <vt:lpstr>Transfer Statutes</vt:lpstr>
      <vt:lpstr>Debt-LP Form</vt:lpstr>
      <vt:lpstr>Library Grant</vt:lpstr>
      <vt:lpstr>General</vt:lpstr>
      <vt:lpstr>DebtSvs-Library</vt:lpstr>
      <vt:lpstr>Road</vt:lpstr>
      <vt:lpstr>Spec Road &amp; Noxious Weed</vt:lpstr>
      <vt:lpstr>Levy Page 10</vt:lpstr>
      <vt:lpstr>Levy Page 11</vt:lpstr>
      <vt:lpstr>Levy Page 12</vt:lpstr>
      <vt:lpstr>No Levy Page 13</vt:lpstr>
      <vt:lpstr>No Levy Page 14</vt:lpstr>
      <vt:lpstr>Non-Budgeted Funds</vt:lpstr>
      <vt:lpstr>Non-Bud Funds Statutes</vt:lpstr>
      <vt:lpstr>Budget Hearing Notice</vt:lpstr>
      <vt:lpstr>Combined Rate-Bud Hearing Notic</vt:lpstr>
      <vt:lpstr>RNR Hearing Notice</vt:lpstr>
      <vt:lpstr>NR Rebate</vt:lpstr>
      <vt:lpstr>SAMPLE Notice to County Clerk</vt:lpstr>
      <vt:lpstr>SAMPLE Roll Call to Exceed RNR</vt:lpstr>
      <vt:lpstr>SAMPLE Twp RNR Resolution</vt:lpstr>
      <vt:lpstr>Tab A</vt:lpstr>
      <vt:lpstr>Tab B</vt:lpstr>
      <vt:lpstr>Tab C</vt:lpstr>
      <vt:lpstr>Tab D</vt:lpstr>
      <vt:lpstr>Tab E</vt:lpstr>
      <vt:lpstr>Budget Tools</vt:lpstr>
      <vt:lpstr>Legend</vt:lpstr>
      <vt:lpstr>'Budget Hearing Notice'!Print_Area</vt:lpstr>
      <vt:lpstr>Cert!Print_Area</vt:lpstr>
      <vt:lpstr>'Combined Rate-Bud Hearing Notic'!Print_Area</vt:lpstr>
      <vt:lpstr>'CPA Summary'!Print_Area</vt:lpstr>
      <vt:lpstr>'DebtSvs-Library'!Print_Area</vt:lpstr>
      <vt:lpstr>General!Print_Area</vt:lpstr>
      <vt:lpstr>inputPrYr!Print_Area</vt:lpstr>
      <vt:lpstr>'Levy Page 10'!Print_Area</vt:lpstr>
      <vt:lpstr>'Levy Page 11'!Print_Area</vt:lpstr>
      <vt:lpstr>'Levy Page 12'!Print_Area</vt:lpstr>
      <vt:lpstr>'Library Grant'!Print_Area</vt:lpstr>
      <vt:lpstr>Mvalloc!Print_Area</vt:lpstr>
      <vt:lpstr>'RNR Hearing Notice'!Print_Area</vt:lpstr>
      <vt:lpstr>Road!Print_Area</vt:lpstr>
      <vt:lpstr>'Spec Road &amp; Noxious Weed'!Print_Area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Dept. of Administration</dc:creator>
  <cp:keywords/>
  <dc:description/>
  <cp:lastModifiedBy>Lindsay A. Olson [DAAR]</cp:lastModifiedBy>
  <cp:revision/>
  <dcterms:created xsi:type="dcterms:W3CDTF">1998-08-26T16:30:41Z</dcterms:created>
  <dcterms:modified xsi:type="dcterms:W3CDTF">2024-05-02T14:05:26Z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