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sokansas-my.sharepoint.com/personal/lindsay_a_olson_doa_ks_gov/Documents/Desktop/2025 Workbooks/"/>
    </mc:Choice>
  </mc:AlternateContent>
  <xr:revisionPtr revIDLastSave="41" documentId="8_{BB084530-1320-4770-9704-A36737A3CD73}" xr6:coauthVersionLast="47" xr6:coauthVersionMax="47" xr10:uidLastSave="{36BA3A2A-94DC-4F4F-BFD1-0251A26A6699}"/>
  <bookViews>
    <workbookView xWindow="3105" yWindow="960" windowWidth="16665" windowHeight="12390" tabRatio="843" xr2:uid="{00000000-000D-0000-FFFF-FFFF00000000}"/>
  </bookViews>
  <sheets>
    <sheet name="Instructions" sheetId="43" r:id="rId1"/>
    <sheet name="inputPrYr" sheetId="2" r:id="rId2"/>
    <sheet name="inputOth" sheetId="20" r:id="rId3"/>
    <sheet name="inputHearing" sheetId="42" r:id="rId4"/>
    <sheet name="CPA Summary" sheetId="41" r:id="rId5"/>
    <sheet name="Cert" sheetId="3" r:id="rId6"/>
    <sheet name="Mvalloc" sheetId="4" r:id="rId7"/>
    <sheet name="Transfers" sheetId="21" r:id="rId8"/>
    <sheet name="Transfer Statutes" sheetId="24" r:id="rId9"/>
    <sheet name="Debt-LP Form" sheetId="13" r:id="rId10"/>
    <sheet name="Library Grant" sheetId="35" r:id="rId11"/>
    <sheet name="General" sheetId="6" r:id="rId12"/>
    <sheet name="DebtSvs-Library" sheetId="36" r:id="rId13"/>
    <sheet name="Road" sheetId="7" r:id="rId14"/>
    <sheet name="Spec Road &amp; Noxious Weed" sheetId="8" r:id="rId15"/>
    <sheet name="Levy Page 10" sheetId="9" r:id="rId16"/>
    <sheet name="Levy Page 11" sheetId="10" r:id="rId17"/>
    <sheet name="Levy Page 12" sheetId="11" r:id="rId18"/>
    <sheet name="No Levy Page 13" sheetId="17" r:id="rId19"/>
    <sheet name="No Levy Page 14" sheetId="18" r:id="rId20"/>
    <sheet name="Non-Budgeted Funds" sheetId="25" r:id="rId21"/>
    <sheet name="Non-Bud Funds Statutes" sheetId="31" r:id="rId22"/>
    <sheet name="Budget Hearing Notice" sheetId="12" r:id="rId23"/>
    <sheet name="Combined Rate-Bud Hearing Notic" sheetId="47" r:id="rId24"/>
    <sheet name="RNR Hearing Notice" sheetId="44" r:id="rId25"/>
    <sheet name="NR Rebate" sheetId="23" r:id="rId26"/>
    <sheet name="SAMPLE Notice to County Clerk" sheetId="46" r:id="rId27"/>
    <sheet name="SAMPLE Roll Call to Exceed RNR" sheetId="50" r:id="rId28"/>
    <sheet name="SAMPLE Twp RNR Resolution" sheetId="45" r:id="rId29"/>
    <sheet name="Tab A" sheetId="26" r:id="rId30"/>
    <sheet name="Tab B" sheetId="27" r:id="rId31"/>
    <sheet name="Tab C" sheetId="28" r:id="rId32"/>
    <sheet name="Tab D" sheetId="29" r:id="rId33"/>
    <sheet name="Tab E" sheetId="30" r:id="rId34"/>
    <sheet name="Budget Tools" sheetId="49" r:id="rId35"/>
    <sheet name="Legend" sheetId="15" r:id="rId36"/>
  </sheets>
  <definedNames>
    <definedName name="_xlnm.Print_Area" localSheetId="22">'Budget Hearing Notice'!$A$2:$H$57</definedName>
    <definedName name="_xlnm.Print_Area" localSheetId="5">Cert!$A$1:$G$72</definedName>
    <definedName name="_xlnm.Print_Area" localSheetId="23">'Combined Rate-Bud Hearing Notic'!$A$2:$H$57</definedName>
    <definedName name="_xlnm.Print_Area" localSheetId="4">'CPA Summary'!$A$1:$A$40</definedName>
    <definedName name="_xlnm.Print_Area" localSheetId="12">'DebtSvs-Library'!$B$1:$E$88</definedName>
    <definedName name="_xlnm.Print_Area" localSheetId="11">General!$B$1:$E$62</definedName>
    <definedName name="_xlnm.Print_Area" localSheetId="1">inputPrYr!$A$1:$E$94</definedName>
    <definedName name="_xlnm.Print_Area" localSheetId="15">'Levy Page 10'!$A$1:$E$97</definedName>
    <definedName name="_xlnm.Print_Area" localSheetId="16">'Levy Page 11'!$A$1:$E$97</definedName>
    <definedName name="_xlnm.Print_Area" localSheetId="17">'Levy Page 12'!$A$1:$E$98</definedName>
    <definedName name="_xlnm.Print_Area" localSheetId="10">'Library Grant'!$A$1:$J$40</definedName>
    <definedName name="_xlnm.Print_Area" localSheetId="6">Mvalloc!$A$1:$N$30</definedName>
    <definedName name="_xlnm.Print_Area" localSheetId="24">'RNR Hearing Notice'!$A$1:$H$21</definedName>
    <definedName name="_xlnm.Print_Area" localSheetId="13">Road!$B$1:$E$71</definedName>
    <definedName name="_xlnm.Print_Area" localSheetId="14">'Spec Road &amp; Noxious Weed'!$A$1:$E$97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9" i="3" l="1"/>
  <c r="B54" i="18" l="1"/>
  <c r="B24" i="18"/>
  <c r="B72" i="11"/>
  <c r="B31" i="11"/>
  <c r="B72" i="10"/>
  <c r="B31" i="10"/>
  <c r="B72" i="9"/>
  <c r="B31" i="9"/>
  <c r="B72" i="8"/>
  <c r="B31" i="8"/>
  <c r="B38" i="7"/>
  <c r="B42" i="6"/>
  <c r="B31" i="36"/>
  <c r="E12" i="21" l="1"/>
  <c r="D12" i="21"/>
  <c r="C12" i="21"/>
  <c r="E11" i="21"/>
  <c r="D11" i="21"/>
  <c r="C11" i="21"/>
  <c r="E10" i="21"/>
  <c r="D10" i="21"/>
  <c r="C10" i="21"/>
  <c r="F10" i="21" s="1"/>
  <c r="F44" i="3"/>
  <c r="F12" i="21" l="1"/>
  <c r="F11" i="21"/>
  <c r="H1" i="44"/>
  <c r="E43" i="3"/>
  <c r="E42" i="3"/>
  <c r="E41" i="3"/>
  <c r="G74" i="10" l="1"/>
  <c r="G30" i="10"/>
  <c r="G71" i="9"/>
  <c r="G73" i="36"/>
  <c r="G72" i="8"/>
  <c r="G39" i="7"/>
  <c r="G31" i="36"/>
  <c r="F48" i="3"/>
  <c r="F47" i="3"/>
  <c r="A10" i="44" l="1"/>
  <c r="A6" i="44"/>
  <c r="A5" i="44"/>
  <c r="A55" i="47"/>
  <c r="A54" i="47"/>
  <c r="A9" i="47"/>
  <c r="A7" i="47"/>
  <c r="C42" i="3"/>
  <c r="H76" i="36"/>
  <c r="H75" i="36"/>
  <c r="H72" i="36"/>
  <c r="H71" i="36"/>
  <c r="C41" i="3"/>
  <c r="C40" i="3"/>
  <c r="C39" i="3"/>
  <c r="D49" i="47"/>
  <c r="B49" i="47"/>
  <c r="D48" i="47"/>
  <c r="B48" i="47"/>
  <c r="M37" i="47"/>
  <c r="D47" i="47"/>
  <c r="B47" i="47"/>
  <c r="M36" i="47"/>
  <c r="F43" i="47"/>
  <c r="M6" i="47" s="1"/>
  <c r="B42" i="47"/>
  <c r="B41" i="47"/>
  <c r="H38" i="47"/>
  <c r="H37" i="47"/>
  <c r="M30" i="47" s="1"/>
  <c r="B35" i="47"/>
  <c r="A34" i="47"/>
  <c r="A33" i="47"/>
  <c r="A32" i="47"/>
  <c r="A31" i="47"/>
  <c r="A30" i="47"/>
  <c r="E29" i="47"/>
  <c r="C29" i="47"/>
  <c r="A29" i="47"/>
  <c r="E28" i="47"/>
  <c r="C28" i="47"/>
  <c r="A28" i="47"/>
  <c r="E27" i="47"/>
  <c r="C27" i="47"/>
  <c r="A27" i="47"/>
  <c r="E26" i="47"/>
  <c r="C26" i="47"/>
  <c r="A26" i="47"/>
  <c r="E25" i="47"/>
  <c r="C25" i="47"/>
  <c r="A25" i="47"/>
  <c r="E24" i="47"/>
  <c r="C24" i="47"/>
  <c r="A24" i="47"/>
  <c r="E23" i="47"/>
  <c r="C23" i="47"/>
  <c r="A23" i="47"/>
  <c r="E22" i="47"/>
  <c r="C22" i="47"/>
  <c r="A22" i="47"/>
  <c r="E21" i="47"/>
  <c r="C21" i="47"/>
  <c r="A21" i="47"/>
  <c r="E20" i="47"/>
  <c r="C20" i="47"/>
  <c r="A20" i="47"/>
  <c r="E19" i="47"/>
  <c r="C19" i="47"/>
  <c r="E18" i="47"/>
  <c r="C18" i="47"/>
  <c r="A18" i="47"/>
  <c r="A6" i="47"/>
  <c r="A5" i="47"/>
  <c r="H1" i="47"/>
  <c r="B14" i="47" s="1"/>
  <c r="E44" i="3"/>
  <c r="B50" i="47" l="1"/>
  <c r="M31" i="47"/>
  <c r="D16" i="44"/>
  <c r="D50" i="47"/>
  <c r="M20" i="47"/>
  <c r="C36" i="47"/>
  <c r="E36" i="47"/>
  <c r="M10" i="47" s="1"/>
  <c r="B46" i="47"/>
  <c r="F14" i="47"/>
  <c r="J22" i="47"/>
  <c r="D46" i="47"/>
  <c r="G15" i="47"/>
  <c r="J20" i="47"/>
  <c r="J29" i="47"/>
  <c r="F46" i="47"/>
  <c r="J3" i="47"/>
  <c r="J15" i="47"/>
  <c r="J38" i="47"/>
  <c r="J19" i="47"/>
  <c r="J17" i="47"/>
  <c r="J8" i="47"/>
  <c r="J34" i="47"/>
  <c r="D14" i="47"/>
  <c r="J11" i="47"/>
  <c r="A12" i="47"/>
  <c r="J10" i="47"/>
  <c r="J18" i="47"/>
  <c r="J21" i="47"/>
  <c r="A11" i="47"/>
  <c r="A55" i="12"/>
  <c r="A54" i="12"/>
  <c r="A9" i="12"/>
  <c r="A7" i="12"/>
  <c r="H38" i="12" l="1"/>
  <c r="H37" i="12"/>
  <c r="D13" i="44" s="1"/>
  <c r="E26" i="20"/>
  <c r="A25" i="20"/>
  <c r="A24" i="20"/>
  <c r="E13" i="23"/>
  <c r="E60" i="9" s="1"/>
  <c r="E75" i="9"/>
  <c r="E12" i="23"/>
  <c r="E19" i="9" s="1"/>
  <c r="E10" i="23"/>
  <c r="E19" i="8" s="1"/>
  <c r="C22" i="4"/>
  <c r="C21" i="4"/>
  <c r="C20" i="4"/>
  <c r="C19" i="4"/>
  <c r="C18" i="4"/>
  <c r="C17" i="4"/>
  <c r="C16" i="4"/>
  <c r="C15" i="4"/>
  <c r="C14" i="4"/>
  <c r="C13" i="4"/>
  <c r="C12" i="4"/>
  <c r="C11" i="4"/>
  <c r="A84" i="20"/>
  <c r="G16" i="35"/>
  <c r="E19" i="35"/>
  <c r="E18" i="35"/>
  <c r="E17" i="35"/>
  <c r="E16" i="35"/>
  <c r="A9" i="20"/>
  <c r="D40" i="36"/>
  <c r="E40" i="36" s="1"/>
  <c r="D81" i="36"/>
  <c r="C36" i="36"/>
  <c r="C77" i="36"/>
  <c r="D77" i="36"/>
  <c r="D36" i="36"/>
  <c r="C18" i="3"/>
  <c r="A18" i="3"/>
  <c r="E20" i="12"/>
  <c r="C20" i="12"/>
  <c r="B19" i="35"/>
  <c r="B18" i="35"/>
  <c r="B17" i="35"/>
  <c r="B16" i="35"/>
  <c r="B15" i="35"/>
  <c r="C22" i="3"/>
  <c r="B22" i="3"/>
  <c r="A22" i="3"/>
  <c r="C21" i="3"/>
  <c r="D8" i="23"/>
  <c r="E8" i="23"/>
  <c r="E60" i="36" s="1"/>
  <c r="E75" i="36"/>
  <c r="F20" i="47" s="1"/>
  <c r="B8" i="23"/>
  <c r="E15" i="7"/>
  <c r="E15" i="6"/>
  <c r="B46" i="36"/>
  <c r="B5" i="36"/>
  <c r="B1" i="36"/>
  <c r="E1" i="36"/>
  <c r="D46" i="36" s="1"/>
  <c r="D75" i="36"/>
  <c r="C75" i="36"/>
  <c r="C74" i="36" s="1"/>
  <c r="C63" i="36"/>
  <c r="C64" i="36" s="1"/>
  <c r="D34" i="36"/>
  <c r="D98" i="36" s="1"/>
  <c r="C34" i="36"/>
  <c r="B19" i="47" s="1"/>
  <c r="C22" i="36"/>
  <c r="C21" i="36" s="1"/>
  <c r="G14" i="35"/>
  <c r="E14" i="35"/>
  <c r="B47" i="35" s="1"/>
  <c r="B8" i="35"/>
  <c r="B7" i="35"/>
  <c r="B5" i="35"/>
  <c r="G34" i="2"/>
  <c r="D49" i="11"/>
  <c r="D63" i="11" s="1"/>
  <c r="D62" i="11" s="1"/>
  <c r="G33" i="2"/>
  <c r="D8" i="11"/>
  <c r="D22" i="11" s="1"/>
  <c r="D21" i="11" s="1"/>
  <c r="G32" i="2"/>
  <c r="D49" i="10"/>
  <c r="D63" i="10" s="1"/>
  <c r="D62" i="10" s="1"/>
  <c r="G31" i="2"/>
  <c r="D8" i="10"/>
  <c r="D22" i="10" s="1"/>
  <c r="D21" i="10" s="1"/>
  <c r="G30" i="2"/>
  <c r="D49" i="9"/>
  <c r="D63" i="9" s="1"/>
  <c r="G29" i="2"/>
  <c r="D8" i="9"/>
  <c r="D22" i="9" s="1"/>
  <c r="D21" i="9" s="1"/>
  <c r="G28" i="2"/>
  <c r="D49" i="8"/>
  <c r="D63" i="8" s="1"/>
  <c r="G27" i="2"/>
  <c r="D8" i="8"/>
  <c r="D22" i="8" s="1"/>
  <c r="D21" i="8" s="1"/>
  <c r="G26" i="2"/>
  <c r="D8" i="7"/>
  <c r="D24" i="7" s="1"/>
  <c r="D23" i="7" s="1"/>
  <c r="G25" i="2"/>
  <c r="D49" i="36"/>
  <c r="E15" i="35" s="1"/>
  <c r="G24" i="2"/>
  <c r="D8" i="36"/>
  <c r="D22" i="36" s="1"/>
  <c r="D21" i="36" s="1"/>
  <c r="G23" i="2"/>
  <c r="D8" i="6"/>
  <c r="A20" i="12"/>
  <c r="B13" i="4"/>
  <c r="A93" i="20"/>
  <c r="A42" i="20"/>
  <c r="B52" i="2"/>
  <c r="A51" i="20"/>
  <c r="A102" i="20"/>
  <c r="C36" i="3"/>
  <c r="C37" i="3"/>
  <c r="C31" i="3"/>
  <c r="C30" i="3"/>
  <c r="C29" i="3"/>
  <c r="C28" i="3"/>
  <c r="C27" i="3"/>
  <c r="C26" i="3"/>
  <c r="C25" i="3"/>
  <c r="C24" i="3"/>
  <c r="C23" i="3"/>
  <c r="C20" i="3"/>
  <c r="B35" i="12"/>
  <c r="D81" i="11"/>
  <c r="E81" i="11" s="1"/>
  <c r="D40" i="11"/>
  <c r="E40" i="11" s="1"/>
  <c r="D81" i="10"/>
  <c r="E81" i="10" s="1"/>
  <c r="D40" i="10"/>
  <c r="E40" i="10" s="1"/>
  <c r="D81" i="9"/>
  <c r="E81" i="9" s="1"/>
  <c r="D40" i="9"/>
  <c r="E40" i="9" s="1"/>
  <c r="D81" i="8"/>
  <c r="E81" i="8" s="1"/>
  <c r="D40" i="8"/>
  <c r="E40" i="8" s="1"/>
  <c r="C77" i="11"/>
  <c r="D77" i="11"/>
  <c r="C36" i="11"/>
  <c r="D36" i="11"/>
  <c r="C77" i="10"/>
  <c r="D77" i="10"/>
  <c r="C36" i="10"/>
  <c r="D36" i="10"/>
  <c r="C77" i="9"/>
  <c r="D77" i="9"/>
  <c r="C36" i="9"/>
  <c r="D36" i="9"/>
  <c r="C36" i="8"/>
  <c r="D36" i="8"/>
  <c r="C77" i="8"/>
  <c r="D77" i="8"/>
  <c r="D58" i="7"/>
  <c r="D49" i="7"/>
  <c r="E49" i="7" s="1"/>
  <c r="C59" i="7"/>
  <c r="C58" i="7"/>
  <c r="C57" i="7"/>
  <c r="C45" i="7"/>
  <c r="D45" i="7"/>
  <c r="D55" i="6"/>
  <c r="E55" i="6" s="1"/>
  <c r="C51" i="6"/>
  <c r="D51" i="6"/>
  <c r="B31" i="3"/>
  <c r="B61" i="2"/>
  <c r="A31" i="3"/>
  <c r="B22" i="4"/>
  <c r="B46" i="11"/>
  <c r="B17" i="23"/>
  <c r="A29" i="12"/>
  <c r="A36" i="3"/>
  <c r="A8" i="30"/>
  <c r="A46" i="29"/>
  <c r="A41" i="29"/>
  <c r="A6" i="29"/>
  <c r="A38" i="28"/>
  <c r="A33" i="28"/>
  <c r="A19" i="28"/>
  <c r="A6" i="28"/>
  <c r="A34" i="27"/>
  <c r="A33" i="27"/>
  <c r="A6" i="27"/>
  <c r="A77" i="26"/>
  <c r="A74" i="26"/>
  <c r="A33" i="26"/>
  <c r="A28" i="26"/>
  <c r="A25" i="26"/>
  <c r="A16" i="26"/>
  <c r="A6" i="26"/>
  <c r="A34" i="12"/>
  <c r="A33" i="12"/>
  <c r="I5" i="25"/>
  <c r="G5" i="25"/>
  <c r="E5" i="25"/>
  <c r="C5" i="25"/>
  <c r="A5" i="25"/>
  <c r="K1" i="25"/>
  <c r="F2" i="25" s="1"/>
  <c r="A1" i="25"/>
  <c r="J28" i="25"/>
  <c r="H28" i="25"/>
  <c r="F28" i="25"/>
  <c r="D28" i="25"/>
  <c r="B28" i="25"/>
  <c r="J17" i="25"/>
  <c r="J18" i="25" s="1"/>
  <c r="H17" i="25"/>
  <c r="F17" i="25"/>
  <c r="F18" i="25"/>
  <c r="F29" i="25" s="1"/>
  <c r="F30" i="25" s="1"/>
  <c r="D17" i="25"/>
  <c r="D18" i="25" s="1"/>
  <c r="B17" i="25"/>
  <c r="K7" i="25"/>
  <c r="E19" i="2"/>
  <c r="G22" i="2" s="1"/>
  <c r="D19" i="2"/>
  <c r="D24" i="21"/>
  <c r="D26" i="21" s="1"/>
  <c r="D39" i="47" s="1"/>
  <c r="C24" i="21"/>
  <c r="C26" i="21" s="1"/>
  <c r="B39" i="47" s="1"/>
  <c r="C26" i="6"/>
  <c r="C25" i="6" s="1"/>
  <c r="C49" i="6"/>
  <c r="B18" i="47" s="1"/>
  <c r="D49" i="6"/>
  <c r="D18" i="47" s="1"/>
  <c r="E33" i="2"/>
  <c r="D41" i="47" s="1"/>
  <c r="C63" i="11"/>
  <c r="C62" i="11" s="1"/>
  <c r="C75" i="11"/>
  <c r="B29" i="47" s="1"/>
  <c r="D75" i="11"/>
  <c r="D29" i="47" s="1"/>
  <c r="C22" i="11"/>
  <c r="C21" i="11" s="1"/>
  <c r="C34" i="11"/>
  <c r="B28" i="12" s="1"/>
  <c r="D34" i="11"/>
  <c r="D28" i="47" s="1"/>
  <c r="C63" i="10"/>
  <c r="C75" i="10"/>
  <c r="B27" i="47" s="1"/>
  <c r="D75" i="10"/>
  <c r="D27" i="12" s="1"/>
  <c r="C22" i="10"/>
  <c r="C21" i="10" s="1"/>
  <c r="C34" i="10"/>
  <c r="G23" i="10" s="1"/>
  <c r="D34" i="10"/>
  <c r="D26" i="47" s="1"/>
  <c r="C63" i="9"/>
  <c r="C64" i="9" s="1"/>
  <c r="C75" i="9"/>
  <c r="B25" i="47" s="1"/>
  <c r="D75" i="9"/>
  <c r="D25" i="12" s="1"/>
  <c r="C22" i="9"/>
  <c r="C23" i="9" s="1"/>
  <c r="C34" i="9"/>
  <c r="B24" i="47" s="1"/>
  <c r="D34" i="9"/>
  <c r="D33" i="9" s="1"/>
  <c r="C63" i="8"/>
  <c r="C64" i="8" s="1"/>
  <c r="C75" i="8"/>
  <c r="B23" i="47" s="1"/>
  <c r="D75" i="8"/>
  <c r="D23" i="47" s="1"/>
  <c r="C22" i="8"/>
  <c r="C21" i="8" s="1"/>
  <c r="C34" i="8"/>
  <c r="B22" i="47" s="1"/>
  <c r="D34" i="8"/>
  <c r="D92" i="8" s="1"/>
  <c r="D6" i="23"/>
  <c r="E6" i="23"/>
  <c r="E49" i="6"/>
  <c r="E51" i="6" s="1"/>
  <c r="E43" i="7"/>
  <c r="E47" i="7" s="1"/>
  <c r="C24" i="7"/>
  <c r="C25" i="7" s="1"/>
  <c r="C44" i="6"/>
  <c r="E24" i="21"/>
  <c r="E26" i="21" s="1"/>
  <c r="E1" i="11"/>
  <c r="H66" i="11" s="1"/>
  <c r="E1" i="10"/>
  <c r="C41" i="10" s="1"/>
  <c r="E1" i="9"/>
  <c r="E1" i="8"/>
  <c r="H19" i="8" s="1"/>
  <c r="D29" i="18"/>
  <c r="D59" i="18"/>
  <c r="D59" i="17"/>
  <c r="D29" i="17"/>
  <c r="E1" i="7"/>
  <c r="G18" i="7" s="1"/>
  <c r="E1" i="6"/>
  <c r="D5" i="6" s="1"/>
  <c r="A65" i="2"/>
  <c r="A64" i="2"/>
  <c r="D48" i="2"/>
  <c r="D40" i="2"/>
  <c r="A40" i="2"/>
  <c r="A33" i="2"/>
  <c r="C29" i="18"/>
  <c r="C30" i="18" s="1"/>
  <c r="C59" i="18"/>
  <c r="C29" i="17"/>
  <c r="C59" i="17"/>
  <c r="E1" i="17"/>
  <c r="B54" i="17" s="1"/>
  <c r="E57" i="17"/>
  <c r="F31" i="47" s="1"/>
  <c r="E1" i="18"/>
  <c r="B29" i="18" s="1"/>
  <c r="E1" i="20"/>
  <c r="A22" i="20" s="1"/>
  <c r="E16" i="20"/>
  <c r="E21" i="20"/>
  <c r="E31" i="20"/>
  <c r="E11" i="20"/>
  <c r="F42" i="47" s="1"/>
  <c r="D16" i="23"/>
  <c r="E16" i="23"/>
  <c r="E19" i="11" s="1"/>
  <c r="E34" i="11"/>
  <c r="F28" i="47" s="1"/>
  <c r="D17" i="23"/>
  <c r="E17" i="23"/>
  <c r="E60" i="11" s="1"/>
  <c r="E75" i="11"/>
  <c r="F29" i="47" s="1"/>
  <c r="D14" i="23"/>
  <c r="E14" i="23"/>
  <c r="E19" i="10" s="1"/>
  <c r="E34" i="10"/>
  <c r="F26" i="47" s="1"/>
  <c r="D15" i="23"/>
  <c r="E15" i="23"/>
  <c r="E60" i="10" s="1"/>
  <c r="E75" i="10"/>
  <c r="F78" i="10" s="1"/>
  <c r="D13" i="23"/>
  <c r="D12" i="23"/>
  <c r="E34" i="9"/>
  <c r="F24" i="47" s="1"/>
  <c r="D11" i="23"/>
  <c r="E11" i="23"/>
  <c r="E60" i="8" s="1"/>
  <c r="E75" i="8"/>
  <c r="D10" i="23"/>
  <c r="D9" i="23"/>
  <c r="E9" i="23"/>
  <c r="E21" i="7" s="1"/>
  <c r="D7" i="23"/>
  <c r="E7" i="23"/>
  <c r="E19" i="36" s="1"/>
  <c r="E34" i="36"/>
  <c r="F19" i="12" s="1"/>
  <c r="E27" i="17"/>
  <c r="F30" i="47" s="1"/>
  <c r="E27" i="18"/>
  <c r="E57" i="18"/>
  <c r="F33" i="47" s="1"/>
  <c r="D57" i="18"/>
  <c r="D56" i="18" s="1"/>
  <c r="C57" i="18"/>
  <c r="C56" i="18" s="1"/>
  <c r="D27" i="18"/>
  <c r="D32" i="47" s="1"/>
  <c r="C27" i="18"/>
  <c r="B32" i="47" s="1"/>
  <c r="D57" i="17"/>
  <c r="D31" i="47" s="1"/>
  <c r="C57" i="17"/>
  <c r="C56" i="17" s="1"/>
  <c r="D27" i="17"/>
  <c r="D30" i="47" s="1"/>
  <c r="C27" i="17"/>
  <c r="B30" i="47" s="1"/>
  <c r="E15" i="18"/>
  <c r="E14" i="18"/>
  <c r="D15" i="18"/>
  <c r="D14" i="18"/>
  <c r="C15" i="18"/>
  <c r="C16" i="18" s="1"/>
  <c r="C14" i="18"/>
  <c r="E45" i="18"/>
  <c r="E44" i="18"/>
  <c r="D45" i="18"/>
  <c r="D44" i="18"/>
  <c r="C45" i="18"/>
  <c r="C46" i="18"/>
  <c r="C44" i="18"/>
  <c r="E45" i="17"/>
  <c r="E44" i="17" s="1"/>
  <c r="D45" i="17"/>
  <c r="D44" i="17" s="1"/>
  <c r="C45" i="17"/>
  <c r="C44" i="17" s="1"/>
  <c r="E15" i="17"/>
  <c r="E14" i="17"/>
  <c r="D15" i="17"/>
  <c r="D14" i="17" s="1"/>
  <c r="C15" i="17"/>
  <c r="C14" i="17" s="1"/>
  <c r="B16" i="23"/>
  <c r="B15" i="23"/>
  <c r="B14" i="23"/>
  <c r="B13" i="23"/>
  <c r="B12" i="23"/>
  <c r="B11" i="23"/>
  <c r="B10" i="23"/>
  <c r="B9" i="23"/>
  <c r="B7" i="23"/>
  <c r="B6" i="23"/>
  <c r="D25" i="23"/>
  <c r="D27" i="23" s="1"/>
  <c r="F1" i="23"/>
  <c r="D5" i="23" s="1"/>
  <c r="C5" i="23"/>
  <c r="A1" i="23"/>
  <c r="C18" i="23"/>
  <c r="N1" i="4"/>
  <c r="B10" i="4" s="1"/>
  <c r="B21" i="3"/>
  <c r="F43" i="12"/>
  <c r="M5" i="12" s="1"/>
  <c r="A106" i="20"/>
  <c r="A105" i="20"/>
  <c r="A104" i="20"/>
  <c r="A103" i="20"/>
  <c r="A101" i="20"/>
  <c r="A100" i="20"/>
  <c r="A99" i="20"/>
  <c r="A98" i="20"/>
  <c r="A97" i="20"/>
  <c r="A96" i="20"/>
  <c r="A95" i="20"/>
  <c r="A94" i="20"/>
  <c r="A92" i="20"/>
  <c r="A91" i="20"/>
  <c r="A30" i="20"/>
  <c r="A29" i="20"/>
  <c r="A20" i="20"/>
  <c r="A19" i="20"/>
  <c r="A15" i="20"/>
  <c r="A14" i="20"/>
  <c r="A10" i="20"/>
  <c r="B42" i="12"/>
  <c r="E58" i="20"/>
  <c r="D42" i="47" s="1"/>
  <c r="A57" i="20"/>
  <c r="A56" i="20"/>
  <c r="D52" i="20"/>
  <c r="E29" i="12"/>
  <c r="G72" i="11" s="1"/>
  <c r="E28" i="12"/>
  <c r="G30" i="11" s="1"/>
  <c r="E27" i="12"/>
  <c r="G73" i="10" s="1"/>
  <c r="E26" i="12"/>
  <c r="G29" i="10" s="1"/>
  <c r="E25" i="12"/>
  <c r="G70" i="9" s="1"/>
  <c r="E24" i="12"/>
  <c r="G28" i="9" s="1"/>
  <c r="E23" i="12"/>
  <c r="G71" i="8" s="1"/>
  <c r="E22" i="12"/>
  <c r="G29" i="8" s="1"/>
  <c r="E21" i="12"/>
  <c r="G38" i="7" s="1"/>
  <c r="E19" i="12"/>
  <c r="G30" i="36" s="1"/>
  <c r="E18" i="12"/>
  <c r="G45" i="6" s="1"/>
  <c r="A50" i="20"/>
  <c r="A49" i="20"/>
  <c r="A48" i="20"/>
  <c r="A47" i="20"/>
  <c r="A46" i="20"/>
  <c r="A45" i="20"/>
  <c r="A44" i="20"/>
  <c r="A43" i="20"/>
  <c r="A41" i="20"/>
  <c r="A40" i="20"/>
  <c r="F15" i="13"/>
  <c r="F48" i="47" s="1"/>
  <c r="F1" i="21"/>
  <c r="D9" i="21" s="1"/>
  <c r="A2" i="21"/>
  <c r="G1" i="3"/>
  <c r="B60" i="3" s="1"/>
  <c r="A62" i="2"/>
  <c r="D49" i="12"/>
  <c r="D48" i="12"/>
  <c r="B49" i="12"/>
  <c r="B48" i="12"/>
  <c r="D47" i="12"/>
  <c r="B47" i="12"/>
  <c r="E67" i="2"/>
  <c r="D67" i="2"/>
  <c r="A2" i="20"/>
  <c r="A1" i="20"/>
  <c r="A49" i="2"/>
  <c r="A18" i="2"/>
  <c r="F11" i="13"/>
  <c r="L15" i="13"/>
  <c r="K15" i="13"/>
  <c r="J15" i="13"/>
  <c r="I15" i="13"/>
  <c r="L11" i="13"/>
  <c r="K11" i="13"/>
  <c r="J11" i="13"/>
  <c r="I11" i="13"/>
  <c r="I16" i="13" s="1"/>
  <c r="H1" i="12"/>
  <c r="C19" i="12"/>
  <c r="B12" i="4"/>
  <c r="L1" i="13"/>
  <c r="H23" i="13" s="1"/>
  <c r="B51" i="2"/>
  <c r="A3" i="3"/>
  <c r="B32" i="12"/>
  <c r="C35" i="3"/>
  <c r="C34" i="3"/>
  <c r="C33" i="3"/>
  <c r="C32" i="3"/>
  <c r="A32" i="12"/>
  <c r="A31" i="12"/>
  <c r="A30" i="12"/>
  <c r="A35" i="3"/>
  <c r="A34" i="3"/>
  <c r="A33" i="3"/>
  <c r="A32" i="3"/>
  <c r="B1" i="18"/>
  <c r="B1" i="17"/>
  <c r="B35" i="18"/>
  <c r="B5" i="18"/>
  <c r="B35" i="17"/>
  <c r="B5" i="17"/>
  <c r="B30" i="3"/>
  <c r="B29" i="3"/>
  <c r="B28" i="3"/>
  <c r="B27" i="3"/>
  <c r="B26" i="3"/>
  <c r="B25" i="3"/>
  <c r="B24" i="3"/>
  <c r="B23" i="3"/>
  <c r="A30" i="3"/>
  <c r="A29" i="3"/>
  <c r="A28" i="3"/>
  <c r="A27" i="3"/>
  <c r="A26" i="3"/>
  <c r="A25" i="3"/>
  <c r="A24" i="3"/>
  <c r="A23" i="3"/>
  <c r="B20" i="3"/>
  <c r="A20" i="3"/>
  <c r="A5" i="3"/>
  <c r="I36" i="13"/>
  <c r="H36" i="13"/>
  <c r="G36" i="13"/>
  <c r="F49" i="47" s="1"/>
  <c r="B2" i="13"/>
  <c r="B1" i="13"/>
  <c r="B5" i="6"/>
  <c r="B1" i="6"/>
  <c r="D62" i="2"/>
  <c r="B60" i="2"/>
  <c r="B59" i="2"/>
  <c r="B58" i="2"/>
  <c r="B57" i="2"/>
  <c r="B56" i="2"/>
  <c r="B55" i="2"/>
  <c r="B54" i="2"/>
  <c r="B53" i="2"/>
  <c r="B50" i="2"/>
  <c r="B21" i="4"/>
  <c r="B20" i="4"/>
  <c r="B19" i="4"/>
  <c r="B18" i="4"/>
  <c r="B17" i="4"/>
  <c r="B16" i="4"/>
  <c r="B15" i="4"/>
  <c r="B14" i="4"/>
  <c r="B11" i="4"/>
  <c r="B1" i="4"/>
  <c r="B1" i="7"/>
  <c r="B5" i="7"/>
  <c r="A28" i="12"/>
  <c r="A27" i="12"/>
  <c r="A26" i="12"/>
  <c r="A25" i="12"/>
  <c r="A24" i="12"/>
  <c r="A23" i="12"/>
  <c r="A22" i="12"/>
  <c r="A21" i="12"/>
  <c r="C29" i="12"/>
  <c r="C28" i="12"/>
  <c r="C27" i="12"/>
  <c r="C26" i="12"/>
  <c r="C25" i="12"/>
  <c r="C24" i="12"/>
  <c r="C23" i="12"/>
  <c r="C22" i="12"/>
  <c r="C21" i="12"/>
  <c r="C18" i="12"/>
  <c r="B41" i="12"/>
  <c r="A18" i="12"/>
  <c r="A6" i="12"/>
  <c r="A5" i="12"/>
  <c r="B1" i="8"/>
  <c r="B46" i="8"/>
  <c r="B5" i="8"/>
  <c r="B46" i="9"/>
  <c r="B5" i="9"/>
  <c r="B1" i="9"/>
  <c r="B46" i="10"/>
  <c r="B5" i="10"/>
  <c r="B1" i="10"/>
  <c r="B5" i="11"/>
  <c r="B1" i="11"/>
  <c r="C26" i="18"/>
  <c r="J21" i="7"/>
  <c r="J13" i="11"/>
  <c r="J14" i="11"/>
  <c r="J15" i="11"/>
  <c r="J57" i="10"/>
  <c r="J58" i="10"/>
  <c r="J56" i="10"/>
  <c r="J12" i="9"/>
  <c r="J13" i="9"/>
  <c r="J11" i="9"/>
  <c r="J12" i="8"/>
  <c r="J13" i="8"/>
  <c r="J14" i="8"/>
  <c r="J55" i="8"/>
  <c r="J56" i="8"/>
  <c r="J54" i="8"/>
  <c r="J55" i="36"/>
  <c r="J56" i="36"/>
  <c r="J57" i="36"/>
  <c r="J13" i="10"/>
  <c r="J14" i="10"/>
  <c r="J12" i="10"/>
  <c r="J54" i="9"/>
  <c r="J55" i="9"/>
  <c r="J53" i="9"/>
  <c r="J56" i="11"/>
  <c r="J57" i="11"/>
  <c r="J55" i="11"/>
  <c r="J29" i="6"/>
  <c r="J30" i="6"/>
  <c r="J28" i="6"/>
  <c r="J14" i="36"/>
  <c r="J15" i="36"/>
  <c r="J13" i="36"/>
  <c r="J22" i="7"/>
  <c r="J23" i="7"/>
  <c r="F33" i="12"/>
  <c r="C62" i="9"/>
  <c r="E34" i="8"/>
  <c r="F22" i="47" s="1"/>
  <c r="B3" i="23"/>
  <c r="C46" i="17"/>
  <c r="G8" i="9"/>
  <c r="H64" i="9"/>
  <c r="C21" i="9"/>
  <c r="C23" i="7"/>
  <c r="C62" i="36"/>
  <c r="C33" i="8"/>
  <c r="B18" i="25"/>
  <c r="B22" i="12"/>
  <c r="F48" i="12"/>
  <c r="F22" i="12"/>
  <c r="D60" i="17"/>
  <c r="D31" i="12"/>
  <c r="B29" i="25"/>
  <c r="B84" i="35"/>
  <c r="D41" i="12"/>
  <c r="G29" i="6"/>
  <c r="H36" i="6"/>
  <c r="F37" i="36"/>
  <c r="H18" i="25"/>
  <c r="B78" i="35"/>
  <c r="B91" i="35"/>
  <c r="B46" i="35"/>
  <c r="G67" i="10"/>
  <c r="B27" i="12"/>
  <c r="H68" i="10"/>
  <c r="D22" i="12"/>
  <c r="E12" i="3" l="1"/>
  <c r="A8" i="3"/>
  <c r="A9" i="3"/>
  <c r="D11" i="3"/>
  <c r="G39" i="6"/>
  <c r="C63" i="7"/>
  <c r="C65" i="7" s="1"/>
  <c r="A12" i="20"/>
  <c r="A17" i="20"/>
  <c r="A31" i="20"/>
  <c r="A26" i="20"/>
  <c r="B29" i="17"/>
  <c r="A31" i="23"/>
  <c r="B89" i="20"/>
  <c r="A60" i="20"/>
  <c r="I6" i="13"/>
  <c r="B89" i="35"/>
  <c r="G25" i="7"/>
  <c r="C82" i="8"/>
  <c r="H27" i="7"/>
  <c r="D35" i="3"/>
  <c r="E59" i="18"/>
  <c r="E56" i="18"/>
  <c r="B33" i="12"/>
  <c r="D26" i="18"/>
  <c r="D32" i="12"/>
  <c r="C28" i="18"/>
  <c r="C31" i="18" s="1"/>
  <c r="D56" i="17"/>
  <c r="C58" i="17"/>
  <c r="C63" i="17" s="1"/>
  <c r="C16" i="17"/>
  <c r="C28" i="17" s="1"/>
  <c r="E26" i="17"/>
  <c r="F30" i="12"/>
  <c r="E29" i="17"/>
  <c r="D30" i="12"/>
  <c r="D33" i="10"/>
  <c r="C76" i="9"/>
  <c r="D47" i="9" s="1"/>
  <c r="D64" i="9" s="1"/>
  <c r="D76" i="9" s="1"/>
  <c r="E79" i="36"/>
  <c r="E77" i="36"/>
  <c r="C33" i="36"/>
  <c r="D19" i="12"/>
  <c r="B19" i="12"/>
  <c r="C48" i="6"/>
  <c r="E53" i="6"/>
  <c r="F53" i="6"/>
  <c r="D75" i="6"/>
  <c r="C75" i="6"/>
  <c r="A88" i="20"/>
  <c r="I23" i="13"/>
  <c r="G12" i="9"/>
  <c r="B24" i="17"/>
  <c r="B36" i="9"/>
  <c r="H19" i="36"/>
  <c r="A11" i="20"/>
  <c r="D9" i="4"/>
  <c r="H20" i="9"/>
  <c r="D5" i="36"/>
  <c r="E5" i="23"/>
  <c r="H65" i="9"/>
  <c r="B59" i="18"/>
  <c r="C89" i="20"/>
  <c r="A38" i="20"/>
  <c r="A27" i="20"/>
  <c r="K6" i="13"/>
  <c r="C46" i="36"/>
  <c r="A33" i="20"/>
  <c r="G50" i="9"/>
  <c r="A21" i="20"/>
  <c r="A6" i="20"/>
  <c r="H17" i="9"/>
  <c r="H22" i="9"/>
  <c r="G13" i="8"/>
  <c r="A16" i="20"/>
  <c r="B5" i="23"/>
  <c r="A58" i="20"/>
  <c r="E5" i="36"/>
  <c r="H19" i="9"/>
  <c r="H25" i="36"/>
  <c r="E46" i="36"/>
  <c r="B59" i="17"/>
  <c r="C82" i="9"/>
  <c r="G10" i="36"/>
  <c r="A32" i="20"/>
  <c r="C9" i="4"/>
  <c r="G54" i="9"/>
  <c r="A7" i="20"/>
  <c r="A54" i="20"/>
  <c r="G57" i="9"/>
  <c r="H60" i="9"/>
  <c r="E5" i="6"/>
  <c r="E5" i="7" s="1"/>
  <c r="F47" i="12"/>
  <c r="F47" i="47"/>
  <c r="F50" i="47" s="1"/>
  <c r="D26" i="12"/>
  <c r="H39" i="6"/>
  <c r="B39" i="12"/>
  <c r="F49" i="12"/>
  <c r="J16" i="13"/>
  <c r="C58" i="18"/>
  <c r="C63" i="18" s="1"/>
  <c r="D39" i="12"/>
  <c r="D60" i="18"/>
  <c r="D33" i="47"/>
  <c r="C9" i="21"/>
  <c r="E9" i="21"/>
  <c r="A29" i="21" s="1"/>
  <c r="H64" i="10"/>
  <c r="B23" i="12"/>
  <c r="B51" i="6"/>
  <c r="D32" i="3"/>
  <c r="C53" i="7"/>
  <c r="K16" i="13"/>
  <c r="B31" i="12"/>
  <c r="B31" i="47"/>
  <c r="F32" i="12"/>
  <c r="F32" i="47"/>
  <c r="F14" i="12"/>
  <c r="G32" i="6"/>
  <c r="L16" i="13"/>
  <c r="F39" i="12"/>
  <c r="F39" i="47"/>
  <c r="H67" i="10"/>
  <c r="H29" i="25"/>
  <c r="H30" i="25" s="1"/>
  <c r="C56" i="6"/>
  <c r="A21" i="23"/>
  <c r="E79" i="11"/>
  <c r="C26" i="17"/>
  <c r="G23" i="13"/>
  <c r="F7" i="13"/>
  <c r="D48" i="6"/>
  <c r="K28" i="25"/>
  <c r="H18" i="10"/>
  <c r="C82" i="10"/>
  <c r="H34" i="6"/>
  <c r="H37" i="6"/>
  <c r="H20" i="10"/>
  <c r="G25" i="6"/>
  <c r="H35" i="6"/>
  <c r="D30" i="17"/>
  <c r="D26" i="17"/>
  <c r="C60" i="18"/>
  <c r="B33" i="47"/>
  <c r="K17" i="25"/>
  <c r="D100" i="36"/>
  <c r="E36" i="9"/>
  <c r="E38" i="36"/>
  <c r="E36" i="36"/>
  <c r="D20" i="3"/>
  <c r="F18" i="12"/>
  <c r="M30" i="12"/>
  <c r="G46" i="6" s="1"/>
  <c r="G73" i="11"/>
  <c r="G31" i="11"/>
  <c r="D21" i="23"/>
  <c r="D23" i="23" s="1"/>
  <c r="C33" i="11"/>
  <c r="B29" i="12"/>
  <c r="D33" i="11"/>
  <c r="D92" i="10"/>
  <c r="E38" i="10"/>
  <c r="F37" i="10"/>
  <c r="B26" i="12"/>
  <c r="D28" i="3"/>
  <c r="F26" i="12"/>
  <c r="D74" i="9"/>
  <c r="G15" i="9"/>
  <c r="H61" i="9"/>
  <c r="B77" i="9"/>
  <c r="C41" i="9"/>
  <c r="H23" i="9"/>
  <c r="H59" i="9"/>
  <c r="H62" i="9"/>
  <c r="H18" i="9"/>
  <c r="C35" i="9"/>
  <c r="D6" i="9" s="1"/>
  <c r="D23" i="9" s="1"/>
  <c r="D35" i="9" s="1"/>
  <c r="C33" i="9"/>
  <c r="D26" i="3"/>
  <c r="B24" i="12"/>
  <c r="H74" i="9"/>
  <c r="H73" i="9"/>
  <c r="H69" i="9"/>
  <c r="H70" i="9"/>
  <c r="H27" i="9"/>
  <c r="H32" i="9"/>
  <c r="H31" i="9"/>
  <c r="H28" i="9"/>
  <c r="C76" i="8"/>
  <c r="D47" i="8" s="1"/>
  <c r="D64" i="8" s="1"/>
  <c r="D76" i="8" s="1"/>
  <c r="C94" i="8"/>
  <c r="G65" i="8"/>
  <c r="C62" i="8"/>
  <c r="H33" i="7"/>
  <c r="G22" i="7"/>
  <c r="H29" i="7"/>
  <c r="C50" i="7"/>
  <c r="B45" i="7"/>
  <c r="H32" i="7"/>
  <c r="H42" i="7"/>
  <c r="H38" i="7"/>
  <c r="H37" i="7"/>
  <c r="H41" i="7"/>
  <c r="H28" i="7"/>
  <c r="H30" i="7"/>
  <c r="D22" i="3"/>
  <c r="C98" i="36"/>
  <c r="B38" i="36" s="1"/>
  <c r="F20" i="12"/>
  <c r="E74" i="36"/>
  <c r="D74" i="36"/>
  <c r="E22" i="35"/>
  <c r="F78" i="36"/>
  <c r="G24" i="36"/>
  <c r="G17" i="36"/>
  <c r="H30" i="36"/>
  <c r="H29" i="36"/>
  <c r="H34" i="36"/>
  <c r="H33" i="36"/>
  <c r="C23" i="36"/>
  <c r="C35" i="36" s="1"/>
  <c r="D6" i="36" s="1"/>
  <c r="D23" i="36" s="1"/>
  <c r="D35" i="36" s="1"/>
  <c r="D5" i="18"/>
  <c r="D35" i="18" s="1"/>
  <c r="D5" i="7"/>
  <c r="D5" i="10"/>
  <c r="D46" i="10" s="1"/>
  <c r="D5" i="9"/>
  <c r="D46" i="9" s="1"/>
  <c r="D5" i="17"/>
  <c r="D35" i="17" s="1"/>
  <c r="D5" i="8"/>
  <c r="D46" i="8" s="1"/>
  <c r="H40" i="6"/>
  <c r="H45" i="6"/>
  <c r="H44" i="6"/>
  <c r="H49" i="6"/>
  <c r="H48" i="6"/>
  <c r="C5" i="6"/>
  <c r="C5" i="8" s="1"/>
  <c r="C46" i="8" s="1"/>
  <c r="J28" i="12"/>
  <c r="J33" i="12"/>
  <c r="E36" i="11"/>
  <c r="D30" i="3"/>
  <c r="E33" i="11"/>
  <c r="F28" i="12"/>
  <c r="E38" i="11"/>
  <c r="E36" i="10"/>
  <c r="E33" i="10"/>
  <c r="D24" i="3"/>
  <c r="F37" i="8"/>
  <c r="E33" i="8"/>
  <c r="E38" i="8"/>
  <c r="E36" i="8"/>
  <c r="D42" i="12"/>
  <c r="E27" i="35" s="1"/>
  <c r="C23" i="4"/>
  <c r="E29" i="35"/>
  <c r="G72" i="36"/>
  <c r="M29" i="12"/>
  <c r="G30" i="8"/>
  <c r="G29" i="9"/>
  <c r="F42" i="12"/>
  <c r="M4" i="12" s="1"/>
  <c r="M5" i="47"/>
  <c r="M21" i="47"/>
  <c r="M22" i="47" s="1"/>
  <c r="C64" i="11"/>
  <c r="C76" i="11" s="1"/>
  <c r="C96" i="11" s="1"/>
  <c r="E77" i="11"/>
  <c r="D28" i="12"/>
  <c r="F78" i="11"/>
  <c r="F29" i="12"/>
  <c r="C23" i="11"/>
  <c r="C35" i="11" s="1"/>
  <c r="C94" i="11" s="1"/>
  <c r="E74" i="11"/>
  <c r="D31" i="3"/>
  <c r="D93" i="11"/>
  <c r="C95" i="11"/>
  <c r="C74" i="11"/>
  <c r="G66" i="11"/>
  <c r="F37" i="11"/>
  <c r="C93" i="11"/>
  <c r="B28" i="47"/>
  <c r="G52" i="11"/>
  <c r="H76" i="11"/>
  <c r="H75" i="11"/>
  <c r="H72" i="11"/>
  <c r="H71" i="11"/>
  <c r="H34" i="11"/>
  <c r="H33" i="11"/>
  <c r="H30" i="11"/>
  <c r="H29" i="11"/>
  <c r="C23" i="10"/>
  <c r="C35" i="10" s="1"/>
  <c r="D6" i="10" s="1"/>
  <c r="D23" i="10" s="1"/>
  <c r="D35" i="10" s="1"/>
  <c r="G18" i="10" s="1"/>
  <c r="C74" i="10"/>
  <c r="C92" i="10"/>
  <c r="H62" i="10"/>
  <c r="H77" i="10"/>
  <c r="H76" i="10"/>
  <c r="H73" i="10"/>
  <c r="H72" i="10"/>
  <c r="H33" i="10"/>
  <c r="H32" i="10"/>
  <c r="H28" i="10"/>
  <c r="H29" i="10"/>
  <c r="E79" i="10"/>
  <c r="G57" i="10"/>
  <c r="G60" i="10"/>
  <c r="B77" i="10"/>
  <c r="F27" i="12"/>
  <c r="E77" i="10"/>
  <c r="D74" i="10"/>
  <c r="D29" i="3"/>
  <c r="C94" i="10"/>
  <c r="H21" i="10"/>
  <c r="H19" i="10"/>
  <c r="H23" i="10"/>
  <c r="G13" i="10"/>
  <c r="C33" i="10"/>
  <c r="B26" i="47"/>
  <c r="G16" i="10"/>
  <c r="H63" i="10"/>
  <c r="H24" i="10"/>
  <c r="H65" i="10"/>
  <c r="G9" i="10"/>
  <c r="G53" i="10"/>
  <c r="B36" i="10"/>
  <c r="E74" i="10"/>
  <c r="F27" i="47"/>
  <c r="D94" i="10"/>
  <c r="D27" i="47"/>
  <c r="E74" i="9"/>
  <c r="F25" i="47"/>
  <c r="F78" i="9"/>
  <c r="F25" i="12"/>
  <c r="E79" i="9"/>
  <c r="G22" i="9"/>
  <c r="C92" i="9"/>
  <c r="E77" i="9"/>
  <c r="D24" i="12"/>
  <c r="D24" i="47"/>
  <c r="F24" i="12"/>
  <c r="E33" i="9"/>
  <c r="D94" i="9"/>
  <c r="D25" i="47"/>
  <c r="D92" i="9"/>
  <c r="F37" i="9"/>
  <c r="D27" i="3"/>
  <c r="E38" i="9"/>
  <c r="C95" i="8"/>
  <c r="H65" i="8"/>
  <c r="E79" i="8"/>
  <c r="F23" i="47"/>
  <c r="C41" i="8"/>
  <c r="H18" i="8"/>
  <c r="H62" i="8"/>
  <c r="H23" i="8"/>
  <c r="C92" i="8"/>
  <c r="B38" i="8" s="1"/>
  <c r="C74" i="8"/>
  <c r="H20" i="8"/>
  <c r="G58" i="8"/>
  <c r="H66" i="8"/>
  <c r="G23" i="8"/>
  <c r="E74" i="8"/>
  <c r="H74" i="8"/>
  <c r="H33" i="8"/>
  <c r="H28" i="8"/>
  <c r="H71" i="8"/>
  <c r="H70" i="8"/>
  <c r="H75" i="8"/>
  <c r="H32" i="8"/>
  <c r="H29" i="8"/>
  <c r="B36" i="8"/>
  <c r="G55" i="8"/>
  <c r="G51" i="8"/>
  <c r="F23" i="12"/>
  <c r="F78" i="8"/>
  <c r="B77" i="8"/>
  <c r="H60" i="8"/>
  <c r="H61" i="8"/>
  <c r="G16" i="8"/>
  <c r="H21" i="8"/>
  <c r="H24" i="8"/>
  <c r="C23" i="8"/>
  <c r="C35" i="8" s="1"/>
  <c r="D6" i="8" s="1"/>
  <c r="D23" i="8" s="1"/>
  <c r="D35" i="8" s="1"/>
  <c r="E77" i="8"/>
  <c r="D33" i="8"/>
  <c r="D22" i="47"/>
  <c r="H63" i="8"/>
  <c r="G9" i="8"/>
  <c r="D25" i="3"/>
  <c r="F21" i="12"/>
  <c r="D23" i="3"/>
  <c r="F21" i="47"/>
  <c r="F46" i="7"/>
  <c r="E42" i="7"/>
  <c r="D20" i="12"/>
  <c r="D20" i="47"/>
  <c r="C100" i="36"/>
  <c r="D63" i="36"/>
  <c r="D62" i="36" s="1"/>
  <c r="D33" i="36"/>
  <c r="D19" i="47"/>
  <c r="B20" i="12"/>
  <c r="B20" i="47"/>
  <c r="G66" i="36"/>
  <c r="E33" i="36"/>
  <c r="F19" i="47"/>
  <c r="C76" i="36"/>
  <c r="B18" i="12"/>
  <c r="D18" i="12"/>
  <c r="C27" i="6"/>
  <c r="C46" i="6" s="1"/>
  <c r="E48" i="6"/>
  <c r="F18" i="47"/>
  <c r="E5" i="11"/>
  <c r="E46" i="11" s="1"/>
  <c r="E5" i="17"/>
  <c r="E35" i="17" s="1"/>
  <c r="M19" i="12"/>
  <c r="F46" i="12"/>
  <c r="D14" i="12"/>
  <c r="E36" i="12"/>
  <c r="D50" i="12"/>
  <c r="C36" i="12"/>
  <c r="H61" i="36"/>
  <c r="H67" i="36"/>
  <c r="H24" i="36"/>
  <c r="G59" i="36"/>
  <c r="G56" i="36"/>
  <c r="H64" i="36"/>
  <c r="G14" i="11"/>
  <c r="C82" i="36"/>
  <c r="H22" i="36"/>
  <c r="H62" i="36"/>
  <c r="C5" i="36"/>
  <c r="H21" i="36"/>
  <c r="B36" i="36"/>
  <c r="B77" i="36"/>
  <c r="H63" i="36"/>
  <c r="G52" i="36"/>
  <c r="G14" i="36"/>
  <c r="C41" i="36"/>
  <c r="H20" i="36"/>
  <c r="H66" i="36"/>
  <c r="D36" i="17"/>
  <c r="D46" i="17" s="1"/>
  <c r="D58" i="17" s="1"/>
  <c r="D74" i="8"/>
  <c r="D23" i="12"/>
  <c r="D94" i="8"/>
  <c r="B30" i="12"/>
  <c r="C30" i="17"/>
  <c r="E56" i="17"/>
  <c r="E59" i="17"/>
  <c r="D33" i="3"/>
  <c r="F31" i="12"/>
  <c r="B36" i="11"/>
  <c r="H63" i="11"/>
  <c r="G56" i="11"/>
  <c r="H62" i="11"/>
  <c r="G17" i="11"/>
  <c r="C82" i="11"/>
  <c r="H22" i="11"/>
  <c r="H67" i="11"/>
  <c r="B77" i="11"/>
  <c r="H64" i="11"/>
  <c r="H19" i="11"/>
  <c r="G10" i="11"/>
  <c r="H21" i="11"/>
  <c r="H24" i="11"/>
  <c r="H20" i="11"/>
  <c r="C41" i="11"/>
  <c r="H25" i="11"/>
  <c r="H61" i="11"/>
  <c r="G59" i="11"/>
  <c r="D74" i="11"/>
  <c r="D29" i="12"/>
  <c r="D95" i="11"/>
  <c r="B30" i="25"/>
  <c r="D30" i="18"/>
  <c r="C74" i="9"/>
  <c r="G64" i="9"/>
  <c r="B25" i="12"/>
  <c r="C94" i="9"/>
  <c r="D29" i="25"/>
  <c r="D30" i="25" s="1"/>
  <c r="K18" i="25"/>
  <c r="D44" i="6"/>
  <c r="D26" i="6"/>
  <c r="J9" i="12"/>
  <c r="A11" i="12"/>
  <c r="J2" i="12"/>
  <c r="J16" i="12"/>
  <c r="J19" i="12"/>
  <c r="J21" i="12"/>
  <c r="J17" i="12"/>
  <c r="D46" i="12"/>
  <c r="J7" i="12"/>
  <c r="G15" i="12"/>
  <c r="J14" i="12"/>
  <c r="B14" i="12"/>
  <c r="J37" i="12"/>
  <c r="B46" i="12"/>
  <c r="J20" i="12"/>
  <c r="J18" i="12"/>
  <c r="A12" i="12"/>
  <c r="J10" i="12"/>
  <c r="B50" i="12"/>
  <c r="E23" i="6"/>
  <c r="E18" i="23"/>
  <c r="C24" i="4"/>
  <c r="E20" i="4" s="1"/>
  <c r="F50" i="12"/>
  <c r="D18" i="23"/>
  <c r="C64" i="10"/>
  <c r="C76" i="10" s="1"/>
  <c r="C62" i="10"/>
  <c r="D62" i="9"/>
  <c r="K30" i="25"/>
  <c r="J29" i="25"/>
  <c r="J30" i="25" s="1"/>
  <c r="E26" i="18"/>
  <c r="E29" i="18"/>
  <c r="D34" i="3"/>
  <c r="D57" i="7"/>
  <c r="C40" i="7"/>
  <c r="C43" i="7" s="1"/>
  <c r="B21" i="47" s="1"/>
  <c r="D62" i="8"/>
  <c r="D5" i="11"/>
  <c r="D46" i="11" s="1"/>
  <c r="F16" i="13"/>
  <c r="D21" i="3"/>
  <c r="E45" i="7"/>
  <c r="C60" i="17"/>
  <c r="G24" i="11"/>
  <c r="D33" i="12"/>
  <c r="E5" i="8" l="1"/>
  <c r="E46" i="8" s="1"/>
  <c r="C50" i="6"/>
  <c r="E5" i="9"/>
  <c r="E46" i="9" s="1"/>
  <c r="B79" i="8"/>
  <c r="E5" i="18"/>
  <c r="E35" i="18" s="1"/>
  <c r="D36" i="18"/>
  <c r="D46" i="18" s="1"/>
  <c r="D58" i="18" s="1"/>
  <c r="E36" i="18" s="1"/>
  <c r="E46" i="18" s="1"/>
  <c r="E58" i="18" s="1"/>
  <c r="E60" i="18" s="1"/>
  <c r="D6" i="18"/>
  <c r="D16" i="18" s="1"/>
  <c r="D28" i="18" s="1"/>
  <c r="E6" i="18" s="1"/>
  <c r="E16" i="18" s="1"/>
  <c r="E28" i="18" s="1"/>
  <c r="E30" i="18" s="1"/>
  <c r="C93" i="10"/>
  <c r="C95" i="9"/>
  <c r="B79" i="36"/>
  <c r="C99" i="36"/>
  <c r="B53" i="6"/>
  <c r="E5" i="10"/>
  <c r="E46" i="10" s="1"/>
  <c r="B34" i="12"/>
  <c r="B34" i="47"/>
  <c r="D6" i="11"/>
  <c r="D23" i="11" s="1"/>
  <c r="D35" i="11" s="1"/>
  <c r="E6" i="11" s="1"/>
  <c r="B38" i="10"/>
  <c r="C93" i="9"/>
  <c r="C93" i="8"/>
  <c r="C5" i="17"/>
  <c r="C35" i="17" s="1"/>
  <c r="C5" i="9"/>
  <c r="C46" i="9" s="1"/>
  <c r="C5" i="10"/>
  <c r="C46" i="10" s="1"/>
  <c r="C5" i="11"/>
  <c r="C46" i="11" s="1"/>
  <c r="C5" i="7"/>
  <c r="C5" i="18"/>
  <c r="C35" i="18" s="1"/>
  <c r="M20" i="12"/>
  <c r="M21" i="12" s="1"/>
  <c r="G21" i="4"/>
  <c r="G27" i="35"/>
  <c r="E28" i="35" s="1"/>
  <c r="I21" i="4"/>
  <c r="E22" i="4"/>
  <c r="M22" i="4"/>
  <c r="K22" i="4"/>
  <c r="G22" i="4"/>
  <c r="I22" i="4"/>
  <c r="H12" i="4"/>
  <c r="L22" i="4"/>
  <c r="D22" i="4"/>
  <c r="H22" i="4"/>
  <c r="F22" i="4"/>
  <c r="J22" i="4"/>
  <c r="E54" i="11" s="1"/>
  <c r="D21" i="4"/>
  <c r="E21" i="4"/>
  <c r="D11" i="4"/>
  <c r="M21" i="4"/>
  <c r="K21" i="4"/>
  <c r="H16" i="4"/>
  <c r="E53" i="8" s="1"/>
  <c r="L21" i="4"/>
  <c r="H21" i="4"/>
  <c r="J21" i="4"/>
  <c r="D13" i="4"/>
  <c r="F21" i="4"/>
  <c r="E11" i="11" s="1"/>
  <c r="M20" i="4"/>
  <c r="K20" i="4"/>
  <c r="G20" i="4"/>
  <c r="I20" i="4"/>
  <c r="F12" i="4"/>
  <c r="D15" i="4"/>
  <c r="E10" i="8" s="1"/>
  <c r="F20" i="4"/>
  <c r="L20" i="4"/>
  <c r="D20" i="4"/>
  <c r="E51" i="10" s="1"/>
  <c r="H20" i="4"/>
  <c r="J20" i="4"/>
  <c r="E54" i="10" s="1"/>
  <c r="H14" i="4"/>
  <c r="E12" i="7" s="1"/>
  <c r="F19" i="4"/>
  <c r="K19" i="4"/>
  <c r="M19" i="4"/>
  <c r="G19" i="4"/>
  <c r="I19" i="4"/>
  <c r="E19" i="4"/>
  <c r="J19" i="4"/>
  <c r="H19" i="4"/>
  <c r="D19" i="4"/>
  <c r="L19" i="4"/>
  <c r="K13" i="4"/>
  <c r="G18" i="4"/>
  <c r="E18" i="4"/>
  <c r="M18" i="4"/>
  <c r="I18" i="4"/>
  <c r="K18" i="4"/>
  <c r="L16" i="4"/>
  <c r="E55" i="8" s="1"/>
  <c r="F18" i="4"/>
  <c r="J18" i="4"/>
  <c r="H18" i="4"/>
  <c r="D18" i="4"/>
  <c r="E51" i="9" s="1"/>
  <c r="L18" i="4"/>
  <c r="F16" i="4"/>
  <c r="E52" i="8" s="1"/>
  <c r="H17" i="4"/>
  <c r="E12" i="9" s="1"/>
  <c r="L14" i="4"/>
  <c r="E14" i="7" s="1"/>
  <c r="F11" i="4"/>
  <c r="D12" i="4"/>
  <c r="J12" i="4"/>
  <c r="J16" i="4"/>
  <c r="E54" i="8" s="1"/>
  <c r="J14" i="4"/>
  <c r="E13" i="7" s="1"/>
  <c r="D14" i="4"/>
  <c r="E10" i="7" s="1"/>
  <c r="L12" i="4"/>
  <c r="H15" i="4"/>
  <c r="E12" i="8" s="1"/>
  <c r="H11" i="4"/>
  <c r="D17" i="4"/>
  <c r="E10" i="9" s="1"/>
  <c r="L13" i="4"/>
  <c r="D16" i="4"/>
  <c r="E51" i="8" s="1"/>
  <c r="F14" i="4"/>
  <c r="E11" i="7" s="1"/>
  <c r="L11" i="4"/>
  <c r="J13" i="4"/>
  <c r="F15" i="4"/>
  <c r="E11" i="8" s="1"/>
  <c r="L17" i="4"/>
  <c r="E14" i="9" s="1"/>
  <c r="F13" i="4"/>
  <c r="J15" i="4"/>
  <c r="E13" i="8" s="1"/>
  <c r="F17" i="4"/>
  <c r="E11" i="9" s="1"/>
  <c r="J11" i="4"/>
  <c r="H13" i="4"/>
  <c r="L15" i="4"/>
  <c r="E14" i="8" s="1"/>
  <c r="J17" i="4"/>
  <c r="E13" i="9" s="1"/>
  <c r="E13" i="4"/>
  <c r="I13" i="4"/>
  <c r="G13" i="4"/>
  <c r="M13" i="4"/>
  <c r="K11" i="4"/>
  <c r="M12" i="4"/>
  <c r="E12" i="4"/>
  <c r="G12" i="4"/>
  <c r="I12" i="4"/>
  <c r="K12" i="4"/>
  <c r="G11" i="4"/>
  <c r="G76" i="11"/>
  <c r="G34" i="11"/>
  <c r="E11" i="4"/>
  <c r="M11" i="4"/>
  <c r="I11" i="4"/>
  <c r="B38" i="11"/>
  <c r="D47" i="11"/>
  <c r="D64" i="11" s="1"/>
  <c r="D76" i="11" s="1"/>
  <c r="E47" i="11" s="1"/>
  <c r="B79" i="11"/>
  <c r="G77" i="10"/>
  <c r="G74" i="9"/>
  <c r="G33" i="10"/>
  <c r="G32" i="9"/>
  <c r="E6" i="10"/>
  <c r="D93" i="10"/>
  <c r="B79" i="10"/>
  <c r="B36" i="47"/>
  <c r="B40" i="47" s="1"/>
  <c r="F36" i="12"/>
  <c r="F40" i="12" s="1"/>
  <c r="B79" i="9"/>
  <c r="B38" i="9"/>
  <c r="G42" i="7"/>
  <c r="G75" i="8"/>
  <c r="G33" i="8"/>
  <c r="D38" i="3"/>
  <c r="G34" i="36"/>
  <c r="G76" i="36"/>
  <c r="D47" i="36"/>
  <c r="D64" i="36" s="1"/>
  <c r="D76" i="36" s="1"/>
  <c r="C101" i="36"/>
  <c r="G49" i="6"/>
  <c r="F36" i="47"/>
  <c r="F40" i="47" s="1"/>
  <c r="M9" i="12"/>
  <c r="D6" i="17"/>
  <c r="D16" i="17" s="1"/>
  <c r="D28" i="17" s="1"/>
  <c r="E6" i="17" s="1"/>
  <c r="E16" i="17" s="1"/>
  <c r="E28" i="17" s="1"/>
  <c r="E30" i="17" s="1"/>
  <c r="C31" i="17"/>
  <c r="K29" i="25"/>
  <c r="G18" i="8"/>
  <c r="E6" i="8"/>
  <c r="D93" i="8"/>
  <c r="B39" i="8" s="1"/>
  <c r="G60" i="8"/>
  <c r="E47" i="8"/>
  <c r="D95" i="8"/>
  <c r="B80" i="8" s="1"/>
  <c r="G32" i="7"/>
  <c r="B21" i="12"/>
  <c r="B36" i="12" s="1"/>
  <c r="B40" i="12" s="1"/>
  <c r="C42" i="7"/>
  <c r="C44" i="7"/>
  <c r="C76" i="7"/>
  <c r="D25" i="6"/>
  <c r="C76" i="6"/>
  <c r="D6" i="6"/>
  <c r="D27" i="6" s="1"/>
  <c r="E6" i="36"/>
  <c r="G19" i="36"/>
  <c r="D99" i="36"/>
  <c r="B39" i="36" s="1"/>
  <c r="G59" i="9"/>
  <c r="E47" i="9"/>
  <c r="D95" i="9"/>
  <c r="G17" i="9"/>
  <c r="E6" i="9"/>
  <c r="D93" i="9"/>
  <c r="B39" i="9" s="1"/>
  <c r="C95" i="10"/>
  <c r="D47" i="10"/>
  <c r="D64" i="10" s="1"/>
  <c r="D76" i="10" s="1"/>
  <c r="D63" i="17"/>
  <c r="E36" i="17"/>
  <c r="E46" i="17" s="1"/>
  <c r="E58" i="17" s="1"/>
  <c r="E60" i="17" s="1"/>
  <c r="E12" i="11" l="1"/>
  <c r="D63" i="18"/>
  <c r="G19" i="11"/>
  <c r="B39" i="10"/>
  <c r="B80" i="9"/>
  <c r="G61" i="11"/>
  <c r="D94" i="11"/>
  <c r="B39" i="11" s="1"/>
  <c r="E10" i="11"/>
  <c r="E12" i="36"/>
  <c r="E52" i="11"/>
  <c r="E53" i="11"/>
  <c r="E13" i="11"/>
  <c r="E14" i="11"/>
  <c r="E55" i="11"/>
  <c r="E55" i="9"/>
  <c r="E51" i="11"/>
  <c r="E52" i="10"/>
  <c r="E10" i="36"/>
  <c r="E10" i="10"/>
  <c r="E14" i="6"/>
  <c r="E51" i="36"/>
  <c r="G17" i="35" s="1"/>
  <c r="E54" i="36"/>
  <c r="E11" i="10"/>
  <c r="E53" i="10"/>
  <c r="E11" i="36"/>
  <c r="E55" i="10"/>
  <c r="H23" i="4"/>
  <c r="F23" i="4"/>
  <c r="E52" i="9"/>
  <c r="E14" i="10"/>
  <c r="E52" i="36"/>
  <c r="G18" i="35" s="1"/>
  <c r="E14" i="36"/>
  <c r="E12" i="10"/>
  <c r="E55" i="36"/>
  <c r="E13" i="10"/>
  <c r="D23" i="4"/>
  <c r="K24" i="4"/>
  <c r="L23" i="4"/>
  <c r="J23" i="4"/>
  <c r="E53" i="9"/>
  <c r="E54" i="9"/>
  <c r="E53" i="36"/>
  <c r="G19" i="35" s="1"/>
  <c r="E63" i="8"/>
  <c r="G61" i="8" s="1"/>
  <c r="E11" i="6"/>
  <c r="E22" i="9"/>
  <c r="G18" i="9" s="1"/>
  <c r="E12" i="6"/>
  <c r="E13" i="36"/>
  <c r="E22" i="8"/>
  <c r="G19" i="8" s="1"/>
  <c r="E13" i="6"/>
  <c r="M24" i="4"/>
  <c r="E24" i="4"/>
  <c r="G24" i="4"/>
  <c r="E10" i="6"/>
  <c r="I24" i="4"/>
  <c r="D96" i="11"/>
  <c r="B80" i="11" s="1"/>
  <c r="E47" i="36"/>
  <c r="D101" i="36"/>
  <c r="B80" i="36" s="1"/>
  <c r="G61" i="36"/>
  <c r="D50" i="6"/>
  <c r="D46" i="6"/>
  <c r="C77" i="7"/>
  <c r="D6" i="7"/>
  <c r="D25" i="7" s="1"/>
  <c r="E24" i="7"/>
  <c r="E47" i="10"/>
  <c r="G62" i="10"/>
  <c r="D95" i="10"/>
  <c r="B80" i="10" s="1"/>
  <c r="E22" i="11" l="1"/>
  <c r="G20" i="11" s="1"/>
  <c r="E63" i="11"/>
  <c r="G62" i="11" s="1"/>
  <c r="E63" i="10"/>
  <c r="G63" i="10" s="1"/>
  <c r="E22" i="36"/>
  <c r="G20" i="36" s="1"/>
  <c r="E22" i="10"/>
  <c r="E63" i="9"/>
  <c r="G60" i="9" s="1"/>
  <c r="E23" i="9"/>
  <c r="E39" i="9" s="1"/>
  <c r="E41" i="9" s="1"/>
  <c r="E63" i="36"/>
  <c r="G62" i="36" s="1"/>
  <c r="E64" i="8"/>
  <c r="E80" i="8" s="1"/>
  <c r="E82" i="8" s="1"/>
  <c r="E23" i="8"/>
  <c r="E39" i="8" s="1"/>
  <c r="E41" i="8" s="1"/>
  <c r="E26" i="6"/>
  <c r="G35" i="6" s="1"/>
  <c r="G28" i="7"/>
  <c r="D40" i="7"/>
  <c r="D43" i="7" s="1"/>
  <c r="D21" i="47" s="1"/>
  <c r="D36" i="47" s="1"/>
  <c r="D40" i="47" s="1"/>
  <c r="G34" i="6"/>
  <c r="E6" i="6"/>
  <c r="D76" i="6"/>
  <c r="B54" i="6" s="1"/>
  <c r="G24" i="12" l="1"/>
  <c r="H24" i="12" s="1"/>
  <c r="E23" i="11"/>
  <c r="E39" i="11" s="1"/>
  <c r="E41" i="11" s="1"/>
  <c r="E64" i="11"/>
  <c r="E80" i="11" s="1"/>
  <c r="E82" i="11" s="1"/>
  <c r="E23" i="36"/>
  <c r="E39" i="36" s="1"/>
  <c r="E41" i="36" s="1"/>
  <c r="E21" i="9"/>
  <c r="E64" i="10"/>
  <c r="E80" i="10" s="1"/>
  <c r="E82" i="10" s="1"/>
  <c r="E64" i="9"/>
  <c r="E80" i="9" s="1"/>
  <c r="E82" i="9" s="1"/>
  <c r="G19" i="10"/>
  <c r="E23" i="10"/>
  <c r="E39" i="10" s="1"/>
  <c r="E41" i="10" s="1"/>
  <c r="G23" i="12"/>
  <c r="H23" i="12" s="1"/>
  <c r="G70" i="8" s="1"/>
  <c r="E25" i="3"/>
  <c r="F25" i="3" s="1"/>
  <c r="G23" i="47"/>
  <c r="H23" i="47" s="1"/>
  <c r="G62" i="8"/>
  <c r="G24" i="47"/>
  <c r="H24" i="47" s="1"/>
  <c r="G19" i="9"/>
  <c r="E26" i="3"/>
  <c r="F26" i="3" s="1"/>
  <c r="E64" i="36"/>
  <c r="E80" i="36" s="1"/>
  <c r="E81" i="36" s="1"/>
  <c r="E82" i="36" s="1"/>
  <c r="E62" i="8"/>
  <c r="G20" i="8"/>
  <c r="G22" i="12"/>
  <c r="H22" i="12" s="1"/>
  <c r="G22" i="47"/>
  <c r="H22" i="47" s="1"/>
  <c r="E24" i="3"/>
  <c r="F24" i="3" s="1"/>
  <c r="E21" i="8"/>
  <c r="E27" i="6"/>
  <c r="E54" i="6" s="1"/>
  <c r="E56" i="6" s="1"/>
  <c r="D44" i="7"/>
  <c r="G27" i="7" s="1"/>
  <c r="D42" i="7"/>
  <c r="D21" i="12"/>
  <c r="D36" i="12" s="1"/>
  <c r="D40" i="12" s="1"/>
  <c r="D76" i="7"/>
  <c r="B47" i="7" s="1"/>
  <c r="E62" i="11" l="1"/>
  <c r="G28" i="12"/>
  <c r="H28" i="12" s="1"/>
  <c r="G29" i="11" s="1"/>
  <c r="F30" i="3"/>
  <c r="E21" i="11"/>
  <c r="G21" i="11"/>
  <c r="K21" i="11" s="1"/>
  <c r="G28" i="47"/>
  <c r="H28" i="47" s="1"/>
  <c r="E30" i="3"/>
  <c r="G27" i="47"/>
  <c r="H27" i="47" s="1"/>
  <c r="E62" i="9"/>
  <c r="G20" i="47"/>
  <c r="G19" i="47"/>
  <c r="H19" i="47" s="1"/>
  <c r="G29" i="12"/>
  <c r="H29" i="12" s="1"/>
  <c r="G71" i="11" s="1"/>
  <c r="G63" i="11"/>
  <c r="G29" i="47"/>
  <c r="H29" i="47" s="1"/>
  <c r="E31" i="3"/>
  <c r="F31" i="3" s="1"/>
  <c r="G27" i="9"/>
  <c r="G28" i="8"/>
  <c r="E21" i="3"/>
  <c r="F21" i="3" s="1"/>
  <c r="E21" i="36"/>
  <c r="G19" i="12"/>
  <c r="H19" i="12" s="1"/>
  <c r="G29" i="36" s="1"/>
  <c r="G21" i="36"/>
  <c r="K21" i="36" s="1"/>
  <c r="E27" i="3"/>
  <c r="F27" i="3" s="1"/>
  <c r="G25" i="12"/>
  <c r="H25" i="12" s="1"/>
  <c r="G61" i="9"/>
  <c r="K60" i="9" s="1"/>
  <c r="G25" i="47"/>
  <c r="H25" i="47" s="1"/>
  <c r="G27" i="12"/>
  <c r="H27" i="12" s="1"/>
  <c r="G72" i="10" s="1"/>
  <c r="E29" i="3"/>
  <c r="F29" i="3" s="1"/>
  <c r="E62" i="10"/>
  <c r="G64" i="10"/>
  <c r="G20" i="12"/>
  <c r="H20" i="12" s="1"/>
  <c r="G71" i="36" s="1"/>
  <c r="G63" i="36"/>
  <c r="G64" i="36" s="1"/>
  <c r="G67" i="36" s="1"/>
  <c r="G15" i="35"/>
  <c r="G22" i="35" s="1"/>
  <c r="E23" i="35" s="1"/>
  <c r="E62" i="36"/>
  <c r="E28" i="3"/>
  <c r="F28" i="3" s="1"/>
  <c r="E21" i="10"/>
  <c r="G26" i="12"/>
  <c r="H26" i="12" s="1"/>
  <c r="G20" i="10"/>
  <c r="G26" i="47"/>
  <c r="H26" i="47" s="1"/>
  <c r="K61" i="8"/>
  <c r="G63" i="8"/>
  <c r="G66" i="8" s="1"/>
  <c r="K19" i="9"/>
  <c r="G20" i="9"/>
  <c r="G23" i="9" s="1"/>
  <c r="H20" i="47"/>
  <c r="E22" i="3"/>
  <c r="F22" i="3" s="1"/>
  <c r="K20" i="8"/>
  <c r="G21" i="8"/>
  <c r="G24" i="8" s="1"/>
  <c r="E6" i="7"/>
  <c r="E25" i="7" s="1"/>
  <c r="E48" i="7" s="1"/>
  <c r="E50" i="7" s="1"/>
  <c r="D77" i="7"/>
  <c r="B48" i="7" s="1"/>
  <c r="E46" i="6"/>
  <c r="G18" i="47"/>
  <c r="H18" i="47" s="1"/>
  <c r="E20" i="3"/>
  <c r="F20" i="3" s="1"/>
  <c r="G18" i="12"/>
  <c r="H18" i="12" s="1"/>
  <c r="G36" i="6"/>
  <c r="E25" i="6"/>
  <c r="E44" i="6"/>
  <c r="G22" i="11" l="1"/>
  <c r="G25" i="11" s="1"/>
  <c r="G62" i="9"/>
  <c r="G65" i="9" s="1"/>
  <c r="G32" i="11"/>
  <c r="G22" i="36"/>
  <c r="G25" i="36" s="1"/>
  <c r="G31" i="10"/>
  <c r="J35" i="10" s="1"/>
  <c r="G75" i="10"/>
  <c r="G74" i="11"/>
  <c r="K62" i="11"/>
  <c r="G64" i="11"/>
  <c r="G67" i="11" s="1"/>
  <c r="G28" i="10"/>
  <c r="G72" i="9"/>
  <c r="J76" i="9" s="1"/>
  <c r="G69" i="9"/>
  <c r="G74" i="36"/>
  <c r="G47" i="6"/>
  <c r="J51" i="6" s="1"/>
  <c r="M33" i="47"/>
  <c r="M50" i="47" s="1"/>
  <c r="J52" i="47" s="1"/>
  <c r="G32" i="36"/>
  <c r="J36" i="36" s="1"/>
  <c r="G16" i="44"/>
  <c r="G44" i="6"/>
  <c r="M32" i="12"/>
  <c r="M49" i="12" s="1"/>
  <c r="J51" i="12" s="1"/>
  <c r="K63" i="36"/>
  <c r="K59" i="10"/>
  <c r="G65" i="10"/>
  <c r="G68" i="10" s="1"/>
  <c r="G29" i="35"/>
  <c r="E30" i="35" s="1"/>
  <c r="D31" i="35" s="1"/>
  <c r="K18" i="10"/>
  <c r="G21" i="10"/>
  <c r="G24" i="10" s="1"/>
  <c r="D24" i="35"/>
  <c r="F33" i="35" s="1"/>
  <c r="F82" i="36" s="1"/>
  <c r="G21" i="47"/>
  <c r="M17" i="47" s="1"/>
  <c r="M24" i="47" s="1"/>
  <c r="M12" i="47" s="1"/>
  <c r="M18" i="47"/>
  <c r="M17" i="12"/>
  <c r="M24" i="12" s="1"/>
  <c r="M12" i="12" s="1"/>
  <c r="K36" i="6"/>
  <c r="G37" i="6"/>
  <c r="G40" i="6" s="1"/>
  <c r="G21" i="12"/>
  <c r="M16" i="12" s="1"/>
  <c r="G29" i="7"/>
  <c r="E23" i="7"/>
  <c r="E23" i="3"/>
  <c r="E38" i="3" s="1"/>
  <c r="E40" i="7"/>
  <c r="F23" i="3" l="1"/>
  <c r="F38" i="3" s="1"/>
  <c r="H21" i="47"/>
  <c r="H21" i="12"/>
  <c r="G36" i="47"/>
  <c r="M25" i="47"/>
  <c r="M13" i="47" s="1"/>
  <c r="M19" i="47"/>
  <c r="M23" i="47" s="1"/>
  <c r="K29" i="7"/>
  <c r="G30" i="7"/>
  <c r="G33" i="7" s="1"/>
  <c r="M23" i="12"/>
  <c r="M11" i="12" s="1"/>
  <c r="M18" i="12"/>
  <c r="M22" i="12" s="1"/>
  <c r="G36" i="12"/>
  <c r="G13" i="44" l="1"/>
  <c r="G30" i="9"/>
  <c r="J34" i="9" s="1"/>
  <c r="G31" i="8"/>
  <c r="J35" i="8" s="1"/>
  <c r="G40" i="7"/>
  <c r="J44" i="7" s="1"/>
  <c r="G73" i="8"/>
  <c r="J77" i="8" s="1"/>
  <c r="H36" i="47"/>
  <c r="M34" i="47" s="1"/>
  <c r="M35" i="47" s="1"/>
  <c r="M32" i="47"/>
  <c r="M43" i="47" s="1"/>
  <c r="J45" i="47" s="1"/>
  <c r="G37" i="7"/>
  <c r="M31" i="12"/>
  <c r="M42" i="12" s="1"/>
  <c r="J44" i="12" s="1"/>
  <c r="H36" i="12"/>
  <c r="M39" i="47" l="1"/>
  <c r="M40" i="47"/>
  <c r="G33" i="11"/>
  <c r="J36" i="11" s="1"/>
  <c r="G38" i="11" s="1"/>
  <c r="M33" i="12"/>
  <c r="M34" i="12" s="1"/>
  <c r="G32" i="8"/>
  <c r="G37" i="8" s="1"/>
  <c r="G74" i="8"/>
  <c r="G79" i="8" s="1"/>
  <c r="G75" i="11"/>
  <c r="J78" i="11" s="1"/>
  <c r="G80" i="11" s="1"/>
  <c r="G41" i="7"/>
  <c r="G46" i="7" s="1"/>
  <c r="G32" i="10"/>
  <c r="G37" i="10" s="1"/>
  <c r="G31" i="9"/>
  <c r="G36" i="9" s="1"/>
  <c r="G33" i="36"/>
  <c r="G38" i="36" s="1"/>
  <c r="G73" i="9"/>
  <c r="G78" i="9" s="1"/>
  <c r="G75" i="36"/>
  <c r="J78" i="36" s="1"/>
  <c r="G80" i="36" s="1"/>
  <c r="G76" i="10"/>
  <c r="J79" i="10" s="1"/>
  <c r="G81" i="10" s="1"/>
  <c r="G48" i="6"/>
  <c r="G53" i="6" s="1"/>
  <c r="M36" i="12"/>
  <c r="M35" i="12"/>
  <c r="M39" i="12" l="1"/>
  <c r="M38" i="12"/>
</calcChain>
</file>

<file path=xl/sharedStrings.xml><?xml version="1.0" encoding="utf-8"?>
<sst xmlns="http://schemas.openxmlformats.org/spreadsheetml/2006/main" count="1750" uniqueCount="998">
  <si>
    <t>Budget Workbook Instructions</t>
  </si>
  <si>
    <t xml:space="preserve">Please read these instructions carefully.  If after reviewing the instructions you still have questions, contact Municipal Services at 785-296-6033 or 785-296-8083; or via email to armunis@ks.gov. </t>
  </si>
  <si>
    <t xml:space="preserve">Please use the budget workbook that corresponds to the number of funds that are used by your taxing subdivision.  If you do not need all the fund pages in the workbook, leave the page number field on the unused fund pages blank and number the completed fund pages sequentially.  The Certificate page will be updated when the page numbers are entered on the fund pages. </t>
  </si>
  <si>
    <t>Submitting the Budget</t>
  </si>
  <si>
    <r>
      <t xml:space="preserve">As required by KSA 79-1801, budgets without intent to exceed the Revenue Neutral Rate (RNR) are required be certified and submitted to the County Clerk by </t>
    </r>
    <r>
      <rPr>
        <u/>
        <sz val="12"/>
        <rFont val="Times New Roman"/>
        <family val="1"/>
      </rPr>
      <t>August 25th</t>
    </r>
    <r>
      <rPr>
        <sz val="12"/>
        <rFont val="Times New Roman"/>
        <family val="1"/>
      </rPr>
      <t xml:space="preserve"> of each year.  If the taxing subdivision must conduct a hearing to approve exceeding the RNR, the budget must be certified and submitted to the County Clerk by </t>
    </r>
    <r>
      <rPr>
        <u/>
        <sz val="12"/>
        <rFont val="Times New Roman"/>
        <family val="1"/>
      </rPr>
      <t>October 1</t>
    </r>
    <r>
      <rPr>
        <u/>
        <vertAlign val="superscript"/>
        <sz val="12"/>
        <rFont val="Times New Roman"/>
        <family val="1"/>
      </rPr>
      <t>st</t>
    </r>
    <r>
      <rPr>
        <b/>
        <sz val="12"/>
        <rFont val="Times New Roman"/>
        <family val="1"/>
      </rPr>
      <t xml:space="preserve">. </t>
    </r>
  </si>
  <si>
    <t>KSA 79-2930 requires budgets be submitted by electronic means to your County Clerk. Acceptable electronic formats are Microsoft Excel and Adobe PDF.</t>
  </si>
  <si>
    <t>General Instructions</t>
  </si>
  <si>
    <t xml:space="preserve">The worksheet tabs are labeled an abbreviation of the document name.  The worksheet tabs are identified in workbook by referencing the tab name in parentheses. For example, the General Fund reference is (General). </t>
  </si>
  <si>
    <t>All dollar amounts should be recorded in whole dollars (do not include cents).</t>
  </si>
  <si>
    <t xml:space="preserve">      Data should only be entered in the green-shaded cells on the budget worksheets.  </t>
  </si>
  <si>
    <t xml:space="preserve">      The beige-shaded cells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continue to experience problems, please contact Municipal Services for assistance. </t>
  </si>
  <si>
    <t xml:space="preserve">      The blue-shaded cells indicate where the required data input can be located. </t>
  </si>
  <si>
    <t xml:space="preserve">      Red-shaded cells are for notes or indicate a problem area that may need corrective action. </t>
  </si>
  <si>
    <r>
      <t xml:space="preserve">To print the worksheets, you can print one tab at a time or all tabs at once by highlighting the tabs that need to be printed.  </t>
    </r>
    <r>
      <rPr>
        <b/>
        <u/>
        <sz val="12"/>
        <rFont val="Times New Roman"/>
        <family val="1"/>
      </rPr>
      <t>Note</t>
    </r>
    <r>
      <rPr>
        <sz val="12"/>
        <rFont val="Times New Roman"/>
        <family val="1"/>
      </rPr>
      <t xml:space="preserve">: Do not print the instructions, input tabs, statutes, etc.  All tabs that are colored blue should be printed (if applicable) and submitted.  </t>
    </r>
  </si>
  <si>
    <r>
      <t xml:space="preserve">NOTE: The Road, Special Road, Noxious Weed, and Fire Protection fund pages in the workbook are set to use the valuation for the </t>
    </r>
    <r>
      <rPr>
        <b/>
        <sz val="12"/>
        <color rgb="FFFF0000"/>
        <rFont val="Times New Roman"/>
        <family val="1"/>
      </rPr>
      <t>township only</t>
    </r>
    <r>
      <rPr>
        <sz val="12"/>
        <color rgb="FFFF0000"/>
        <rFont val="Times New Roman"/>
        <family val="1"/>
      </rPr>
      <t xml:space="preserve"> to compute the estimated proposed mill rate.  Be aware, if you subsitute a different fund for any one of these, then you might have to adjust how the mill rate will be computed. The hearing notices, budget summaries, budget tools etc. are based on the assumption that these funds will only levy on township boundaries. 
The township will need to consider the RNR for these funds seperately from the RNR related to other township funds. If the estimated proposed rate for these funds will exceed the RNR, a hearing must be held.  </t>
    </r>
  </si>
  <si>
    <t>Workbook Preparation</t>
  </si>
  <si>
    <t>Before getting started, make sure that you have all documents necessary to retrieve the input information for this year’s budget. For a list of documents to have available, see the “Preparing the Budget – Documents Needed” checklist on the Municipal Services website.</t>
  </si>
  <si>
    <r>
      <t xml:space="preserve">1. </t>
    </r>
    <r>
      <rPr>
        <u/>
        <sz val="12"/>
        <rFont val="Times New Roman"/>
        <family val="1"/>
      </rPr>
      <t>Input Prior Year (inputPrYr)</t>
    </r>
    <r>
      <rPr>
        <sz val="12"/>
        <rFont val="Times New Roman"/>
        <family val="1"/>
      </rPr>
      <t xml:space="preserve">: The information comes directly from last year's budget.  After the information has been entered, please verify the data is correct.  If at a later date, it is determined the information is incorrect, correct the information on this page, </t>
    </r>
    <r>
      <rPr>
        <u/>
        <sz val="12"/>
        <rFont val="Times New Roman"/>
        <family val="1"/>
      </rPr>
      <t>not</t>
    </r>
    <r>
      <rPr>
        <sz val="12"/>
        <rFont val="Times New Roman"/>
        <family val="1"/>
      </rPr>
      <t xml:space="preserve"> the fund page. </t>
    </r>
  </si>
  <si>
    <r>
      <t>a.</t>
    </r>
    <r>
      <rPr>
        <sz val="7"/>
        <rFont val="Times New Roman"/>
        <family val="1"/>
      </rPr>
      <t xml:space="preserve">       </t>
    </r>
    <r>
      <rPr>
        <sz val="12"/>
        <rFont val="Times New Roman"/>
        <family val="1"/>
      </rPr>
      <t>In the green-shaded cell, enter the name of the taxing subdivision. For cities, please include “City of” before the city name.</t>
    </r>
  </si>
  <si>
    <r>
      <t>b.</t>
    </r>
    <r>
      <rPr>
        <sz val="7"/>
        <rFont val="Times New Roman"/>
        <family val="1"/>
      </rPr>
      <t xml:space="preserve">      </t>
    </r>
    <r>
      <rPr>
        <sz val="12"/>
        <rFont val="Times New Roman"/>
        <family val="1"/>
      </rPr>
      <t>Dates for the entire budget workbook are controlled by the year entered into the "Enter year being budgeted (YYYY)" field. This field will be prepopulated. If you find a date that is not correct for the budget being submitted, please contact Municipal Services for assistance.</t>
    </r>
  </si>
  <si>
    <r>
      <t>c.</t>
    </r>
    <r>
      <rPr>
        <sz val="7"/>
        <rFont val="Times New Roman"/>
        <family val="1"/>
      </rPr>
      <t xml:space="preserve">       </t>
    </r>
    <r>
      <rPr>
        <u/>
        <sz val="12"/>
        <rFont val="Times New Roman"/>
        <family val="1"/>
      </rPr>
      <t>Optional</t>
    </r>
    <r>
      <rPr>
        <sz val="12"/>
        <rFont val="Times New Roman"/>
        <family val="1"/>
      </rPr>
      <t>: To the right of the last year Ad Valorem Tax column is a tool that may be used to create an estimate of ad valorem taxes to be received in the current year. Input an estimated delinquency percentage in the green-shaded cell. If you do not wish to use an estimated delinquency percentage, leave the green-shaded field at 0.00%.</t>
    </r>
  </si>
  <si>
    <r>
      <t>d.</t>
    </r>
    <r>
      <rPr>
        <sz val="7"/>
        <rFont val="Times New Roman"/>
        <family val="1"/>
      </rPr>
      <t xml:space="preserve">      </t>
    </r>
    <r>
      <rPr>
        <sz val="12"/>
        <rFont val="Times New Roman"/>
        <family val="1"/>
      </rPr>
      <t>Follow the instruction in the blue-shaded cells to complete the green-shaded input cells applicable to your budget.</t>
    </r>
  </si>
  <si>
    <t>e. Information for up to two third class cities can be entered into the spreadsheet for the township's budget.</t>
  </si>
  <si>
    <r>
      <t>2.</t>
    </r>
    <r>
      <rPr>
        <sz val="12"/>
        <rFont val="Times New Roman"/>
        <family val="1"/>
      </rPr>
      <t xml:space="preserve"> </t>
    </r>
    <r>
      <rPr>
        <u/>
        <sz val="12"/>
        <rFont val="Times New Roman"/>
        <family val="1"/>
      </rPr>
      <t>Input Other (inputOth)</t>
    </r>
    <r>
      <rPr>
        <sz val="12"/>
        <rFont val="Times New Roman"/>
        <family val="1"/>
      </rPr>
      <t xml:space="preserve">: The information entered on this tab is obtained from the County Clerk, County Treasurer, Municipal Services website, and the adopted budget information from two years ago (including any amendments).  After the information has been entered, please verify the data is correct. </t>
    </r>
  </si>
  <si>
    <r>
      <t>a.</t>
    </r>
    <r>
      <rPr>
        <sz val="7"/>
        <rFont val="Times New Roman"/>
        <family val="1"/>
      </rPr>
      <t xml:space="preserve">       </t>
    </r>
    <r>
      <rPr>
        <sz val="12"/>
        <rFont val="Times New Roman"/>
        <family val="1"/>
      </rPr>
      <t>Follow instruction in the blue-shaded cells to complete the green-shaded input cells.</t>
    </r>
  </si>
  <si>
    <r>
      <t>b.</t>
    </r>
    <r>
      <rPr>
        <sz val="7"/>
        <rFont val="Times New Roman"/>
        <family val="1"/>
      </rPr>
      <t xml:space="preserve">      </t>
    </r>
    <r>
      <rPr>
        <b/>
        <u/>
        <sz val="12"/>
        <rFont val="Times New Roman"/>
        <family val="1"/>
      </rPr>
      <t>Note</t>
    </r>
    <r>
      <rPr>
        <sz val="12"/>
        <rFont val="Times New Roman"/>
        <family val="1"/>
      </rPr>
      <t>: Computation of Delinquency. This allowance is not mandatory but may be used if the municipality wishes. KSA 79-2930 states that such allowance shall not exceed by more than 5% the percentage of delinquency for the preceding tax year. The delinquency rate will be applied to all tax levy fund pages.</t>
    </r>
  </si>
  <si>
    <t>If the taxing subdivision chooses to use the delinquency rate for some but not all tax levy funds, the taxing subdivision must delete the delinquency rate from the funds that should not include delinquency. Right-click on the tab of the fund that does not require the delinquency rate estimate and select Unprotect Sheet. Delete the data in the Delinquent Comp Rate cell. Right click on the tab of the fund page and select Protect Sheet and OK. You do not need to enter a password in the Protect Sheet window. Select OK. Go to the next fund tab and complete the same steps, if applicable.</t>
  </si>
  <si>
    <r>
      <t>3.</t>
    </r>
    <r>
      <rPr>
        <sz val="12"/>
        <rFont val="Times New Roman"/>
        <family val="1"/>
      </rPr>
      <t xml:space="preserve"> </t>
    </r>
    <r>
      <rPr>
        <u/>
        <sz val="12"/>
        <rFont val="Times New Roman"/>
        <family val="1"/>
      </rPr>
      <t>Input Hearing Information (inputHearing)</t>
    </r>
    <r>
      <rPr>
        <sz val="12"/>
        <rFont val="Times New Roman"/>
        <family val="1"/>
      </rPr>
      <t xml:space="preserve">: The information entered on this tab will populate the public hearing information to the appropriate hearing notice.  Review the available options and based on the taxing subdivision needs and complete the appropriate section(s). </t>
    </r>
  </si>
  <si>
    <r>
      <t xml:space="preserve">NOTE: </t>
    </r>
    <r>
      <rPr>
        <sz val="12"/>
        <rFont val="Times New Roman"/>
        <family val="1"/>
      </rPr>
      <t xml:space="preserve">All taxing subdivisions must publish the summarized budget in order to legally adopt the budget (unless otherwise authorized by law).  To do this, either the “Budget Hearing Notice Only” or the “Combined Revenue Neutral Rate &amp; Budget Hearing Notice” section and publication should be used.  </t>
    </r>
  </si>
  <si>
    <r>
      <t>a.</t>
    </r>
    <r>
      <rPr>
        <sz val="7"/>
        <rFont val="Times New Roman"/>
        <family val="1"/>
      </rPr>
      <t xml:space="preserve">       </t>
    </r>
    <r>
      <rPr>
        <u/>
        <sz val="12"/>
        <rFont val="Times New Roman"/>
        <family val="1"/>
      </rPr>
      <t>Budget Hearing Notice Only</t>
    </r>
    <r>
      <rPr>
        <sz val="12"/>
        <rFont val="Times New Roman"/>
        <family val="1"/>
      </rPr>
      <t xml:space="preserve">: If the subdivision does not intend to exceed the RNR or will publish the RNR hearing information separately, this section may be used.  Enter the required information into the green-shaded cells. Print and review the tab (Budget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t>
    </r>
  </si>
  <si>
    <r>
      <t>b.</t>
    </r>
    <r>
      <rPr>
        <sz val="7"/>
        <rFont val="Times New Roman"/>
        <family val="1"/>
      </rPr>
      <t xml:space="preserve">      </t>
    </r>
    <r>
      <rPr>
        <u/>
        <sz val="12"/>
        <rFont val="Times New Roman"/>
        <family val="1"/>
      </rPr>
      <t>Combined Revenue Neutral Rate &amp; Budget Hearing Notice</t>
    </r>
    <r>
      <rPr>
        <sz val="12"/>
        <rFont val="Times New Roman"/>
        <family val="1"/>
      </rPr>
      <t xml:space="preserve">: If the subdivision intends to hold a hearing to exceed the RNR, the subdivision may elect to publish the rate and budget hearing together.  This alternate publication may be used for that purpose.  Enter the required information into the green-shaded cells. Print and review the tab (Combined-Rate-Bud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</si>
  <si>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c.</t>
    </r>
    <r>
      <rPr>
        <sz val="7"/>
        <rFont val="Times New Roman"/>
        <family val="1"/>
      </rPr>
      <t xml:space="preserve">       </t>
    </r>
    <r>
      <rPr>
        <u/>
        <sz val="12"/>
        <rFont val="Times New Roman"/>
        <family val="1"/>
      </rPr>
      <t>Hearing to Exceed the Revenue Neutral Rate Notice Only</t>
    </r>
    <r>
      <rPr>
        <sz val="12"/>
        <rFont val="Times New Roman"/>
        <family val="1"/>
      </rPr>
      <t xml:space="preserve">: If the subdivision wishes to publish the hearing information to exceed the RNR separately, this alternate publication may be used.  Enter the required information into the green-shaded cells. Print and review the tab (RNR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</si>
  <si>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4.</t>
    </r>
    <r>
      <rPr>
        <sz val="12"/>
        <rFont val="Times New Roman"/>
        <family val="1"/>
      </rPr>
      <t xml:space="preserve"> </t>
    </r>
    <r>
      <rPr>
        <u/>
        <sz val="12"/>
        <rFont val="Times New Roman"/>
        <family val="1"/>
      </rPr>
      <t>Certificate (Cert)</t>
    </r>
    <r>
      <rPr>
        <sz val="12"/>
        <rFont val="Times New Roman"/>
        <family val="1"/>
      </rPr>
      <t xml:space="preserve">:  This document is populated with information entered on the fund tabs and input tabs.  If there is incorrect information on the Certificate, do </t>
    </r>
    <r>
      <rPr>
        <u/>
        <sz val="12"/>
        <rFont val="Times New Roman"/>
        <family val="1"/>
      </rPr>
      <t>not</t>
    </r>
    <r>
      <rPr>
        <sz val="12"/>
        <rFont val="Times New Roman"/>
        <family val="1"/>
      </rPr>
      <t xml:space="preserve"> correct the Certificate directly. Correct the fund or input tab that populates the information on the Certificate.  If you cannot correct the error, please contact Municipal Services for assistance. </t>
    </r>
  </si>
  <si>
    <r>
      <t>a.</t>
    </r>
    <r>
      <rPr>
        <sz val="7"/>
        <rFont val="Times New Roman"/>
        <family val="1"/>
      </rPr>
      <t xml:space="preserve">       </t>
    </r>
    <r>
      <rPr>
        <sz val="12"/>
        <rFont val="Times New Roman"/>
        <family val="1"/>
      </rPr>
      <t>If someone other than a municipal employee assists in preparing the budget, please enter the person's or firm's name and address in the green-shaded cells provided at the bottom left.</t>
    </r>
  </si>
  <si>
    <r>
      <t>b.</t>
    </r>
    <r>
      <rPr>
        <sz val="7"/>
        <rFont val="Times New Roman"/>
        <family val="1"/>
      </rPr>
      <t xml:space="preserve">      </t>
    </r>
    <r>
      <rPr>
        <sz val="12"/>
        <rFont val="Times New Roman"/>
        <family val="1"/>
      </rPr>
      <t xml:space="preserve">This is a required document and must be included in the adopted budget submitted to the County Clerk. </t>
    </r>
  </si>
  <si>
    <r>
      <t>5.</t>
    </r>
    <r>
      <rPr>
        <sz val="12"/>
        <rFont val="Times New Roman"/>
        <family val="1"/>
      </rPr>
      <t xml:space="preserve">  </t>
    </r>
    <r>
      <rPr>
        <u/>
        <sz val="12"/>
        <rFont val="Times New Roman"/>
        <family val="1"/>
      </rPr>
      <t>Allocation of MV, RV, 16/20M, Commercial Vehicle and Watercraft Tax Estimates (Mvalloc)</t>
    </r>
    <r>
      <rPr>
        <sz val="12"/>
        <rFont val="Times New Roman"/>
        <family val="1"/>
      </rPr>
      <t>: This information populated from the information entered on inputPrYr and inputOth.  Once calculated, the motor allocation information is linked to the applicable fund pages. If information concerning on this tab is not correct, do not make changes to this tab, but rather correct the information on inputPrYr and/or inputOth.</t>
    </r>
  </si>
  <si>
    <r>
      <t>a.</t>
    </r>
    <r>
      <rPr>
        <sz val="7"/>
        <rFont val="Times New Roman"/>
        <family val="1"/>
      </rPr>
      <t xml:space="preserve">       </t>
    </r>
    <r>
      <rPr>
        <sz val="12"/>
        <rFont val="Times New Roman"/>
        <family val="1"/>
      </rPr>
      <t xml:space="preserve">This is a required document and must be included in the adopted budget submitted to the County Clerk. </t>
    </r>
  </si>
  <si>
    <r>
      <t>6.</t>
    </r>
    <r>
      <rPr>
        <sz val="12"/>
        <rFont val="Times New Roman"/>
        <family val="1"/>
      </rPr>
      <t xml:space="preserve"> </t>
    </r>
    <r>
      <rPr>
        <u/>
        <sz val="12"/>
        <rFont val="Times New Roman"/>
        <family val="1"/>
      </rPr>
      <t>Schedule of Transfers (Transfers)</t>
    </r>
    <r>
      <rPr>
        <sz val="12"/>
        <rFont val="Times New Roman"/>
        <family val="1"/>
      </rPr>
      <t xml:space="preserve">:  This document reports all actual, current, and proposed transfers for the taxing subdivision. Provide the statute that authorizes the transfer. The Transfer Statutes (Transfer Statutes) tab lists applicable transfer statutes for reference. If Home Rule is applied, provide the charter ordinance number in place of the statute. </t>
    </r>
  </si>
  <si>
    <r>
      <t>a.</t>
    </r>
    <r>
      <rPr>
        <sz val="7"/>
        <rFont val="Times New Roman"/>
        <family val="1"/>
      </rPr>
      <t xml:space="preserve">      </t>
    </r>
    <r>
      <rPr>
        <sz val="12"/>
        <rFont val="Times New Roman"/>
        <family val="1"/>
      </rPr>
      <t xml:space="preserve">The transfers are totaled at the bottom of the schedule and the aggregate transfer amount is linked to the hearing notice pages.    </t>
    </r>
  </si>
  <si>
    <r>
      <t>b.</t>
    </r>
    <r>
      <rPr>
        <sz val="7"/>
        <rFont val="Times New Roman"/>
        <family val="1"/>
      </rPr>
      <t xml:space="preserve">       </t>
    </r>
    <r>
      <rPr>
        <sz val="12"/>
        <rFont val="Times New Roman"/>
        <family val="1"/>
      </rPr>
      <t xml:space="preserve">Adjustments are made for only those non-budgeted expenditure transfers appearing in the current and/or proposed columns of the schedule and do not have expenditures shown in the hearing notice current and proposed columns. These types of transfers are not truly an expenditure at this time and as such an adjustment is needed to show the taxpayers the actual expenditures for the municipality. </t>
    </r>
  </si>
  <si>
    <r>
      <t>c.</t>
    </r>
    <r>
      <rPr>
        <sz val="7"/>
        <rFont val="Times New Roman"/>
        <family val="1"/>
      </rPr>
      <t xml:space="preserve">      </t>
    </r>
    <r>
      <rPr>
        <sz val="12"/>
        <rFont val="Times New Roman"/>
        <family val="1"/>
      </rPr>
      <t>Each transfer listed must be recorded on the appropriate fund pages (tabs) the individual completed fund pages.</t>
    </r>
  </si>
  <si>
    <r>
      <t>d.</t>
    </r>
    <r>
      <rPr>
        <sz val="7"/>
        <rFont val="Times New Roman"/>
        <family val="1"/>
      </rPr>
      <t xml:space="preserve">       </t>
    </r>
    <r>
      <rPr>
        <sz val="12"/>
        <rFont val="Times New Roman"/>
        <family val="1"/>
      </rPr>
      <t xml:space="preserve">If there are no transfers, leave as zeroes. This document must be included in the adopted budget submitted to the County Clerk. </t>
    </r>
  </si>
  <si>
    <r>
      <t>7.</t>
    </r>
    <r>
      <rPr>
        <sz val="12"/>
        <rFont val="Times New Roman"/>
        <family val="1"/>
      </rPr>
      <t xml:space="preserve">  </t>
    </r>
    <r>
      <rPr>
        <u/>
        <sz val="12"/>
        <rFont val="Times New Roman"/>
        <family val="1"/>
      </rPr>
      <t>Statement of Indebtedness (Debt)</t>
    </r>
    <r>
      <rPr>
        <sz val="12"/>
        <rFont val="Times New Roman"/>
        <family val="1"/>
      </rPr>
      <t xml:space="preserve">: This document must show all of the debt owed or proposed to be issued.  The general obligation and revenue bond totals for the budget year are linked to the hearing notice pages.  </t>
    </r>
  </si>
  <si>
    <r>
      <t>a.</t>
    </r>
    <r>
      <rPr>
        <sz val="7"/>
        <rFont val="Times New Roman"/>
        <family val="1"/>
      </rPr>
      <t xml:space="preserve">       </t>
    </r>
    <r>
      <rPr>
        <sz val="12"/>
        <rFont val="Times New Roman"/>
        <family val="1"/>
      </rPr>
      <t xml:space="preserve">If the taxing subdivision does not have any debt, enter “None” on the first line. This document must be included in the adopted budget submitted to the County Clerk. </t>
    </r>
  </si>
  <si>
    <r>
      <t>8.</t>
    </r>
    <r>
      <rPr>
        <sz val="12"/>
        <rFont val="Times New Roman"/>
        <family val="1"/>
      </rPr>
      <t xml:space="preserve">  </t>
    </r>
    <r>
      <rPr>
        <u/>
        <sz val="12"/>
        <rFont val="Times New Roman"/>
        <family val="1"/>
      </rPr>
      <t>Statement of Conditional Lease, Lease-Purchases and Certificate of Participation (LP Form)</t>
    </r>
    <r>
      <rPr>
        <sz val="12"/>
        <rFont val="Times New Roman"/>
        <family val="1"/>
      </rPr>
      <t xml:space="preserve">: This document must be completed for all transactions in which the taxing subdivision intends to own the equipment.  Principal Balance Due for the actual year is linked to the hearing notice pages. </t>
    </r>
  </si>
  <si>
    <r>
      <t>a.</t>
    </r>
    <r>
      <rPr>
        <sz val="7"/>
        <rFont val="Times New Roman"/>
        <family val="1"/>
      </rPr>
      <t xml:space="preserve">       </t>
    </r>
    <r>
      <rPr>
        <sz val="12"/>
        <rFont val="Times New Roman"/>
        <family val="1"/>
      </rPr>
      <t>If the taxing subdivision does not have any leases, enter 'None' on the first line. This document must be included in the adopted budget submitted to the County Clerk.</t>
    </r>
  </si>
  <si>
    <r>
      <t>9.</t>
    </r>
    <r>
      <rPr>
        <sz val="12"/>
        <rFont val="Times New Roman"/>
        <family val="1"/>
      </rPr>
      <t xml:space="preserve"> </t>
    </r>
    <r>
      <rPr>
        <u/>
        <sz val="12"/>
        <rFont val="Times New Roman"/>
        <family val="1"/>
      </rPr>
      <t>Worksheet for State Grant-In-Aid to Public Libraries and Regional Library Systems (Library Grant)</t>
    </r>
    <r>
      <rPr>
        <sz val="12"/>
        <rFont val="Times New Roman"/>
        <family val="1"/>
      </rPr>
      <t xml:space="preserve">: This information is populated from the Library fund page and is used to determine if the municipality qualifies for a State grant. If qualified, the bottom of the Library fund page will say “Qualifies for State Library Grant” in red. If not qualified, it will say “See Library Grant tab.”  </t>
    </r>
  </si>
  <si>
    <r>
      <t>a.</t>
    </r>
    <r>
      <rPr>
        <sz val="7"/>
        <rFont val="Times New Roman"/>
        <family val="1"/>
      </rPr>
      <t xml:space="preserve">       </t>
    </r>
    <r>
      <rPr>
        <sz val="12"/>
        <rFont val="Times New Roman"/>
        <family val="1"/>
      </rPr>
      <t>For subdivisions with a library: If the Library fund page is used, the Certificate page will update the Table of Contents to show “Computation to Determine State Library Grant.” This worksheet will be a required document in the adopted budget submitted to the County Clerk.</t>
    </r>
  </si>
  <si>
    <r>
      <t>b.</t>
    </r>
    <r>
      <rPr>
        <sz val="7"/>
        <rFont val="Times New Roman"/>
        <family val="1"/>
      </rPr>
      <t xml:space="preserve">      </t>
    </r>
    <r>
      <rPr>
        <sz val="12"/>
        <rFont val="Times New Roman"/>
        <family val="1"/>
      </rPr>
      <t xml:space="preserve">For subdivisions without a library: No action is required, and this page </t>
    </r>
    <r>
      <rPr>
        <i/>
        <sz val="12"/>
        <rFont val="Times New Roman"/>
        <family val="1"/>
      </rPr>
      <t xml:space="preserve">does not </t>
    </r>
    <r>
      <rPr>
        <sz val="12"/>
        <rFont val="Times New Roman"/>
        <family val="1"/>
      </rPr>
      <t>need to be included in the adopted budget submitted to the County Clerk.</t>
    </r>
  </si>
  <si>
    <r>
      <t>10.</t>
    </r>
    <r>
      <rPr>
        <sz val="12"/>
        <rFont val="Times New Roman"/>
        <family val="1"/>
      </rPr>
      <t xml:space="preserve">  The budget workbook has individual fund sheets such as, but not limited to, General Fund (General), Debt Service and Library levy fund (DebtSvs-Library), levy funds (Levy Page #), Special Highway fund (Spec Hwy), non-levy funds (No Levy Page #) and single no levy funds (Single No Levy Page #).  Only complete the fund pages needed.  </t>
    </r>
    <r>
      <rPr>
        <b/>
        <u/>
        <sz val="12"/>
        <rFont val="Times New Roman"/>
        <family val="1"/>
      </rPr>
      <t>Do not delete unused pages.</t>
    </r>
    <r>
      <rPr>
        <sz val="12"/>
        <rFont val="Times New Roman"/>
        <family val="1"/>
      </rPr>
      <t xml:space="preserve"> When the fund pages are completed, the totals will be shown on the Certificate and hearing notice pages.</t>
    </r>
  </si>
  <si>
    <r>
      <t>a.</t>
    </r>
    <r>
      <rPr>
        <sz val="7"/>
        <rFont val="Times New Roman"/>
        <family val="1"/>
      </rPr>
      <t xml:space="preserve">       </t>
    </r>
    <r>
      <rPr>
        <sz val="12"/>
        <rFont val="Times New Roman"/>
        <family val="1"/>
      </rPr>
      <t>The page number for the General Fund and General Fund Detail do not prepopulate.  Once the page number is manually entered at the bottom of the General Fund page, the correct page number will auto-populate at the bottom of the General Fund Detail page. If the taxing subdivision has a Library Fund, the Library Grant page will auto-populate.</t>
    </r>
  </si>
  <si>
    <r>
      <t>b.</t>
    </r>
    <r>
      <rPr>
        <sz val="7"/>
        <rFont val="Times New Roman"/>
        <family val="1"/>
      </rPr>
      <t xml:space="preserve">      </t>
    </r>
    <r>
      <rPr>
        <sz val="12"/>
        <rFont val="Times New Roman"/>
        <family val="1"/>
      </rPr>
      <t xml:space="preserve">On all tax levy fund pages, see the “Projected Carryover” tool for the proposed budgeted year.   The carryover tool provides insight as what the projected cash might be using figures from the budget being submitted.  The figures used are only estimates and if the actual receipts or expenditures vary, the projected cash carryover will be affected.  </t>
    </r>
    <r>
      <rPr>
        <b/>
        <u/>
        <sz val="12"/>
        <rFont val="Times New Roman"/>
        <family val="1"/>
      </rPr>
      <t>Note</t>
    </r>
    <r>
      <rPr>
        <sz val="12"/>
        <rFont val="Times New Roman"/>
        <family val="1"/>
      </rPr>
      <t>: delinquent taxes are not included in the projected carryover as they have a major impact on the “Desired Carryover” tool.</t>
    </r>
  </si>
  <si>
    <r>
      <t>c.</t>
    </r>
    <r>
      <rPr>
        <sz val="7"/>
        <rFont val="Times New Roman"/>
        <family val="1"/>
      </rPr>
      <t xml:space="preserve">       </t>
    </r>
    <r>
      <rPr>
        <sz val="12"/>
        <rFont val="Times New Roman"/>
        <family val="1"/>
      </rPr>
      <t xml:space="preserve">On all tax levy fund page, see the “Desired Carryover” tool. This is used to estimate a desired carryover amount and show the estimated mill rate impact along with the expenditure adjustments required to reach the desired carryover.  </t>
    </r>
    <r>
      <rPr>
        <b/>
        <u/>
        <sz val="12"/>
        <rFont val="Times New Roman"/>
        <family val="1"/>
      </rPr>
      <t>Note</t>
    </r>
    <r>
      <rPr>
        <sz val="12"/>
        <rFont val="Times New Roman"/>
        <family val="1"/>
      </rPr>
      <t>: if a delinquency rate is used, the tool may require several adjustments to get the desired amount or close to the desire amount.</t>
    </r>
  </si>
  <si>
    <r>
      <t>d.</t>
    </r>
    <r>
      <rPr>
        <sz val="7"/>
        <rFont val="Times New Roman"/>
        <family val="1"/>
      </rPr>
      <t xml:space="preserve">      </t>
    </r>
    <r>
      <rPr>
        <sz val="12"/>
        <rFont val="Times New Roman"/>
        <family val="1"/>
      </rPr>
      <t xml:space="preserve">On all tax levy fund pages, we have placed “Estimated Mill Rate &amp; Revenue Neutral Rate Comparison” tool. This tool is used to illustrate and compare the fund rates (both estimated and current year) as well as the total rates (estimated and current year). Additionally, users will see the RNR to determine whether the process in KSA 79-2988 should be followed. If a RNR hearing is required, “Yes” will appear in a red box, and a red statement with additional instruction will appear. </t>
    </r>
  </si>
  <si>
    <r>
      <t>e.</t>
    </r>
    <r>
      <rPr>
        <sz val="7"/>
        <rFont val="Times New Roman"/>
        <family val="1"/>
      </rPr>
      <t xml:space="preserve">       </t>
    </r>
    <r>
      <rPr>
        <u/>
        <sz val="12"/>
        <rFont val="Times New Roman"/>
        <family val="1"/>
      </rPr>
      <t>General Detail Page (General Detail)</t>
    </r>
    <r>
      <rPr>
        <sz val="12"/>
        <rFont val="Times New Roman"/>
        <family val="1"/>
      </rPr>
      <t xml:space="preserve">:  This page shows detailed expenditures for the General Fund departments.  If used, you will input each department name and expenditures on this page </t>
    </r>
    <r>
      <rPr>
        <i/>
        <sz val="12"/>
        <rFont val="Times New Roman"/>
        <family val="1"/>
      </rPr>
      <t xml:space="preserve">and </t>
    </r>
    <r>
      <rPr>
        <sz val="12"/>
        <rFont val="Times New Roman"/>
        <family val="1"/>
      </rPr>
      <t xml:space="preserve">input the department name and </t>
    </r>
    <r>
      <rPr>
        <u/>
        <sz val="12"/>
        <rFont val="Times New Roman"/>
        <family val="1"/>
      </rPr>
      <t>total</t>
    </r>
    <r>
      <rPr>
        <sz val="12"/>
        <rFont val="Times New Roman"/>
        <family val="1"/>
      </rPr>
      <t xml:space="preserve"> expenditures on the General Fund page. Department transfers should be shown on the General Fund page only. Departments with like transfers may be shown together on the General Fund page as single line items. For example: if several departments have a transfer for equipment reserve, the total of all equipment reserve transfers should be shown on the General Fund page as “Transfer to Equipment Reserve” for each budgeted year.</t>
    </r>
  </si>
  <si>
    <r>
      <t>f.</t>
    </r>
    <r>
      <rPr>
        <sz val="7"/>
        <rFont val="Times New Roman"/>
        <family val="1"/>
      </rPr>
      <t xml:space="preserve">        </t>
    </r>
    <r>
      <rPr>
        <sz val="12"/>
        <rFont val="Times New Roman"/>
        <family val="1"/>
      </rPr>
      <t xml:space="preserve">Each tax levy fund will have an expenditure line for neighborhood revitalization.  Only input the rebate amounts for the </t>
    </r>
    <r>
      <rPr>
        <b/>
        <sz val="12"/>
        <rFont val="Times New Roman"/>
        <family val="1"/>
      </rPr>
      <t>actual and current year</t>
    </r>
    <r>
      <rPr>
        <sz val="12"/>
        <rFont val="Times New Roman"/>
        <family val="1"/>
      </rPr>
      <t xml:space="preserve">.  The proposed budget year amount will be computed for you. Please see step 12 for neighborhood revitalization rebate instructions for the proposed budget year. </t>
    </r>
  </si>
  <si>
    <r>
      <t>g.</t>
    </r>
    <r>
      <rPr>
        <sz val="7"/>
        <rFont val="Times New Roman"/>
        <family val="1"/>
      </rPr>
      <t xml:space="preserve">      </t>
    </r>
    <r>
      <rPr>
        <u/>
        <sz val="12"/>
        <rFont val="Times New Roman"/>
        <family val="1"/>
      </rPr>
      <t>Optional</t>
    </r>
    <r>
      <rPr>
        <sz val="12"/>
        <rFont val="Times New Roman"/>
        <family val="1"/>
      </rPr>
      <t xml:space="preserve">: All levy fund pages have a Non-Appropriated Balance cell. It is not mandatory enter an amount or the Non-Appropriated Balance.  KSA 79-2927 allows the taxing subdivision to enter an amount not to exceed 5% of the total expenditures for each fund. If the amount entered in the cell exceeds the 5%, a warning "Exceeds 5%" will appear and the block will turn red.  In order to remove this warning message, you must reduce the non-appropriated amount. </t>
    </r>
  </si>
  <si>
    <r>
      <t>h.</t>
    </r>
    <r>
      <rPr>
        <sz val="7"/>
        <rFont val="Times New Roman"/>
        <family val="1"/>
      </rPr>
      <t xml:space="preserve">      </t>
    </r>
    <r>
      <rPr>
        <sz val="12"/>
        <rFont val="Times New Roman"/>
        <family val="1"/>
      </rPr>
      <t xml:space="preserve">Each fund page has a “Miscellaneous” receipt and expenditure line item.  Once an amount has been entered into the cell for actual/current/proposed columns, the amount will be compared with either total expenditures or total receipts to determine if it exceeds the 10% Rule in KSA 79-2927.  If the amount exceeds the 10% Rule, the block will turn red, the amount bolded, and “Exceed 10% Rule” will appear in red.  To remove the statement and return the block to normal, you must reduce the amount to either 10% or less. </t>
    </r>
    <r>
      <rPr>
        <b/>
        <u/>
        <sz val="12"/>
        <rFont val="Times New Roman"/>
        <family val="1"/>
      </rPr>
      <t>Note</t>
    </r>
    <r>
      <rPr>
        <sz val="12"/>
        <rFont val="Times New Roman"/>
        <family val="1"/>
      </rPr>
      <t>: Under the proposed column, the miscellaneous receipt takes into consideration the amount of ad valorem taxes in determining the 10% Rule.</t>
    </r>
  </si>
  <si>
    <r>
      <t>i.</t>
    </r>
    <r>
      <rPr>
        <sz val="7"/>
        <rFont val="Times New Roman"/>
        <family val="1"/>
      </rPr>
      <t xml:space="preserve">        </t>
    </r>
    <r>
      <rPr>
        <u/>
        <sz val="12"/>
        <rFont val="Times New Roman"/>
        <family val="1"/>
      </rPr>
      <t>Debt Service fund page (DebtSvs-Library)</t>
    </r>
    <r>
      <rPr>
        <sz val="12"/>
        <rFont val="Times New Roman"/>
        <family val="1"/>
      </rPr>
      <t xml:space="preserve">: This fund page may contain all debts owed by the taxing subdivision and the amounts should agree with the Statement of Indebtedness amounts.  Debts that are pledged from a revenue stream should have enough funds transferred into the Debt Service fund to cover the bond principal and interest for these debts. </t>
    </r>
    <r>
      <rPr>
        <b/>
        <u/>
        <sz val="12"/>
        <rFont val="Times New Roman"/>
        <family val="1"/>
      </rPr>
      <t>Note</t>
    </r>
    <r>
      <rPr>
        <sz val="12"/>
        <rFont val="Times New Roman"/>
        <family val="1"/>
      </rPr>
      <t>: Debts pledged from revenue streams are not required to be included in the Debt Service fund page but can be paid from the fund in which the revenue stream is located. If the taxing subdivision has No Fund warrants, these can be included in the Debt Service fund page and levy taxes for this debt. No Fund warrants are not required to be included in the Debt Service fund and may have a separate Tax Levy Fund to account for them.</t>
    </r>
  </si>
  <si>
    <t xml:space="preserve">See step 9 for detailed instruction on the library fund. </t>
  </si>
  <si>
    <r>
      <t>j.</t>
    </r>
    <r>
      <rPr>
        <sz val="7"/>
        <rFont val="Times New Roman"/>
        <family val="1"/>
      </rPr>
      <t xml:space="preserve">        </t>
    </r>
    <r>
      <rPr>
        <u/>
        <sz val="12"/>
        <rFont val="Times New Roman"/>
        <family val="1"/>
      </rPr>
      <t>Funds with No Tax Levy fund page (No Levy Page #)</t>
    </r>
    <r>
      <rPr>
        <sz val="12"/>
        <rFont val="Times New Roman"/>
        <family val="1"/>
      </rPr>
      <t xml:space="preserve">:  These pages will be used to budget any fund that does not have the authority or need to levy an ad valorem property tax. These funds will have revenues of fees, sales tax, license, enterprise, etc.  </t>
    </r>
  </si>
  <si>
    <r>
      <t>k.</t>
    </r>
    <r>
      <rPr>
        <sz val="7"/>
        <rFont val="Times New Roman"/>
        <family val="1"/>
      </rPr>
      <t xml:space="preserve">      </t>
    </r>
    <r>
      <rPr>
        <u/>
        <sz val="12"/>
        <rFont val="Times New Roman"/>
        <family val="1"/>
      </rPr>
      <t>Single No Tax Levy fund page (Single No Levy Page #)</t>
    </r>
    <r>
      <rPr>
        <sz val="12"/>
        <rFont val="Times New Roman"/>
        <family val="1"/>
      </rPr>
      <t>: These pages are for funds with numerous lines for receipts or expenditures that do not fit on one of the other no levy fund pages.  Additional lines may be added as needed. Please contact Municipal Services for assistance.</t>
    </r>
  </si>
  <si>
    <r>
      <t>l.</t>
    </r>
    <r>
      <rPr>
        <sz val="7"/>
        <rFont val="Times New Roman"/>
        <family val="1"/>
      </rPr>
      <t xml:space="preserve">        </t>
    </r>
    <r>
      <rPr>
        <u/>
        <sz val="12"/>
        <rFont val="Times New Roman"/>
        <family val="1"/>
      </rPr>
      <t>Non-Budgeted Funds (Non-Budgeted Funds)</t>
    </r>
    <r>
      <rPr>
        <sz val="12"/>
        <rFont val="Times New Roman"/>
        <family val="1"/>
      </rPr>
      <t xml:space="preserve">: The non-budgeted funds are only required to show the actual year receipts and expenditures. The expenditures total will populate the hearing notice page. Normally, the unencumbered cash balance should end with a positive cash balance.  If it ends with a negative, the worksheet will indicate the negative balance by displaying “See Tab B” in red under the unencumbered cash balance. Use Tab B to determine if corrective action is available.  </t>
    </r>
  </si>
  <si>
    <r>
      <t>m.</t>
    </r>
    <r>
      <rPr>
        <sz val="7"/>
        <rFont val="Times New Roman"/>
        <family val="1"/>
      </rPr>
      <t xml:space="preserve">    </t>
    </r>
    <r>
      <rPr>
        <u/>
        <sz val="12"/>
        <rFont val="Times New Roman"/>
        <family val="1"/>
      </rPr>
      <t>Tab A and Tab B</t>
    </r>
    <r>
      <rPr>
        <sz val="12"/>
        <rFont val="Times New Roman"/>
        <family val="1"/>
      </rPr>
      <t xml:space="preserve">: If the </t>
    </r>
    <r>
      <rPr>
        <i/>
        <sz val="12"/>
        <rFont val="Times New Roman"/>
        <family val="1"/>
      </rPr>
      <t>prior year</t>
    </r>
    <r>
      <rPr>
        <sz val="12"/>
        <rFont val="Times New Roman"/>
        <family val="1"/>
      </rPr>
      <t xml:space="preserve"> total expenditures on any budgeted fund page exceeds the budget authority amount, "See Tab A" will appear in red to indicate a possible prior year budget law violation.  If a fund ended the prior year with a negative cash balance, "See Tab B" will appear in red to indicate a possible prior year cash basis law violation.  Use Tab A and Tab B to determine if corrective action is available.</t>
    </r>
  </si>
  <si>
    <r>
      <t>n.</t>
    </r>
    <r>
      <rPr>
        <sz val="7"/>
        <rFont val="Times New Roman"/>
        <family val="1"/>
      </rPr>
      <t xml:space="preserve">      </t>
    </r>
    <r>
      <rPr>
        <u/>
        <sz val="12"/>
        <rFont val="Times New Roman"/>
        <family val="1"/>
      </rPr>
      <t>Tab C and Tab D</t>
    </r>
    <r>
      <rPr>
        <sz val="12"/>
        <rFont val="Times New Roman"/>
        <family val="1"/>
      </rPr>
      <t xml:space="preserve">: If the </t>
    </r>
    <r>
      <rPr>
        <i/>
        <sz val="12"/>
        <rFont val="Times New Roman"/>
        <family val="1"/>
      </rPr>
      <t>current year</t>
    </r>
    <r>
      <rPr>
        <sz val="12"/>
        <rFont val="Times New Roman"/>
        <family val="1"/>
      </rPr>
      <t xml:space="preserve"> adjusted expenditures on any budgeted fund page exceeds the budget authority amount, “See Tab C” will appear in red to indicate a possible current year budget law violation. If a fund ends the current year with a negative cash balance "See Tab D" will appear in red to indicate a possible current year cash basis law violation. Use Tab C and Tab D to determine if corrective action is available.</t>
    </r>
  </si>
  <si>
    <r>
      <t>o.</t>
    </r>
    <r>
      <rPr>
        <sz val="7"/>
        <rFont val="Times New Roman"/>
        <family val="1"/>
      </rPr>
      <t xml:space="preserve">      </t>
    </r>
    <r>
      <rPr>
        <u/>
        <sz val="12"/>
        <rFont val="Times New Roman"/>
        <family val="1"/>
      </rPr>
      <t>Tab E</t>
    </r>
    <r>
      <rPr>
        <sz val="12"/>
        <rFont val="Times New Roman"/>
        <family val="1"/>
      </rPr>
      <t xml:space="preserve">: If the </t>
    </r>
    <r>
      <rPr>
        <i/>
        <sz val="12"/>
        <rFont val="Times New Roman"/>
        <family val="1"/>
      </rPr>
      <t>proposed budget</t>
    </r>
    <r>
      <rPr>
        <sz val="12"/>
        <rFont val="Times New Roman"/>
        <family val="1"/>
      </rPr>
      <t xml:space="preserve"> cash balance is negative, “See Tab E” will appear in red to indicate a possible proposed budget year budget law violation. Use Tab E to determine if corrective action is available. </t>
    </r>
  </si>
  <si>
    <r>
      <t>11.</t>
    </r>
    <r>
      <rPr>
        <sz val="12"/>
        <rFont val="Times New Roman"/>
        <family val="1"/>
      </rPr>
      <t xml:space="preserve">  </t>
    </r>
    <r>
      <rPr>
        <u/>
        <sz val="12"/>
        <rFont val="Times New Roman"/>
        <family val="1"/>
      </rPr>
      <t>Hearing Notices (Budget Hearing Notice), (Combined Rate-Bud Hearing Notice), (RNR Hearing Notice)</t>
    </r>
    <r>
      <rPr>
        <sz val="12"/>
        <rFont val="Times New Roman"/>
        <family val="1"/>
      </rPr>
      <t xml:space="preserve">: These pages will populate the required information from other worksheets.  If you find information that is not correct, please go to the worksheet from which the information originates to make the correction. If you cannot correct the error, please contact Municipal Services for assistance.   </t>
    </r>
  </si>
  <si>
    <r>
      <t>a.</t>
    </r>
    <r>
      <rPr>
        <sz val="7"/>
        <rFont val="Times New Roman"/>
        <family val="1"/>
      </rPr>
      <t xml:space="preserve">       </t>
    </r>
    <r>
      <rPr>
        <sz val="12"/>
        <rFont val="Times New Roman"/>
        <family val="1"/>
      </rPr>
      <t>The inputHearing tab is used to place information on the respective hearing notice options.  On input tab you will key in the following information: Name of Person presenting the budget, Title of Person, date the budget hearing will be held, time of the hearing, location of the budget hearing, and a place whereas the taxpayers can obtain a copy of the budget.</t>
    </r>
  </si>
  <si>
    <r>
      <t>b.</t>
    </r>
    <r>
      <rPr>
        <sz val="7"/>
        <rFont val="Times New Roman"/>
        <family val="1"/>
      </rPr>
      <t xml:space="preserve">      </t>
    </r>
    <r>
      <rPr>
        <sz val="12"/>
        <rFont val="Times New Roman"/>
        <family val="1"/>
      </rPr>
      <t>At the bottom of the hearing notice pages is a green-shaded cell, enter the page number.</t>
    </r>
  </si>
  <si>
    <r>
      <t>c.</t>
    </r>
    <r>
      <rPr>
        <sz val="7"/>
        <rFont val="Times New Roman"/>
        <family val="1"/>
      </rPr>
      <t xml:space="preserve">       </t>
    </r>
    <r>
      <rPr>
        <u/>
        <sz val="12"/>
        <rFont val="Times New Roman"/>
        <family val="1"/>
      </rPr>
      <t>Optional Tools</t>
    </r>
    <r>
      <rPr>
        <sz val="12"/>
        <rFont val="Times New Roman"/>
        <family val="1"/>
      </rPr>
      <t>: The following tools are not required to be used but are designed for different budget targets.</t>
    </r>
  </si>
  <si>
    <r>
      <t xml:space="preserve"> </t>
    </r>
    <r>
      <rPr>
        <sz val="12"/>
        <rFont val="Times New Roman"/>
        <family val="1"/>
      </rPr>
      <t>i.</t>
    </r>
    <r>
      <rPr>
        <sz val="7"/>
        <rFont val="Times New Roman"/>
        <family val="1"/>
      </rPr>
      <t xml:space="preserve">      </t>
    </r>
    <r>
      <rPr>
        <sz val="12"/>
        <rFont val="Times New Roman"/>
        <family val="1"/>
      </rPr>
      <t xml:space="preserve">The “Estimated Value of One Mill” tool shows what 1 mill rate would generate in dollars for the municipality, based on the estimated valuation input on the inputOth tab.  </t>
    </r>
  </si>
  <si>
    <r>
      <rPr>
        <sz val="12"/>
        <rFont val="Times New Roman"/>
        <family val="1"/>
      </rPr>
      <t>ii.</t>
    </r>
    <r>
      <rPr>
        <sz val="7"/>
        <rFont val="Times New Roman"/>
        <family val="1"/>
      </rPr>
      <t xml:space="preserve">      </t>
    </r>
    <r>
      <rPr>
        <sz val="12"/>
        <rFont val="Times New Roman"/>
        <family val="1"/>
      </rPr>
      <t xml:space="preserve">The “What the Mill Rate the Same As” and “Impact on Keeping the Same Mill Rate” tools show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tax levy fund expenditures.  </t>
    </r>
    <r>
      <rPr>
        <u/>
        <sz val="12"/>
        <rFont val="Times New Roman"/>
        <family val="1"/>
      </rPr>
      <t>Note</t>
    </r>
    <r>
      <rPr>
        <sz val="12"/>
        <rFont val="Times New Roman"/>
        <family val="1"/>
      </rPr>
      <t xml:space="preserve">: If a delinquency rate is used on the tax levy fund pages, the tool may require several adjustments to get the desired result or close to the desired amount. </t>
    </r>
  </si>
  <si>
    <r>
      <rPr>
        <sz val="12"/>
        <rFont val="Times New Roman"/>
        <family val="1"/>
      </rPr>
      <t>iii.</t>
    </r>
    <r>
      <rPr>
        <sz val="7"/>
        <rFont val="Times New Roman"/>
        <family val="1"/>
      </rPr>
      <t xml:space="preserve">      </t>
    </r>
    <r>
      <rPr>
        <sz val="12"/>
        <rFont val="Times New Roman"/>
        <family val="1"/>
      </rPr>
      <t>The “Mill Rate Estimates versus Mill Rate Target” tool allows the municipality to enter a target mill rate and compare such rate with the estimated rate, as well as the RNR.  This tool will show the amount of expenditure adjustments required to hit the rate target. If a rate hearing/resolution is required based on the estimated mill rate, a red warning “Yes” and a statement “Follow procedure prescribed by KSA 79-2988 to exceed the Revenue Neutral Rate” will appear.</t>
    </r>
  </si>
  <si>
    <r>
      <t>d.</t>
    </r>
    <r>
      <rPr>
        <sz val="7"/>
        <rFont val="Times New Roman"/>
        <family val="1"/>
      </rPr>
      <t xml:space="preserve">      </t>
    </r>
    <r>
      <rPr>
        <sz val="12"/>
        <rFont val="Times New Roman"/>
        <family val="1"/>
      </rPr>
      <t xml:space="preserve"> Before printing, review the selected hearing notice to ensure the information has accurately populated and the figures are correct. Print the page, have an official sign it, and submit to the local newspaper for printing. For those municipalities that are electronically sending the summary to the newspaper, you can type in the official name before sending.  Signing the document is desired, but not signing will not cause the municipality to reprint. </t>
    </r>
    <r>
      <rPr>
        <b/>
        <sz val="12"/>
        <rFont val="Times New Roman"/>
        <family val="1"/>
      </rPr>
      <t>WARNING</t>
    </r>
    <r>
      <rPr>
        <sz val="12"/>
        <rFont val="Times New Roman"/>
        <family val="1"/>
      </rPr>
      <t>: The newspaper publication must occur at least 10 days prior to the hearing date.  If the newspaper publication is not at least 10 days prior to the hearing, the municipality may need to republish.</t>
    </r>
  </si>
  <si>
    <t xml:space="preserve">Once the hearing notice has been printed in the local newspaper, please review the notice to ensure the information was correctly printed and readable.  If the information is not correct, the notice may need to be republished, and may delay the submission of the budget to the County Clerk and the timeline prescribed by KSA 79-2988 to exceed the RNR. </t>
  </si>
  <si>
    <r>
      <t>12.</t>
    </r>
    <r>
      <rPr>
        <sz val="12"/>
        <rFont val="Times New Roman"/>
        <family val="1"/>
      </rPr>
      <t xml:space="preserve"> </t>
    </r>
    <r>
      <rPr>
        <u/>
        <sz val="12"/>
        <rFont val="Times New Roman"/>
        <family val="1"/>
      </rPr>
      <t>Neighborhood Revitalization (NR Rebate)</t>
    </r>
    <r>
      <rPr>
        <sz val="12"/>
        <rFont val="Times New Roman"/>
        <family val="1"/>
      </rPr>
      <t xml:space="preserve">: This document should be completed only after all tax levy fund pages have been completed and the estimated levy rates have been computed on the Budget Summary page.  The ad valorem amounts for each fund will be input into the neighborhood revitalization tool.  The tool will compute the estimated amount of rebate and populate the estimated rebate to each tax levy fund page. This will cause each tax levy fund to have an entry in the neighborhood revitalization expenditure cell, increase the total expenditures amount, recompute the ad valorem needed, and populate the new amount to the hearing notice page.  </t>
    </r>
  </si>
  <si>
    <r>
      <t>Note</t>
    </r>
    <r>
      <rPr>
        <sz val="12"/>
        <rFont val="Times New Roman"/>
        <family val="1"/>
      </rPr>
      <t>: If you had already set the ad valorem taxes so that they were equal to or below the Revenue Neutral Rate (RNR), the neighborhood revitalization rebate could cause the ad valorem tax amount to exceed RNR. If this occurs, you have three options:1) accept the rebate expenditures and pass the RNR resolution; 2) accept the rebate expenditures and reduce other expenditures to reduce ad valorem tax dollars below the RNR threshold; or 3) do not use the rebate expenditures by deleting the ad valorem taxes that were keyed into the Neighborhood Revitalization tool.</t>
    </r>
  </si>
  <si>
    <r>
      <t>a.</t>
    </r>
    <r>
      <rPr>
        <sz val="7"/>
        <rFont val="Times New Roman"/>
        <family val="1"/>
      </rPr>
      <t xml:space="preserve">       </t>
    </r>
    <r>
      <rPr>
        <sz val="12"/>
        <rFont val="Times New Roman"/>
        <family val="1"/>
      </rPr>
      <t xml:space="preserve">You are </t>
    </r>
    <r>
      <rPr>
        <i/>
        <sz val="12"/>
        <rFont val="Times New Roman"/>
        <family val="1"/>
      </rPr>
      <t>not</t>
    </r>
    <r>
      <rPr>
        <sz val="12"/>
        <rFont val="Times New Roman"/>
        <family val="1"/>
      </rPr>
      <t xml:space="preserve"> required to use the Neighborhood Revitalization tool. The tool can be used to estimate the amount of the rebate so that you will have an idea of the amount of ad valorem taxes you will not be receiving. If the municipality chooses not to use the tool, another method of estimating the Neighborhood Revitalization rebate impact should be substituted.</t>
    </r>
  </si>
  <si>
    <r>
      <t>b.</t>
    </r>
    <r>
      <rPr>
        <sz val="7"/>
        <rFont val="Times New Roman"/>
        <family val="1"/>
      </rPr>
      <t xml:space="preserve">      </t>
    </r>
    <r>
      <rPr>
        <sz val="12"/>
        <rFont val="Times New Roman"/>
        <family val="1"/>
      </rPr>
      <t xml:space="preserve"> If you do not have Neighborhood Revitalization, you do not need to include this page with the adopted budget submitted to the County Clerk. </t>
    </r>
  </si>
  <si>
    <r>
      <t>13.</t>
    </r>
    <r>
      <rPr>
        <sz val="12"/>
        <rFont val="Times New Roman"/>
        <family val="1"/>
      </rPr>
      <t xml:space="preserve">  Before submission of the budget to the County Clerk, please review the entire document and verify that all amounts are correct.  In addition, the Certificate page needs to be signed by at least one member of the governing body (signatures from the entire governing body are preferred, but not mandatory). </t>
    </r>
  </si>
  <si>
    <r>
      <t>14.</t>
    </r>
    <r>
      <rPr>
        <sz val="12"/>
        <rFont val="Times New Roman"/>
        <family val="1"/>
      </rPr>
      <t xml:space="preserve">  How to Protect and Unprotect a Worksheet: To Unprotect a worksheet, right-click on the tab and select Unprotect Sheet. </t>
    </r>
    <r>
      <rPr>
        <b/>
        <sz val="12"/>
        <color rgb="FFFF0000"/>
        <rFont val="Times New Roman"/>
        <family val="1"/>
      </rPr>
      <t xml:space="preserve">After changes are made you must protect the worksheet. </t>
    </r>
    <r>
      <rPr>
        <sz val="12"/>
        <color rgb="FFFF0000"/>
        <rFont val="Times New Roman"/>
        <family val="1"/>
      </rPr>
      <t xml:space="preserve"> </t>
    </r>
    <r>
      <rPr>
        <sz val="12"/>
        <rFont val="Times New Roman"/>
        <family val="1"/>
      </rPr>
      <t xml:space="preserve">Right click on the tab, select Protect Sheet and hit OK. You do not need to enter a password. Select OK. </t>
    </r>
  </si>
  <si>
    <t>Input Sheet for Township2 Budget Workbook</t>
  </si>
  <si>
    <t>Note:  the green shaded areas will automatically expand.</t>
  </si>
  <si>
    <t>Enter township name followed by "Township":</t>
  </si>
  <si>
    <t>Enter county name followed by "County":</t>
  </si>
  <si>
    <t>Enter name of first third-class city:</t>
  </si>
  <si>
    <t>Enter name of second third-class city:</t>
  </si>
  <si>
    <t>Enter year being budgeted (YYYY):</t>
  </si>
  <si>
    <t xml:space="preserve">Enter the following information from the sources shown.  This information will flow throughout the budget worksheets to the appropriate locations. </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</si>
  <si>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</si>
  <si>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Note:  All amounts are to be entered as whole numbers only.</t>
  </si>
  <si>
    <t xml:space="preserve">The input for the following comes directly from </t>
  </si>
  <si>
    <r>
      <rPr>
        <b/>
        <sz val="12"/>
        <color indexed="10"/>
        <rFont val="Times New Roman"/>
        <family val="1"/>
      </rPr>
      <t>*</t>
    </r>
    <r>
      <rPr>
        <b/>
        <sz val="12"/>
        <rFont val="Times New Roman"/>
        <family val="1"/>
      </rPr>
      <t>If amended, then use the amended figures.</t>
    </r>
    <r>
      <rPr>
        <b/>
        <sz val="12"/>
        <color indexed="10"/>
        <rFont val="Times New Roman"/>
        <family val="1"/>
      </rPr>
      <t>*</t>
    </r>
  </si>
  <si>
    <t>Fund name for all funds with a tax levy:</t>
  </si>
  <si>
    <t>Statute</t>
  </si>
  <si>
    <r>
      <rPr>
        <sz val="12"/>
        <color indexed="10"/>
        <rFont val="Times New Roman"/>
        <family val="1"/>
      </rPr>
      <t>*</t>
    </r>
    <r>
      <rPr>
        <sz val="12"/>
        <rFont val="Times New Roman"/>
        <family val="1"/>
      </rPr>
      <t>Expenditures</t>
    </r>
    <r>
      <rPr>
        <sz val="12"/>
        <color indexed="10"/>
        <rFont val="Times New Roman"/>
        <family val="1"/>
      </rPr>
      <t>*</t>
    </r>
  </si>
  <si>
    <t>Ad Valorem Tax</t>
  </si>
  <si>
    <t>General</t>
  </si>
  <si>
    <t>79-1962</t>
  </si>
  <si>
    <t xml:space="preserve">Amounts used in lieu of </t>
  </si>
  <si>
    <t>%</t>
  </si>
  <si>
    <t>Debt Service</t>
  </si>
  <si>
    <t>10-113</t>
  </si>
  <si>
    <t>Library</t>
  </si>
  <si>
    <t>12-1220</t>
  </si>
  <si>
    <t>Road</t>
  </si>
  <si>
    <t>68-518c</t>
  </si>
  <si>
    <t>Special Road</t>
  </si>
  <si>
    <t>80-1413</t>
  </si>
  <si>
    <t>Noxious Weed</t>
  </si>
  <si>
    <t>2-1318</t>
  </si>
  <si>
    <t>Fire Protection</t>
  </si>
  <si>
    <t>80-1503</t>
  </si>
  <si>
    <t>Other Fund Names:</t>
  </si>
  <si>
    <t>Non-budgeted funds:</t>
  </si>
  <si>
    <t>Outstanding Indebtedness, January 1:</t>
  </si>
  <si>
    <t xml:space="preserve">  G.O. Bonds</t>
  </si>
  <si>
    <t xml:space="preserve">  Other</t>
  </si>
  <si>
    <t xml:space="preserve">  Lease Purchase Principal</t>
  </si>
  <si>
    <t>Township</t>
  </si>
  <si>
    <r>
      <t xml:space="preserve">Note: In the "Township Supported Funds Only" section, enter the total RNR for all funds that are supported </t>
    </r>
    <r>
      <rPr>
        <b/>
        <i/>
        <sz val="12"/>
        <color rgb="FFFF0000"/>
        <rFont val="Times New Roman"/>
        <family val="1"/>
      </rPr>
      <t xml:space="preserve">only </t>
    </r>
    <r>
      <rPr>
        <b/>
        <sz val="12"/>
        <color rgb="FFFF0000"/>
        <rFont val="Times New Roman"/>
        <family val="1"/>
      </rPr>
      <t xml:space="preserve">by township dollars. In the "Township and 3rd Class City Supported Funds" section, enter the total RNR for all funds that are supported by both, township and 3rd class city dollars.  The summed TOTAL of the two inputs should equal the total RNR for the township. Each rate must be reported seperately to determine the impact to taxpayers individually. 
For example, the "Township Supported Funds" could include the road, special road, noxious weed and/or fire protection funds. The Township and 3rd Class City supported funds would include any other fund of the township. </t>
    </r>
  </si>
  <si>
    <t>Township Supported Funds Only</t>
  </si>
  <si>
    <t>Township and 3rd Class City Supported Funds</t>
  </si>
  <si>
    <t xml:space="preserve">Revenue Neutral Rate    </t>
  </si>
  <si>
    <t>Fund</t>
  </si>
  <si>
    <t>Rate</t>
  </si>
  <si>
    <t>Total</t>
  </si>
  <si>
    <t>Township estimates:</t>
  </si>
  <si>
    <t>Motor Vehicle Tax Estimate</t>
  </si>
  <si>
    <t>Recreational Vehicle Tax Estimate</t>
  </si>
  <si>
    <t>16/20 M Vehicle Tax</t>
  </si>
  <si>
    <t>Commercial Vehicle Tax Estimate</t>
  </si>
  <si>
    <t>Watercraft Tax Estimate</t>
  </si>
  <si>
    <t>1st Third Class City estimates: ***</t>
  </si>
  <si>
    <t xml:space="preserve">Motor Vehicle Tax Estimate </t>
  </si>
  <si>
    <t xml:space="preserve">Recreational Vehicle Tax Estimate </t>
  </si>
  <si>
    <t xml:space="preserve">16/20 M Vehicle Tax </t>
  </si>
  <si>
    <t>2nd Third Class City estimates: ***</t>
  </si>
  <si>
    <t>LAVTR</t>
  </si>
  <si>
    <t>Special Highway/Gasoline Tax</t>
  </si>
  <si>
    <t>*** Note: These estimates are only completed if the County Treasurer provides a breakout from the Township.</t>
  </si>
  <si>
    <t>Computation of Delinquency</t>
  </si>
  <si>
    <t>Delinquency % used in this budget will be shown on all fund pages with a tax levy**</t>
  </si>
  <si>
    <r>
      <t>**</t>
    </r>
    <r>
      <rPr>
        <b/>
        <u/>
        <sz val="12"/>
        <rFont val="Times New Roman"/>
        <family val="1"/>
      </rPr>
      <t>Note</t>
    </r>
    <r>
      <rPr>
        <sz val="12"/>
        <rFont val="Times New Roman"/>
        <family val="1"/>
      </rPr>
      <t>: The delinquency rate can be up to 5% more than the actual delinquency rate from the previous year.</t>
    </r>
  </si>
  <si>
    <t>Funds</t>
  </si>
  <si>
    <t>Budget Authority</t>
  </si>
  <si>
    <t xml:space="preserve">expenditure amounts should reflect the amended </t>
  </si>
  <si>
    <t>expenditure amounts.</t>
  </si>
  <si>
    <t>Public Hearing Input Options</t>
  </si>
  <si>
    <t>Input Examples</t>
  </si>
  <si>
    <r>
      <t xml:space="preserve">This tab will populate the date, time and location of the public hearing on the selected hearing pages, as well as other required information. Please enter the relevant information in the GREEN cells.
Please review the sections below to determine which hearing notice best fits the needs of the taxing subdivision.  Please contact Municipal Services with questions. 
</t>
    </r>
    <r>
      <rPr>
        <b/>
        <sz val="12"/>
        <rFont val="Times New Roman"/>
        <family val="1"/>
      </rPr>
      <t xml:space="preserve">WARNING: Prior to providing newspaper with hearing notice, review all of the information has properly been input and linked to the publication draft. </t>
    </r>
    <r>
      <rPr>
        <sz val="12"/>
        <rFont val="Times New Roman"/>
        <family val="1"/>
      </rPr>
      <t xml:space="preserve">
</t>
    </r>
  </si>
  <si>
    <t>Official Title:</t>
  </si>
  <si>
    <t>City Clerk, City Treasurer, Mayor</t>
  </si>
  <si>
    <t>Date:</t>
  </si>
  <si>
    <t>August 12, 2022</t>
  </si>
  <si>
    <t>Time:</t>
  </si>
  <si>
    <t>7:00 PM or 7:00 AM</t>
  </si>
  <si>
    <t>Location:</t>
  </si>
  <si>
    <t>City Hall</t>
  </si>
  <si>
    <t>Available at:</t>
  </si>
  <si>
    <t>Budget Hearing Notice Only</t>
  </si>
  <si>
    <t>Official Name:</t>
  </si>
  <si>
    <t xml:space="preserve">Taxing subdivisions that do not require a hearing to exceed the revenue neutral rate or will hold/publish the rate hearing separately from the budget hearing, please complete the information in green cells of the "Budget Hearing Notice Only" section. 
You will print the tab "Budget Hearing Notice" and publish this notice in the newspaper at least 10 days prior to the budget hearing. </t>
  </si>
  <si>
    <t xml:space="preserve">Reminder: The notice of hearing must be published at least 10 days prior to hearing date. </t>
  </si>
  <si>
    <t>Budget Available at:</t>
  </si>
  <si>
    <t>Combined Revenue Neutral Rate &amp; Budget Hearing Notice</t>
  </si>
  <si>
    <t xml:space="preserve">Taxing subdivisions that wish to hold a hearing to exceed the revenue neutral rate in conjunction with the regular budget hearing should complete the green cells in the section called "Combined Rate &amp; Budget Hearing Notice". 
You will print the tab called "Combined Rate-Bud Hearing Notice" and publish this notice in the newspaper at least 10 days prior to the hearing date. Addittionally, the taxing subdivision will publish a notice of hearing to exceed the RNR to their website (if maintained).  </t>
  </si>
  <si>
    <t>Hearing to Exceed the Revenue Neutral Rate Notice Only</t>
  </si>
  <si>
    <t xml:space="preserve">If the taxing subdivisin wishes to hold or publish the hearing to exceed the revenue neutral rate separate from the budget hearing, the subdivision may choose the alternate publication "Hearing to Exceed the Revenue Neutral Rate". Note: If using this option, the subdivision MUST also publish the buget hearing notice. </t>
  </si>
  <si>
    <t>CPA Summary of Assumptions</t>
  </si>
  <si>
    <t>CERTIFICATE</t>
  </si>
  <si>
    <t>We, the undersigned, officers of</t>
  </si>
  <si>
    <t xml:space="preserve">certify that:  (1) the hearing mentioned in the attached publication was held; </t>
  </si>
  <si>
    <t>(2) after the Budget Hearing this budget was approved and adopted as the</t>
  </si>
  <si>
    <t xml:space="preserve"> Budget Authority for Expenditures</t>
  </si>
  <si>
    <t>Final Tax Rate (County Clerk's Use Only)</t>
  </si>
  <si>
    <t>Page</t>
  </si>
  <si>
    <t>Table of Contents:</t>
  </si>
  <si>
    <t>No.</t>
  </si>
  <si>
    <t>Alloc of MVT, RVT, and 16/20M Vehicles Tax</t>
  </si>
  <si>
    <t>Schedule of Transfers</t>
  </si>
  <si>
    <t>Statement of Indebt. &amp; Lease/Purchase</t>
  </si>
  <si>
    <t>K.S.A.</t>
  </si>
  <si>
    <t>Special Machinery</t>
  </si>
  <si>
    <t>Totals</t>
  </si>
  <si>
    <t>x</t>
  </si>
  <si>
    <t>Budget Hearing Notice</t>
  </si>
  <si>
    <t>Final County Assessed Valuation</t>
  </si>
  <si>
    <t>County Clerk's Use Only</t>
  </si>
  <si>
    <t>Combined Rate and Budget Hearing Notice</t>
  </si>
  <si>
    <t>Rate Hearing Notice</t>
  </si>
  <si>
    <t>Neighborhood Revitalization Rebate</t>
  </si>
  <si>
    <t xml:space="preserve">Township Only Funds Revenue Neutral Rate </t>
  </si>
  <si>
    <t xml:space="preserve">Township/3rd Class City Funds Revenue Neutral Rate </t>
  </si>
  <si>
    <t>Assisted by:</t>
  </si>
  <si>
    <t>________________________  _______________________</t>
  </si>
  <si>
    <t>Address:</t>
  </si>
  <si>
    <t>Email:</t>
  </si>
  <si>
    <t>Attest: ____________________,</t>
  </si>
  <si>
    <t>County Clerk</t>
  </si>
  <si>
    <t xml:space="preserve">    Governing Body</t>
  </si>
  <si>
    <t>Special Road Election held ___________ for ___Mills for ___ years.</t>
  </si>
  <si>
    <t>First levy in ______.</t>
  </si>
  <si>
    <t>CPA Summary</t>
  </si>
  <si>
    <t xml:space="preserve">Allocation of MV, RV, 16/20M, Commercial Vehicle, and Watercraft Tax Estimates </t>
  </si>
  <si>
    <t>Budgeted Funds</t>
  </si>
  <si>
    <t>MVT - Township</t>
  </si>
  <si>
    <t>MVT - City</t>
  </si>
  <si>
    <t>RVT - Township</t>
  </si>
  <si>
    <t>RVT - City</t>
  </si>
  <si>
    <t>16/20M - Township</t>
  </si>
  <si>
    <t>16/20 - City</t>
  </si>
  <si>
    <t>CommVeh - Twnshp</t>
  </si>
  <si>
    <t>CommVeh - City</t>
  </si>
  <si>
    <t>Wtrcraft - Township</t>
  </si>
  <si>
    <t>Wtrcraft - City</t>
  </si>
  <si>
    <t>***</t>
  </si>
  <si>
    <r>
      <t>Total - 3rd Class City Levies (</t>
    </r>
    <r>
      <rPr>
        <b/>
        <sz val="8"/>
        <rFont val="Times New Roman"/>
        <family val="1"/>
      </rPr>
      <t>***</t>
    </r>
    <r>
      <rPr>
        <sz val="12"/>
        <rFont val="Times New Roman"/>
        <family val="1"/>
      </rPr>
      <t>)</t>
    </r>
  </si>
  <si>
    <t>Expenditure</t>
  </si>
  <si>
    <t>Receipt</t>
  </si>
  <si>
    <t>Actual</t>
  </si>
  <si>
    <t>Current</t>
  </si>
  <si>
    <t>Proposed</t>
  </si>
  <si>
    <t>Transfers</t>
  </si>
  <si>
    <t xml:space="preserve">Fund Transferred </t>
  </si>
  <si>
    <t>Fund Transferred</t>
  </si>
  <si>
    <t>Amount for</t>
  </si>
  <si>
    <t xml:space="preserve">Authorized by </t>
  </si>
  <si>
    <t>From:</t>
  </si>
  <si>
    <t xml:space="preserve">  To:</t>
  </si>
  <si>
    <r>
      <t>Adjustments</t>
    </r>
    <r>
      <rPr>
        <sz val="12"/>
        <color indexed="10"/>
        <rFont val="Times New Roman"/>
        <family val="1"/>
      </rPr>
      <t>*</t>
    </r>
  </si>
  <si>
    <t>Adjusted Totals</t>
  </si>
  <si>
    <t>Transfers - Townships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</si>
  <si>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</si>
  <si>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</si>
  <si>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</si>
  <si>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</si>
  <si>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</si>
  <si>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</si>
  <si>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</si>
  <si>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</si>
  <si>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STATEMENT OF INDEBTEDNESS</t>
  </si>
  <si>
    <t>Type</t>
  </si>
  <si>
    <t>Date</t>
  </si>
  <si>
    <t>Interest</t>
  </si>
  <si>
    <t>Amount</t>
  </si>
  <si>
    <t xml:space="preserve">   Amount Due</t>
  </si>
  <si>
    <t>of</t>
  </si>
  <si>
    <t>Outstanding</t>
  </si>
  <si>
    <t xml:space="preserve">  Date Due</t>
  </si>
  <si>
    <t>Debt</t>
  </si>
  <si>
    <t>Issue</t>
  </si>
  <si>
    <t>Issued</t>
  </si>
  <si>
    <t>Principal</t>
  </si>
  <si>
    <t>G.O. Bonds</t>
  </si>
  <si>
    <t>Total G.O. Bonds</t>
  </si>
  <si>
    <t>Other</t>
  </si>
  <si>
    <t>Total Other</t>
  </si>
  <si>
    <t xml:space="preserve">Total </t>
  </si>
  <si>
    <t>STATEMENT OF CONDITIONAL LEASE-PURCHASE AND CERTIFICATE OF PARTICIPATION*</t>
  </si>
  <si>
    <t>Term</t>
  </si>
  <si>
    <t>Payments</t>
  </si>
  <si>
    <t>Items</t>
  </si>
  <si>
    <t xml:space="preserve">  Contract</t>
  </si>
  <si>
    <t>Contract</t>
  </si>
  <si>
    <t>Financed</t>
  </si>
  <si>
    <t>Balance On</t>
  </si>
  <si>
    <t>Due</t>
  </si>
  <si>
    <t>Purchased</t>
  </si>
  <si>
    <t>(Months)</t>
  </si>
  <si>
    <t>(Beginning Principal)</t>
  </si>
  <si>
    <t>***If  leasing/renting with no intent to purchase, do not list--such transactions are not lease-purchases.</t>
  </si>
  <si>
    <t>WORKSHEET FOR STATE GRANT-IN-AID TO PUBLIC LIBRARIES AND</t>
  </si>
  <si>
    <t>REGIONAL LIBRARY SYSTEMS</t>
  </si>
  <si>
    <r>
      <t xml:space="preserve">As provided in KSA 75-2553 </t>
    </r>
    <r>
      <rPr>
        <i/>
        <sz val="12"/>
        <rFont val="Times New Roman"/>
        <family val="1"/>
      </rPr>
      <t xml:space="preserve">et seq., </t>
    </r>
    <r>
      <rPr>
        <sz val="12"/>
        <rFont val="Times New Roman"/>
        <family val="1"/>
      </rPr>
      <t>two tests are used to determine eligibility for State Library Grant.  If the grant is approved, then the municipality's library will be paid the grant on February 15 of each year.</t>
    </r>
  </si>
  <si>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</si>
  <si>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</si>
  <si>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</si>
  <si>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</si>
  <si>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</si>
  <si>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</si>
  <si>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</si>
  <si>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</si>
  <si>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</si>
  <si>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</si>
  <si>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</si>
  <si>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</si>
  <si>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</si>
  <si>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</si>
  <si>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</si>
  <si>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</si>
  <si>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</si>
  <si>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</si>
  <si>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</si>
  <si>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</si>
  <si>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</si>
  <si>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</si>
  <si>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</si>
  <si>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</si>
  <si>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</si>
  <si>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</si>
  <si>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</si>
  <si>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</si>
  <si>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</si>
  <si>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</si>
  <si>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</si>
  <si>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</si>
  <si>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</si>
  <si>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</si>
  <si>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</si>
  <si>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</si>
  <si>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What should I do?</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</si>
  <si>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</si>
  <si>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</si>
  <si>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</si>
  <si>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</si>
  <si>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</si>
  <si>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</si>
  <si>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</si>
  <si>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</si>
  <si>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</si>
  <si>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</si>
  <si>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</si>
  <si>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</si>
  <si>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</si>
  <si>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</si>
  <si>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Alice.Smith@ks.gov</t>
  </si>
  <si>
    <t>FUND PAGE FOR FUNDS WITH A TAX LEVY</t>
  </si>
  <si>
    <t>Adopted Budget</t>
  </si>
  <si>
    <t>Prior Year</t>
  </si>
  <si>
    <t>Proposed Budget</t>
  </si>
  <si>
    <t>Unencumbered Cash Balance January 1</t>
  </si>
  <si>
    <t>Receipts:</t>
  </si>
  <si>
    <t>Delinquent Tax</t>
  </si>
  <si>
    <t>Motor Vehicle Tax</t>
  </si>
  <si>
    <t>Recreational Vehicle Tax</t>
  </si>
  <si>
    <t>Commercial Vehicle Tax</t>
  </si>
  <si>
    <t>Watercraft Tax</t>
  </si>
  <si>
    <t>Gross Earnings (Intangibles) Tax</t>
  </si>
  <si>
    <t>Interest on Idle Funds</t>
  </si>
  <si>
    <t>Miscellaneous</t>
  </si>
  <si>
    <t>Does miscellaneous exceed 10% of Total Receipts</t>
  </si>
  <si>
    <t>Total Receipts</t>
  </si>
  <si>
    <t>Desired Carryover Amount:</t>
  </si>
  <si>
    <t>Resources Available:</t>
  </si>
  <si>
    <t>Estimated Mill Rate Impact:</t>
  </si>
  <si>
    <t>Expenditures:</t>
  </si>
  <si>
    <t>Expenditures Must Be Changed by:</t>
  </si>
  <si>
    <t>Officers Pay</t>
  </si>
  <si>
    <t>Salaries &amp; Wages</t>
  </si>
  <si>
    <t>Employee Benefits</t>
  </si>
  <si>
    <t>Supplies</t>
  </si>
  <si>
    <t>Equipment</t>
  </si>
  <si>
    <t>Buildings Maintenance</t>
  </si>
  <si>
    <t>Insurance</t>
  </si>
  <si>
    <t>Estimated Mill Rate &amp;
 Revenue Neutral Rate Comparison</t>
  </si>
  <si>
    <t>Transfer to Spec. Mach.(No Levy)</t>
  </si>
  <si>
    <t>Does the General Fund have a tax levy</t>
  </si>
  <si>
    <t>Transfer to Spec. Mach.(Gen has Levy)</t>
  </si>
  <si>
    <t>RNR (Township/3rd Class City)</t>
  </si>
  <si>
    <t>Transfer can not exceed 25% Resources Available</t>
  </si>
  <si>
    <t>Estimated Rate (Township/3rd Class City)</t>
  </si>
  <si>
    <t>Does misc. exceed 10% of Total Expenditures</t>
  </si>
  <si>
    <t>Total Expenditures</t>
  </si>
  <si>
    <t>Unencumbered Cash Balance Dec 31</t>
  </si>
  <si>
    <t>Is a rate hearing/resolution required:</t>
  </si>
  <si>
    <t>Non-Appropriated Balance</t>
  </si>
  <si>
    <t>Total Expenditure/Non-Appr Balance</t>
  </si>
  <si>
    <t>Tax Required</t>
  </si>
  <si>
    <t>Delinquent Comp Rate:</t>
  </si>
  <si>
    <t>Page No.</t>
  </si>
  <si>
    <t xml:space="preserve">Prior Year </t>
  </si>
  <si>
    <t xml:space="preserve">Current Year </t>
  </si>
  <si>
    <t xml:space="preserve">Proposed Budget </t>
  </si>
  <si>
    <t>Unencumbered Cash Balance Jan 1</t>
  </si>
  <si>
    <t>16/20M Vehicle Tax</t>
  </si>
  <si>
    <t>Does misc. exceed 10% of Total Receipts</t>
  </si>
  <si>
    <t/>
  </si>
  <si>
    <t>Road Maintenance</t>
  </si>
  <si>
    <t>Road Materials</t>
  </si>
  <si>
    <t>Transfer to Special Machinery</t>
  </si>
  <si>
    <t>RNR (Township Only)</t>
  </si>
  <si>
    <t>Does transfer exceed 25% of Resources Available</t>
  </si>
  <si>
    <t>Estimated Rate (Township Only)</t>
  </si>
  <si>
    <t xml:space="preserve">Special Machinery </t>
  </si>
  <si>
    <t xml:space="preserve">     K.S.A. 68-141g</t>
  </si>
  <si>
    <t>Unencumbered Cash Balance, Jan 1</t>
  </si>
  <si>
    <t>Transfers from:</t>
  </si>
  <si>
    <t xml:space="preserve">  Road Fund</t>
  </si>
  <si>
    <t xml:space="preserve">  General Fund (No Levy)</t>
  </si>
  <si>
    <t xml:space="preserve">  General Fund (Gen has Levy)</t>
  </si>
  <si>
    <t>Unencumbered Cash Balance, Dec 31</t>
  </si>
  <si>
    <t xml:space="preserve">        </t>
  </si>
  <si>
    <t>FUND PAGE FOR FUNDS WITH NO TAX LEVY</t>
  </si>
  <si>
    <t>Page  No.</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</si>
  <si>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</si>
  <si>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</si>
  <si>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</si>
  <si>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</si>
  <si>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</si>
  <si>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</si>
  <si>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</si>
  <si>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</si>
  <si>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</si>
  <si>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</si>
  <si>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</si>
  <si>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</si>
  <si>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</si>
  <si>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</si>
  <si>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</si>
  <si>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</si>
  <si>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</si>
  <si>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</si>
  <si>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</si>
  <si>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</si>
  <si>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</si>
  <si>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</si>
  <si>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</si>
  <si>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</si>
  <si>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NOTICE OF BUDGET HEARING</t>
  </si>
  <si>
    <t xml:space="preserve">       </t>
  </si>
  <si>
    <t xml:space="preserve">     </t>
  </si>
  <si>
    <t>The governing body of</t>
  </si>
  <si>
    <t>Township overall estimated value of one mill:</t>
  </si>
  <si>
    <t>Township only estimated value of one mill:</t>
  </si>
  <si>
    <t>answering objections of taxpayers relating to the proposed use of all funds and the amount of ad valorem tax.</t>
  </si>
  <si>
    <t>BUDGET SUMMARY</t>
  </si>
  <si>
    <t>Township Only Funds Exp. Changed By:</t>
  </si>
  <si>
    <t>Township Total Funds Exp. Changed By:</t>
  </si>
  <si>
    <t>Expenditures</t>
  </si>
  <si>
    <t>Actual Tax Rate*</t>
  </si>
  <si>
    <t>Budget Authority for Expenditures</t>
  </si>
  <si>
    <t>Proposed Estimated Tax Rate*</t>
  </si>
  <si>
    <t>Change in Ad Valorem Tax Revenue:</t>
  </si>
  <si>
    <t xml:space="preserve">  Township Only Funds Exp. Changed By:</t>
  </si>
  <si>
    <t xml:space="preserve">  Township Total Funds Exp. Changed By:</t>
  </si>
  <si>
    <t>What Mill Rate Would Be Desired?</t>
  </si>
  <si>
    <t>RNR Township Only Funds</t>
  </si>
  <si>
    <t>RNR Township/3rd Class Funds</t>
  </si>
  <si>
    <t>Township Only Funds Estimated Rate</t>
  </si>
  <si>
    <t>Township/3rd Class Funds Estimated Rate</t>
  </si>
  <si>
    <t>Difference btwn Desired and Current Est.:</t>
  </si>
  <si>
    <t>Township Only % Estimated Mill Rate:</t>
  </si>
  <si>
    <t>Township Total % Estimated Mill Rate:</t>
  </si>
  <si>
    <t>Funds Supported by Township Only - Revenue Neutral Rate**</t>
  </si>
  <si>
    <t>Funds Supported by Township and 3rd Class City - Revenue Neutral Rate**</t>
  </si>
  <si>
    <t>Less: Transfers</t>
  </si>
  <si>
    <t>Net Expenditure</t>
  </si>
  <si>
    <t>Total Tax Levied</t>
  </si>
  <si>
    <t>Township Only Funds</t>
  </si>
  <si>
    <t>Total Assessed Valuation</t>
  </si>
  <si>
    <t xml:space="preserve">Is rate hearing/resolution required to exceed Revenue Neutral Rate? </t>
  </si>
  <si>
    <t>Township Assessed Valuation Only</t>
  </si>
  <si>
    <t>Outstanding Indebtedness,</t>
  </si>
  <si>
    <t xml:space="preserve">  Jan 1</t>
  </si>
  <si>
    <t>Township/3rd Class City Funds</t>
  </si>
  <si>
    <t>Lease Purchase Principal</t>
  </si>
  <si>
    <t xml:space="preserve">     Total</t>
  </si>
  <si>
    <t xml:space="preserve">  *Tax rates are expressed in mills.</t>
  </si>
  <si>
    <t>**Revenue Neutral Rate as defined by KSA 79-2988</t>
  </si>
  <si>
    <t>NOTICE OF BUDGET HEARING TO EXCEED REVENUE NEUTRAL RATE AND BUDGET HEARING</t>
  </si>
  <si>
    <t>NOTICE OF HEARING TO EXCEED REVENUE NEUTRAL RATE</t>
  </si>
  <si>
    <t xml:space="preserve">The governing body of </t>
  </si>
  <si>
    <t>answering objections of taxpayers relating to revenue neutral rate and proposed tax rate, as required by KSA 79-2988.</t>
  </si>
  <si>
    <t>SUPPORTING COUNTIES</t>
  </si>
  <si>
    <t>Revenue Neutral Rate*</t>
  </si>
  <si>
    <t>Proposed Tax Rate</t>
  </si>
  <si>
    <t>Township and 3rd Class City Funds</t>
  </si>
  <si>
    <t>Tax Rates are expressed in mills</t>
  </si>
  <si>
    <t>* Revenue Netural Rate as defined by KSA 79-2988</t>
  </si>
  <si>
    <t>TOTAL</t>
  </si>
  <si>
    <t>Valuation Factor:</t>
  </si>
  <si>
    <t>Neighborhood Revitalization Subj to Rebate:</t>
  </si>
  <si>
    <t>Neighborhood Revitalization factor:</t>
  </si>
  <si>
    <t>the Neighborhood Revitalization Rebate table.</t>
  </si>
  <si>
    <t>Resolution No. ______</t>
  </si>
  <si>
    <t>A RESOLUTION OF THE __________ TOWNSHIP, KANSAS TO LEVY A PROPERTY TAX RATE EXCEEDING THE REVENUE NEUTRAL RATE;</t>
  </si>
  <si>
    <r>
      <t xml:space="preserve">           </t>
    </r>
    <r>
      <rPr>
        <b/>
        <sz val="12"/>
        <rFont val="Times New Roman"/>
        <family val="1"/>
      </rPr>
      <t>WHEREAS</t>
    </r>
    <r>
      <rPr>
        <sz val="12"/>
        <rFont val="Times New Roman"/>
        <family val="1"/>
      </rPr>
      <t>, the Revenue Neutral Rate for the  __________  Township was calculated as _________ mills by the ____________ County Clerk; and</t>
    </r>
  </si>
  <si>
    <r>
      <t xml:space="preserve">           </t>
    </r>
    <r>
      <rPr>
        <b/>
        <sz val="12"/>
        <rFont val="Times New Roman"/>
        <family val="1"/>
      </rPr>
      <t>WHEREAS</t>
    </r>
    <r>
      <rPr>
        <sz val="12"/>
        <rFont val="Times New Roman"/>
        <family val="1"/>
      </rPr>
      <t>, the budget proposed by the Governing Body of the __________ Township will require the levy of a property tax rate exceeding the Revenue Neutral Rate; and</t>
    </r>
  </si>
  <si>
    <r>
      <t xml:space="preserve">           </t>
    </r>
    <r>
      <rPr>
        <b/>
        <sz val="12"/>
        <rFont val="Times New Roman"/>
        <family val="1"/>
      </rPr>
      <t>WHEREAS</t>
    </r>
    <r>
      <rPr>
        <sz val="12"/>
        <rFont val="Times New Roman"/>
        <family val="1"/>
      </rPr>
      <t>, the Governing Body held a hearing on _________ (Insert Date) allowing all interested taxpayers desiring to be heard an opportunity to give oral testimony; and</t>
    </r>
  </si>
  <si>
    <r>
      <t xml:space="preserve">          </t>
    </r>
    <r>
      <rPr>
        <b/>
        <sz val="12"/>
        <rFont val="Times New Roman"/>
        <family val="1"/>
      </rPr>
      <t>WHEREAS</t>
    </r>
    <r>
      <rPr>
        <sz val="12"/>
        <rFont val="Times New Roman"/>
        <family val="1"/>
      </rPr>
      <t>, the Governing Body of the  ____________ Township, having heard testimony, still finds it necessary to exceed the Revenue Neutral Rate.</t>
    </r>
  </si>
  <si>
    <t xml:space="preserve">          NOW, THEREFORE, BE IT RESOLVED BY THE GOVERNING BODY OF THE  __________ TOWNSHIP: </t>
  </si>
  <si>
    <t xml:space="preserve">          The  _________ Township shall levy a property tax rate exceeding the Revenue Neutral Rate of _________ mills.</t>
  </si>
  <si>
    <t>This resolution shall take effect and be in force immediately upon its adoption and shall remain in effect until future action is taken by the Governing Body.</t>
  </si>
  <si>
    <r>
      <t xml:space="preserve">          </t>
    </r>
    <r>
      <rPr>
        <b/>
        <sz val="12"/>
        <rFont val="Times New Roman"/>
        <family val="1"/>
      </rPr>
      <t>ADOPTED</t>
    </r>
    <r>
      <rPr>
        <sz val="12"/>
        <rFont val="Times New Roman"/>
        <family val="1"/>
      </rPr>
      <t xml:space="preserve"> this ____ day of ___________ (month and year) and SIGNED by the Governing Body.</t>
    </r>
  </si>
  <si>
    <t xml:space="preserve">          _____________________________</t>
  </si>
  <si>
    <t xml:space="preserve">          Attested:</t>
  </si>
  <si>
    <t xml:space="preserve">          ______________________________</t>
  </si>
  <si>
    <t>Notice of Revenue Neutral Rate Intent</t>
  </si>
  <si>
    <t>THE GOVERNING BODY OF ________________________, HEREBY NOTIFIES THE ___________ COUNTY CLERK OF INTENT TO EXCEED THE REVENUE NEUTRAL RATE;</t>
  </si>
  <si>
    <t>Yes, we intend to exceed the Revenue Neutral Rate and our proposed mill levy rate is _________.  The date of our hearing is ___________ at _____ AM/PM and will be held at ________________ address in _____________, Kansas.</t>
  </si>
  <si>
    <t>No, we do not plan to exceed the Revenue Neutral Rate and will submit our budget to the County Clerk on or before August 25, 20___.</t>
  </si>
  <si>
    <t>WITNESS my hand and official seal on ____________, 20___.</t>
  </si>
  <si>
    <t>(Seal)</t>
  </si>
  <si>
    <t>Clerk or Officer of Governing Body</t>
  </si>
  <si>
    <t>Tab A</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</si>
  <si>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</si>
  <si>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</si>
  <si>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</si>
  <si>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</si>
  <si>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</si>
  <si>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</si>
  <si>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Times New Roman"/>
        <family val="1"/>
      </rPr>
      <t>not been</t>
    </r>
    <r>
      <rPr>
        <sz val="12"/>
        <rFont val="Times New Roman"/>
        <family val="1"/>
      </rPr>
      <t xml:space="preserve"> closed</t>
    </r>
  </si>
  <si>
    <t xml:space="preserve">budget has not been submitted to the county clerk) then the </t>
  </si>
  <si>
    <t xml:space="preserve">budget law violation can be fixed before submission of the </t>
  </si>
  <si>
    <t>budget to the county clerk.</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</si>
  <si>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</si>
  <si>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</si>
  <si>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</si>
  <si>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</si>
  <si>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</si>
  <si>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</si>
  <si>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</si>
  <si>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Times New Roman"/>
        <family val="1"/>
      </rPr>
      <t>expenditure</t>
    </r>
    <r>
      <rPr>
        <sz val="12"/>
        <rFont val="Times New Roman"/>
        <family val="1"/>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</si>
  <si>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</si>
  <si>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</si>
  <si>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</si>
  <si>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</si>
  <si>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</si>
  <si>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</si>
  <si>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</si>
  <si>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</si>
  <si>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</si>
  <si>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</si>
  <si>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</si>
  <si>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</si>
  <si>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</si>
  <si>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</si>
  <si>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</si>
  <si>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</si>
  <si>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</si>
  <si>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</si>
  <si>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</si>
  <si>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</si>
  <si>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</si>
  <si>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</si>
  <si>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</si>
  <si>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</si>
  <si>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</si>
  <si>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</si>
  <si>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</si>
  <si>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</si>
  <si>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</si>
  <si>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</si>
  <si>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</si>
  <si>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</si>
  <si>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</si>
  <si>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</si>
  <si>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</si>
  <si>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</si>
  <si>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</si>
  <si>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</si>
  <si>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Tab B</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</si>
  <si>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</si>
  <si>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</si>
  <si>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</si>
  <si>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</si>
  <si>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</si>
  <si>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</si>
  <si>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</si>
  <si>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</si>
  <si>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</si>
  <si>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</si>
  <si>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</si>
  <si>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</si>
  <si>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</si>
  <si>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Times New Roman"/>
        <family val="1"/>
      </rPr>
      <t>10-1116 applies.</t>
    </r>
    <r>
      <rPr>
        <sz val="12"/>
        <rFont val="Times New Roman"/>
        <family val="1"/>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</si>
  <si>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</si>
  <si>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</si>
  <si>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</si>
  <si>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</si>
  <si>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</si>
  <si>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</si>
  <si>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</si>
  <si>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</si>
  <si>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</si>
  <si>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</si>
  <si>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</si>
  <si>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</si>
  <si>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</si>
  <si>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</si>
  <si>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</si>
  <si>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</si>
  <si>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</si>
  <si>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</si>
  <si>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</si>
  <si>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</si>
  <si>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</si>
  <si>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</si>
  <si>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</si>
  <si>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</si>
  <si>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</si>
  <si>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</si>
  <si>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</si>
  <si>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</si>
  <si>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</si>
  <si>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</si>
  <si>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</si>
  <si>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</si>
  <si>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</si>
  <si>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</si>
  <si>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</si>
  <si>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</si>
  <si>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</si>
  <si>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</si>
  <si>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</si>
  <si>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</si>
  <si>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</si>
  <si>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Tab C</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</si>
  <si>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</si>
  <si>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</si>
  <si>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</si>
  <si>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</si>
  <si>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</si>
  <si>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</si>
  <si>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</si>
  <si>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</si>
  <si>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</si>
  <si>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</si>
  <si>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</si>
  <si>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</si>
  <si>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</si>
  <si>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</si>
  <si>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</si>
  <si>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</si>
  <si>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</si>
  <si>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</si>
  <si>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</si>
  <si>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</si>
  <si>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</si>
  <si>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</si>
  <si>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</si>
  <si>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</si>
  <si>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</si>
  <si>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</si>
  <si>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</si>
  <si>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</si>
  <si>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</si>
  <si>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</si>
  <si>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</si>
  <si>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</si>
  <si>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</si>
  <si>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</si>
  <si>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</si>
  <si>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</si>
  <si>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</si>
  <si>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</si>
  <si>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</si>
  <si>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</si>
  <si>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Tab D</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</si>
  <si>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</si>
  <si>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</si>
  <si>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</si>
  <si>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</si>
  <si>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</si>
  <si>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</si>
  <si>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</si>
  <si>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</si>
  <si>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</si>
  <si>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</si>
  <si>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</si>
  <si>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</si>
  <si>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</si>
  <si>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</si>
  <si>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</si>
  <si>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</si>
  <si>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</si>
  <si>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</si>
  <si>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</si>
  <si>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</si>
  <si>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</si>
  <si>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Tab 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</si>
  <si>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</si>
  <si>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</si>
  <si>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</si>
  <si>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</si>
  <si>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</si>
  <si>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</si>
  <si>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</si>
  <si>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</si>
  <si>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</si>
  <si>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</si>
  <si>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</si>
  <si>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</si>
  <si>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</si>
  <si>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</si>
  <si>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</si>
  <si>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</si>
  <si>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</si>
  <si>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</si>
  <si>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</si>
  <si>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</si>
  <si>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</si>
  <si>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</si>
  <si>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</si>
  <si>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</si>
  <si>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</si>
  <si>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</si>
  <si>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</si>
  <si>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</si>
  <si>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</si>
  <si>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</si>
  <si>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</si>
  <si>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</si>
  <si>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</si>
  <si>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</si>
  <si>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Helpful Links</t>
  </si>
  <si>
    <t>Municipal Services (Kansas Department of Administration, Accounts and Reports) – Budget forms, confirmation of payments, transfer statutes, non-budgeted fund statutes, etc.</t>
  </si>
  <si>
    <t>https://admin.ks.gov/offices/accounts-reports/local-government/municipal-services</t>
  </si>
  <si>
    <t>State Debt Setoff Program (Kansas Department of Administration, Accounts and Reports) – Passive collection tool to assist municipalities with collection of unpaid utility bills, etc.</t>
  </si>
  <si>
    <t>https://admin.ks.gov/offices/accounts-reports/state-agencies/finance/setoff-program</t>
  </si>
  <si>
    <t>League of Kansas Municipalities</t>
  </si>
  <si>
    <t>https://www.lkm.org/</t>
  </si>
  <si>
    <t>Kansas Legislature – Kansas Statutes (usually updated in January), House and Senate Bills, etc.</t>
  </si>
  <si>
    <t>http://www.kslegislature.org/li/</t>
  </si>
  <si>
    <t>Kansas Attorney General Opinions</t>
  </si>
  <si>
    <t>https://ag.ks.gov/media-center/ag-opinions</t>
  </si>
  <si>
    <t>Kansas State Treasurer</t>
  </si>
  <si>
    <t>https://www.kansasstatetreasurer.com/fin_serv.html</t>
  </si>
  <si>
    <t>Kansas Department of Revenue</t>
  </si>
  <si>
    <t>https://www.ksrevenue.gov/</t>
  </si>
  <si>
    <t>Kansas Department of Revenue – Property Valuation</t>
  </si>
  <si>
    <t>https://www.ksrevenue.gov/pvdindex.html</t>
  </si>
  <si>
    <t>Kansas Pooled Money Investment Board – Investment of Idle Funds in the Municipal Investment Pool</t>
  </si>
  <si>
    <t>https://pooledmoneyinvestmentboard.com/</t>
  </si>
  <si>
    <t>The following changes were made to this workbook during March 2022</t>
  </si>
  <si>
    <t xml:space="preserve">1. Budget instructions were updated. </t>
  </si>
  <si>
    <t>2. Basic and consistent formatting throughout (including updating fonts, consistent language and print areas)</t>
  </si>
  <si>
    <t>3. Removed (by hiding rows - data is still present in background) new improvements, personal property, terrotory added, changed use, and expiration of tax abatements on "Input Oth" tab</t>
  </si>
  <si>
    <t>4. Updated budget hearing input tab to include inputs for combined hearing notice and rate only notice. Retitled tab "InputBudHearing"</t>
  </si>
  <si>
    <t>5. Updated Budget Hearing Tab formating and consistency</t>
  </si>
  <si>
    <t xml:space="preserve">6. Added alternate Combined Rate and Budget Hearing notice tab for subdivisions that will publish and hold the RNR rate and budget hearing in conjunction with eachother. </t>
  </si>
  <si>
    <t>7. Added RNR Hearing Notice for an optional publication for the RNR hearing only</t>
  </si>
  <si>
    <t xml:space="preserve">8. Added sample resolution to exceed RNR and sample notice to county clerk to report intention to exceed RNR. </t>
  </si>
  <si>
    <t xml:space="preserve">9. Updated helpful links to provide accurate weblinks. </t>
  </si>
  <si>
    <t>10. Added RNR to Certificate page for comparison to final rates</t>
  </si>
  <si>
    <t>The following changes were made to this workbook during April 2021</t>
  </si>
  <si>
    <t>1. CPI was removed (2021 SB 13)</t>
  </si>
  <si>
    <t>2. Computed Limit/Tax Lid references and tabs were removed throughout workbook (2021 SB 13)</t>
  </si>
  <si>
    <t>3. Budget Summary Page was updated to include Revenue Neutral Rate (2021 SB 13)</t>
  </si>
  <si>
    <t xml:space="preserve">4. Instructions were adjusted to reflect changes from 2021 SB 13. </t>
  </si>
  <si>
    <t xml:space="preserve">5. Updated Cert (Table of Contents) and page numbering. </t>
  </si>
  <si>
    <t>6. Delete Notice of Vote/Resolution Sample worksheets</t>
  </si>
  <si>
    <t>The following changes were made to this workbook during March 2020</t>
  </si>
  <si>
    <t>1. CPI Percentages were entered for the 2021 budget year</t>
  </si>
  <si>
    <t>2. Updated the Helpful Links to correct weblinks</t>
  </si>
  <si>
    <t>3. Used format painter to make all pages consistent in color and layout</t>
  </si>
  <si>
    <t>The following changes were made to this workbook in April 2019</t>
  </si>
  <si>
    <t>1.  Updated Municipal Services' contact information on the Instruction tab</t>
  </si>
  <si>
    <t>2.  Entered 2020 for the Budget Year and 2.5% for the CPI percentage on the InputPrYr tab</t>
  </si>
  <si>
    <t>3.  Highlighted tabs (pages) in blue if the page is to be printed and submitted as part of the budget</t>
  </si>
  <si>
    <t>The following changes were made to this workbook in April 2018</t>
  </si>
  <si>
    <t xml:space="preserve">1.  Added the CPA Summary tab.  </t>
  </si>
  <si>
    <t>2.  Added the CPA Summary comment box on the Certification Page and all fund pages.</t>
  </si>
  <si>
    <t xml:space="preserve">3.  Changed Megan Schulz email address on the Library Grant tab.  </t>
  </si>
  <si>
    <t>4.  Renamed the Pub. Notice Option 1 tab to Notice of Vote.</t>
  </si>
  <si>
    <t>5.  Removed the Pub. Notice Option 2 and 3 tabs.</t>
  </si>
  <si>
    <t>The following changes were made to this workbook on 3/7/2017</t>
  </si>
  <si>
    <t xml:space="preserve">1.  inputPrYr tab, inserted CPI percentage, linked the percentage to the Computation tab. </t>
  </si>
  <si>
    <t>The following changes were made to this workbook on 2/3/2016</t>
  </si>
  <si>
    <t>1.  Inserted 2015 CPI percentage on computation tab.</t>
  </si>
  <si>
    <t>The following changes were made to this workbook on 1/25/2016</t>
  </si>
  <si>
    <t>1.  On tax levy funds NR estimate shown as a negative receipt.</t>
  </si>
  <si>
    <t>The following changes were made to this workbook on 10/5/2015</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</si>
  <si>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</si>
  <si>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</si>
  <si>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</si>
  <si>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</si>
  <si>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</si>
  <si>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2/3/2015</t>
  </si>
  <si>
    <t>1.  Revised proportionate estimate formulas on mvalloc page.</t>
  </si>
  <si>
    <t>The following changes were made to this workbook on 1/22/2015</t>
  </si>
  <si>
    <t>1.  Inserted 2014 CPI percentage on computation tab.</t>
  </si>
  <si>
    <t>2.  Corrected formula in cell d24 of library grant tab.</t>
  </si>
  <si>
    <t>The following changes were made to this workbook on 10/30/2014</t>
  </si>
  <si>
    <t>1.  Various workbook changes associated with commercial vehicle and watercraft tax estimates.</t>
  </si>
  <si>
    <t>The following changes were made to this workbook on 8/28/2014</t>
  </si>
  <si>
    <t>1.  Update of State Library contact name on library grant tab.</t>
  </si>
  <si>
    <t>The following changes were made to this workbook on 7/21/2014</t>
  </si>
  <si>
    <t>1.  Corrected formula in cell g29 of the Library Grant tab.</t>
  </si>
  <si>
    <t>The following changes were made to this workbook on 7/15/2014</t>
  </si>
  <si>
    <t>1.  Added the ROUND function to cell J38 in the computation tab so result will be a whole number.</t>
  </si>
  <si>
    <t>The following changes were made to this workbook on 5/26/2014</t>
  </si>
  <si>
    <t>1.  Several changes to workbook associated with 2014 HB 2047.</t>
  </si>
  <si>
    <t>The following changes were made to this workbook on 4/29/2014</t>
  </si>
  <si>
    <t>1.  "Budget Authority Amount" cell added to budget year column of all funds.</t>
  </si>
  <si>
    <t>The following changes were made to this workbook on 8/9/2013</t>
  </si>
  <si>
    <t>1.  Corrected cell merge function on certificate page so that signatures lines will print.</t>
  </si>
  <si>
    <t>The following changes were made to this workbook on 3/27/2013</t>
  </si>
  <si>
    <t>1.  Instruction tab narrative modification.</t>
  </si>
  <si>
    <t>The following changes were made to this workbook on 1/31/2013</t>
  </si>
  <si>
    <t>1.  Corrected formula in cell e28 of Library Grant tab.</t>
  </si>
  <si>
    <t>The following changes were made to this workbook on 10/10/2012</t>
  </si>
  <si>
    <t>1.  Added "resolution required?  yes/no" message to area adjacent to each tax levy fund.</t>
  </si>
  <si>
    <t>1.  Corrected formula in cell e29 on Library Grant tab page.</t>
  </si>
  <si>
    <t>The following changes were made to this workbook on 2/22/2012</t>
  </si>
  <si>
    <t>1. Library Grant tab, updated State Library e-mail contact address.</t>
  </si>
  <si>
    <t>The following changes were made to this workbook on 2/7/2012</t>
  </si>
  <si>
    <t>1. Instruction tab - line A7 add Library.</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</si>
  <si>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</si>
  <si>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</si>
  <si>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</si>
  <si>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</si>
  <si>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</si>
  <si>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</si>
  <si>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</si>
  <si>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</si>
  <si>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</si>
  <si>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11. InputBudSum tab - added spaces for official name and title.</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</si>
  <si>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</si>
  <si>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</si>
  <si>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</si>
  <si>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</si>
  <si>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</si>
  <si>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</si>
  <si>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</si>
  <si>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</si>
  <si>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</si>
  <si>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</si>
  <si>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</si>
  <si>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</si>
  <si>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</si>
  <si>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</si>
  <si>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</si>
  <si>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website.</t>
  </si>
  <si>
    <t>28. All fund pages - changed the year headings.</t>
  </si>
  <si>
    <t>29. All fund pages - removed slider and its link.</t>
  </si>
  <si>
    <t>The following changes were made to this workbook on 5/4/2011</t>
  </si>
  <si>
    <t>1. Cert tab cell A45 corrected spelling Assessed.</t>
  </si>
  <si>
    <t>2. Gen tab cell B42 corrected spelling Resources.</t>
  </si>
  <si>
    <t>The following changes were made to this workbook on 4/19/2011</t>
  </si>
  <si>
    <t>1. Summ tab changed proposed year expenditure column to 'Budget Authority for Expenditures.'</t>
  </si>
  <si>
    <t>The following changes were made  to this workbook on 10/26/2010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</si>
  <si>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</si>
  <si>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</si>
  <si>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</si>
  <si>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</si>
  <si>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</si>
  <si>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</si>
  <si>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</si>
  <si>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</si>
  <si>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</si>
  <si>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</si>
  <si>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</si>
  <si>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</si>
  <si>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</si>
  <si>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</si>
  <si>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</si>
  <si>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</si>
  <si>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</si>
  <si>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</si>
  <si>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</si>
  <si>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</si>
  <si>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</si>
  <si>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</si>
  <si>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Remove the w-2 infro from certificate page.</t>
  </si>
  <si>
    <t>The following changes were made to this workbook on 4/15/2010</t>
  </si>
  <si>
    <t>1. Changed schedule of transfers statute column to allow for statute to pop-up if transfers are shown in current/proposed columns.</t>
  </si>
  <si>
    <t>The following changes were made to this workbook on 1/05/2010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</si>
  <si>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</si>
  <si>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</si>
  <si>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</si>
  <si>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</si>
  <si>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</si>
  <si>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</si>
  <si>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in the 'General Instruction' section about Funds mill rate computed.</t>
  </si>
  <si>
    <t>2. Change the Certificate and Budget Summary page for 'Funds' in step 1.</t>
  </si>
  <si>
    <t>3. Instruction tab, added step 3 for 'inputBudSum.'</t>
  </si>
  <si>
    <t>4. Added tab 'inputBudSum.'</t>
  </si>
  <si>
    <t>5. Changed Budget Summary replacing the green areas for date/time/location so info comes from inputBudSum tab.</t>
  </si>
  <si>
    <t>6. Added to instruction tab lines 4a and 12b for computation of levy on Certificate and Budget Summary pages.</t>
  </si>
  <si>
    <t>The following changes were made to this workbook on 8/21/2009</t>
  </si>
  <si>
    <t>1. InputPrYr tab changed the Bond &amp; Interest to Debt Service.</t>
  </si>
  <si>
    <t>2. InputPrYr tab added line 18 'If amended . . . .'</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</si>
  <si>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</si>
  <si>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</si>
  <si>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</si>
  <si>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</si>
  <si>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</si>
  <si>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8. TransferStatutes tab created.</t>
  </si>
  <si>
    <t>9. Instructions tab added 6c for TransferStatutes tab.</t>
  </si>
  <si>
    <t>10. Instruction tab added 9m to explain about Non-Budgeted Form.</t>
  </si>
  <si>
    <t>11. Cert tab added Non-Budgeted Funds line A35.</t>
  </si>
  <si>
    <t>12. Added nonbud tab for the Non-Budgeted Funds.</t>
  </si>
  <si>
    <t>13. Summ tab added A34 for Non-Budgeted Funds.</t>
  </si>
  <si>
    <t>14. Added Tabs A to E for violations.</t>
  </si>
  <si>
    <t>15. Changed each fund page taking out the 'Yes' and 'No' and replacing them with 'See Tab' for a possible violation.</t>
  </si>
  <si>
    <t>16. NonBud tab changed Net Valuation to July 1.</t>
  </si>
  <si>
    <t>17. Certificate tab moved the Assisted By: and added more lines for governing body signatures.</t>
  </si>
  <si>
    <t>The following changes were made to this workbook on 5/5/2009</t>
  </si>
  <si>
    <t>1. Summ tab, special machinery's expenditure cell b34 was changed from C61 to B61.</t>
  </si>
  <si>
    <t>The following changes were made to this workbook on 4/3/2009</t>
  </si>
  <si>
    <t>1. Changed mvalloc column d to pickup ad valorem versus equipments from inputPrYr</t>
  </si>
  <si>
    <t>The following were changed to this workbook on 3/19/2009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</si>
  <si>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</si>
  <si>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</si>
  <si>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</si>
  <si>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workbook on 2/23/2009</t>
  </si>
  <si>
    <t>1. Instruction under Submitting of Budget ….required electronic submission.</t>
  </si>
  <si>
    <t>2. Input other tab line 80 change from Budget Summary to Budget Certificate.</t>
  </si>
  <si>
    <t>The following were changed to this workbook on 10/17/2008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</si>
  <si>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</si>
  <si>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</si>
  <si>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</si>
  <si>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</si>
  <si>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</si>
  <si>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</si>
  <si>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</si>
  <si>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</si>
  <si>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</si>
  <si>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</si>
  <si>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</si>
  <si>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</si>
  <si>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</si>
  <si>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</si>
  <si>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</si>
  <si>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</si>
  <si>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14. If road transfer funds to special machinery, the transfers are linked and to the Schedule of Transfers.</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</si>
  <si>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</si>
  <si>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</si>
  <si>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</si>
  <si>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</si>
  <si>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</si>
  <si>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</si>
  <si>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t>15c. Transfers are linked from general fund to special machinery and to Schedule of Transfers. Transfers for actual year will also have the statute reference shown.</t>
  </si>
  <si>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</si>
  <si>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</si>
  <si>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The following were changed to this workbook on 8/06/2007</t>
  </si>
  <si>
    <t>1. instruction were changed: POC change from Roger to armunis, got rid about us providing disk, took the input page and split to input prior budget information and input other, with more in-depth of forms and fund page, and more in-depth on the budget summary page.</t>
  </si>
  <si>
    <t>2. All pages have a revision date.</t>
  </si>
  <si>
    <t xml:space="preserve">3. Hard coded the Bond &amp; Interest, and Road on Certificate and Summary pages. </t>
  </si>
  <si>
    <t xml:space="preserve">4.  All dates on the spreadsheet are controlled from input on the input Prior Year page. </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</si>
  <si>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</si>
  <si>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</si>
  <si>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</si>
  <si>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8. Added  LAVTR to the input page and to the General Fund page.</t>
  </si>
  <si>
    <t>9. Changed the Budget Summary Heading to include Actual/Estimate/Proposed with the budget year.</t>
  </si>
  <si>
    <t>10. Changed the delinquency rate formula for all levy funds.</t>
  </si>
  <si>
    <t>11. Changed the Certificate page so the county name flows instead of having unneeded spaces.</t>
  </si>
  <si>
    <t>12. On inputpryr, using the actual ad valorem rates from the Clerk's information versus from the Certificate page.</t>
  </si>
  <si>
    <t>13. Delinquency rate for actual for 3 decimal and note that rate can be up to 5% over the actual rate.</t>
  </si>
  <si>
    <t>14. Added column to show when debt retired on the Indebtedness page.</t>
  </si>
  <si>
    <t>15. Budget Summary changed the sentence "will meet…" so the year appears as YYYY.</t>
  </si>
  <si>
    <t>16. Resolution page has a space for a page number.</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</si>
  <si>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</si>
  <si>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</si>
  <si>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</si>
  <si>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20. Added to instructions about non-appropriated funds limit of 5%.</t>
  </si>
  <si>
    <t>21. Added warning "Exceeds 5%" on all levy fund pages for the non-appropriated balance.</t>
  </si>
  <si>
    <t>22. Added Neighborhood Revitalization table and linked to the fund pages.</t>
  </si>
  <si>
    <t>23. Added Neighborhood Revitalization receipt to all tax levy fund pages.</t>
  </si>
  <si>
    <t>24. Added Neighborhood Revitalization line to the Certificate page.</t>
  </si>
  <si>
    <t>25. Added Slider to the Vehicle Allocation table and linked to the fund pages.</t>
  </si>
  <si>
    <t>26. Added to all budgeted fund pages the budget authority for the actual year, budget violation, and cash violation.</t>
  </si>
  <si>
    <t>27. Added instruction on the addition for item 26.</t>
  </si>
  <si>
    <t>28. Added 9a to instructions to explain County Treasurers Jan 1 and Dec 31 balances.</t>
  </si>
  <si>
    <t>29. Added 'excluding oil, gas, and mobile homes' to lines 17,21,27, and 31 on Clerks budget info on tab inputoth.</t>
  </si>
  <si>
    <t xml:space="preserve">General </t>
  </si>
  <si>
    <t>Municipal Budget Tools/Explainers for Various Situations</t>
  </si>
  <si>
    <t>Revenue Neutral Rate</t>
  </si>
  <si>
    <r>
      <t xml:space="preserve">• </t>
    </r>
    <r>
      <rPr>
        <sz val="12"/>
        <color rgb="FF000000"/>
        <rFont val="Calibri"/>
        <family val="2"/>
      </rPr>
      <t>RNR – Rate calculated to compare prior year ad valorem tax to current year estimates</t>
    </r>
  </si>
  <si>
    <r>
      <t xml:space="preserve">• </t>
    </r>
    <r>
      <rPr>
        <sz val="12"/>
        <color rgb="FF000000"/>
        <rFont val="Calibri"/>
        <family val="2"/>
      </rPr>
      <t xml:space="preserve">RNR = (Prior year ad valorem revenue/current year valuation estimate)  X 1,000 </t>
    </r>
  </si>
  <si>
    <t>Note: Revenue used is the final billed tax revenue</t>
  </si>
  <si>
    <t xml:space="preserve">Example: </t>
  </si>
  <si>
    <r>
      <t>RNR = (</t>
    </r>
    <r>
      <rPr>
        <b/>
        <sz val="12"/>
        <color rgb="FFFF0000"/>
        <rFont val="Calibri"/>
        <family val="2"/>
      </rPr>
      <t>A</t>
    </r>
    <r>
      <rPr>
        <sz val="12"/>
        <rFont val="Calibri"/>
        <family val="2"/>
      </rPr>
      <t xml:space="preserve"> $80,773/</t>
    </r>
    <r>
      <rPr>
        <b/>
        <sz val="12"/>
        <color rgb="FFFF0000"/>
        <rFont val="Calibri"/>
        <family val="2"/>
      </rPr>
      <t>B</t>
    </r>
    <r>
      <rPr>
        <sz val="12"/>
        <rFont val="Calibri"/>
        <family val="2"/>
      </rPr>
      <t xml:space="preserve"> 1,323,770) X 1,000  =  </t>
    </r>
    <r>
      <rPr>
        <b/>
        <sz val="12"/>
        <color rgb="FFFF0000"/>
        <rFont val="Calibri"/>
        <family val="2"/>
      </rPr>
      <t>C</t>
    </r>
    <r>
      <rPr>
        <sz val="12"/>
        <rFont val="Calibri"/>
        <family val="2"/>
      </rPr>
      <t xml:space="preserve"> 61.017</t>
    </r>
  </si>
  <si>
    <r>
      <t xml:space="preserve">Prior year mill levy rate was </t>
    </r>
    <r>
      <rPr>
        <b/>
        <sz val="12"/>
        <color rgb="FFFF0000"/>
        <rFont val="Calibri"/>
        <family val="2"/>
      </rPr>
      <t>D</t>
    </r>
    <r>
      <rPr>
        <sz val="12"/>
        <rFont val="Calibri"/>
        <family val="2"/>
      </rPr>
      <t xml:space="preserve"> 66.44</t>
    </r>
  </si>
  <si>
    <t>Prior Year Ad Valorem Revenue</t>
  </si>
  <si>
    <r>
      <rPr>
        <b/>
        <sz val="12"/>
        <color rgb="FFFF0000"/>
        <rFont val="Calibri"/>
        <family val="2"/>
      </rPr>
      <t>A</t>
    </r>
    <r>
      <rPr>
        <sz val="12"/>
        <rFont val="Calibri"/>
        <family val="2"/>
      </rPr>
      <t xml:space="preserve"> The prior year ad valorem revenue comes from the 2023 budget certificate page.  </t>
    </r>
  </si>
  <si>
    <t xml:space="preserve">It is the total for the Amount of 2022 Ad Valorem Tax column. </t>
  </si>
  <si>
    <t xml:space="preserve">The 2022 Ad Valorem Tax by fund is keyed in the 2022 Ad Valorem Tax column in the 2024 budget </t>
  </si>
  <si>
    <t>workbook inputPrYr tab.</t>
  </si>
  <si>
    <t>Current Year Valuation Estimate</t>
  </si>
  <si>
    <r>
      <rPr>
        <b/>
        <sz val="12"/>
        <color rgb="FFFF0000"/>
        <rFont val="Calibri"/>
        <family val="2"/>
      </rPr>
      <t>B</t>
    </r>
    <r>
      <rPr>
        <sz val="12"/>
        <rFont val="Calibri"/>
        <family val="2"/>
      </rPr>
      <t xml:space="preserve"> The current year valuation estimate comes from the County Clerk's Budget Information for </t>
    </r>
  </si>
  <si>
    <t xml:space="preserve">the the 2024 Budget received from the county clerk in June. </t>
  </si>
  <si>
    <t xml:space="preserve">The information from the County Clerk's Budget Information for the 2024 Budget is keyed in the </t>
  </si>
  <si>
    <t>2024 budget workbook inputOth tab.</t>
  </si>
  <si>
    <r>
      <t xml:space="preserve">C </t>
    </r>
    <r>
      <rPr>
        <sz val="12"/>
        <color theme="1"/>
        <rFont val="Calibri"/>
        <family val="2"/>
      </rPr>
      <t>The revenue neutral rate is calculated by the county clerk and provided to each taxing subdivision in the county by June 15th.</t>
    </r>
  </si>
  <si>
    <t>Prior Year RNR/Mill Levy Rate</t>
  </si>
  <si>
    <r>
      <t xml:space="preserve">D </t>
    </r>
    <r>
      <rPr>
        <sz val="12"/>
        <color theme="1"/>
        <rFont val="Calibri"/>
        <family val="2"/>
      </rPr>
      <t xml:space="preserve">The sum of the actual tax rates </t>
    </r>
  </si>
  <si>
    <t>How to Compute the Value of One Mill, and the Impact of Tax Dollars and Assessed Valuation on Mill Rates</t>
  </si>
  <si>
    <t xml:space="preserve">The following changes were made to this workbook during April 2023: </t>
  </si>
  <si>
    <t>Reprogram final rate computation on Certificate page</t>
  </si>
  <si>
    <t>Corrected transfer programming for General/Special Machinery and Road/Special Machinery</t>
  </si>
  <si>
    <t>Created Budget Tools, removed 'helpful links' and 'mill rate computation' (those tabs are now located in 'Budget Tools'</t>
  </si>
  <si>
    <t>Roll Call Vote</t>
  </si>
  <si>
    <r>
      <t>A Roll Call Vote of the ___</t>
    </r>
    <r>
      <rPr>
        <u/>
        <sz val="12"/>
        <rFont val="Calibri"/>
        <family val="2"/>
        <scheme val="minor"/>
      </rPr>
      <t>(Governing Body Name)</t>
    </r>
    <r>
      <rPr>
        <sz val="12"/>
        <rFont val="Calibri"/>
        <family val="2"/>
        <scheme val="minor"/>
      </rPr>
      <t>___ To Levy a Property Tax Exceeding the Revenue Neutral Rate</t>
    </r>
  </si>
  <si>
    <r>
      <t>Hearing to Exceed Revenue Neutral Rate held on __</t>
    </r>
    <r>
      <rPr>
        <u/>
        <sz val="12"/>
        <rFont val="Calibri"/>
        <family val="2"/>
        <scheme val="minor"/>
      </rPr>
      <t>(Date)</t>
    </r>
    <r>
      <rPr>
        <sz val="12"/>
        <rFont val="Calibri"/>
        <family val="2"/>
        <scheme val="minor"/>
      </rPr>
      <t>__</t>
    </r>
  </si>
  <si>
    <t>Resolution No. _______________</t>
  </si>
  <si>
    <t>Governing Body Member</t>
  </si>
  <si>
    <t>Yes</t>
  </si>
  <si>
    <t>No</t>
  </si>
  <si>
    <t>No Vote</t>
  </si>
  <si>
    <t xml:space="preserve">Certified: </t>
  </si>
  <si>
    <t>1. Removed LAVTR from inputOth, Library Grant and General fund tabs.</t>
  </si>
  <si>
    <t>2. Renamed Cash Forward/Cash-Basis Reserve to Cash Reserve on all fund pages.</t>
  </si>
  <si>
    <t>The following changes were made to this workbook during April-May 2024</t>
  </si>
  <si>
    <t>3. Added RNR Resolution YES/NO formula to certificate page.</t>
  </si>
  <si>
    <t>Does budget require a resolution to exceed the Revenue Neutral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</si>
</sst>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6" formatCode="&quot;$&quot;#,##0_);[Red]\(&quot;$&quot;#,##0\)"/>
    <numFmt numFmtId="43" formatCode="_(* #,##0.00_);_(* \(#,##0.00\);_(* &quot;-&quot;??_);_(@_)"/>
    <numFmt numFmtId="164" formatCode="0_)"/>
    <numFmt numFmtId="165" formatCode="0.000_)"/>
    <numFmt numFmtId="166" formatCode="m/d/yy"/>
    <numFmt numFmtId="167" formatCode="m/d"/>
    <numFmt numFmtId="168" formatCode="#,##0.000_);\(#,##0.000\)"/>
    <numFmt numFmtId="169" formatCode="0.000"/>
    <numFmt numFmtId="170" formatCode="_(* #,##0_);_(* \(#,##0\);_(* &quot;-&quot;??_);_(@_)"/>
    <numFmt numFmtId="171" formatCode="#,##0.000"/>
    <numFmt numFmtId="172" formatCode="&quot;$&quot;#,##0"/>
    <numFmt numFmtId="173" formatCode="&quot;$&quot;#,##0.00"/>
    <numFmt numFmtId="174" formatCode="0.0%"/>
    <numFmt numFmtId="175" formatCode="#,##0.000_);[Red]\(#,##0.000\)"/>
    <numFmt numFmtId="176" formatCode="0.000_);\(0.000\)"/>
  </numFmts>
  <fonts count="68" x14ac:knownFonts="1">
    <font>
      <sz val="12"/>
      <name val="Courier New"/>
    </font>
    <font>
      <b/>
      <sz val="12"/>
      <name val="Courier New"/>
      <family val="3"/>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1"/>
      <name val="Times New Roman"/>
      <family val="1"/>
    </font>
    <font>
      <sz val="10"/>
      <name val="Times New Roman"/>
      <family val="1"/>
    </font>
    <font>
      <u/>
      <sz val="12"/>
      <color indexed="12"/>
      <name val="Courier New"/>
      <family val="3"/>
    </font>
    <font>
      <sz val="8"/>
      <name val="Courier New"/>
      <family val="3"/>
    </font>
    <font>
      <b/>
      <sz val="11"/>
      <name val="Times New Roman"/>
      <family val="1"/>
    </font>
    <font>
      <sz val="12"/>
      <color indexed="10"/>
      <name val="Times New Roman"/>
      <family val="1"/>
    </font>
    <font>
      <b/>
      <u/>
      <sz val="12"/>
      <color indexed="10"/>
      <name val="Times New Roman"/>
      <family val="1"/>
    </font>
    <font>
      <b/>
      <u/>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2"/>
      <name val="Courier"/>
      <family val="3"/>
    </font>
    <font>
      <u/>
      <sz val="12"/>
      <color indexed="12"/>
      <name val="Courier"/>
      <family val="3"/>
    </font>
    <font>
      <b/>
      <u/>
      <sz val="12"/>
      <name val="Courier"/>
      <family val="3"/>
    </font>
    <font>
      <b/>
      <sz val="13"/>
      <name val="Times New Roman"/>
      <family val="1"/>
    </font>
    <font>
      <u/>
      <sz val="12"/>
      <color indexed="12"/>
      <name val="Times New Roman"/>
      <family val="1"/>
    </font>
    <font>
      <b/>
      <u/>
      <sz val="10"/>
      <name val="Times New Roman"/>
      <family val="1"/>
    </font>
    <font>
      <b/>
      <sz val="10"/>
      <name val="Times New Roman"/>
      <family val="1"/>
    </font>
    <font>
      <sz val="12"/>
      <name val="Courier"/>
      <family val="3"/>
    </font>
    <font>
      <sz val="12"/>
      <name val="Courier"/>
      <family val="3"/>
    </font>
    <font>
      <sz val="10"/>
      <name val="Courier"/>
      <family val="3"/>
    </font>
    <font>
      <sz val="10"/>
      <color indexed="10"/>
      <name val="Times New Roman"/>
      <family val="1"/>
    </font>
    <font>
      <sz val="12"/>
      <name val="Courier"/>
      <family val="3"/>
    </font>
    <font>
      <sz val="12"/>
      <name val="Courier"/>
      <family val="3"/>
    </font>
    <font>
      <b/>
      <sz val="8"/>
      <name val="Times New Roman"/>
      <family val="1"/>
    </font>
    <font>
      <sz val="12"/>
      <name val="Courier"/>
      <family val="3"/>
    </font>
    <font>
      <sz val="11"/>
      <color theme="1"/>
      <name val="Calibri"/>
      <family val="2"/>
      <scheme val="minor"/>
    </font>
    <font>
      <b/>
      <sz val="16"/>
      <name val="Times New Roman"/>
      <family val="1"/>
    </font>
    <font>
      <sz val="12"/>
      <name val="Courier"/>
    </font>
    <font>
      <b/>
      <sz val="14"/>
      <name val="Times New Roman"/>
      <family val="1"/>
    </font>
    <font>
      <u/>
      <vertAlign val="superscript"/>
      <sz val="12"/>
      <name val="Times New Roman"/>
      <family val="1"/>
    </font>
    <font>
      <b/>
      <sz val="12"/>
      <color rgb="FFFF0000"/>
      <name val="Times New Roman"/>
      <family val="1"/>
    </font>
    <font>
      <sz val="11"/>
      <name val="Calibri"/>
      <family val="2"/>
    </font>
    <font>
      <sz val="7"/>
      <name val="Times New Roman"/>
      <family val="1"/>
    </font>
    <font>
      <sz val="12"/>
      <color rgb="FFFF0000"/>
      <name val="Times New Roman"/>
      <family val="1"/>
    </font>
    <font>
      <sz val="14"/>
      <name val="Times New Roman"/>
      <family val="1"/>
    </font>
    <font>
      <i/>
      <u/>
      <sz val="12"/>
      <name val="Times New Roman"/>
      <family val="1"/>
    </font>
    <font>
      <b/>
      <i/>
      <sz val="12"/>
      <color rgb="FFFF0000"/>
      <name val="Times New Roman"/>
      <family val="1"/>
    </font>
    <font>
      <b/>
      <sz val="20"/>
      <color rgb="FF000000"/>
      <name val="Cambria"/>
      <family val="1"/>
      <scheme val="major"/>
    </font>
    <font>
      <b/>
      <sz val="14"/>
      <color rgb="FF000000"/>
      <name val="Cambria"/>
      <family val="1"/>
      <scheme val="major"/>
    </font>
    <font>
      <b/>
      <sz val="28"/>
      <color rgb="FF000000"/>
      <name val="Calibri Light"/>
      <family val="2"/>
    </font>
    <font>
      <sz val="12"/>
      <name val="Calibri"/>
      <family val="2"/>
    </font>
    <font>
      <sz val="12"/>
      <color rgb="FF000000"/>
      <name val="Calibri"/>
      <family val="2"/>
    </font>
    <font>
      <b/>
      <sz val="12"/>
      <color rgb="FFFF0000"/>
      <name val="Calibri"/>
      <family val="2"/>
    </font>
    <font>
      <sz val="12"/>
      <color theme="1"/>
      <name val="Calibri"/>
      <family val="2"/>
    </font>
    <font>
      <b/>
      <sz val="14"/>
      <color theme="1"/>
      <name val="Cambria"/>
      <family val="1"/>
    </font>
    <font>
      <b/>
      <sz val="12"/>
      <name val="Courier"/>
    </font>
    <font>
      <b/>
      <sz val="14"/>
      <name val="Cambria"/>
      <family val="1"/>
      <scheme val="major"/>
    </font>
    <font>
      <sz val="12"/>
      <name val="Calibri"/>
      <family val="2"/>
      <scheme val="minor"/>
    </font>
    <font>
      <b/>
      <sz val="14"/>
      <name val="Calibri"/>
      <family val="2"/>
      <scheme val="minor"/>
    </font>
    <font>
      <u/>
      <sz val="12"/>
      <name val="Calibri"/>
      <family val="2"/>
      <scheme val="minor"/>
    </font>
    <font>
      <b/>
      <sz val="12"/>
      <name val="Calibri"/>
      <family val="2"/>
      <scheme val="minor"/>
    </font>
  </fonts>
  <fills count="18">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41"/>
        <bgColor indexed="64"/>
      </patternFill>
    </fill>
    <fill>
      <patternFill patternType="solid">
        <fgColor indexed="35"/>
        <bgColor indexed="64"/>
      </patternFill>
    </fill>
    <fill>
      <patternFill patternType="solid">
        <fgColor rgb="FFFFFFC0"/>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s>
  <cellStyleXfs count="504">
    <xf numFmtId="0" fontId="0"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5" fillId="0" borderId="0"/>
    <xf numFmtId="0" fontId="3" fillId="0" borderId="0"/>
    <xf numFmtId="0" fontId="42" fillId="0" borderId="0"/>
    <xf numFmtId="0" fontId="3" fillId="0" borderId="0"/>
    <xf numFmtId="0" fontId="3"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3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4"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44" fillId="0" borderId="0"/>
    <xf numFmtId="0" fontId="44" fillId="0" borderId="0"/>
    <xf numFmtId="0" fontId="5" fillId="0" borderId="0"/>
  </cellStyleXfs>
  <cellXfs count="855">
    <xf numFmtId="0" fontId="0" fillId="0" borderId="0" xfId="0"/>
    <xf numFmtId="0" fontId="5" fillId="0" borderId="0" xfId="0" applyFont="1"/>
    <xf numFmtId="3" fontId="5" fillId="2" borderId="1" xfId="0" applyNumberFormat="1" applyFont="1" applyFill="1" applyBorder="1" applyProtection="1">
      <protection locked="0"/>
    </xf>
    <xf numFmtId="3" fontId="5" fillId="3" borderId="1" xfId="0" applyNumberFormat="1" applyFont="1" applyFill="1" applyBorder="1" applyProtection="1">
      <protection locked="0"/>
    </xf>
    <xf numFmtId="0" fontId="5" fillId="4" borderId="0" xfId="0" applyFont="1" applyFill="1"/>
    <xf numFmtId="37" fontId="5" fillId="4" borderId="0" xfId="0" applyNumberFormat="1" applyFont="1" applyFill="1" applyAlignment="1">
      <alignment horizontal="left"/>
    </xf>
    <xf numFmtId="3" fontId="5" fillId="4" borderId="0" xfId="0" applyNumberFormat="1" applyFont="1" applyFill="1"/>
    <xf numFmtId="3" fontId="5" fillId="4" borderId="2" xfId="0" applyNumberFormat="1" applyFont="1" applyFill="1" applyBorder="1"/>
    <xf numFmtId="0" fontId="5" fillId="4" borderId="0" xfId="0" applyFont="1" applyFill="1" applyAlignment="1">
      <alignment horizontal="centerContinuous"/>
    </xf>
    <xf numFmtId="37" fontId="4" fillId="4" borderId="0" xfId="0" applyNumberFormat="1" applyFont="1" applyFill="1" applyAlignment="1">
      <alignment horizontal="left"/>
    </xf>
    <xf numFmtId="37" fontId="5" fillId="4" borderId="2" xfId="0" applyNumberFormat="1" applyFont="1" applyFill="1" applyBorder="1" applyAlignment="1">
      <alignment horizontal="left"/>
    </xf>
    <xf numFmtId="0" fontId="5" fillId="4" borderId="2" xfId="0" applyFont="1" applyFill="1" applyBorder="1"/>
    <xf numFmtId="37" fontId="5" fillId="4" borderId="3" xfId="0" applyNumberFormat="1" applyFont="1" applyFill="1" applyBorder="1" applyAlignment="1">
      <alignment horizontal="left"/>
    </xf>
    <xf numFmtId="0" fontId="5" fillId="4" borderId="3" xfId="0" applyFont="1" applyFill="1" applyBorder="1"/>
    <xf numFmtId="0" fontId="5" fillId="4" borderId="4" xfId="0" applyFont="1" applyFill="1" applyBorder="1"/>
    <xf numFmtId="0" fontId="0" fillId="4" borderId="0" xfId="0" applyFill="1"/>
    <xf numFmtId="37" fontId="5" fillId="4" borderId="0" xfId="0" applyNumberFormat="1" applyFont="1" applyFill="1" applyProtection="1">
      <protection locked="0"/>
    </xf>
    <xf numFmtId="3" fontId="5" fillId="4" borderId="0" xfId="0" applyNumberFormat="1" applyFont="1" applyFill="1" applyProtection="1">
      <protection locked="0"/>
    </xf>
    <xf numFmtId="0" fontId="14" fillId="4" borderId="0" xfId="0" applyFont="1" applyFill="1" applyAlignment="1">
      <alignment horizontal="center"/>
    </xf>
    <xf numFmtId="3" fontId="5" fillId="4" borderId="5" xfId="0" applyNumberFormat="1" applyFont="1" applyFill="1" applyBorder="1"/>
    <xf numFmtId="37" fontId="5" fillId="4" borderId="0" xfId="0" applyNumberFormat="1" applyFont="1" applyFill="1"/>
    <xf numFmtId="169" fontId="5" fillId="5" borderId="1" xfId="0" applyNumberFormat="1" applyFont="1" applyFill="1" applyBorder="1"/>
    <xf numFmtId="37" fontId="4" fillId="4" borderId="2" xfId="0" applyNumberFormat="1" applyFont="1" applyFill="1" applyBorder="1" applyAlignment="1">
      <alignment horizontal="left"/>
    </xf>
    <xf numFmtId="37" fontId="4" fillId="6" borderId="2" xfId="0" applyNumberFormat="1" applyFont="1" applyFill="1" applyBorder="1" applyAlignment="1">
      <alignment horizontal="left"/>
    </xf>
    <xf numFmtId="0" fontId="5" fillId="6" borderId="3" xfId="0" applyFont="1" applyFill="1" applyBorder="1"/>
    <xf numFmtId="3" fontId="5" fillId="5" borderId="1" xfId="0" applyNumberFormat="1" applyFont="1" applyFill="1" applyBorder="1"/>
    <xf numFmtId="0" fontId="6" fillId="4" borderId="0" xfId="0" applyFont="1" applyFill="1"/>
    <xf numFmtId="37" fontId="5" fillId="5" borderId="3" xfId="0" applyNumberFormat="1" applyFont="1" applyFill="1" applyBorder="1" applyProtection="1">
      <protection locked="0"/>
    </xf>
    <xf numFmtId="3" fontId="5" fillId="5" borderId="3" xfId="0" applyNumberFormat="1" applyFont="1" applyFill="1" applyBorder="1" applyProtection="1">
      <protection locked="0"/>
    </xf>
    <xf numFmtId="37" fontId="6" fillId="4" borderId="0" xfId="0" applyNumberFormat="1" applyFont="1" applyFill="1" applyAlignment="1">
      <alignment horizontal="left"/>
    </xf>
    <xf numFmtId="0" fontId="5" fillId="7" borderId="6" xfId="0" applyFont="1" applyFill="1" applyBorder="1" applyAlignment="1">
      <alignment horizontal="center"/>
    </xf>
    <xf numFmtId="0" fontId="5" fillId="7" borderId="7" xfId="0" applyFont="1" applyFill="1" applyBorder="1" applyAlignment="1">
      <alignment horizontal="center"/>
    </xf>
    <xf numFmtId="0" fontId="12" fillId="4" borderId="0" xfId="0" applyFont="1" applyFill="1"/>
    <xf numFmtId="0" fontId="16" fillId="4" borderId="0" xfId="0" applyFont="1" applyFill="1"/>
    <xf numFmtId="37" fontId="5" fillId="4" borderId="1" xfId="0" applyNumberFormat="1" applyFont="1" applyFill="1" applyBorder="1"/>
    <xf numFmtId="0" fontId="5" fillId="4" borderId="0" xfId="0" applyFont="1" applyFill="1" applyAlignment="1">
      <alignment vertical="center"/>
    </xf>
    <xf numFmtId="0" fontId="5" fillId="4" borderId="0" xfId="0" applyFont="1" applyFill="1" applyAlignment="1">
      <alignment horizontal="centerContinuous" vertical="center"/>
    </xf>
    <xf numFmtId="37" fontId="5" fillId="4" borderId="0" xfId="0" quotePrefix="1" applyNumberFormat="1" applyFont="1" applyFill="1" applyAlignment="1">
      <alignment horizontal="right" vertical="center"/>
    </xf>
    <xf numFmtId="37" fontId="5" fillId="4" borderId="0" xfId="0" applyNumberFormat="1" applyFont="1" applyFill="1" applyAlignment="1">
      <alignment horizontal="fill" vertical="center"/>
    </xf>
    <xf numFmtId="37" fontId="5" fillId="4" borderId="0" xfId="0" applyNumberFormat="1" applyFont="1" applyFill="1" applyAlignment="1">
      <alignment horizontal="left" vertical="center"/>
    </xf>
    <xf numFmtId="0" fontId="5" fillId="4" borderId="8" xfId="0" applyFont="1" applyFill="1" applyBorder="1" applyAlignment="1">
      <alignment vertical="center"/>
    </xf>
    <xf numFmtId="37" fontId="5" fillId="4" borderId="2" xfId="0" applyNumberFormat="1" applyFont="1" applyFill="1" applyBorder="1" applyAlignment="1">
      <alignment horizontal="left" vertical="center"/>
    </xf>
    <xf numFmtId="0" fontId="5" fillId="4" borderId="2" xfId="0" applyFont="1" applyFill="1" applyBorder="1" applyAlignment="1">
      <alignment vertical="center"/>
    </xf>
    <xf numFmtId="37" fontId="5" fillId="4" borderId="9" xfId="0" applyNumberFormat="1" applyFont="1" applyFill="1" applyBorder="1" applyAlignment="1">
      <alignment horizontal="left" vertical="center"/>
    </xf>
    <xf numFmtId="0" fontId="5" fillId="4" borderId="4" xfId="0" applyFont="1" applyFill="1" applyBorder="1" applyAlignment="1">
      <alignment vertical="center"/>
    </xf>
    <xf numFmtId="0" fontId="5" fillId="4" borderId="10" xfId="0" applyFont="1" applyFill="1" applyBorder="1" applyAlignment="1">
      <alignment vertical="center"/>
    </xf>
    <xf numFmtId="37" fontId="5" fillId="4" borderId="1" xfId="0" applyNumberFormat="1" applyFont="1" applyFill="1" applyBorder="1" applyAlignment="1">
      <alignment horizontal="center" vertical="center"/>
    </xf>
    <xf numFmtId="0" fontId="5" fillId="4" borderId="11" xfId="0" applyFont="1" applyFill="1" applyBorder="1" applyAlignment="1">
      <alignment vertical="center"/>
    </xf>
    <xf numFmtId="37" fontId="5" fillId="4" borderId="12" xfId="0" applyNumberFormat="1" applyFont="1" applyFill="1" applyBorder="1" applyAlignment="1">
      <alignment horizontal="left" vertical="center"/>
    </xf>
    <xf numFmtId="37" fontId="6" fillId="4" borderId="12" xfId="0" applyNumberFormat="1" applyFont="1" applyFill="1" applyBorder="1" applyAlignment="1">
      <alignment horizontal="left" vertical="center"/>
    </xf>
    <xf numFmtId="37" fontId="6" fillId="4" borderId="0" xfId="0" applyNumberFormat="1" applyFont="1" applyFill="1" applyAlignment="1">
      <alignment horizontal="center" vertical="center"/>
    </xf>
    <xf numFmtId="0" fontId="5" fillId="4" borderId="1" xfId="0" applyFont="1" applyFill="1" applyBorder="1" applyAlignment="1">
      <alignment horizontal="center" vertical="center"/>
    </xf>
    <xf numFmtId="0" fontId="5" fillId="4" borderId="5" xfId="0" applyFont="1" applyFill="1" applyBorder="1" applyAlignment="1">
      <alignment vertical="center"/>
    </xf>
    <xf numFmtId="37" fontId="5" fillId="4" borderId="1" xfId="0" applyNumberFormat="1" applyFont="1" applyFill="1" applyBorder="1" applyAlignment="1">
      <alignment vertical="center"/>
    </xf>
    <xf numFmtId="164" fontId="5" fillId="4" borderId="1" xfId="0" applyNumberFormat="1" applyFont="1" applyFill="1" applyBorder="1" applyAlignment="1">
      <alignment horizontal="center" vertical="center"/>
    </xf>
    <xf numFmtId="165" fontId="5" fillId="4" borderId="1" xfId="0" applyNumberFormat="1" applyFont="1" applyFill="1" applyBorder="1" applyAlignment="1">
      <alignment vertical="center"/>
    </xf>
    <xf numFmtId="37" fontId="5" fillId="4" borderId="9" xfId="0" applyNumberFormat="1" applyFont="1" applyFill="1" applyBorder="1" applyAlignment="1">
      <alignment vertical="center"/>
    </xf>
    <xf numFmtId="37" fontId="5" fillId="4" borderId="4" xfId="0" applyNumberFormat="1" applyFont="1" applyFill="1" applyBorder="1" applyAlignment="1">
      <alignment horizontal="center" vertical="center"/>
    </xf>
    <xf numFmtId="164" fontId="5" fillId="4" borderId="4" xfId="0" applyNumberFormat="1" applyFont="1" applyFill="1" applyBorder="1" applyAlignment="1">
      <alignment horizontal="center" vertical="center"/>
    </xf>
    <xf numFmtId="37" fontId="5" fillId="4" borderId="11" xfId="0" applyNumberFormat="1" applyFont="1" applyFill="1" applyBorder="1" applyAlignment="1">
      <alignment horizontal="center" vertical="center"/>
    </xf>
    <xf numFmtId="37" fontId="4" fillId="4" borderId="9" xfId="0" applyNumberFormat="1" applyFont="1" applyFill="1" applyBorder="1" applyAlignment="1">
      <alignment horizontal="left" vertical="center"/>
    </xf>
    <xf numFmtId="37" fontId="5" fillId="4" borderId="1" xfId="0" applyNumberFormat="1" applyFont="1" applyFill="1" applyBorder="1" applyAlignment="1">
      <alignment horizontal="left" vertical="center"/>
    </xf>
    <xf numFmtId="0" fontId="0" fillId="0" borderId="0" xfId="0" applyAlignment="1">
      <alignment vertical="center"/>
    </xf>
    <xf numFmtId="0" fontId="5" fillId="3" borderId="2" xfId="0" applyFont="1" applyFill="1" applyBorder="1" applyAlignment="1" applyProtection="1">
      <alignment vertical="center"/>
      <protection locked="0"/>
    </xf>
    <xf numFmtId="0" fontId="5" fillId="3" borderId="3" xfId="0" applyFont="1" applyFill="1" applyBorder="1" applyAlignment="1" applyProtection="1">
      <alignment vertical="center"/>
      <protection locked="0"/>
    </xf>
    <xf numFmtId="0" fontId="5" fillId="0" borderId="0" xfId="0" applyFont="1" applyAlignment="1">
      <alignment vertical="center"/>
    </xf>
    <xf numFmtId="0" fontId="5" fillId="3" borderId="0" xfId="0" applyFont="1" applyFill="1" applyAlignment="1" applyProtection="1">
      <alignment vertical="center"/>
      <protection locked="0"/>
    </xf>
    <xf numFmtId="37" fontId="5" fillId="3" borderId="0" xfId="0" applyNumberFormat="1" applyFont="1" applyFill="1" applyAlignment="1" applyProtection="1">
      <alignment horizontal="left" vertical="center"/>
      <protection locked="0"/>
    </xf>
    <xf numFmtId="0" fontId="5" fillId="4" borderId="0" xfId="0" applyFont="1" applyFill="1" applyAlignment="1">
      <alignment horizontal="left" vertical="center"/>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0" fillId="4" borderId="0" xfId="0" applyFont="1" applyFill="1" applyAlignment="1">
      <alignment horizontal="center" vertical="center"/>
    </xf>
    <xf numFmtId="37" fontId="5" fillId="4" borderId="0" xfId="0" applyNumberFormat="1" applyFont="1" applyFill="1" applyAlignment="1">
      <alignment vertical="center"/>
    </xf>
    <xf numFmtId="0" fontId="21" fillId="4" borderId="6" xfId="0" applyFont="1" applyFill="1" applyBorder="1" applyAlignment="1">
      <alignment vertical="center"/>
    </xf>
    <xf numFmtId="0" fontId="21" fillId="4" borderId="4" xfId="0" applyFont="1" applyFill="1" applyBorder="1" applyAlignment="1">
      <alignment horizontal="center" vertical="center"/>
    </xf>
    <xf numFmtId="0" fontId="21" fillId="4" borderId="10" xfId="0" applyFont="1" applyFill="1" applyBorder="1" applyAlignment="1">
      <alignment vertical="center"/>
    </xf>
    <xf numFmtId="0" fontId="21"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21" fillId="4" borderId="12" xfId="0" applyFont="1" applyFill="1" applyBorder="1" applyAlignment="1">
      <alignment vertical="center"/>
    </xf>
    <xf numFmtId="3" fontId="21" fillId="3" borderId="1" xfId="0" applyNumberFormat="1" applyFont="1" applyFill="1" applyBorder="1" applyAlignment="1" applyProtection="1">
      <alignment horizontal="center" vertical="center"/>
      <protection locked="0"/>
    </xf>
    <xf numFmtId="0" fontId="21" fillId="4" borderId="2" xfId="0" applyFont="1" applyFill="1" applyBorder="1" applyAlignment="1">
      <alignment vertical="center"/>
    </xf>
    <xf numFmtId="3" fontId="21" fillId="5" borderId="1" xfId="0" applyNumberFormat="1" applyFont="1" applyFill="1" applyBorder="1" applyAlignment="1">
      <alignment horizontal="center" vertical="center"/>
    </xf>
    <xf numFmtId="0" fontId="21" fillId="4" borderId="0" xfId="0" applyFont="1" applyFill="1" applyAlignment="1">
      <alignment vertical="center"/>
    </xf>
    <xf numFmtId="3" fontId="21" fillId="4" borderId="0" xfId="0" applyNumberFormat="1" applyFont="1" applyFill="1" applyAlignment="1">
      <alignment horizontal="center" vertical="center"/>
    </xf>
    <xf numFmtId="0" fontId="21" fillId="4" borderId="0" xfId="0" applyFont="1" applyFill="1" applyAlignment="1">
      <alignment horizontal="center" vertical="center"/>
    </xf>
    <xf numFmtId="0" fontId="21" fillId="3" borderId="1" xfId="0" applyFont="1" applyFill="1" applyBorder="1" applyAlignment="1" applyProtection="1">
      <alignment vertical="center"/>
      <protection locked="0"/>
    </xf>
    <xf numFmtId="0" fontId="21" fillId="3" borderId="10" xfId="0" applyFont="1" applyFill="1" applyBorder="1" applyAlignment="1" applyProtection="1">
      <alignment vertical="center"/>
      <protection locked="0"/>
    </xf>
    <xf numFmtId="3" fontId="21" fillId="3" borderId="10" xfId="0" applyNumberFormat="1" applyFont="1" applyFill="1" applyBorder="1" applyAlignment="1" applyProtection="1">
      <alignment horizontal="center" vertical="center"/>
      <protection locked="0"/>
    </xf>
    <xf numFmtId="0" fontId="21" fillId="3" borderId="0" xfId="0" applyFont="1" applyFill="1" applyAlignment="1" applyProtection="1">
      <alignment vertical="center"/>
      <protection locked="0"/>
    </xf>
    <xf numFmtId="3" fontId="21" fillId="3" borderId="5" xfId="0" applyNumberFormat="1" applyFont="1" applyFill="1" applyBorder="1" applyAlignment="1" applyProtection="1">
      <alignment horizontal="center" vertical="center"/>
      <protection locked="0"/>
    </xf>
    <xf numFmtId="3" fontId="21" fillId="3" borderId="4" xfId="0" applyNumberFormat="1" applyFont="1" applyFill="1" applyBorder="1" applyAlignment="1" applyProtection="1">
      <alignment horizontal="center" vertical="center"/>
      <protection locked="0"/>
    </xf>
    <xf numFmtId="0" fontId="21" fillId="3" borderId="4" xfId="0" applyFont="1" applyFill="1" applyBorder="1" applyAlignment="1" applyProtection="1">
      <alignment vertical="center"/>
      <protection locked="0"/>
    </xf>
    <xf numFmtId="0" fontId="21" fillId="3" borderId="7" xfId="0" applyFont="1" applyFill="1" applyBorder="1" applyAlignment="1" applyProtection="1">
      <alignment vertical="center"/>
      <protection locked="0"/>
    </xf>
    <xf numFmtId="3" fontId="21" fillId="3" borderId="11" xfId="0" applyNumberFormat="1" applyFont="1" applyFill="1" applyBorder="1" applyAlignment="1" applyProtection="1">
      <alignment horizontal="center" vertical="center"/>
      <protection locked="0"/>
    </xf>
    <xf numFmtId="0" fontId="21" fillId="3" borderId="11" xfId="0" applyFont="1" applyFill="1" applyBorder="1" applyAlignment="1" applyProtection="1">
      <alignment vertical="center"/>
      <protection locked="0"/>
    </xf>
    <xf numFmtId="3" fontId="21" fillId="5" borderId="7" xfId="0" applyNumberFormat="1" applyFont="1" applyFill="1" applyBorder="1" applyAlignment="1">
      <alignment horizontal="center" vertical="center"/>
    </xf>
    <xf numFmtId="3" fontId="21" fillId="6" borderId="1" xfId="0" applyNumberFormat="1" applyFont="1" applyFill="1" applyBorder="1" applyAlignment="1">
      <alignment horizontal="center" vertical="center"/>
    </xf>
    <xf numFmtId="3" fontId="5" fillId="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pplyProtection="1">
      <alignment vertical="center"/>
      <protection locked="0"/>
    </xf>
    <xf numFmtId="37" fontId="4" fillId="4" borderId="0" xfId="0" applyNumberFormat="1" applyFont="1" applyFill="1" applyAlignment="1">
      <alignment horizontal="left" vertical="center"/>
    </xf>
    <xf numFmtId="0" fontId="4" fillId="4" borderId="0" xfId="0" applyFont="1" applyFill="1" applyAlignment="1">
      <alignment vertical="center"/>
    </xf>
    <xf numFmtId="0" fontId="4" fillId="3" borderId="1" xfId="0" applyFont="1" applyFill="1" applyBorder="1" applyAlignment="1" applyProtection="1">
      <alignment horizontal="center" vertical="center"/>
      <protection locked="0"/>
    </xf>
    <xf numFmtId="0" fontId="6" fillId="7" borderId="6" xfId="0" applyFont="1" applyFill="1" applyBorder="1" applyAlignment="1">
      <alignment horizontal="center" vertical="center"/>
    </xf>
    <xf numFmtId="0" fontId="6" fillId="4" borderId="0" xfId="0" applyFont="1" applyFill="1" applyAlignment="1">
      <alignment horizontal="center" vertical="center"/>
    </xf>
    <xf numFmtId="0" fontId="5" fillId="7" borderId="7" xfId="0" applyFont="1" applyFill="1" applyBorder="1" applyAlignment="1">
      <alignment horizontal="center" vertical="center"/>
    </xf>
    <xf numFmtId="3" fontId="5" fillId="2" borderId="1" xfId="0" applyNumberFormat="1" applyFont="1" applyFill="1" applyBorder="1" applyAlignment="1" applyProtection="1">
      <alignment vertical="center"/>
      <protection locked="0"/>
    </xf>
    <xf numFmtId="0" fontId="5" fillId="4" borderId="1" xfId="0" applyFont="1" applyFill="1" applyBorder="1" applyAlignment="1" applyProtection="1">
      <alignment horizontal="center" vertical="center"/>
      <protection locked="0"/>
    </xf>
    <xf numFmtId="37" fontId="5" fillId="2" borderId="1" xfId="0" applyNumberFormat="1" applyFont="1" applyFill="1" applyBorder="1" applyAlignment="1" applyProtection="1">
      <alignment horizontal="left" vertical="center"/>
      <protection locked="0"/>
    </xf>
    <xf numFmtId="0" fontId="5" fillId="4" borderId="2" xfId="0" applyFont="1" applyFill="1" applyBorder="1" applyAlignment="1">
      <alignment horizontal="left" vertical="center"/>
    </xf>
    <xf numFmtId="0" fontId="5" fillId="4" borderId="3" xfId="0" applyFont="1" applyFill="1" applyBorder="1" applyAlignment="1">
      <alignment vertical="center"/>
    </xf>
    <xf numFmtId="37" fontId="5" fillId="4" borderId="3" xfId="0" applyNumberFormat="1" applyFont="1" applyFill="1" applyBorder="1" applyAlignment="1">
      <alignment vertical="center"/>
    </xf>
    <xf numFmtId="37" fontId="5" fillId="5" borderId="1" xfId="0" applyNumberFormat="1" applyFont="1" applyFill="1" applyBorder="1" applyAlignment="1">
      <alignment vertical="center"/>
    </xf>
    <xf numFmtId="0" fontId="0" fillId="4" borderId="0" xfId="0" applyFill="1" applyAlignment="1">
      <alignment vertical="center"/>
    </xf>
    <xf numFmtId="0" fontId="5" fillId="3" borderId="1" xfId="0" applyFont="1" applyFill="1" applyBorder="1" applyAlignment="1" applyProtection="1">
      <alignment vertical="center"/>
      <protection locked="0"/>
    </xf>
    <xf numFmtId="3" fontId="5" fillId="3" borderId="1" xfId="0" applyNumberFormat="1" applyFont="1" applyFill="1" applyBorder="1" applyAlignment="1" applyProtection="1">
      <alignment vertical="center"/>
      <protection locked="0"/>
    </xf>
    <xf numFmtId="3" fontId="5" fillId="5" borderId="1" xfId="0" applyNumberFormat="1" applyFont="1" applyFill="1" applyBorder="1" applyAlignment="1">
      <alignment vertical="center"/>
    </xf>
    <xf numFmtId="165" fontId="5" fillId="4" borderId="2" xfId="0" applyNumberFormat="1" applyFont="1" applyFill="1" applyBorder="1" applyAlignment="1">
      <alignment vertical="center"/>
    </xf>
    <xf numFmtId="165" fontId="5" fillId="5" borderId="13" xfId="0" applyNumberFormat="1" applyFont="1" applyFill="1" applyBorder="1" applyAlignment="1">
      <alignment vertical="center"/>
    </xf>
    <xf numFmtId="0" fontId="5" fillId="4" borderId="0" xfId="0" applyFont="1" applyFill="1" applyAlignment="1" applyProtection="1">
      <alignment vertical="center"/>
      <protection locked="0"/>
    </xf>
    <xf numFmtId="0" fontId="5" fillId="4" borderId="2" xfId="0" applyFont="1" applyFill="1" applyBorder="1" applyAlignment="1">
      <alignment horizontal="center" vertical="center"/>
    </xf>
    <xf numFmtId="0" fontId="5" fillId="4" borderId="5" xfId="0" applyFont="1" applyFill="1" applyBorder="1" applyAlignment="1" applyProtection="1">
      <alignment vertical="center"/>
      <protection locked="0"/>
    </xf>
    <xf numFmtId="0" fontId="5" fillId="4" borderId="4"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4" fillId="0" borderId="0" xfId="0" applyFont="1" applyAlignment="1" applyProtection="1">
      <alignment vertical="center"/>
      <protection locked="0"/>
    </xf>
    <xf numFmtId="1" fontId="5" fillId="4" borderId="9" xfId="0" applyNumberFormat="1" applyFont="1" applyFill="1" applyBorder="1" applyAlignment="1">
      <alignment horizontal="centerContinuous" vertical="center"/>
    </xf>
    <xf numFmtId="1" fontId="5" fillId="4" borderId="4" xfId="0" applyNumberFormat="1" applyFont="1" applyFill="1" applyBorder="1" applyAlignment="1">
      <alignment horizontal="centerContinuous" vertical="center"/>
    </xf>
    <xf numFmtId="0" fontId="5" fillId="4" borderId="4" xfId="0" applyFont="1" applyFill="1" applyBorder="1" applyAlignment="1">
      <alignment horizontal="centerContinuous" vertical="center"/>
    </xf>
    <xf numFmtId="37" fontId="5" fillId="4" borderId="9" xfId="0" applyNumberFormat="1" applyFont="1" applyFill="1" applyBorder="1" applyAlignment="1">
      <alignment horizontal="centerContinuous" vertical="center"/>
    </xf>
    <xf numFmtId="0" fontId="5" fillId="4" borderId="3" xfId="0" applyFont="1" applyFill="1" applyBorder="1" applyAlignment="1">
      <alignment horizontal="centerContinuous" vertical="center"/>
    </xf>
    <xf numFmtId="1" fontId="5" fillId="4" borderId="6" xfId="0" applyNumberFormat="1" applyFont="1" applyFill="1" applyBorder="1" applyAlignment="1">
      <alignment horizontal="center" vertical="center"/>
    </xf>
    <xf numFmtId="0" fontId="5" fillId="4" borderId="6" xfId="0" applyFont="1" applyFill="1" applyBorder="1" applyAlignment="1">
      <alignment vertical="center"/>
    </xf>
    <xf numFmtId="0" fontId="5" fillId="4" borderId="1" xfId="0" applyFont="1" applyFill="1" applyBorder="1" applyAlignment="1">
      <alignment vertical="center"/>
    </xf>
    <xf numFmtId="164" fontId="5" fillId="4" borderId="0" xfId="0" applyNumberFormat="1" applyFont="1" applyFill="1" applyAlignment="1">
      <alignment vertical="center"/>
    </xf>
    <xf numFmtId="37" fontId="5" fillId="4" borderId="4" xfId="0" applyNumberFormat="1" applyFont="1" applyFill="1" applyBorder="1" applyAlignment="1">
      <alignment vertical="center"/>
    </xf>
    <xf numFmtId="1" fontId="5" fillId="4" borderId="2" xfId="0" applyNumberFormat="1" applyFont="1" applyFill="1" applyBorder="1" applyAlignment="1">
      <alignment horizontal="center" vertical="center"/>
    </xf>
    <xf numFmtId="37" fontId="5" fillId="4" borderId="0" xfId="0" applyNumberFormat="1" applyFont="1" applyFill="1" applyAlignment="1">
      <alignment horizontal="right" vertical="center"/>
    </xf>
    <xf numFmtId="0" fontId="5" fillId="0" borderId="0" xfId="0" applyFont="1" applyAlignment="1">
      <alignment vertical="center" wrapText="1"/>
    </xf>
    <xf numFmtId="0" fontId="4" fillId="0" borderId="0" xfId="0" applyFont="1" applyAlignment="1">
      <alignment vertical="center" wrapText="1"/>
    </xf>
    <xf numFmtId="0" fontId="5" fillId="4" borderId="0" xfId="0" applyFont="1" applyFill="1" applyAlignment="1">
      <alignment vertical="center" wrapText="1"/>
    </xf>
    <xf numFmtId="0" fontId="5" fillId="4" borderId="0" xfId="0" applyFont="1" applyFill="1" applyAlignment="1">
      <alignment horizontal="right" vertical="center"/>
    </xf>
    <xf numFmtId="0" fontId="6" fillId="4" borderId="0" xfId="0" applyFont="1" applyFill="1" applyAlignment="1">
      <alignment horizontal="centerContinuous" vertical="center"/>
    </xf>
    <xf numFmtId="0" fontId="5" fillId="4" borderId="6" xfId="0" applyFont="1" applyFill="1" applyBorder="1" applyAlignment="1">
      <alignment horizontal="center" vertical="center"/>
    </xf>
    <xf numFmtId="37" fontId="5" fillId="4" borderId="7" xfId="0" applyNumberFormat="1" applyFont="1" applyFill="1" applyBorder="1" applyAlignment="1">
      <alignment vertical="center"/>
    </xf>
    <xf numFmtId="37" fontId="5" fillId="4" borderId="2" xfId="0" applyNumberFormat="1" applyFont="1" applyFill="1" applyBorder="1" applyAlignment="1">
      <alignment vertical="center"/>
    </xf>
    <xf numFmtId="37" fontId="5" fillId="0" borderId="0" xfId="0" applyNumberFormat="1" applyFont="1" applyAlignment="1">
      <alignment horizontal="fill" vertical="center"/>
    </xf>
    <xf numFmtId="0" fontId="4" fillId="4" borderId="2"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5" fillId="0" borderId="0" xfId="0" applyFont="1" applyAlignment="1" applyProtection="1">
      <alignment horizontal="center" vertical="center"/>
      <protection locked="0"/>
    </xf>
    <xf numFmtId="0" fontId="5" fillId="3" borderId="7" xfId="0" applyFont="1" applyFill="1" applyBorder="1" applyAlignment="1" applyProtection="1">
      <alignment vertical="center"/>
      <protection locked="0"/>
    </xf>
    <xf numFmtId="170" fontId="5" fillId="3" borderId="1" xfId="1" applyNumberFormat="1"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3" fontId="5" fillId="4" borderId="1" xfId="0" applyNumberFormat="1" applyFont="1" applyFill="1" applyBorder="1" applyAlignment="1">
      <alignment vertical="center"/>
    </xf>
    <xf numFmtId="37" fontId="5" fillId="4" borderId="0" xfId="499" applyNumberFormat="1" applyFont="1" applyFill="1" applyAlignment="1">
      <alignment vertical="center"/>
    </xf>
    <xf numFmtId="0" fontId="5" fillId="4" borderId="0" xfId="499" applyFont="1" applyFill="1" applyAlignment="1">
      <alignment vertical="center"/>
    </xf>
    <xf numFmtId="0" fontId="5" fillId="0" borderId="0" xfId="499" applyFont="1" applyAlignment="1" applyProtection="1">
      <alignment vertical="center"/>
      <protection locked="0"/>
    </xf>
    <xf numFmtId="0" fontId="5" fillId="4" borderId="16" xfId="0" applyFont="1" applyFill="1" applyBorder="1" applyAlignment="1">
      <alignment horizontal="centerContinuous" vertical="center"/>
    </xf>
    <xf numFmtId="0" fontId="5" fillId="4" borderId="10" xfId="0" applyFont="1" applyFill="1" applyBorder="1" applyAlignment="1">
      <alignment horizontal="centerContinuous" vertical="center"/>
    </xf>
    <xf numFmtId="0" fontId="5" fillId="4" borderId="8" xfId="0" applyFont="1" applyFill="1" applyBorder="1" applyAlignment="1">
      <alignment horizontal="center" vertical="center"/>
    </xf>
    <xf numFmtId="0" fontId="5" fillId="4" borderId="12" xfId="0" applyFont="1" applyFill="1" applyBorder="1" applyAlignment="1">
      <alignment horizontal="centerContinuous" vertical="center"/>
    </xf>
    <xf numFmtId="0" fontId="5" fillId="4" borderId="5" xfId="0" applyFont="1" applyFill="1" applyBorder="1" applyAlignment="1">
      <alignment horizontal="centerContinuous" vertical="center"/>
    </xf>
    <xf numFmtId="14" fontId="5" fillId="4" borderId="7" xfId="0" quotePrefix="1" applyNumberFormat="1" applyFont="1" applyFill="1" applyBorder="1" applyAlignment="1">
      <alignment horizontal="center" vertical="center"/>
    </xf>
    <xf numFmtId="0" fontId="5" fillId="4" borderId="1" xfId="0" applyFont="1" applyFill="1" applyBorder="1" applyAlignment="1">
      <alignment horizontal="left" vertical="center"/>
    </xf>
    <xf numFmtId="166" fontId="5" fillId="4" borderId="1" xfId="0" applyNumberFormat="1" applyFont="1" applyFill="1" applyBorder="1" applyAlignment="1">
      <alignment horizontal="left" vertical="center"/>
    </xf>
    <xf numFmtId="167" fontId="5" fillId="4" borderId="1" xfId="0" applyNumberFormat="1" applyFont="1" applyFill="1" applyBorder="1" applyAlignment="1">
      <alignment horizontal="left" vertical="center"/>
    </xf>
    <xf numFmtId="0" fontId="5" fillId="2" borderId="1" xfId="0" applyFont="1" applyFill="1" applyBorder="1" applyAlignment="1" applyProtection="1">
      <alignment vertical="center"/>
      <protection locked="0"/>
    </xf>
    <xf numFmtId="166" fontId="5" fillId="2" borderId="1" xfId="0" applyNumberFormat="1" applyFont="1" applyFill="1" applyBorder="1" applyAlignment="1" applyProtection="1">
      <alignment vertical="center"/>
      <protection locked="0"/>
    </xf>
    <xf numFmtId="2" fontId="5" fillId="2" borderId="1" xfId="0" applyNumberFormat="1" applyFont="1" applyFill="1" applyBorder="1" applyAlignment="1" applyProtection="1">
      <alignment vertical="center"/>
      <protection locked="0"/>
    </xf>
    <xf numFmtId="37" fontId="5" fillId="2" borderId="1" xfId="0" applyNumberFormat="1" applyFont="1" applyFill="1" applyBorder="1" applyAlignment="1" applyProtection="1">
      <alignment vertical="center"/>
      <protection locked="0"/>
    </xf>
    <xf numFmtId="167" fontId="5" fillId="2" borderId="1" xfId="0" applyNumberFormat="1" applyFont="1" applyFill="1" applyBorder="1" applyAlignment="1" applyProtection="1">
      <alignment vertical="center"/>
      <protection locked="0"/>
    </xf>
    <xf numFmtId="166" fontId="5" fillId="4" borderId="1" xfId="0" applyNumberFormat="1" applyFont="1" applyFill="1" applyBorder="1" applyAlignment="1">
      <alignment vertical="center"/>
    </xf>
    <xf numFmtId="2" fontId="5" fillId="4" borderId="1" xfId="0" applyNumberFormat="1" applyFont="1" applyFill="1" applyBorder="1" applyAlignment="1">
      <alignment vertical="center"/>
    </xf>
    <xf numFmtId="167" fontId="5" fillId="4" borderId="1" xfId="0" applyNumberFormat="1" applyFont="1" applyFill="1" applyBorder="1" applyAlignment="1">
      <alignment vertical="center"/>
    </xf>
    <xf numFmtId="0" fontId="4" fillId="4" borderId="1" xfId="499" applyFont="1" applyFill="1" applyBorder="1" applyAlignment="1">
      <alignment horizontal="left" vertical="center"/>
    </xf>
    <xf numFmtId="0" fontId="4" fillId="4" borderId="17" xfId="499" applyFont="1" applyFill="1" applyBorder="1" applyAlignment="1">
      <alignment vertical="center"/>
    </xf>
    <xf numFmtId="0" fontId="5" fillId="4" borderId="0" xfId="500" applyFont="1" applyFill="1" applyAlignment="1">
      <alignment horizontal="centerContinuous" vertical="center"/>
    </xf>
    <xf numFmtId="0" fontId="5" fillId="4" borderId="0" xfId="500" applyFont="1" applyFill="1" applyAlignment="1">
      <alignment vertical="center"/>
    </xf>
    <xf numFmtId="0" fontId="5" fillId="0" borderId="0" xfId="500" applyFont="1" applyAlignment="1">
      <alignment vertical="center"/>
    </xf>
    <xf numFmtId="0" fontId="5" fillId="4" borderId="2" xfId="0" applyFont="1" applyFill="1" applyBorder="1" applyAlignment="1">
      <alignment horizontal="fill" vertical="center"/>
    </xf>
    <xf numFmtId="0" fontId="5" fillId="4" borderId="0" xfId="0" applyFont="1" applyFill="1" applyAlignment="1">
      <alignment horizontal="fill" vertical="center"/>
    </xf>
    <xf numFmtId="0" fontId="5" fillId="4" borderId="18" xfId="500" applyFont="1" applyFill="1" applyBorder="1" applyAlignment="1">
      <alignment vertical="center"/>
    </xf>
    <xf numFmtId="0" fontId="7" fillId="4" borderId="7" xfId="0" applyFont="1" applyFill="1" applyBorder="1" applyAlignment="1">
      <alignment horizontal="center" vertical="center"/>
    </xf>
    <xf numFmtId="1" fontId="5" fillId="2" borderId="1" xfId="0" applyNumberFormat="1" applyFont="1" applyFill="1" applyBorder="1" applyAlignment="1" applyProtection="1">
      <alignment vertical="center"/>
      <protection locked="0"/>
    </xf>
    <xf numFmtId="3" fontId="4" fillId="4" borderId="17" xfId="499" applyNumberFormat="1" applyFont="1" applyFill="1" applyBorder="1" applyAlignment="1">
      <alignment vertical="center"/>
    </xf>
    <xf numFmtId="0" fontId="0" fillId="0" borderId="0" xfId="0" applyAlignment="1" applyProtection="1">
      <alignment vertical="center"/>
      <protection locked="0"/>
    </xf>
    <xf numFmtId="164" fontId="5" fillId="4" borderId="0" xfId="0" applyNumberFormat="1" applyFont="1" applyFill="1" applyAlignment="1">
      <alignment horizontal="right" vertical="center"/>
    </xf>
    <xf numFmtId="37" fontId="5" fillId="4" borderId="2" xfId="0" quotePrefix="1" applyNumberFormat="1" applyFont="1" applyFill="1" applyBorder="1" applyAlignment="1">
      <alignment horizontal="right" vertical="center"/>
    </xf>
    <xf numFmtId="3" fontId="5" fillId="2" borderId="9" xfId="0" applyNumberFormat="1" applyFont="1" applyFill="1" applyBorder="1" applyAlignment="1" applyProtection="1">
      <alignment vertical="center"/>
      <protection locked="0"/>
    </xf>
    <xf numFmtId="3" fontId="5" fillId="2" borderId="4" xfId="0" applyNumberFormat="1" applyFont="1" applyFill="1" applyBorder="1" applyAlignment="1" applyProtection="1">
      <alignment vertical="center"/>
      <protection locked="0"/>
    </xf>
    <xf numFmtId="3" fontId="5" fillId="4" borderId="1" xfId="0" applyNumberFormat="1" applyFont="1" applyFill="1" applyBorder="1" applyAlignment="1">
      <alignment horizontal="fill" vertical="center"/>
    </xf>
    <xf numFmtId="0" fontId="5" fillId="4" borderId="9" xfId="0" applyFont="1" applyFill="1" applyBorder="1" applyAlignment="1">
      <alignment vertical="center"/>
    </xf>
    <xf numFmtId="0" fontId="5" fillId="2" borderId="9" xfId="0" applyFont="1" applyFill="1" applyBorder="1" applyAlignment="1" applyProtection="1">
      <alignment vertical="center"/>
      <protection locked="0"/>
    </xf>
    <xf numFmtId="37" fontId="5" fillId="2" borderId="9" xfId="0" applyNumberFormat="1" applyFont="1" applyFill="1" applyBorder="1" applyAlignment="1" applyProtection="1">
      <alignment horizontal="left" vertical="center"/>
      <protection locked="0"/>
    </xf>
    <xf numFmtId="37" fontId="5" fillId="4" borderId="9" xfId="0" applyNumberFormat="1" applyFont="1" applyFill="1" applyBorder="1" applyAlignment="1" applyProtection="1">
      <alignment horizontal="left" vertical="center"/>
      <protection locked="0"/>
    </xf>
    <xf numFmtId="3" fontId="12" fillId="6" borderId="4" xfId="0" applyNumberFormat="1" applyFont="1" applyFill="1" applyBorder="1" applyAlignment="1">
      <alignment horizontal="center" vertical="center"/>
    </xf>
    <xf numFmtId="0" fontId="4" fillId="4" borderId="9" xfId="0" applyFont="1" applyFill="1" applyBorder="1" applyAlignment="1">
      <alignment vertical="center"/>
    </xf>
    <xf numFmtId="3" fontId="12" fillId="6" borderId="1" xfId="0" applyNumberFormat="1" applyFont="1" applyFill="1" applyBorder="1" applyAlignment="1">
      <alignment horizontal="center" vertical="center"/>
    </xf>
    <xf numFmtId="0" fontId="12" fillId="0" borderId="0" xfId="0" applyFont="1" applyAlignment="1">
      <alignment vertical="center"/>
    </xf>
    <xf numFmtId="0" fontId="13" fillId="4" borderId="0" xfId="0" applyFont="1" applyFill="1" applyAlignment="1">
      <alignment horizontal="center" vertical="center"/>
    </xf>
    <xf numFmtId="0" fontId="12" fillId="4" borderId="0" xfId="0" applyFont="1" applyFill="1" applyAlignment="1">
      <alignment vertical="center"/>
    </xf>
    <xf numFmtId="37" fontId="4" fillId="4" borderId="1" xfId="0" applyNumberFormat="1" applyFont="1" applyFill="1" applyBorder="1" applyAlignment="1">
      <alignment horizontal="left" vertical="center"/>
    </xf>
    <xf numFmtId="3" fontId="4" fillId="4" borderId="1" xfId="0" applyNumberFormat="1" applyFont="1" applyFill="1" applyBorder="1" applyAlignment="1">
      <alignment vertical="center"/>
    </xf>
    <xf numFmtId="1" fontId="5" fillId="4" borderId="0" xfId="0" applyNumberFormat="1" applyFont="1" applyFill="1" applyAlignment="1">
      <alignment horizontal="right" vertical="center"/>
    </xf>
    <xf numFmtId="0" fontId="5" fillId="4" borderId="9" xfId="0" applyFont="1" applyFill="1" applyBorder="1" applyAlignment="1">
      <alignment horizontal="left" vertical="center"/>
    </xf>
    <xf numFmtId="0" fontId="5" fillId="4" borderId="12" xfId="0" applyFont="1" applyFill="1" applyBorder="1" applyAlignment="1">
      <alignment horizontal="left" vertical="center"/>
    </xf>
    <xf numFmtId="0" fontId="5" fillId="2" borderId="9" xfId="0" applyFont="1" applyFill="1" applyBorder="1" applyAlignment="1" applyProtection="1">
      <alignment horizontal="left" vertical="center"/>
      <protection locked="0"/>
    </xf>
    <xf numFmtId="3" fontId="5" fillId="4" borderId="1" xfId="0" applyNumberFormat="1" applyFont="1" applyFill="1" applyBorder="1" applyAlignment="1">
      <alignment horizontal="center" vertical="center"/>
    </xf>
    <xf numFmtId="0" fontId="5" fillId="4" borderId="6"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3" fontId="5" fillId="3" borderId="1" xfId="0" applyNumberFormat="1" applyFont="1" applyFill="1" applyBorder="1" applyAlignment="1" applyProtection="1">
      <alignment horizontal="center" vertical="center"/>
      <protection locked="0"/>
    </xf>
    <xf numFmtId="171" fontId="5" fillId="4" borderId="1" xfId="0" applyNumberFormat="1" applyFont="1" applyFill="1" applyBorder="1" applyAlignment="1">
      <alignment horizontal="center" vertical="center"/>
    </xf>
    <xf numFmtId="3" fontId="5" fillId="3" borderId="6" xfId="0" applyNumberFormat="1" applyFont="1" applyFill="1" applyBorder="1" applyAlignment="1" applyProtection="1">
      <alignment horizontal="center" vertical="center"/>
      <protection locked="0"/>
    </xf>
    <xf numFmtId="3" fontId="5" fillId="4" borderId="13" xfId="0" applyNumberFormat="1" applyFont="1" applyFill="1" applyBorder="1" applyAlignment="1">
      <alignment horizontal="center" vertical="center"/>
    </xf>
    <xf numFmtId="171" fontId="5" fillId="4" borderId="13"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171" fontId="5" fillId="4" borderId="2" xfId="0" applyNumberFormat="1" applyFont="1" applyFill="1" applyBorder="1" applyAlignment="1">
      <alignment horizontal="center" vertical="center"/>
    </xf>
    <xf numFmtId="171" fontId="5" fillId="4" borderId="0" xfId="0" applyNumberFormat="1" applyFont="1" applyFill="1" applyAlignment="1">
      <alignment horizontal="center" vertical="center"/>
    </xf>
    <xf numFmtId="0" fontId="0" fillId="4" borderId="0" xfId="0" applyFill="1" applyAlignment="1">
      <alignment horizontal="center" vertical="center"/>
    </xf>
    <xf numFmtId="169" fontId="5" fillId="4" borderId="0" xfId="0" applyNumberFormat="1" applyFont="1" applyFill="1" applyAlignment="1">
      <alignment vertical="center"/>
    </xf>
    <xf numFmtId="3" fontId="25" fillId="6" borderId="0" xfId="0" applyNumberFormat="1" applyFont="1" applyFill="1" applyAlignment="1">
      <alignment horizontal="center" vertical="center"/>
    </xf>
    <xf numFmtId="0" fontId="24" fillId="0" borderId="0" xfId="0" applyFont="1" applyAlignment="1">
      <alignment horizontal="center" vertical="center"/>
    </xf>
    <xf numFmtId="0" fontId="7" fillId="0" borderId="0" xfId="0" applyFont="1" applyAlignment="1">
      <alignment vertical="center"/>
    </xf>
    <xf numFmtId="0" fontId="11" fillId="0" borderId="0" xfId="0" applyFont="1" applyAlignment="1">
      <alignment vertical="center" wrapText="1"/>
    </xf>
    <xf numFmtId="0" fontId="26" fillId="0" borderId="0" xfId="0" applyFont="1" applyAlignment="1">
      <alignment horizontal="center" vertical="center"/>
    </xf>
    <xf numFmtId="0" fontId="5" fillId="0" borderId="0" xfId="45" applyFont="1" applyAlignment="1">
      <alignment vertical="center"/>
    </xf>
    <xf numFmtId="0" fontId="29" fillId="0" borderId="0" xfId="0" applyFont="1" applyAlignment="1">
      <alignment horizontal="center"/>
    </xf>
    <xf numFmtId="0" fontId="3" fillId="0" borderId="0" xfId="0" applyFont="1"/>
    <xf numFmtId="0" fontId="15" fillId="0" borderId="0" xfId="0" applyFont="1"/>
    <xf numFmtId="0" fontId="15" fillId="0" borderId="0" xfId="0" applyFont="1" applyAlignment="1">
      <alignment horizontal="center"/>
    </xf>
    <xf numFmtId="0" fontId="6" fillId="0" borderId="0" xfId="0" applyFont="1" applyAlignment="1">
      <alignment vertical="center"/>
    </xf>
    <xf numFmtId="0" fontId="6" fillId="0" borderId="0" xfId="82" applyFont="1" applyAlignment="1">
      <alignment vertical="center"/>
    </xf>
    <xf numFmtId="14" fontId="5" fillId="2" borderId="1" xfId="0" applyNumberFormat="1" applyFont="1" applyFill="1" applyBorder="1" applyAlignment="1" applyProtection="1">
      <alignment vertical="center"/>
      <protection locked="0"/>
    </xf>
    <xf numFmtId="1" fontId="5" fillId="4" borderId="16" xfId="0" applyNumberFormat="1" applyFont="1" applyFill="1" applyBorder="1" applyAlignment="1">
      <alignment horizontal="center" vertical="center"/>
    </xf>
    <xf numFmtId="37" fontId="5" fillId="4" borderId="12" xfId="0" applyNumberFormat="1" applyFont="1" applyFill="1" applyBorder="1" applyAlignment="1">
      <alignment horizontal="center" vertical="center"/>
    </xf>
    <xf numFmtId="3" fontId="5" fillId="4" borderId="9" xfId="0" applyNumberFormat="1" applyFont="1" applyFill="1" applyBorder="1" applyAlignment="1">
      <alignment vertical="center"/>
    </xf>
    <xf numFmtId="37" fontId="5" fillId="4" borderId="16" xfId="0" applyNumberFormat="1" applyFont="1" applyFill="1" applyBorder="1" applyAlignment="1">
      <alignment horizontal="center" vertical="center"/>
    </xf>
    <xf numFmtId="3" fontId="12" fillId="6" borderId="9" xfId="0" applyNumberFormat="1" applyFont="1" applyFill="1" applyBorder="1" applyAlignment="1">
      <alignment horizontal="center" vertical="center"/>
    </xf>
    <xf numFmtId="37" fontId="5" fillId="4" borderId="7" xfId="0" applyNumberFormat="1" applyFont="1" applyFill="1" applyBorder="1" applyAlignment="1">
      <alignment horizontal="fill" vertical="center"/>
    </xf>
    <xf numFmtId="37" fontId="5" fillId="4" borderId="0" xfId="0" applyNumberFormat="1" applyFont="1" applyFill="1" applyAlignment="1" applyProtection="1">
      <alignment horizontal="left" vertical="center"/>
      <protection locked="0"/>
    </xf>
    <xf numFmtId="49" fontId="5" fillId="2" borderId="1" xfId="0" applyNumberFormat="1" applyFont="1" applyFill="1" applyBorder="1" applyAlignment="1" applyProtection="1">
      <alignment horizontal="center" vertical="center"/>
      <protection locked="0"/>
    </xf>
    <xf numFmtId="37" fontId="4" fillId="4" borderId="0" xfId="0" applyNumberFormat="1" applyFont="1" applyFill="1" applyAlignment="1">
      <alignment vertical="center"/>
    </xf>
    <xf numFmtId="37" fontId="4" fillId="4" borderId="2" xfId="0" applyNumberFormat="1" applyFont="1" applyFill="1" applyBorder="1" applyAlignment="1">
      <alignment vertical="center"/>
    </xf>
    <xf numFmtId="3" fontId="4" fillId="4" borderId="1" xfId="0" applyNumberFormat="1" applyFont="1" applyFill="1" applyBorder="1" applyAlignment="1">
      <alignment horizontal="center" vertical="center"/>
    </xf>
    <xf numFmtId="3" fontId="5" fillId="2" borderId="1" xfId="0" applyNumberFormat="1" applyFont="1" applyFill="1" applyBorder="1" applyAlignment="1" applyProtection="1">
      <alignment horizontal="center" vertical="center"/>
      <protection locked="0"/>
    </xf>
    <xf numFmtId="37" fontId="5" fillId="4" borderId="0" xfId="24" applyNumberFormat="1" applyFont="1" applyFill="1" applyAlignment="1">
      <alignment horizontal="right" vertical="center"/>
    </xf>
    <xf numFmtId="0" fontId="5" fillId="4" borderId="18" xfId="0" applyFont="1" applyFill="1" applyBorder="1" applyAlignment="1">
      <alignment vertical="center"/>
    </xf>
    <xf numFmtId="0" fontId="8" fillId="4" borderId="18" xfId="0" applyFont="1" applyFill="1" applyBorder="1" applyAlignment="1">
      <alignment vertical="center"/>
    </xf>
    <xf numFmtId="172" fontId="8" fillId="4" borderId="11" xfId="0" applyNumberFormat="1" applyFont="1" applyFill="1" applyBorder="1" applyAlignment="1">
      <alignment horizontal="center" vertical="center"/>
    </xf>
    <xf numFmtId="0" fontId="8" fillId="4" borderId="18" xfId="0" applyFont="1" applyFill="1" applyBorder="1" applyAlignment="1">
      <alignment horizontal="left" vertical="center"/>
    </xf>
    <xf numFmtId="172" fontId="8" fillId="3" borderId="1" xfId="0" applyNumberFormat="1" applyFont="1" applyFill="1" applyBorder="1" applyAlignment="1" applyProtection="1">
      <alignment horizontal="center" vertical="center"/>
      <protection locked="0"/>
    </xf>
    <xf numFmtId="0" fontId="5" fillId="6" borderId="2" xfId="0" applyFont="1" applyFill="1" applyBorder="1" applyAlignment="1">
      <alignment vertical="center"/>
    </xf>
    <xf numFmtId="172" fontId="5" fillId="6" borderId="5" xfId="0" applyNumberFormat="1" applyFont="1" applyFill="1" applyBorder="1" applyAlignment="1">
      <alignment horizontal="center" vertical="center"/>
    </xf>
    <xf numFmtId="0" fontId="5" fillId="6" borderId="12" xfId="0" applyFont="1" applyFill="1" applyBorder="1" applyAlignment="1">
      <alignment vertical="center"/>
    </xf>
    <xf numFmtId="172" fontId="5" fillId="6" borderId="11" xfId="0" applyNumberFormat="1" applyFont="1" applyFill="1" applyBorder="1" applyAlignment="1">
      <alignment horizontal="center"/>
    </xf>
    <xf numFmtId="0" fontId="5" fillId="6" borderId="0" xfId="0" applyFont="1" applyFill="1"/>
    <xf numFmtId="0" fontId="5" fillId="6" borderId="18" xfId="0" applyFont="1" applyFill="1" applyBorder="1"/>
    <xf numFmtId="169" fontId="5" fillId="4" borderId="11" xfId="0" applyNumberFormat="1" applyFont="1" applyFill="1" applyBorder="1" applyAlignment="1">
      <alignment horizontal="center"/>
    </xf>
    <xf numFmtId="0" fontId="5" fillId="4" borderId="11" xfId="0" applyFont="1" applyFill="1" applyBorder="1"/>
    <xf numFmtId="0" fontId="5" fillId="4" borderId="18" xfId="0" applyFont="1" applyFill="1" applyBorder="1"/>
    <xf numFmtId="0" fontId="5" fillId="4" borderId="12" xfId="0" applyFont="1" applyFill="1" applyBorder="1"/>
    <xf numFmtId="172" fontId="5" fillId="4" borderId="11" xfId="0" applyNumberFormat="1" applyFont="1" applyFill="1" applyBorder="1" applyAlignment="1">
      <alignment horizontal="center"/>
    </xf>
    <xf numFmtId="0" fontId="8" fillId="4" borderId="18" xfId="0" applyFont="1" applyFill="1" applyBorder="1"/>
    <xf numFmtId="169" fontId="5" fillId="0" borderId="0" xfId="0" applyNumberFormat="1" applyFont="1" applyAlignment="1" applyProtection="1">
      <alignment vertical="center"/>
      <protection locked="0"/>
    </xf>
    <xf numFmtId="171" fontId="5" fillId="3" borderId="1" xfId="0" applyNumberFormat="1" applyFont="1" applyFill="1" applyBorder="1" applyAlignment="1" applyProtection="1">
      <alignment horizontal="center"/>
      <protection locked="0"/>
    </xf>
    <xf numFmtId="0" fontId="5" fillId="3" borderId="12" xfId="0" applyFont="1" applyFill="1" applyBorder="1"/>
    <xf numFmtId="0" fontId="5" fillId="3" borderId="2" xfId="0" applyFont="1" applyFill="1" applyBorder="1"/>
    <xf numFmtId="0" fontId="5" fillId="3" borderId="5" xfId="0" applyFont="1" applyFill="1" applyBorder="1"/>
    <xf numFmtId="172" fontId="5" fillId="0" borderId="0" xfId="0" applyNumberFormat="1" applyFont="1" applyAlignment="1" applyProtection="1">
      <alignment vertical="center"/>
      <protection locked="0"/>
    </xf>
    <xf numFmtId="0" fontId="5" fillId="4" borderId="11" xfId="0" applyFont="1" applyFill="1" applyBorder="1" applyAlignment="1">
      <alignment horizontal="center" vertical="center"/>
    </xf>
    <xf numFmtId="171" fontId="5" fillId="0" borderId="0" xfId="0" applyNumberFormat="1" applyFont="1" applyAlignment="1" applyProtection="1">
      <alignment vertical="center"/>
      <protection locked="0"/>
    </xf>
    <xf numFmtId="169" fontId="5" fillId="4" borderId="4" xfId="0" applyNumberFormat="1" applyFont="1" applyFill="1" applyBorder="1" applyAlignment="1">
      <alignment horizontal="center"/>
    </xf>
    <xf numFmtId="171" fontId="5" fillId="6" borderId="4" xfId="0" applyNumberFormat="1" applyFont="1" applyFill="1" applyBorder="1" applyAlignment="1">
      <alignment horizontal="center"/>
    </xf>
    <xf numFmtId="172" fontId="5" fillId="0" borderId="0" xfId="0" applyNumberFormat="1" applyFont="1" applyAlignment="1" applyProtection="1">
      <alignment horizontal="center" vertical="center"/>
      <protection locked="0"/>
    </xf>
    <xf numFmtId="5" fontId="5" fillId="4" borderId="5" xfId="0" applyNumberFormat="1" applyFont="1" applyFill="1" applyBorder="1" applyAlignment="1">
      <alignment horizontal="center" vertical="center"/>
    </xf>
    <xf numFmtId="172" fontId="5" fillId="6" borderId="11" xfId="0" applyNumberFormat="1" applyFont="1" applyFill="1" applyBorder="1" applyAlignment="1">
      <alignment horizontal="center" vertical="center"/>
    </xf>
    <xf numFmtId="172" fontId="5" fillId="4" borderId="11" xfId="0" applyNumberFormat="1" applyFont="1" applyFill="1" applyBorder="1" applyAlignment="1">
      <alignment horizontal="center" vertical="center"/>
    </xf>
    <xf numFmtId="172" fontId="5" fillId="4" borderId="5" xfId="0" applyNumberFormat="1" applyFont="1" applyFill="1" applyBorder="1" applyAlignment="1">
      <alignment horizontal="center" vertical="center"/>
    </xf>
    <xf numFmtId="172" fontId="5" fillId="6" borderId="4" xfId="0" applyNumberFormat="1" applyFont="1" applyFill="1" applyBorder="1" applyAlignment="1">
      <alignment horizontal="center" vertical="center"/>
    </xf>
    <xf numFmtId="0" fontId="5" fillId="6" borderId="18" xfId="0" applyFont="1" applyFill="1" applyBorder="1" applyAlignment="1">
      <alignment vertical="center"/>
    </xf>
    <xf numFmtId="0" fontId="5" fillId="6" borderId="0" xfId="0" applyFont="1" applyFill="1" applyAlignment="1">
      <alignment vertical="center"/>
    </xf>
    <xf numFmtId="0" fontId="5" fillId="0" borderId="0" xfId="50" applyFont="1" applyAlignment="1">
      <alignment vertical="center" wrapText="1"/>
    </xf>
    <xf numFmtId="0" fontId="5" fillId="0" borderId="0" xfId="50" applyFont="1" applyAlignment="1">
      <alignment vertical="center"/>
    </xf>
    <xf numFmtId="0" fontId="4" fillId="4" borderId="0" xfId="31" applyFont="1" applyFill="1" applyAlignment="1">
      <alignment vertical="center"/>
    </xf>
    <xf numFmtId="172" fontId="8" fillId="4" borderId="18" xfId="0" applyNumberFormat="1" applyFont="1" applyFill="1" applyBorder="1" applyAlignment="1">
      <alignment horizontal="center" vertical="center"/>
    </xf>
    <xf numFmtId="0" fontId="8" fillId="4" borderId="0" xfId="0" applyFont="1" applyFill="1" applyAlignment="1">
      <alignment horizontal="left" vertical="center"/>
    </xf>
    <xf numFmtId="0" fontId="8" fillId="4" borderId="11" xfId="0" applyFont="1" applyFill="1" applyBorder="1" applyAlignment="1">
      <alignment vertical="center"/>
    </xf>
    <xf numFmtId="0" fontId="8" fillId="4" borderId="0" xfId="0" applyFont="1" applyFill="1" applyAlignment="1">
      <alignment vertical="center"/>
    </xf>
    <xf numFmtId="172" fontId="8" fillId="4" borderId="12" xfId="0" applyNumberFormat="1" applyFont="1" applyFill="1" applyBorder="1" applyAlignment="1">
      <alignment horizontal="center" vertical="center"/>
    </xf>
    <xf numFmtId="172" fontId="8" fillId="4" borderId="18" xfId="0" applyNumberFormat="1" applyFont="1" applyFill="1" applyBorder="1" applyAlignment="1">
      <alignment vertical="center"/>
    </xf>
    <xf numFmtId="172" fontId="33" fillId="6" borderId="12" xfId="0" applyNumberFormat="1" applyFont="1" applyFill="1" applyBorder="1" applyAlignment="1">
      <alignment horizontal="center" vertical="center"/>
    </xf>
    <xf numFmtId="0" fontId="33" fillId="6" borderId="2" xfId="0" applyFont="1" applyFill="1" applyBorder="1" applyAlignment="1">
      <alignment vertical="center"/>
    </xf>
    <xf numFmtId="0" fontId="8" fillId="6" borderId="5" xfId="0" applyFont="1" applyFill="1" applyBorder="1" applyAlignment="1">
      <alignment vertical="center"/>
    </xf>
    <xf numFmtId="0" fontId="5" fillId="6" borderId="5" xfId="0" applyFont="1" applyFill="1" applyBorder="1" applyAlignment="1">
      <alignment vertical="center"/>
    </xf>
    <xf numFmtId="37" fontId="5" fillId="0" borderId="0" xfId="0" applyNumberFormat="1" applyFont="1" applyAlignment="1" applyProtection="1">
      <alignment horizontal="left" vertical="center"/>
      <protection locked="0"/>
    </xf>
    <xf numFmtId="37" fontId="5" fillId="0" borderId="0" xfId="0" applyNumberFormat="1" applyFont="1" applyAlignment="1">
      <alignment horizontal="left" vertical="center"/>
    </xf>
    <xf numFmtId="0" fontId="5" fillId="0" borderId="0" xfId="0" applyFont="1" applyAlignment="1">
      <alignment horizontal="right" vertical="center"/>
    </xf>
    <xf numFmtId="0" fontId="6" fillId="0" borderId="0" xfId="83" applyFont="1" applyAlignment="1">
      <alignment vertical="center"/>
    </xf>
    <xf numFmtId="0" fontId="4" fillId="4" borderId="9" xfId="499" applyFont="1" applyFill="1" applyBorder="1" applyAlignment="1">
      <alignment vertical="center"/>
    </xf>
    <xf numFmtId="0" fontId="4" fillId="4" borderId="3" xfId="499" applyFont="1" applyFill="1" applyBorder="1" applyAlignment="1">
      <alignment vertical="center"/>
    </xf>
    <xf numFmtId="3" fontId="4" fillId="4" borderId="4" xfId="499" applyNumberFormat="1" applyFont="1" applyFill="1" applyBorder="1" applyAlignment="1">
      <alignment vertical="center"/>
    </xf>
    <xf numFmtId="0" fontId="4" fillId="4" borderId="1" xfId="499" applyFont="1" applyFill="1" applyBorder="1" applyAlignment="1">
      <alignment horizontal="center" vertical="center"/>
    </xf>
    <xf numFmtId="0" fontId="5" fillId="0" borderId="0" xfId="466" applyFont="1" applyAlignment="1">
      <alignment horizontal="left" vertical="center"/>
    </xf>
    <xf numFmtId="37" fontId="5" fillId="4" borderId="1" xfId="0" applyNumberFormat="1" applyFont="1" applyFill="1" applyBorder="1" applyAlignment="1">
      <alignment horizontal="right" vertical="center"/>
    </xf>
    <xf numFmtId="165" fontId="5" fillId="4" borderId="1" xfId="0" applyNumberFormat="1" applyFont="1" applyFill="1" applyBorder="1" applyAlignment="1">
      <alignment horizontal="right" vertical="center"/>
    </xf>
    <xf numFmtId="174" fontId="5" fillId="2" borderId="1" xfId="0" applyNumberFormat="1" applyFont="1" applyFill="1" applyBorder="1" applyProtection="1">
      <protection locked="0"/>
    </xf>
    <xf numFmtId="174" fontId="5" fillId="2" borderId="1" xfId="0" applyNumberFormat="1" applyFont="1" applyFill="1" applyBorder="1" applyAlignment="1" applyProtection="1">
      <alignment vertical="center"/>
      <protection locked="0"/>
    </xf>
    <xf numFmtId="0" fontId="5" fillId="0" borderId="0" xfId="0" applyFont="1" applyProtection="1">
      <protection locked="0"/>
    </xf>
    <xf numFmtId="0" fontId="5" fillId="4" borderId="0" xfId="31" applyFont="1" applyFill="1"/>
    <xf numFmtId="0" fontId="3" fillId="0" borderId="0" xfId="31"/>
    <xf numFmtId="0" fontId="5" fillId="4" borderId="0" xfId="31" applyFont="1" applyFill="1" applyAlignment="1">
      <alignment vertical="center"/>
    </xf>
    <xf numFmtId="37" fontId="5" fillId="4" borderId="0" xfId="31" applyNumberFormat="1" applyFont="1" applyFill="1" applyAlignment="1">
      <alignment vertical="center"/>
    </xf>
    <xf numFmtId="0" fontId="5" fillId="4" borderId="2" xfId="31" applyFont="1" applyFill="1" applyBorder="1" applyAlignment="1">
      <alignment vertical="center"/>
    </xf>
    <xf numFmtId="0" fontId="5" fillId="4" borderId="0" xfId="31" applyFont="1" applyFill="1" applyAlignment="1">
      <alignment horizontal="center" vertical="center"/>
    </xf>
    <xf numFmtId="0" fontId="6" fillId="4" borderId="0" xfId="31" applyFont="1" applyFill="1" applyAlignment="1">
      <alignment horizontal="center" vertical="center"/>
    </xf>
    <xf numFmtId="172" fontId="5" fillId="4" borderId="0" xfId="31" applyNumberFormat="1" applyFont="1" applyFill="1" applyAlignment="1">
      <alignment vertical="center"/>
    </xf>
    <xf numFmtId="172" fontId="5" fillId="4" borderId="17" xfId="31" applyNumberFormat="1" applyFont="1" applyFill="1" applyBorder="1" applyAlignment="1">
      <alignment vertical="center"/>
    </xf>
    <xf numFmtId="6" fontId="5" fillId="4" borderId="0" xfId="31" applyNumberFormat="1" applyFont="1" applyFill="1" applyAlignment="1">
      <alignment vertical="center"/>
    </xf>
    <xf numFmtId="171" fontId="5" fillId="4" borderId="0" xfId="31" applyNumberFormat="1" applyFont="1" applyFill="1" applyAlignment="1">
      <alignment horizontal="center" vertical="center"/>
    </xf>
    <xf numFmtId="0" fontId="5" fillId="4" borderId="0" xfId="31" applyFont="1" applyFill="1" applyAlignment="1">
      <alignment horizontal="right" vertical="center"/>
    </xf>
    <xf numFmtId="0" fontId="5" fillId="4" borderId="0" xfId="31" applyFont="1" applyFill="1" applyAlignment="1">
      <alignment horizontal="left" vertical="center"/>
    </xf>
    <xf numFmtId="0" fontId="5" fillId="4" borderId="0" xfId="26" applyFont="1" applyFill="1"/>
    <xf numFmtId="0" fontId="3" fillId="4" borderId="0" xfId="31" applyFill="1"/>
    <xf numFmtId="0" fontId="4" fillId="4" borderId="0" xfId="26" applyFont="1" applyFill="1"/>
    <xf numFmtId="0" fontId="3" fillId="4" borderId="0" xfId="26" applyFill="1"/>
    <xf numFmtId="0" fontId="28" fillId="0" borderId="0" xfId="14" applyAlignment="1" applyProtection="1"/>
    <xf numFmtId="37" fontId="5" fillId="4" borderId="0" xfId="26" applyNumberFormat="1" applyFont="1" applyFill="1" applyAlignment="1">
      <alignment vertical="center"/>
    </xf>
    <xf numFmtId="0" fontId="5" fillId="4" borderId="0" xfId="26" applyFont="1" applyFill="1" applyAlignment="1">
      <alignment vertical="center"/>
    </xf>
    <xf numFmtId="1" fontId="5" fillId="4" borderId="0" xfId="26" applyNumberFormat="1" applyFont="1" applyFill="1" applyAlignment="1">
      <alignment horizontal="right" vertical="center"/>
    </xf>
    <xf numFmtId="0" fontId="5" fillId="0" borderId="0" xfId="26" applyFont="1" applyProtection="1">
      <protection locked="0"/>
    </xf>
    <xf numFmtId="37" fontId="5" fillId="4" borderId="0" xfId="26" applyNumberFormat="1" applyFont="1" applyFill="1" applyAlignment="1">
      <alignment horizontal="right" vertical="center"/>
    </xf>
    <xf numFmtId="0" fontId="4" fillId="4" borderId="0" xfId="26" applyFont="1" applyFill="1" applyAlignment="1">
      <alignment vertical="center"/>
    </xf>
    <xf numFmtId="37" fontId="5" fillId="4" borderId="0" xfId="26" applyNumberFormat="1" applyFont="1" applyFill="1" applyAlignment="1">
      <alignment horizontal="fill" vertical="center"/>
    </xf>
    <xf numFmtId="37" fontId="5" fillId="4" borderId="0" xfId="26" quotePrefix="1" applyNumberFormat="1" applyFont="1" applyFill="1" applyAlignment="1">
      <alignment horizontal="right" vertical="center"/>
    </xf>
    <xf numFmtId="37" fontId="5" fillId="4" borderId="0" xfId="26" applyNumberFormat="1" applyFont="1" applyFill="1" applyAlignment="1">
      <alignment horizontal="left" vertical="center"/>
    </xf>
    <xf numFmtId="1" fontId="5" fillId="4" borderId="6" xfId="26" applyNumberFormat="1" applyFont="1" applyFill="1" applyBorder="1" applyAlignment="1">
      <alignment horizontal="center" vertical="center"/>
    </xf>
    <xf numFmtId="37" fontId="5" fillId="4" borderId="16" xfId="26" applyNumberFormat="1" applyFont="1" applyFill="1" applyBorder="1" applyAlignment="1">
      <alignment horizontal="center" vertical="center"/>
    </xf>
    <xf numFmtId="37" fontId="5" fillId="4" borderId="6" xfId="26" applyNumberFormat="1" applyFont="1" applyFill="1" applyBorder="1" applyAlignment="1">
      <alignment horizontal="center" vertical="center"/>
    </xf>
    <xf numFmtId="37" fontId="4" fillId="4" borderId="2" xfId="26" applyNumberFormat="1" applyFont="1" applyFill="1" applyBorder="1" applyAlignment="1">
      <alignment vertical="center"/>
    </xf>
    <xf numFmtId="0" fontId="5" fillId="4" borderId="7" xfId="26" applyFont="1" applyFill="1" applyBorder="1" applyAlignment="1">
      <alignment horizontal="center" vertical="center"/>
    </xf>
    <xf numFmtId="0" fontId="5" fillId="4" borderId="12" xfId="26" applyFont="1" applyFill="1" applyBorder="1" applyAlignment="1">
      <alignment horizontal="center" vertical="center"/>
    </xf>
    <xf numFmtId="1" fontId="5" fillId="4" borderId="7" xfId="26" applyNumberFormat="1" applyFont="1" applyFill="1" applyBorder="1" applyAlignment="1">
      <alignment horizontal="center" vertical="center"/>
    </xf>
    <xf numFmtId="37" fontId="5" fillId="4" borderId="9" xfId="26" applyNumberFormat="1" applyFont="1" applyFill="1" applyBorder="1" applyAlignment="1">
      <alignment horizontal="left" vertical="center"/>
    </xf>
    <xf numFmtId="37" fontId="5" fillId="3" borderId="9" xfId="26" applyNumberFormat="1" applyFont="1" applyFill="1" applyBorder="1" applyAlignment="1" applyProtection="1">
      <alignment vertical="center"/>
      <protection locked="0"/>
    </xf>
    <xf numFmtId="3" fontId="5" fillId="4" borderId="9" xfId="26" applyNumberFormat="1" applyFont="1" applyFill="1" applyBorder="1" applyAlignment="1">
      <alignment vertical="center"/>
    </xf>
    <xf numFmtId="3" fontId="5" fillId="4" borderId="1" xfId="26" applyNumberFormat="1" applyFont="1" applyFill="1" applyBorder="1" applyAlignment="1">
      <alignment vertical="center"/>
    </xf>
    <xf numFmtId="37" fontId="5" fillId="4" borderId="9" xfId="26" applyNumberFormat="1" applyFont="1" applyFill="1" applyBorder="1" applyAlignment="1">
      <alignment vertical="center"/>
    </xf>
    <xf numFmtId="37" fontId="5" fillId="3" borderId="9" xfId="26" applyNumberFormat="1" applyFont="1" applyFill="1" applyBorder="1" applyAlignment="1" applyProtection="1">
      <alignment horizontal="right" vertical="center"/>
      <protection locked="0"/>
    </xf>
    <xf numFmtId="3" fontId="5" fillId="4" borderId="1" xfId="26" applyNumberFormat="1" applyFont="1" applyFill="1" applyBorder="1" applyAlignment="1">
      <alignment horizontal="fill" vertical="center"/>
    </xf>
    <xf numFmtId="3" fontId="5" fillId="2" borderId="9" xfId="26" applyNumberFormat="1" applyFont="1" applyFill="1" applyBorder="1" applyAlignment="1" applyProtection="1">
      <alignment vertical="center"/>
      <protection locked="0"/>
    </xf>
    <xf numFmtId="3" fontId="5" fillId="2" borderId="1" xfId="26" applyNumberFormat="1" applyFont="1" applyFill="1" applyBorder="1" applyAlignment="1" applyProtection="1">
      <alignment vertical="center"/>
      <protection locked="0"/>
    </xf>
    <xf numFmtId="0" fontId="5" fillId="4" borderId="9" xfId="26" applyFont="1" applyFill="1" applyBorder="1" applyAlignment="1">
      <alignment vertical="center"/>
    </xf>
    <xf numFmtId="0" fontId="5" fillId="2" borderId="9" xfId="26" applyFont="1" applyFill="1" applyBorder="1" applyAlignment="1" applyProtection="1">
      <alignment horizontal="left" vertical="center"/>
      <protection locked="0"/>
    </xf>
    <xf numFmtId="0" fontId="5" fillId="2" borderId="1" xfId="26" applyFont="1" applyFill="1" applyBorder="1" applyAlignment="1" applyProtection="1">
      <alignment horizontal="left" vertical="center"/>
      <protection locked="0"/>
    </xf>
    <xf numFmtId="37" fontId="5" fillId="2" borderId="9" xfId="26" applyNumberFormat="1" applyFont="1" applyFill="1" applyBorder="1" applyAlignment="1" applyProtection="1">
      <alignment horizontal="left" vertical="center"/>
      <protection locked="0"/>
    </xf>
    <xf numFmtId="3" fontId="5" fillId="3" borderId="9" xfId="26" applyNumberFormat="1" applyFont="1" applyFill="1" applyBorder="1" applyAlignment="1" applyProtection="1">
      <alignment horizontal="right" vertical="center"/>
      <protection locked="0"/>
    </xf>
    <xf numFmtId="3" fontId="12" fillId="9" borderId="9" xfId="26" applyNumberFormat="1" applyFont="1" applyFill="1" applyBorder="1" applyAlignment="1">
      <alignment horizontal="center" vertical="center"/>
    </xf>
    <xf numFmtId="3" fontId="12" fillId="9" borderId="1" xfId="26" applyNumberFormat="1" applyFont="1" applyFill="1" applyBorder="1" applyAlignment="1">
      <alignment horizontal="center" vertical="center"/>
    </xf>
    <xf numFmtId="37" fontId="4" fillId="4" borderId="9" xfId="26" applyNumberFormat="1" applyFont="1" applyFill="1" applyBorder="1" applyAlignment="1">
      <alignment horizontal="left" vertical="center"/>
    </xf>
    <xf numFmtId="3" fontId="4" fillId="4" borderId="1" xfId="26" applyNumberFormat="1" applyFont="1" applyFill="1" applyBorder="1" applyAlignment="1">
      <alignment vertical="center"/>
    </xf>
    <xf numFmtId="0" fontId="8" fillId="4" borderId="18" xfId="26" applyFont="1" applyFill="1" applyBorder="1" applyAlignment="1">
      <alignment vertical="center"/>
    </xf>
    <xf numFmtId="0" fontId="8" fillId="4" borderId="0" xfId="26" applyFont="1" applyFill="1" applyAlignment="1">
      <alignment vertical="center"/>
    </xf>
    <xf numFmtId="172" fontId="8" fillId="4" borderId="11" xfId="26" applyNumberFormat="1" applyFont="1" applyFill="1" applyBorder="1" applyAlignment="1">
      <alignment horizontal="center" vertical="center"/>
    </xf>
    <xf numFmtId="0" fontId="8" fillId="4" borderId="18" xfId="26" applyFont="1" applyFill="1" applyBorder="1" applyAlignment="1">
      <alignment horizontal="left" vertical="center"/>
    </xf>
    <xf numFmtId="172" fontId="8" fillId="3" borderId="1" xfId="26" applyNumberFormat="1" applyFont="1" applyFill="1" applyBorder="1" applyAlignment="1" applyProtection="1">
      <alignment horizontal="center" vertical="center"/>
      <protection locked="0"/>
    </xf>
    <xf numFmtId="171" fontId="33" fillId="4" borderId="4" xfId="26" applyNumberFormat="1" applyFont="1" applyFill="1" applyBorder="1" applyAlignment="1">
      <alignment horizontal="center" vertical="center"/>
    </xf>
    <xf numFmtId="0" fontId="33" fillId="6" borderId="18" xfId="26" applyFont="1" applyFill="1" applyBorder="1" applyAlignment="1">
      <alignment vertical="center"/>
    </xf>
    <xf numFmtId="0" fontId="5" fillId="6" borderId="0" xfId="26" applyFont="1" applyFill="1" applyAlignment="1">
      <alignment vertical="center"/>
    </xf>
    <xf numFmtId="0" fontId="8" fillId="6" borderId="0" xfId="26" applyFont="1" applyFill="1" applyAlignment="1">
      <alignment vertical="center"/>
    </xf>
    <xf numFmtId="172" fontId="33" fillId="6" borderId="4" xfId="26" applyNumberFormat="1" applyFont="1" applyFill="1" applyBorder="1" applyAlignment="1">
      <alignment horizontal="center" vertical="center"/>
    </xf>
    <xf numFmtId="37" fontId="8" fillId="4" borderId="12" xfId="26" applyNumberFormat="1" applyFont="1" applyFill="1" applyBorder="1" applyAlignment="1">
      <alignment horizontal="left" vertical="center"/>
    </xf>
    <xf numFmtId="0" fontId="36" fillId="4" borderId="2" xfId="26" applyFont="1" applyFill="1" applyBorder="1" applyAlignment="1">
      <alignment horizontal="left" vertical="center"/>
    </xf>
    <xf numFmtId="172" fontId="33" fillId="6" borderId="5" xfId="26" applyNumberFormat="1" applyFont="1" applyFill="1" applyBorder="1" applyAlignment="1" applyProtection="1">
      <alignment horizontal="center" vertical="center"/>
      <protection locked="0"/>
    </xf>
    <xf numFmtId="0" fontId="5" fillId="4" borderId="9" xfId="26" applyFont="1" applyFill="1" applyBorder="1" applyAlignment="1" applyProtection="1">
      <alignment vertical="center"/>
      <protection locked="0"/>
    </xf>
    <xf numFmtId="37" fontId="5" fillId="4" borderId="11" xfId="26" applyNumberFormat="1" applyFont="1" applyFill="1" applyBorder="1" applyAlignment="1">
      <alignment horizontal="right" vertical="center"/>
    </xf>
    <xf numFmtId="172" fontId="8" fillId="4" borderId="18" xfId="26" applyNumberFormat="1" applyFont="1" applyFill="1" applyBorder="1" applyAlignment="1">
      <alignment horizontal="center" vertical="center"/>
    </xf>
    <xf numFmtId="0" fontId="8" fillId="4" borderId="0" xfId="26" applyFont="1" applyFill="1" applyAlignment="1">
      <alignment horizontal="left" vertical="center"/>
    </xf>
    <xf numFmtId="0" fontId="8" fillId="4" borderId="11" xfId="26" applyFont="1" applyFill="1" applyBorder="1" applyAlignment="1">
      <alignment vertical="center"/>
    </xf>
    <xf numFmtId="0" fontId="3" fillId="0" borderId="0" xfId="26"/>
    <xf numFmtId="0" fontId="5" fillId="4" borderId="0" xfId="26" applyFont="1" applyFill="1" applyAlignment="1">
      <alignment horizontal="right" vertical="center"/>
    </xf>
    <xf numFmtId="0" fontId="12" fillId="0" borderId="0" xfId="26" applyFont="1" applyAlignment="1">
      <alignment vertical="center"/>
    </xf>
    <xf numFmtId="172" fontId="8" fillId="4" borderId="12" xfId="26" applyNumberFormat="1" applyFont="1" applyFill="1" applyBorder="1" applyAlignment="1">
      <alignment horizontal="center" vertical="center"/>
    </xf>
    <xf numFmtId="172" fontId="8" fillId="4" borderId="18" xfId="26" applyNumberFormat="1" applyFont="1" applyFill="1" applyBorder="1" applyAlignment="1">
      <alignment vertical="center"/>
    </xf>
    <xf numFmtId="0" fontId="13" fillId="4" borderId="0" xfId="26" applyFont="1" applyFill="1" applyAlignment="1">
      <alignment horizontal="center" vertical="center"/>
    </xf>
    <xf numFmtId="174" fontId="5" fillId="4" borderId="0" xfId="50" applyNumberFormat="1" applyFont="1" applyFill="1" applyAlignment="1">
      <alignment horizontal="center" vertical="center"/>
    </xf>
    <xf numFmtId="172" fontId="8" fillId="6" borderId="12" xfId="26" applyNumberFormat="1" applyFont="1" applyFill="1" applyBorder="1" applyAlignment="1">
      <alignment horizontal="center" vertical="center"/>
    </xf>
    <xf numFmtId="0" fontId="8" fillId="6" borderId="2" xfId="26" applyFont="1" applyFill="1" applyBorder="1" applyAlignment="1">
      <alignment vertical="center"/>
    </xf>
    <xf numFmtId="0" fontId="8" fillId="6" borderId="5" xfId="26" applyFont="1" applyFill="1" applyBorder="1" applyAlignment="1">
      <alignment vertical="center"/>
    </xf>
    <xf numFmtId="37" fontId="5" fillId="6" borderId="5" xfId="26" applyNumberFormat="1" applyFont="1" applyFill="1" applyBorder="1" applyAlignment="1">
      <alignment horizontal="right" vertical="center"/>
    </xf>
    <xf numFmtId="171" fontId="5" fillId="4" borderId="0" xfId="26" applyNumberFormat="1" applyFont="1" applyFill="1" applyAlignment="1">
      <alignment vertical="center"/>
    </xf>
    <xf numFmtId="37" fontId="4" fillId="4" borderId="0" xfId="26" applyNumberFormat="1" applyFont="1" applyFill="1" applyAlignment="1">
      <alignment vertical="center"/>
    </xf>
    <xf numFmtId="37" fontId="5" fillId="4" borderId="12" xfId="26" applyNumberFormat="1" applyFont="1" applyFill="1" applyBorder="1" applyAlignment="1">
      <alignment horizontal="left" vertical="center"/>
    </xf>
    <xf numFmtId="3" fontId="5" fillId="3" borderId="1" xfId="26" applyNumberFormat="1" applyFont="1" applyFill="1" applyBorder="1" applyAlignment="1" applyProtection="1">
      <alignment horizontal="right" vertical="center"/>
      <protection locked="0"/>
    </xf>
    <xf numFmtId="0" fontId="5" fillId="4" borderId="18" xfId="26" applyFont="1" applyFill="1" applyBorder="1" applyAlignment="1">
      <alignment vertical="center"/>
    </xf>
    <xf numFmtId="0" fontId="5" fillId="4" borderId="11" xfId="26" applyFont="1" applyFill="1" applyBorder="1" applyProtection="1">
      <protection locked="0"/>
    </xf>
    <xf numFmtId="172" fontId="21" fillId="4" borderId="18" xfId="26" applyNumberFormat="1" applyFont="1" applyFill="1" applyBorder="1" applyAlignment="1">
      <alignment horizontal="center" vertical="center"/>
    </xf>
    <xf numFmtId="0" fontId="5" fillId="4" borderId="11" xfId="26" applyFont="1" applyFill="1" applyBorder="1" applyAlignment="1">
      <alignment vertical="center"/>
    </xf>
    <xf numFmtId="172" fontId="21" fillId="4" borderId="18" xfId="26" applyNumberFormat="1" applyFont="1" applyFill="1" applyBorder="1" applyAlignment="1">
      <alignment vertical="center"/>
    </xf>
    <xf numFmtId="0" fontId="21" fillId="4" borderId="0" xfId="26" applyFont="1" applyFill="1" applyAlignment="1">
      <alignment vertical="center"/>
    </xf>
    <xf numFmtId="0" fontId="5" fillId="6" borderId="5" xfId="26" applyFont="1" applyFill="1" applyBorder="1" applyAlignment="1">
      <alignment vertical="center"/>
    </xf>
    <xf numFmtId="0" fontId="5" fillId="6" borderId="5" xfId="26" applyFont="1" applyFill="1" applyBorder="1" applyProtection="1">
      <protection locked="0"/>
    </xf>
    <xf numFmtId="0" fontId="5" fillId="0" borderId="0" xfId="26" applyFont="1" applyAlignment="1" applyProtection="1">
      <alignment vertical="center"/>
      <protection locked="0"/>
    </xf>
    <xf numFmtId="0" fontId="8" fillId="6" borderId="0" xfId="0" applyFont="1" applyFill="1" applyAlignment="1">
      <alignment vertical="center"/>
    </xf>
    <xf numFmtId="174" fontId="5" fillId="4" borderId="0" xfId="24" applyNumberFormat="1" applyFont="1" applyFill="1" applyAlignment="1">
      <alignment horizontal="center" vertical="center"/>
    </xf>
    <xf numFmtId="0" fontId="33" fillId="4" borderId="4" xfId="0" applyFont="1" applyFill="1" applyBorder="1" applyAlignment="1">
      <alignment horizontal="center" vertical="center"/>
    </xf>
    <xf numFmtId="0" fontId="33" fillId="6" borderId="18" xfId="0" applyFont="1" applyFill="1" applyBorder="1" applyAlignment="1">
      <alignment vertical="center"/>
    </xf>
    <xf numFmtId="172" fontId="33" fillId="6" borderId="4" xfId="0" applyNumberFormat="1" applyFont="1" applyFill="1" applyBorder="1" applyAlignment="1">
      <alignment horizontal="center" vertical="center"/>
    </xf>
    <xf numFmtId="37" fontId="8" fillId="4" borderId="12" xfId="0" applyNumberFormat="1" applyFont="1" applyFill="1" applyBorder="1" applyAlignment="1">
      <alignment horizontal="left" vertical="center"/>
    </xf>
    <xf numFmtId="0" fontId="36" fillId="4" borderId="2" xfId="0" applyFont="1" applyFill="1" applyBorder="1" applyAlignment="1">
      <alignment horizontal="left" vertical="center"/>
    </xf>
    <xf numFmtId="172" fontId="33" fillId="6" borderId="5" xfId="0" applyNumberFormat="1" applyFont="1" applyFill="1" applyBorder="1" applyAlignment="1" applyProtection="1">
      <alignment horizontal="center" vertical="center"/>
      <protection locked="0"/>
    </xf>
    <xf numFmtId="0" fontId="37" fillId="0" borderId="0" xfId="0" applyFont="1" applyAlignment="1">
      <alignment vertical="center"/>
    </xf>
    <xf numFmtId="38" fontId="5" fillId="4" borderId="1" xfId="0" applyNumberFormat="1" applyFont="1" applyFill="1" applyBorder="1" applyAlignment="1">
      <alignment vertical="center"/>
    </xf>
    <xf numFmtId="0" fontId="5" fillId="0" borderId="0" xfId="24" applyFont="1" applyAlignment="1">
      <alignment vertical="center"/>
    </xf>
    <xf numFmtId="0" fontId="42" fillId="4" borderId="0" xfId="388" applyFill="1"/>
    <xf numFmtId="0" fontId="5" fillId="0" borderId="0" xfId="160" applyFont="1" applyAlignment="1">
      <alignment vertical="center"/>
    </xf>
    <xf numFmtId="0" fontId="5" fillId="0" borderId="0" xfId="83" applyFont="1" applyAlignment="1">
      <alignment vertical="center"/>
    </xf>
    <xf numFmtId="37" fontId="5" fillId="3" borderId="1" xfId="0" applyNumberFormat="1" applyFont="1" applyFill="1" applyBorder="1" applyAlignment="1" applyProtection="1">
      <alignment horizontal="left" vertical="center"/>
      <protection locked="0"/>
    </xf>
    <xf numFmtId="37" fontId="5" fillId="2" borderId="7" xfId="0" applyNumberFormat="1" applyFont="1" applyFill="1" applyBorder="1" applyAlignment="1" applyProtection="1">
      <alignment vertical="center"/>
      <protection locked="0"/>
    </xf>
    <xf numFmtId="3" fontId="5" fillId="2" borderId="7" xfId="0" applyNumberFormat="1" applyFont="1" applyFill="1" applyBorder="1" applyProtection="1">
      <protection locked="0"/>
    </xf>
    <xf numFmtId="37" fontId="5" fillId="3" borderId="1" xfId="0" applyNumberFormat="1" applyFont="1" applyFill="1" applyBorder="1" applyProtection="1">
      <protection locked="0"/>
    </xf>
    <xf numFmtId="169" fontId="5" fillId="3" borderId="1" xfId="0" applyNumberFormat="1" applyFont="1" applyFill="1" applyBorder="1" applyProtection="1">
      <protection locked="0"/>
    </xf>
    <xf numFmtId="169" fontId="5" fillId="3" borderId="6" xfId="0" applyNumberFormat="1" applyFont="1" applyFill="1" applyBorder="1" applyProtection="1">
      <protection locked="0"/>
    </xf>
    <xf numFmtId="3" fontId="5" fillId="4" borderId="1" xfId="0" applyNumberFormat="1" applyFont="1" applyFill="1" applyBorder="1" applyAlignment="1">
      <alignment horizontal="right" vertical="center"/>
    </xf>
    <xf numFmtId="3" fontId="5" fillId="4" borderId="0" xfId="26" applyNumberFormat="1" applyFont="1" applyFill="1" applyAlignment="1">
      <alignment horizontal="right" vertical="center"/>
    </xf>
    <xf numFmtId="3" fontId="5" fillId="4" borderId="1" xfId="26" applyNumberFormat="1" applyFont="1" applyFill="1" applyBorder="1" applyAlignment="1">
      <alignment horizontal="right" vertical="center"/>
    </xf>
    <xf numFmtId="0" fontId="5" fillId="4" borderId="0" xfId="26" applyFont="1" applyFill="1" applyAlignment="1">
      <alignment horizontal="left" vertical="center"/>
    </xf>
    <xf numFmtId="3" fontId="5" fillId="4" borderId="6" xfId="0" applyNumberFormat="1" applyFont="1" applyFill="1" applyBorder="1" applyAlignment="1">
      <alignment horizontal="right" vertical="center"/>
    </xf>
    <xf numFmtId="3" fontId="13" fillId="4" borderId="17" xfId="0" applyNumberFormat="1" applyFont="1" applyFill="1" applyBorder="1" applyAlignment="1">
      <alignment horizontal="center" vertical="center"/>
    </xf>
    <xf numFmtId="0" fontId="13" fillId="4" borderId="17" xfId="0" applyFont="1" applyFill="1" applyBorder="1" applyAlignment="1">
      <alignment horizontal="center" vertical="center"/>
    </xf>
    <xf numFmtId="0" fontId="5" fillId="0" borderId="0" xfId="26" applyFont="1" applyAlignment="1">
      <alignment horizontal="left" vertical="center"/>
    </xf>
    <xf numFmtId="3" fontId="5" fillId="4" borderId="2" xfId="0" applyNumberFormat="1" applyFont="1" applyFill="1" applyBorder="1" applyAlignment="1">
      <alignment vertical="center"/>
    </xf>
    <xf numFmtId="0" fontId="5" fillId="4" borderId="17" xfId="0" applyFont="1" applyFill="1" applyBorder="1" applyAlignment="1">
      <alignment vertical="center"/>
    </xf>
    <xf numFmtId="0" fontId="5" fillId="12" borderId="0" xfId="26" applyFont="1" applyFill="1" applyAlignment="1">
      <alignment vertical="center"/>
    </xf>
    <xf numFmtId="0" fontId="5" fillId="0" borderId="0" xfId="26" applyFont="1" applyAlignment="1">
      <alignment vertical="center"/>
    </xf>
    <xf numFmtId="173" fontId="5" fillId="6" borderId="5" xfId="0" applyNumberFormat="1" applyFont="1" applyFill="1" applyBorder="1" applyAlignment="1">
      <alignment horizontal="center"/>
    </xf>
    <xf numFmtId="0" fontId="5" fillId="2" borderId="0" xfId="0" applyFont="1" applyFill="1" applyAlignment="1" applyProtection="1">
      <alignment horizontal="center" vertical="center"/>
      <protection locked="0"/>
    </xf>
    <xf numFmtId="164" fontId="5" fillId="3" borderId="0" xfId="0" applyNumberFormat="1"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3" fontId="5" fillId="10" borderId="4" xfId="0" applyNumberFormat="1" applyFont="1" applyFill="1" applyBorder="1"/>
    <xf numFmtId="3" fontId="5" fillId="11" borderId="3" xfId="0" applyNumberFormat="1" applyFont="1" applyFill="1" applyBorder="1"/>
    <xf numFmtId="0" fontId="5" fillId="11" borderId="3" xfId="0" applyFont="1" applyFill="1" applyBorder="1"/>
    <xf numFmtId="37" fontId="4" fillId="11" borderId="9" xfId="0" applyNumberFormat="1" applyFont="1" applyFill="1" applyBorder="1" applyAlignment="1">
      <alignment horizontal="left"/>
    </xf>
    <xf numFmtId="0" fontId="5" fillId="11" borderId="12" xfId="0" applyFont="1" applyFill="1" applyBorder="1" applyAlignment="1">
      <alignment vertical="center"/>
    </xf>
    <xf numFmtId="0" fontId="5" fillId="11" borderId="4" xfId="0" applyFont="1" applyFill="1" applyBorder="1" applyAlignment="1">
      <alignment vertical="center"/>
    </xf>
    <xf numFmtId="0" fontId="5" fillId="11" borderId="9" xfId="0" applyFont="1" applyFill="1" applyBorder="1" applyAlignment="1">
      <alignment vertical="center"/>
    </xf>
    <xf numFmtId="0" fontId="5" fillId="11" borderId="5" xfId="0" applyFont="1" applyFill="1" applyBorder="1" applyAlignment="1">
      <alignment vertical="center"/>
    </xf>
    <xf numFmtId="37" fontId="5" fillId="11" borderId="12" xfId="0" applyNumberFormat="1" applyFont="1" applyFill="1" applyBorder="1" applyAlignment="1">
      <alignment horizontal="left" vertical="center"/>
    </xf>
    <xf numFmtId="37" fontId="5" fillId="11" borderId="16" xfId="0" applyNumberFormat="1" applyFont="1" applyFill="1" applyBorder="1" applyAlignment="1">
      <alignment horizontal="left" vertical="center"/>
    </xf>
    <xf numFmtId="0" fontId="5" fillId="7" borderId="5" xfId="0" applyFont="1" applyFill="1" applyBorder="1" applyAlignment="1">
      <alignment vertical="center"/>
    </xf>
    <xf numFmtId="0" fontId="5" fillId="10" borderId="5" xfId="0" applyFont="1" applyFill="1" applyBorder="1" applyAlignment="1">
      <alignment vertical="center"/>
    </xf>
    <xf numFmtId="37" fontId="4" fillId="10" borderId="12" xfId="0" applyNumberFormat="1" applyFont="1" applyFill="1" applyBorder="1" applyAlignment="1">
      <alignment horizontal="left" vertical="center"/>
    </xf>
    <xf numFmtId="0" fontId="5" fillId="10" borderId="11" xfId="0" applyFont="1" applyFill="1" applyBorder="1" applyAlignment="1">
      <alignment vertical="center"/>
    </xf>
    <xf numFmtId="37" fontId="4" fillId="10" borderId="18" xfId="0" applyNumberFormat="1" applyFont="1" applyFill="1" applyBorder="1" applyAlignment="1">
      <alignment horizontal="left" vertical="center"/>
    </xf>
    <xf numFmtId="0" fontId="5" fillId="11" borderId="10" xfId="0" applyFont="1" applyFill="1" applyBorder="1" applyAlignment="1">
      <alignment vertical="center"/>
    </xf>
    <xf numFmtId="0" fontId="4" fillId="11" borderId="16" xfId="0" applyFont="1" applyFill="1" applyBorder="1" applyAlignment="1">
      <alignment vertical="center"/>
    </xf>
    <xf numFmtId="164" fontId="5" fillId="2" borderId="0" xfId="0" applyNumberFormat="1" applyFont="1" applyFill="1" applyAlignment="1" applyProtection="1">
      <alignment horizontal="center" vertical="center"/>
      <protection locked="0"/>
    </xf>
    <xf numFmtId="0" fontId="9" fillId="4" borderId="0" xfId="13" applyFill="1" applyAlignment="1" applyProtection="1"/>
    <xf numFmtId="37" fontId="5" fillId="3" borderId="0" xfId="26" applyNumberFormat="1" applyFont="1" applyFill="1" applyAlignment="1" applyProtection="1">
      <alignment horizontal="center" vertical="center"/>
      <protection locked="0"/>
    </xf>
    <xf numFmtId="0" fontId="5" fillId="4" borderId="0" xfId="24" applyFont="1" applyFill="1" applyAlignment="1">
      <alignment vertical="center"/>
    </xf>
    <xf numFmtId="3" fontId="5" fillId="4" borderId="3" xfId="0" applyNumberFormat="1" applyFont="1" applyFill="1" applyBorder="1"/>
    <xf numFmtId="3" fontId="5" fillId="4" borderId="3" xfId="0" applyNumberFormat="1" applyFont="1" applyFill="1" applyBorder="1" applyProtection="1">
      <protection locked="0"/>
    </xf>
    <xf numFmtId="3" fontId="5" fillId="4" borderId="2" xfId="0" applyNumberFormat="1" applyFont="1" applyFill="1" applyBorder="1" applyProtection="1">
      <protection locked="0"/>
    </xf>
    <xf numFmtId="37" fontId="5" fillId="2" borderId="1" xfId="24" applyNumberFormat="1" applyFont="1" applyFill="1" applyBorder="1" applyAlignment="1" applyProtection="1">
      <alignment vertical="center"/>
      <protection locked="0"/>
    </xf>
    <xf numFmtId="37" fontId="5" fillId="2" borderId="1" xfId="24" applyNumberFormat="1" applyFont="1" applyFill="1" applyBorder="1" applyAlignment="1" applyProtection="1">
      <alignment horizontal="left"/>
      <protection locked="0"/>
    </xf>
    <xf numFmtId="37" fontId="5" fillId="4" borderId="3" xfId="391" applyNumberFormat="1" applyFont="1" applyFill="1" applyBorder="1" applyAlignment="1">
      <alignment horizontal="left" vertical="center"/>
    </xf>
    <xf numFmtId="37" fontId="5" fillId="4" borderId="7" xfId="26" applyNumberFormat="1" applyFont="1" applyFill="1" applyBorder="1" applyAlignment="1">
      <alignment horizontal="center" vertical="center"/>
    </xf>
    <xf numFmtId="0" fontId="5" fillId="12" borderId="0" xfId="0" applyFont="1" applyFill="1" applyAlignment="1">
      <alignment vertical="center"/>
    </xf>
    <xf numFmtId="0" fontId="5" fillId="4" borderId="9" xfId="26" applyFont="1" applyFill="1" applyBorder="1" applyAlignment="1">
      <alignment horizontal="left" vertical="center"/>
    </xf>
    <xf numFmtId="0" fontId="5" fillId="0" borderId="0" xfId="392" applyFont="1" applyAlignment="1">
      <alignment vertical="center"/>
    </xf>
    <xf numFmtId="0" fontId="40" fillId="4" borderId="0" xfId="0" applyFont="1" applyFill="1" applyAlignment="1">
      <alignment horizontal="right" vertical="center"/>
    </xf>
    <xf numFmtId="176" fontId="5" fillId="4" borderId="1" xfId="0" applyNumberFormat="1" applyFont="1" applyFill="1" applyBorder="1" applyAlignment="1">
      <alignment vertical="center"/>
    </xf>
    <xf numFmtId="37" fontId="5" fillId="12" borderId="1" xfId="0" applyNumberFormat="1" applyFont="1" applyFill="1" applyBorder="1" applyAlignment="1">
      <alignment vertical="center"/>
    </xf>
    <xf numFmtId="176" fontId="5" fillId="12" borderId="1" xfId="0" applyNumberFormat="1" applyFont="1" applyFill="1" applyBorder="1" applyAlignment="1">
      <alignment vertical="center"/>
    </xf>
    <xf numFmtId="37" fontId="5" fillId="12" borderId="0" xfId="0" applyNumberFormat="1" applyFont="1" applyFill="1" applyAlignment="1">
      <alignment vertical="center"/>
    </xf>
    <xf numFmtId="37" fontId="5" fillId="12" borderId="0" xfId="0" applyNumberFormat="1" applyFont="1" applyFill="1" applyAlignment="1">
      <alignment horizontal="left" vertical="center"/>
    </xf>
    <xf numFmtId="37" fontId="5" fillId="4" borderId="18" xfId="0" applyNumberFormat="1" applyFont="1" applyFill="1" applyBorder="1" applyAlignment="1">
      <alignment horizontal="right" vertical="center"/>
    </xf>
    <xf numFmtId="37" fontId="5" fillId="13" borderId="13" xfId="0" applyNumberFormat="1" applyFont="1" applyFill="1" applyBorder="1" applyAlignment="1">
      <alignment vertical="center"/>
    </xf>
    <xf numFmtId="176" fontId="5" fillId="13" borderId="1" xfId="0" applyNumberFormat="1" applyFont="1" applyFill="1" applyBorder="1" applyAlignment="1">
      <alignment vertical="center"/>
    </xf>
    <xf numFmtId="37" fontId="5" fillId="13" borderId="1" xfId="0" applyNumberFormat="1" applyFont="1" applyFill="1" applyBorder="1" applyAlignment="1">
      <alignment horizontal="left" vertical="center"/>
    </xf>
    <xf numFmtId="176" fontId="5" fillId="13" borderId="6" xfId="0" applyNumberFormat="1" applyFont="1" applyFill="1" applyBorder="1" applyAlignment="1">
      <alignment vertical="center"/>
    </xf>
    <xf numFmtId="37" fontId="5" fillId="13" borderId="6" xfId="0" applyNumberFormat="1" applyFont="1" applyFill="1" applyBorder="1" applyAlignment="1">
      <alignment horizontal="left" vertical="center"/>
    </xf>
    <xf numFmtId="37" fontId="5" fillId="12" borderId="6" xfId="0" applyNumberFormat="1" applyFont="1" applyFill="1" applyBorder="1" applyAlignment="1">
      <alignment vertical="center"/>
    </xf>
    <xf numFmtId="0" fontId="5" fillId="0" borderId="0" xfId="425" applyFont="1"/>
    <xf numFmtId="0" fontId="6" fillId="0" borderId="0" xfId="425" applyFont="1"/>
    <xf numFmtId="0" fontId="5" fillId="0" borderId="0" xfId="26" applyFont="1"/>
    <xf numFmtId="0" fontId="5" fillId="4" borderId="16" xfId="0" applyFont="1" applyFill="1" applyBorder="1" applyAlignment="1">
      <alignment vertical="center"/>
    </xf>
    <xf numFmtId="0" fontId="5" fillId="4" borderId="12" xfId="0" applyFont="1" applyFill="1" applyBorder="1" applyAlignment="1">
      <alignment vertical="center"/>
    </xf>
    <xf numFmtId="3" fontId="4" fillId="4" borderId="0" xfId="0" applyNumberFormat="1" applyFont="1" applyFill="1" applyAlignment="1">
      <alignment horizontal="center" vertical="center"/>
    </xf>
    <xf numFmtId="37" fontId="4" fillId="4" borderId="16" xfId="0" applyNumberFormat="1" applyFont="1" applyFill="1" applyBorder="1" applyAlignment="1">
      <alignment horizontal="left" vertical="center"/>
    </xf>
    <xf numFmtId="3" fontId="4" fillId="4" borderId="17" xfId="0" applyNumberFormat="1" applyFont="1" applyFill="1" applyBorder="1" applyAlignment="1">
      <alignment horizontal="center" vertical="center"/>
    </xf>
    <xf numFmtId="37" fontId="4" fillId="4" borderId="18" xfId="0" applyNumberFormat="1" applyFont="1" applyFill="1" applyBorder="1" applyAlignment="1">
      <alignment horizontal="left" vertical="center"/>
    </xf>
    <xf numFmtId="37" fontId="4" fillId="4" borderId="12" xfId="0" applyNumberFormat="1" applyFont="1" applyFill="1" applyBorder="1" applyAlignment="1">
      <alignment horizontal="left" vertical="center"/>
    </xf>
    <xf numFmtId="3" fontId="4" fillId="4" borderId="2" xfId="0" applyNumberFormat="1" applyFont="1" applyFill="1" applyBorder="1" applyAlignment="1">
      <alignment horizontal="center" vertical="center"/>
    </xf>
    <xf numFmtId="0" fontId="5" fillId="4" borderId="17" xfId="13" applyNumberFormat="1" applyFont="1" applyFill="1" applyBorder="1" applyAlignment="1" applyProtection="1">
      <alignment horizontal="right" vertical="center"/>
    </xf>
    <xf numFmtId="0" fontId="5" fillId="4" borderId="10" xfId="13" applyNumberFormat="1" applyFont="1" applyFill="1" applyBorder="1" applyAlignment="1" applyProtection="1">
      <alignment horizontal="right" vertical="center"/>
    </xf>
    <xf numFmtId="0" fontId="5" fillId="4" borderId="11" xfId="13" applyNumberFormat="1" applyFont="1" applyFill="1" applyBorder="1" applyAlignment="1" applyProtection="1">
      <alignment horizontal="right" vertical="center"/>
    </xf>
    <xf numFmtId="0" fontId="5" fillId="4" borderId="2" xfId="13" applyNumberFormat="1" applyFont="1" applyFill="1" applyBorder="1" applyAlignment="1" applyProtection="1">
      <alignment horizontal="right" vertical="center"/>
    </xf>
    <xf numFmtId="0" fontId="5" fillId="4" borderId="5" xfId="13" applyNumberFormat="1" applyFont="1" applyFill="1" applyBorder="1" applyAlignment="1" applyProtection="1">
      <alignment horizontal="right" vertical="center"/>
    </xf>
    <xf numFmtId="0" fontId="8" fillId="0" borderId="0" xfId="0" applyFont="1" applyAlignment="1" applyProtection="1">
      <alignment horizontal="left" vertical="center"/>
      <protection locked="0"/>
    </xf>
    <xf numFmtId="0" fontId="8" fillId="0" borderId="0" xfId="0" applyFont="1" applyAlignment="1" applyProtection="1">
      <alignment vertical="center"/>
      <protection locked="0"/>
    </xf>
    <xf numFmtId="3" fontId="8" fillId="0" borderId="0" xfId="0" applyNumberFormat="1" applyFont="1" applyAlignment="1" applyProtection="1">
      <alignment vertical="center"/>
      <protection locked="0"/>
    </xf>
    <xf numFmtId="0" fontId="13" fillId="4" borderId="10" xfId="0" applyFont="1" applyFill="1" applyBorder="1" applyAlignment="1">
      <alignment horizontal="center" vertical="center"/>
    </xf>
    <xf numFmtId="0" fontId="5" fillId="4" borderId="18" xfId="0" applyFont="1" applyFill="1" applyBorder="1" applyAlignment="1">
      <alignment horizontal="right" vertical="center"/>
    </xf>
    <xf numFmtId="0" fontId="13" fillId="4" borderId="11" xfId="0" applyFont="1" applyFill="1" applyBorder="1" applyAlignment="1">
      <alignment horizontal="center" vertical="center"/>
    </xf>
    <xf numFmtId="0" fontId="5" fillId="4" borderId="12" xfId="0" applyFont="1" applyFill="1" applyBorder="1" applyAlignment="1">
      <alignment horizontal="right" vertical="center"/>
    </xf>
    <xf numFmtId="0" fontId="13" fillId="4" borderId="2" xfId="0" applyFont="1" applyFill="1" applyBorder="1" applyAlignment="1">
      <alignment horizontal="center" vertical="center"/>
    </xf>
    <xf numFmtId="0" fontId="5" fillId="4" borderId="16" xfId="0" applyFont="1" applyFill="1" applyBorder="1" applyAlignment="1">
      <alignment horizontal="left" vertical="center"/>
    </xf>
    <xf numFmtId="3" fontId="5" fillId="4" borderId="17" xfId="0" applyNumberFormat="1" applyFont="1" applyFill="1" applyBorder="1" applyAlignment="1">
      <alignment vertical="center"/>
    </xf>
    <xf numFmtId="37" fontId="5" fillId="4" borderId="16" xfId="26" applyNumberFormat="1" applyFont="1" applyFill="1" applyBorder="1" applyAlignment="1">
      <alignment horizontal="left" vertical="top"/>
    </xf>
    <xf numFmtId="0" fontId="5" fillId="4" borderId="17" xfId="14" applyNumberFormat="1" applyFont="1" applyFill="1" applyBorder="1" applyAlignment="1" applyProtection="1">
      <alignment horizontal="left" vertical="top"/>
    </xf>
    <xf numFmtId="171" fontId="5" fillId="4" borderId="10" xfId="26" applyNumberFormat="1" applyFont="1" applyFill="1" applyBorder="1" applyAlignment="1">
      <alignment horizontal="left" vertical="top"/>
    </xf>
    <xf numFmtId="37" fontId="5" fillId="4" borderId="18" xfId="26" applyNumberFormat="1" applyFont="1" applyFill="1" applyBorder="1" applyAlignment="1">
      <alignment horizontal="left" vertical="top"/>
    </xf>
    <xf numFmtId="0" fontId="5" fillId="4" borderId="0" xfId="14" applyNumberFormat="1" applyFont="1" applyFill="1" applyBorder="1" applyAlignment="1" applyProtection="1">
      <alignment horizontal="left" vertical="top"/>
    </xf>
    <xf numFmtId="171" fontId="5" fillId="4" borderId="11" xfId="26" applyNumberFormat="1" applyFont="1" applyFill="1" applyBorder="1" applyAlignment="1">
      <alignment horizontal="left" vertical="top"/>
    </xf>
    <xf numFmtId="37" fontId="5" fillId="4" borderId="12" xfId="26" applyNumberFormat="1" applyFont="1" applyFill="1" applyBorder="1" applyAlignment="1">
      <alignment horizontal="left" vertical="top"/>
    </xf>
    <xf numFmtId="0" fontId="5" fillId="4" borderId="2" xfId="14" applyNumberFormat="1" applyFont="1" applyFill="1" applyBorder="1" applyAlignment="1" applyProtection="1">
      <alignment horizontal="left" vertical="top"/>
    </xf>
    <xf numFmtId="171" fontId="5" fillId="4" borderId="5" xfId="26" applyNumberFormat="1" applyFont="1" applyFill="1" applyBorder="1" applyAlignment="1">
      <alignment horizontal="left" vertical="top"/>
    </xf>
    <xf numFmtId="0" fontId="31" fillId="0" borderId="0" xfId="14" applyFont="1" applyAlignment="1" applyProtection="1"/>
    <xf numFmtId="0" fontId="6" fillId="0" borderId="0" xfId="26" applyFont="1"/>
    <xf numFmtId="165" fontId="20" fillId="4" borderId="1" xfId="0" applyNumberFormat="1" applyFont="1" applyFill="1" applyBorder="1" applyAlignment="1">
      <alignment vertical="center"/>
    </xf>
    <xf numFmtId="37" fontId="20" fillId="4" borderId="0" xfId="0" applyNumberFormat="1" applyFont="1" applyFill="1" applyAlignment="1">
      <alignment horizontal="left" vertical="center"/>
    </xf>
    <xf numFmtId="0" fontId="4" fillId="4" borderId="0" xfId="0" applyFont="1" applyFill="1" applyAlignment="1">
      <alignment horizontal="center" wrapText="1"/>
    </xf>
    <xf numFmtId="37" fontId="5" fillId="4" borderId="7" xfId="0" applyNumberFormat="1" applyFont="1" applyFill="1" applyBorder="1" applyAlignment="1">
      <alignment horizontal="left" vertical="center"/>
    </xf>
    <xf numFmtId="165" fontId="20" fillId="4" borderId="7" xfId="0" applyNumberFormat="1" applyFont="1" applyFill="1" applyBorder="1" applyAlignment="1">
      <alignment vertical="center"/>
    </xf>
    <xf numFmtId="37" fontId="5" fillId="4" borderId="13" xfId="0" applyNumberFormat="1" applyFont="1" applyFill="1" applyBorder="1" applyAlignment="1">
      <alignment horizontal="left" vertical="center"/>
    </xf>
    <xf numFmtId="0" fontId="6" fillId="0" borderId="0" xfId="0" applyFont="1" applyAlignment="1">
      <alignment vertical="center" wrapText="1"/>
    </xf>
    <xf numFmtId="0" fontId="2" fillId="0" borderId="0" xfId="466"/>
    <xf numFmtId="0" fontId="5" fillId="0" borderId="0" xfId="466" applyFont="1"/>
    <xf numFmtId="0" fontId="5" fillId="0" borderId="0" xfId="466" applyFont="1" applyAlignment="1">
      <alignment horizontal="right"/>
    </xf>
    <xf numFmtId="49" fontId="5" fillId="0" borderId="0" xfId="466" applyNumberFormat="1" applyFont="1" applyAlignment="1" applyProtection="1">
      <alignment horizontal="left" vertical="center"/>
      <protection locked="0"/>
    </xf>
    <xf numFmtId="0" fontId="2" fillId="0" borderId="0" xfId="466" applyAlignment="1">
      <alignment horizontal="left"/>
    </xf>
    <xf numFmtId="0" fontId="2" fillId="0" borderId="0" xfId="466" applyAlignment="1">
      <alignment horizontal="right"/>
    </xf>
    <xf numFmtId="0" fontId="5" fillId="0" borderId="0" xfId="466" applyFont="1" applyAlignment="1">
      <alignment horizontal="right" vertical="center"/>
    </xf>
    <xf numFmtId="0" fontId="20" fillId="0" borderId="0" xfId="466" applyFont="1" applyAlignment="1">
      <alignment horizontal="left" vertical="center"/>
    </xf>
    <xf numFmtId="0" fontId="45" fillId="0" borderId="0" xfId="501" applyFont="1" applyAlignment="1">
      <alignment horizontal="center" vertical="center" wrapText="1"/>
    </xf>
    <xf numFmtId="0" fontId="5" fillId="0" borderId="0" xfId="501" applyFont="1" applyAlignment="1">
      <alignment vertical="center"/>
    </xf>
    <xf numFmtId="0" fontId="5" fillId="0" borderId="0" xfId="501" applyFont="1" applyAlignment="1">
      <alignment vertical="center" wrapText="1"/>
    </xf>
    <xf numFmtId="0" fontId="30" fillId="0" borderId="0" xfId="501" applyFont="1" applyAlignment="1">
      <alignment horizontal="center" vertical="center" wrapText="1"/>
    </xf>
    <xf numFmtId="0" fontId="47" fillId="0" borderId="0" xfId="501" applyFont="1" applyAlignment="1">
      <alignment vertical="center" wrapText="1"/>
    </xf>
    <xf numFmtId="0" fontId="48" fillId="0" borderId="0" xfId="501" applyFont="1" applyAlignment="1">
      <alignment vertical="center" wrapText="1"/>
    </xf>
    <xf numFmtId="0" fontId="4" fillId="0" borderId="0" xfId="501" applyFont="1" applyAlignment="1">
      <alignment horizontal="center" vertical="center" wrapText="1"/>
    </xf>
    <xf numFmtId="0" fontId="4" fillId="0" borderId="0" xfId="501" applyFont="1" applyAlignment="1">
      <alignment vertical="center" wrapText="1"/>
    </xf>
    <xf numFmtId="0" fontId="5" fillId="0" borderId="0" xfId="501" applyFont="1" applyAlignment="1">
      <alignment horizontal="left" vertical="center" wrapText="1" indent="2"/>
    </xf>
    <xf numFmtId="0" fontId="5" fillId="0" borderId="0" xfId="501" applyFont="1" applyAlignment="1">
      <alignment horizontal="left" vertical="center" wrapText="1"/>
    </xf>
    <xf numFmtId="0" fontId="5" fillId="0" borderId="0" xfId="501" applyFont="1" applyAlignment="1">
      <alignment horizontal="left" vertical="center" indent="2"/>
    </xf>
    <xf numFmtId="0" fontId="49" fillId="0" borderId="0" xfId="501" applyFont="1" applyAlignment="1">
      <alignment horizontal="left" vertical="center" wrapText="1" indent="4"/>
    </xf>
    <xf numFmtId="0" fontId="14" fillId="0" borderId="0" xfId="501" applyFont="1" applyAlignment="1">
      <alignment vertical="center" wrapText="1"/>
    </xf>
    <xf numFmtId="0" fontId="5" fillId="4" borderId="0" xfId="501" applyFont="1" applyFill="1" applyAlignment="1">
      <alignment vertical="center"/>
    </xf>
    <xf numFmtId="0" fontId="5" fillId="4" borderId="0" xfId="501" applyFont="1" applyFill="1" applyAlignment="1" applyProtection="1">
      <alignment vertical="center"/>
      <protection locked="0"/>
    </xf>
    <xf numFmtId="37" fontId="5" fillId="4" borderId="0" xfId="501" applyNumberFormat="1" applyFont="1" applyFill="1" applyAlignment="1">
      <alignment horizontal="centerContinuous" vertical="center"/>
    </xf>
    <xf numFmtId="0" fontId="5" fillId="4" borderId="0" xfId="501" applyFont="1" applyFill="1" applyAlignment="1">
      <alignment horizontal="centerContinuous" vertical="center"/>
    </xf>
    <xf numFmtId="169" fontId="5" fillId="4" borderId="1" xfId="501" applyNumberFormat="1" applyFont="1" applyFill="1" applyBorder="1" applyAlignment="1">
      <alignment horizontal="centerContinuous" vertical="center"/>
    </xf>
    <xf numFmtId="169" fontId="5" fillId="4" borderId="1" xfId="501" applyNumberFormat="1" applyFont="1" applyFill="1" applyBorder="1" applyAlignment="1">
      <alignment horizontal="center" vertical="center"/>
    </xf>
    <xf numFmtId="0" fontId="5" fillId="4" borderId="0" xfId="501" applyFont="1" applyFill="1" applyAlignment="1">
      <alignment horizontal="fill" vertical="center"/>
    </xf>
    <xf numFmtId="0" fontId="5" fillId="4" borderId="0" xfId="501" applyFont="1" applyFill="1" applyAlignment="1">
      <alignment horizontal="right" vertical="center"/>
    </xf>
    <xf numFmtId="0" fontId="5" fillId="3" borderId="0" xfId="501" applyFont="1" applyFill="1" applyAlignment="1" applyProtection="1">
      <alignment horizontal="center" vertical="center"/>
      <protection locked="0"/>
    </xf>
    <xf numFmtId="0" fontId="5" fillId="0" borderId="0" xfId="501" applyFont="1" applyAlignment="1" applyProtection="1">
      <alignment vertical="center"/>
      <protection locked="0"/>
    </xf>
    <xf numFmtId="0" fontId="44" fillId="0" borderId="0" xfId="502"/>
    <xf numFmtId="0" fontId="5" fillId="0" borderId="0" xfId="502" applyFont="1"/>
    <xf numFmtId="0" fontId="44" fillId="0" borderId="0" xfId="501"/>
    <xf numFmtId="0" fontId="5" fillId="0" borderId="0" xfId="501" applyFont="1"/>
    <xf numFmtId="0" fontId="5" fillId="0" borderId="2" xfId="501" applyFont="1" applyBorder="1"/>
    <xf numFmtId="0" fontId="4" fillId="7" borderId="5" xfId="0" applyFont="1" applyFill="1" applyBorder="1" applyAlignment="1">
      <alignment vertical="center"/>
    </xf>
    <xf numFmtId="37" fontId="5" fillId="4" borderId="16" xfId="0" applyNumberFormat="1" applyFont="1" applyFill="1" applyBorder="1" applyAlignment="1">
      <alignment horizontal="left" vertical="center"/>
    </xf>
    <xf numFmtId="164" fontId="5" fillId="4" borderId="10" xfId="0" applyNumberFormat="1" applyFont="1" applyFill="1" applyBorder="1" applyAlignment="1">
      <alignment horizontal="center" vertical="center"/>
    </xf>
    <xf numFmtId="164" fontId="5" fillId="4" borderId="0" xfId="0" applyNumberFormat="1" applyFont="1" applyFill="1" applyAlignment="1">
      <alignment horizontal="center" vertical="center"/>
    </xf>
    <xf numFmtId="0" fontId="5" fillId="4" borderId="0" xfId="0" applyFont="1" applyFill="1" applyAlignment="1">
      <alignment horizontal="center" vertical="center" shrinkToFit="1"/>
    </xf>
    <xf numFmtId="169" fontId="5" fillId="4" borderId="1" xfId="0" applyNumberFormat="1" applyFont="1" applyFill="1" applyBorder="1" applyAlignment="1">
      <alignment horizontal="center" vertical="center"/>
    </xf>
    <xf numFmtId="37" fontId="5" fillId="4" borderId="0" xfId="0" applyNumberFormat="1" applyFont="1" applyFill="1" applyAlignment="1">
      <alignment horizontal="fill"/>
    </xf>
    <xf numFmtId="37" fontId="5" fillId="4" borderId="0" xfId="0" applyNumberFormat="1" applyFont="1" applyFill="1" applyAlignment="1">
      <alignment horizontal="center" vertical="center"/>
    </xf>
    <xf numFmtId="0" fontId="5" fillId="4" borderId="16" xfId="0" applyFont="1" applyFill="1" applyBorder="1" applyAlignment="1">
      <alignment vertical="center" wrapText="1"/>
    </xf>
    <xf numFmtId="0" fontId="5" fillId="4" borderId="17" xfId="0" applyFont="1" applyFill="1" applyBorder="1" applyAlignment="1">
      <alignment vertical="center" wrapText="1"/>
    </xf>
    <xf numFmtId="0" fontId="5" fillId="4" borderId="10" xfId="0" applyFont="1" applyFill="1" applyBorder="1" applyAlignment="1">
      <alignment vertical="center" wrapText="1"/>
    </xf>
    <xf numFmtId="0" fontId="5" fillId="4" borderId="18" xfId="0" applyFont="1" applyFill="1" applyBorder="1" applyAlignment="1">
      <alignment vertical="center" wrapText="1"/>
    </xf>
    <xf numFmtId="0" fontId="5" fillId="4" borderId="11" xfId="0" applyFont="1" applyFill="1" applyBorder="1" applyAlignment="1">
      <alignment vertical="center" wrapText="1"/>
    </xf>
    <xf numFmtId="0" fontId="5" fillId="4" borderId="12" xfId="0" applyFont="1" applyFill="1" applyBorder="1" applyAlignment="1">
      <alignment vertical="center" wrapText="1"/>
    </xf>
    <xf numFmtId="0" fontId="5" fillId="4" borderId="2" xfId="0" applyFont="1" applyFill="1" applyBorder="1" applyAlignment="1">
      <alignment vertical="center" wrapText="1"/>
    </xf>
    <xf numFmtId="0" fontId="5" fillId="4" borderId="5" xfId="0" applyFont="1" applyFill="1" applyBorder="1" applyAlignment="1">
      <alignment vertical="center" wrapText="1"/>
    </xf>
    <xf numFmtId="0" fontId="4" fillId="4" borderId="18" xfId="0" applyFont="1" applyFill="1" applyBorder="1"/>
    <xf numFmtId="0" fontId="4" fillId="4" borderId="0" xfId="0" applyFont="1" applyFill="1"/>
    <xf numFmtId="169" fontId="4" fillId="4" borderId="4" xfId="0" applyNumberFormat="1" applyFont="1" applyFill="1" applyBorder="1" applyAlignment="1">
      <alignment horizontal="center"/>
    </xf>
    <xf numFmtId="37" fontId="4" fillId="4" borderId="1" xfId="0" applyNumberFormat="1" applyFont="1" applyFill="1" applyBorder="1" applyAlignment="1">
      <alignment vertical="center"/>
    </xf>
    <xf numFmtId="171" fontId="8" fillId="13" borderId="12" xfId="0" applyNumberFormat="1" applyFont="1" applyFill="1" applyBorder="1" applyAlignment="1">
      <alignment horizontal="center" vertical="center"/>
    </xf>
    <xf numFmtId="0" fontId="8" fillId="12" borderId="0" xfId="0" applyFont="1" applyFill="1" applyAlignment="1">
      <alignment horizontal="left" vertical="center"/>
    </xf>
    <xf numFmtId="0" fontId="32" fillId="12" borderId="0" xfId="0" applyFont="1" applyFill="1" applyAlignment="1">
      <alignment horizontal="center" vertical="center"/>
    </xf>
    <xf numFmtId="0" fontId="0" fillId="12" borderId="11" xfId="0" applyFill="1" applyBorder="1" applyAlignment="1">
      <alignment vertical="center"/>
    </xf>
    <xf numFmtId="171" fontId="8" fillId="12" borderId="12" xfId="0" applyNumberFormat="1" applyFont="1" applyFill="1" applyBorder="1" applyAlignment="1">
      <alignment horizontal="center" vertical="center"/>
    </xf>
    <xf numFmtId="171" fontId="33" fillId="12" borderId="12" xfId="0" applyNumberFormat="1" applyFont="1" applyFill="1" applyBorder="1" applyAlignment="1">
      <alignment horizontal="center" vertical="center"/>
    </xf>
    <xf numFmtId="0" fontId="33" fillId="12" borderId="0" xfId="0" applyFont="1" applyFill="1" applyAlignment="1">
      <alignment horizontal="left" vertical="center"/>
    </xf>
    <xf numFmtId="171" fontId="8" fillId="12" borderId="9" xfId="0" applyNumberFormat="1" applyFont="1" applyFill="1" applyBorder="1" applyAlignment="1">
      <alignment horizontal="center" vertical="center"/>
    </xf>
    <xf numFmtId="0" fontId="5" fillId="12" borderId="18" xfId="0" applyFont="1" applyFill="1" applyBorder="1" applyAlignment="1">
      <alignment vertical="center"/>
    </xf>
    <xf numFmtId="0" fontId="5" fillId="12" borderId="11" xfId="0" applyFont="1" applyFill="1" applyBorder="1" applyAlignment="1">
      <alignment vertical="center"/>
    </xf>
    <xf numFmtId="3" fontId="4" fillId="4" borderId="1" xfId="26" applyNumberFormat="1" applyFont="1" applyFill="1" applyBorder="1" applyAlignment="1">
      <alignment horizontal="right" vertical="center"/>
    </xf>
    <xf numFmtId="3" fontId="4" fillId="4" borderId="6" xfId="0" applyNumberFormat="1" applyFont="1" applyFill="1" applyBorder="1" applyAlignment="1">
      <alignment horizontal="right" vertical="center"/>
    </xf>
    <xf numFmtId="0" fontId="14" fillId="0" borderId="0" xfId="0" applyFont="1" applyAlignment="1">
      <alignment horizontal="center"/>
    </xf>
    <xf numFmtId="0" fontId="4" fillId="0" borderId="0" xfId="0" applyFont="1"/>
    <xf numFmtId="0" fontId="5" fillId="0" borderId="0" xfId="0" quotePrefix="1" applyFont="1"/>
    <xf numFmtId="0" fontId="5" fillId="0" borderId="0" xfId="165" applyFont="1"/>
    <xf numFmtId="0" fontId="43" fillId="0" borderId="0" xfId="0" applyFont="1" applyAlignment="1">
      <alignment horizontal="center"/>
    </xf>
    <xf numFmtId="0" fontId="5" fillId="0" borderId="0" xfId="501" applyFont="1" applyAlignment="1">
      <alignment wrapText="1"/>
    </xf>
    <xf numFmtId="37" fontId="5" fillId="4" borderId="13" xfId="0" applyNumberFormat="1" applyFont="1" applyFill="1" applyBorder="1" applyAlignment="1">
      <alignment vertical="center"/>
    </xf>
    <xf numFmtId="168" fontId="5" fillId="4" borderId="13" xfId="0" applyNumberFormat="1" applyFont="1" applyFill="1" applyBorder="1" applyAlignment="1">
      <alignment vertical="center"/>
    </xf>
    <xf numFmtId="37" fontId="5" fillId="4" borderId="13" xfId="0" applyNumberFormat="1" applyFont="1" applyFill="1" applyBorder="1" applyAlignment="1">
      <alignment horizontal="center" vertical="center"/>
    </xf>
    <xf numFmtId="164" fontId="5" fillId="4" borderId="5" xfId="0" applyNumberFormat="1" applyFont="1" applyFill="1" applyBorder="1" applyAlignment="1">
      <alignment horizontal="center" vertical="center"/>
    </xf>
    <xf numFmtId="168" fontId="5" fillId="3" borderId="1" xfId="0" applyNumberFormat="1" applyFont="1" applyFill="1" applyBorder="1" applyAlignment="1" applyProtection="1">
      <alignment horizontal="center"/>
      <protection locked="0"/>
    </xf>
    <xf numFmtId="0" fontId="47" fillId="0" borderId="0" xfId="0" applyFont="1" applyAlignment="1">
      <alignment wrapText="1"/>
    </xf>
    <xf numFmtId="0" fontId="5" fillId="4" borderId="0" xfId="501" applyFont="1" applyFill="1" applyAlignment="1">
      <alignment horizontal="center" vertical="center"/>
    </xf>
    <xf numFmtId="169" fontId="5" fillId="4" borderId="0" xfId="501" applyNumberFormat="1" applyFont="1" applyFill="1" applyAlignment="1">
      <alignment horizontal="centerContinuous" vertical="center"/>
    </xf>
    <xf numFmtId="169" fontId="5" fillId="4" borderId="0" xfId="501" applyNumberFormat="1" applyFont="1" applyFill="1" applyAlignment="1">
      <alignment horizontal="center" vertical="center"/>
    </xf>
    <xf numFmtId="0" fontId="5" fillId="4" borderId="19" xfId="0" applyFont="1" applyFill="1" applyBorder="1" applyAlignment="1">
      <alignment horizontal="right" vertical="center"/>
    </xf>
    <xf numFmtId="165" fontId="5" fillId="4" borderId="19" xfId="0" applyNumberFormat="1" applyFont="1" applyFill="1" applyBorder="1" applyAlignment="1">
      <alignment horizontal="right" vertical="center"/>
    </xf>
    <xf numFmtId="37" fontId="5" fillId="4" borderId="4" xfId="0" applyNumberFormat="1" applyFont="1" applyFill="1" applyBorder="1" applyAlignment="1">
      <alignment horizontal="fill" vertical="center"/>
    </xf>
    <xf numFmtId="0" fontId="5" fillId="4" borderId="7" xfId="0" applyFont="1" applyFill="1" applyBorder="1" applyAlignment="1">
      <alignment horizontal="right" vertical="center"/>
    </xf>
    <xf numFmtId="0" fontId="8" fillId="0" borderId="0" xfId="0" applyFont="1" applyAlignment="1">
      <alignment vertical="center" wrapText="1"/>
    </xf>
    <xf numFmtId="0" fontId="50" fillId="0" borderId="0" xfId="0" applyFont="1" applyAlignment="1">
      <alignment vertical="center" wrapText="1"/>
    </xf>
    <xf numFmtId="0" fontId="5" fillId="4" borderId="7" xfId="0" applyFont="1" applyFill="1" applyBorder="1" applyAlignment="1">
      <alignment horizontal="center" vertical="center"/>
    </xf>
    <xf numFmtId="0" fontId="5" fillId="4" borderId="0" xfId="50" applyFont="1" applyFill="1" applyAlignment="1">
      <alignment horizontal="right" vertical="center"/>
    </xf>
    <xf numFmtId="0" fontId="5" fillId="4" borderId="0" xfId="13" applyNumberFormat="1" applyFont="1" applyFill="1" applyBorder="1" applyAlignment="1" applyProtection="1">
      <alignment horizontal="right" vertical="center"/>
    </xf>
    <xf numFmtId="0" fontId="5" fillId="4" borderId="0" xfId="14" applyNumberFormat="1" applyFont="1" applyFill="1" applyBorder="1" applyAlignment="1" applyProtection="1">
      <alignment horizontal="right" vertical="center"/>
    </xf>
    <xf numFmtId="37" fontId="5" fillId="4" borderId="2" xfId="0" applyNumberFormat="1" applyFont="1" applyFill="1" applyBorder="1" applyAlignment="1" applyProtection="1">
      <alignment horizontal="center" vertical="center"/>
      <protection locked="0"/>
    </xf>
    <xf numFmtId="37" fontId="5" fillId="4" borderId="6" xfId="0" applyNumberFormat="1" applyFont="1" applyFill="1" applyBorder="1" applyAlignment="1">
      <alignment horizontal="center" vertical="center"/>
    </xf>
    <xf numFmtId="37" fontId="5" fillId="4" borderId="7" xfId="0" applyNumberFormat="1" applyFont="1" applyFill="1" applyBorder="1" applyAlignment="1">
      <alignment horizontal="center" vertical="center"/>
    </xf>
    <xf numFmtId="49" fontId="5" fillId="4" borderId="0" xfId="501" applyNumberFormat="1" applyFont="1" applyFill="1" applyAlignment="1" applyProtection="1">
      <alignment horizontal="left" vertical="center"/>
      <protection locked="0"/>
    </xf>
    <xf numFmtId="0" fontId="5" fillId="0" borderId="0" xfId="502" applyFont="1" applyAlignment="1">
      <alignment horizontal="left" wrapText="1"/>
    </xf>
    <xf numFmtId="0" fontId="23" fillId="0" borderId="0" xfId="0" applyFont="1" applyAlignment="1">
      <alignment vertical="center"/>
    </xf>
    <xf numFmtId="0" fontId="18" fillId="0" borderId="0" xfId="0" applyFont="1" applyAlignment="1">
      <alignment vertical="center"/>
    </xf>
    <xf numFmtId="0" fontId="12" fillId="6" borderId="0" xfId="31" applyFont="1" applyFill="1" applyAlignment="1">
      <alignment vertical="center"/>
    </xf>
    <xf numFmtId="0" fontId="12" fillId="4" borderId="0" xfId="31" applyFont="1" applyFill="1" applyAlignment="1">
      <alignment horizontal="center" vertical="center"/>
    </xf>
    <xf numFmtId="175" fontId="12" fillId="4" borderId="0" xfId="31" applyNumberFormat="1" applyFont="1" applyFill="1" applyAlignment="1">
      <alignment horizontal="center" vertical="center"/>
    </xf>
    <xf numFmtId="0" fontId="12" fillId="6" borderId="0" xfId="31" applyFont="1" applyFill="1" applyAlignment="1">
      <alignment horizontal="center" vertical="center"/>
    </xf>
    <xf numFmtId="0" fontId="13" fillId="6" borderId="0" xfId="31" applyFont="1" applyFill="1" applyAlignment="1">
      <alignment horizontal="center" vertical="center"/>
    </xf>
    <xf numFmtId="0" fontId="37" fillId="0" borderId="0" xfId="0" applyFont="1" applyProtection="1">
      <protection locked="0"/>
    </xf>
    <xf numFmtId="0" fontId="17" fillId="4" borderId="0" xfId="0" applyFont="1" applyFill="1" applyAlignment="1">
      <alignment horizontal="center" vertical="center"/>
    </xf>
    <xf numFmtId="0" fontId="13" fillId="4" borderId="0" xfId="24" applyFont="1" applyFill="1" applyAlignment="1">
      <alignment horizontal="center" vertical="center"/>
    </xf>
    <xf numFmtId="0" fontId="37" fillId="0" borderId="0" xfId="26" applyFont="1" applyProtection="1">
      <protection locked="0"/>
    </xf>
    <xf numFmtId="0" fontId="37" fillId="0" borderId="0" xfId="26" applyFont="1" applyAlignment="1">
      <alignment vertical="center"/>
    </xf>
    <xf numFmtId="0" fontId="17" fillId="4" borderId="0" xfId="26" applyFont="1" applyFill="1" applyAlignment="1">
      <alignment horizontal="center" vertical="center"/>
    </xf>
    <xf numFmtId="0" fontId="37" fillId="0" borderId="0" xfId="26" applyFont="1" applyAlignment="1">
      <alignment horizontal="right" vertical="center"/>
    </xf>
    <xf numFmtId="0" fontId="37" fillId="0" borderId="0" xfId="26" applyFont="1"/>
    <xf numFmtId="0" fontId="17" fillId="0" borderId="0" xfId="26" applyFont="1" applyProtection="1">
      <protection locked="0"/>
    </xf>
    <xf numFmtId="0" fontId="17" fillId="0" borderId="0" xfId="50" applyFont="1" applyAlignment="1" applyProtection="1">
      <alignment vertical="center"/>
      <protection locked="0"/>
    </xf>
    <xf numFmtId="3" fontId="13" fillId="4" borderId="2" xfId="0" applyNumberFormat="1" applyFont="1" applyFill="1" applyBorder="1" applyAlignment="1">
      <alignment horizontal="center" vertical="center"/>
    </xf>
    <xf numFmtId="37" fontId="5" fillId="4" borderId="21" xfId="0" applyNumberFormat="1" applyFont="1" applyFill="1" applyBorder="1" applyAlignment="1">
      <alignment horizontal="left" vertical="center"/>
    </xf>
    <xf numFmtId="0" fontId="5" fillId="3" borderId="19" xfId="0" applyFont="1" applyFill="1" applyBorder="1" applyAlignment="1" applyProtection="1">
      <alignment vertical="center"/>
      <protection locked="0"/>
    </xf>
    <xf numFmtId="170" fontId="5" fillId="4" borderId="1" xfId="1" applyNumberFormat="1" applyFont="1" applyFill="1" applyBorder="1" applyAlignment="1" applyProtection="1">
      <alignment vertical="center"/>
    </xf>
    <xf numFmtId="0" fontId="55" fillId="0" borderId="0" xfId="501" applyFont="1"/>
    <xf numFmtId="0" fontId="56" fillId="0" borderId="0" xfId="501" applyFont="1"/>
    <xf numFmtId="0" fontId="57" fillId="0" borderId="0" xfId="501" applyFont="1" applyAlignment="1">
      <alignment horizontal="left" vertical="center" readingOrder="1"/>
    </xf>
    <xf numFmtId="0" fontId="58" fillId="0" borderId="0" xfId="501" applyFont="1" applyAlignment="1">
      <alignment horizontal="left" vertical="center" indent="2" readingOrder="1"/>
    </xf>
    <xf numFmtId="0" fontId="58" fillId="0" borderId="2" xfId="501" applyFont="1" applyBorder="1" applyAlignment="1">
      <alignment horizontal="center" vertical="center" readingOrder="1"/>
    </xf>
    <xf numFmtId="0" fontId="59" fillId="0" borderId="0" xfId="501" applyFont="1" applyAlignment="1">
      <alignment horizontal="left" vertical="center" readingOrder="1"/>
    </xf>
    <xf numFmtId="0" fontId="44" fillId="16" borderId="0" xfId="501" applyFill="1"/>
    <xf numFmtId="0" fontId="57" fillId="16" borderId="0" xfId="501" applyFont="1" applyFill="1" applyAlignment="1">
      <alignment horizontal="left" vertical="center" readingOrder="1"/>
    </xf>
    <xf numFmtId="0" fontId="61" fillId="0" borderId="0" xfId="501" applyFont="1" applyAlignment="1">
      <alignment wrapText="1"/>
    </xf>
    <xf numFmtId="0" fontId="62" fillId="0" borderId="0" xfId="501" applyFont="1"/>
    <xf numFmtId="0" fontId="63" fillId="0" borderId="0" xfId="501" applyFont="1" applyAlignment="1">
      <alignment horizontal="left"/>
    </xf>
    <xf numFmtId="0" fontId="64" fillId="0" borderId="0" xfId="501" applyFont="1"/>
    <xf numFmtId="0" fontId="6" fillId="0" borderId="0" xfId="0" applyFont="1"/>
    <xf numFmtId="0" fontId="64" fillId="0" borderId="0" xfId="503" applyFont="1"/>
    <xf numFmtId="0" fontId="64" fillId="0" borderId="0" xfId="503" applyFont="1" applyAlignment="1">
      <alignment horizontal="left" wrapText="1"/>
    </xf>
    <xf numFmtId="0" fontId="64" fillId="0" borderId="0" xfId="503" applyFont="1" applyAlignment="1">
      <alignment horizontal="center"/>
    </xf>
    <xf numFmtId="0" fontId="65" fillId="17" borderId="1" xfId="503" applyFont="1" applyFill="1" applyBorder="1" applyAlignment="1">
      <alignment horizontal="center" vertical="center"/>
    </xf>
    <xf numFmtId="0" fontId="64" fillId="0" borderId="1" xfId="503" applyFont="1" applyBorder="1" applyAlignment="1">
      <alignment horizontal="center"/>
    </xf>
    <xf numFmtId="0" fontId="64" fillId="0" borderId="13" xfId="503" applyFont="1" applyBorder="1" applyAlignment="1">
      <alignment horizontal="center"/>
    </xf>
    <xf numFmtId="0" fontId="67" fillId="0" borderId="7" xfId="503" applyFont="1" applyBorder="1" applyAlignment="1">
      <alignment horizontal="center" vertical="center"/>
    </xf>
    <xf numFmtId="0" fontId="64" fillId="0" borderId="0" xfId="503" applyFont="1" applyAlignment="1">
      <alignment horizontal="right" wrapText="1"/>
    </xf>
    <xf numFmtId="0" fontId="64" fillId="0" borderId="0" xfId="503" applyFont="1" applyAlignment="1">
      <alignment wrapText="1"/>
    </xf>
    <xf numFmtId="37" fontId="5" fillId="11" borderId="6" xfId="0" applyNumberFormat="1" applyFont="1" applyFill="1" applyBorder="1" applyAlignment="1">
      <alignment horizontal="center" vertical="center" wrapText="1"/>
    </xf>
    <xf numFmtId="0" fontId="0" fillId="11" borderId="7" xfId="0" applyFill="1" applyBorder="1" applyAlignment="1">
      <alignment vertical="center" wrapText="1"/>
    </xf>
    <xf numFmtId="37" fontId="13" fillId="4" borderId="0" xfId="0" applyNumberFormat="1" applyFont="1" applyFill="1" applyAlignment="1">
      <alignment horizontal="center" vertical="center"/>
    </xf>
    <xf numFmtId="0" fontId="14" fillId="0" borderId="0" xfId="0" applyFont="1" applyAlignment="1">
      <alignment horizontal="center" vertical="center"/>
    </xf>
    <xf numFmtId="37" fontId="14" fillId="4" borderId="0" xfId="0" applyNumberFormat="1" applyFont="1" applyFill="1" applyAlignment="1">
      <alignment horizontal="center" vertical="center"/>
    </xf>
    <xf numFmtId="0" fontId="0" fillId="0" borderId="0" xfId="0" applyAlignment="1">
      <alignment horizontal="center" vertical="center"/>
    </xf>
    <xf numFmtId="37" fontId="4" fillId="4" borderId="0" xfId="26" applyNumberFormat="1" applyFont="1" applyFill="1" applyAlignment="1">
      <alignment vertical="center" wrapText="1"/>
    </xf>
    <xf numFmtId="0" fontId="5" fillId="4" borderId="16" xfId="26" applyFont="1" applyFill="1" applyBorder="1" applyAlignment="1">
      <alignment vertical="center" wrapText="1"/>
    </xf>
    <xf numFmtId="0" fontId="3" fillId="0" borderId="10" xfId="26" applyBorder="1" applyAlignment="1">
      <alignment vertical="center" wrapText="1"/>
    </xf>
    <xf numFmtId="0" fontId="3" fillId="0" borderId="18" xfId="26" applyBorder="1" applyAlignment="1">
      <alignment vertical="center" wrapText="1"/>
    </xf>
    <xf numFmtId="0" fontId="3" fillId="0" borderId="11" xfId="26" applyBorder="1" applyAlignment="1">
      <alignment vertical="center" wrapText="1"/>
    </xf>
    <xf numFmtId="0" fontId="3" fillId="0" borderId="12" xfId="26" applyBorder="1" applyAlignment="1">
      <alignment vertical="center" wrapText="1"/>
    </xf>
    <xf numFmtId="0" fontId="3" fillId="0" borderId="5" xfId="26" applyBorder="1" applyAlignment="1">
      <alignment vertical="center" wrapText="1"/>
    </xf>
    <xf numFmtId="0" fontId="47" fillId="0" borderId="0" xfId="0" applyFont="1" applyAlignment="1">
      <alignment horizontal="center" wrapText="1"/>
    </xf>
    <xf numFmtId="0" fontId="4" fillId="7" borderId="9" xfId="0" applyFont="1" applyFill="1" applyBorder="1" applyAlignment="1">
      <alignment horizontal="center"/>
    </xf>
    <xf numFmtId="0" fontId="15" fillId="7" borderId="4" xfId="0" applyFont="1" applyFill="1" applyBorder="1" applyAlignment="1">
      <alignment horizontal="center"/>
    </xf>
    <xf numFmtId="0" fontId="12" fillId="4" borderId="0" xfId="0" applyFont="1" applyFill="1"/>
    <xf numFmtId="0" fontId="16" fillId="0" borderId="0" xfId="0" applyFont="1"/>
    <xf numFmtId="37" fontId="5" fillId="8" borderId="0" xfId="0" applyNumberFormat="1" applyFont="1" applyFill="1" applyAlignment="1">
      <alignment horizontal="left" wrapText="1"/>
    </xf>
    <xf numFmtId="0" fontId="0" fillId="0" borderId="0" xfId="0" applyAlignment="1">
      <alignment wrapText="1"/>
    </xf>
    <xf numFmtId="37" fontId="13" fillId="4" borderId="0" xfId="0" applyNumberFormat="1" applyFont="1" applyFill="1" applyAlignment="1">
      <alignment horizontal="center" vertical="justify"/>
    </xf>
    <xf numFmtId="0" fontId="14" fillId="0" borderId="0" xfId="0" applyFont="1" applyAlignment="1">
      <alignment horizontal="center" vertical="justify"/>
    </xf>
    <xf numFmtId="37" fontId="14" fillId="4" borderId="0" xfId="0" applyNumberFormat="1" applyFont="1" applyFill="1" applyAlignment="1">
      <alignment horizontal="center"/>
    </xf>
    <xf numFmtId="0" fontId="5"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5" fillId="6" borderId="17" xfId="0" applyFont="1" applyFill="1" applyBorder="1" applyAlignment="1">
      <alignment wrapText="1"/>
    </xf>
    <xf numFmtId="0" fontId="0" fillId="0" borderId="17" xfId="0" applyBorder="1" applyAlignment="1">
      <alignment wrapText="1"/>
    </xf>
    <xf numFmtId="37" fontId="4" fillId="4" borderId="0" xfId="0" applyNumberFormat="1" applyFont="1" applyFill="1" applyAlignment="1">
      <alignment horizontal="right"/>
    </xf>
    <xf numFmtId="37" fontId="4" fillId="4" borderId="11" xfId="0" applyNumberFormat="1" applyFont="1" applyFill="1" applyBorder="1" applyAlignment="1">
      <alignment horizontal="right"/>
    </xf>
    <xf numFmtId="0" fontId="24" fillId="15" borderId="0" xfId="466" applyFont="1" applyFill="1" applyAlignment="1">
      <alignment horizontal="center" vertical="center" wrapText="1"/>
    </xf>
    <xf numFmtId="49" fontId="5" fillId="3" borderId="9" xfId="466" applyNumberFormat="1" applyFont="1" applyFill="1" applyBorder="1" applyAlignment="1" applyProtection="1">
      <alignment horizontal="left" vertical="center"/>
      <protection locked="0"/>
    </xf>
    <xf numFmtId="49" fontId="5" fillId="3" borderId="3" xfId="466" applyNumberFormat="1" applyFont="1" applyFill="1" applyBorder="1" applyAlignment="1" applyProtection="1">
      <alignment horizontal="left" vertical="center"/>
      <protection locked="0"/>
    </xf>
    <xf numFmtId="49" fontId="5" fillId="3" borderId="4" xfId="466" applyNumberFormat="1" applyFont="1" applyFill="1" applyBorder="1" applyAlignment="1" applyProtection="1">
      <alignment horizontal="left" vertical="center"/>
      <protection locked="0"/>
    </xf>
    <xf numFmtId="0" fontId="20" fillId="0" borderId="0" xfId="466" applyFont="1" applyAlignment="1">
      <alignment horizontal="center" vertical="top" wrapText="1"/>
    </xf>
    <xf numFmtId="0" fontId="5" fillId="3" borderId="9" xfId="466" applyFont="1" applyFill="1" applyBorder="1" applyAlignment="1" applyProtection="1">
      <alignment horizontal="left" vertical="center"/>
      <protection locked="0"/>
    </xf>
    <xf numFmtId="0" fontId="5" fillId="3" borderId="3" xfId="466" applyFont="1" applyFill="1" applyBorder="1" applyAlignment="1" applyProtection="1">
      <alignment horizontal="left" vertical="center"/>
      <protection locked="0"/>
    </xf>
    <xf numFmtId="0" fontId="5" fillId="3" borderId="4" xfId="466" applyFont="1" applyFill="1" applyBorder="1" applyAlignment="1" applyProtection="1">
      <alignment horizontal="left" vertical="center"/>
      <protection locked="0"/>
    </xf>
    <xf numFmtId="0" fontId="43" fillId="15" borderId="0" xfId="466" applyFont="1" applyFill="1" applyAlignment="1">
      <alignment horizontal="center" vertical="center"/>
    </xf>
    <xf numFmtId="0" fontId="5" fillId="0" borderId="0" xfId="466" applyFont="1" applyAlignment="1">
      <alignment horizontal="center" vertical="center" wrapText="1"/>
    </xf>
    <xf numFmtId="0" fontId="4" fillId="14" borderId="0" xfId="0" applyFont="1" applyFill="1" applyAlignment="1">
      <alignment horizontal="left" vertical="top" wrapText="1"/>
    </xf>
    <xf numFmtId="0" fontId="8" fillId="7" borderId="6" xfId="0" applyFont="1" applyFill="1" applyBorder="1" applyAlignment="1">
      <alignment horizontal="center" vertical="center" shrinkToFit="1"/>
    </xf>
    <xf numFmtId="0" fontId="8" fillId="7" borderId="7" xfId="0" applyFont="1" applyFill="1" applyBorder="1" applyAlignment="1">
      <alignment horizontal="center" vertical="center" shrinkToFit="1"/>
    </xf>
    <xf numFmtId="37" fontId="5" fillId="4" borderId="1" xfId="0" applyNumberFormat="1" applyFont="1" applyFill="1" applyBorder="1" applyAlignment="1">
      <alignment horizontal="center" vertical="center" wrapText="1"/>
    </xf>
    <xf numFmtId="0" fontId="8" fillId="7" borderId="18" xfId="0" applyFont="1" applyFill="1" applyBorder="1" applyAlignment="1">
      <alignment horizontal="center" vertical="center" wrapText="1"/>
    </xf>
    <xf numFmtId="0" fontId="8" fillId="7" borderId="12" xfId="0" applyFont="1" applyFill="1" applyBorder="1" applyAlignment="1">
      <alignment horizontal="center" vertical="center" wrapText="1"/>
    </xf>
    <xf numFmtId="170" fontId="5" fillId="4" borderId="20" xfId="1" applyNumberFormat="1" applyFont="1" applyFill="1" applyBorder="1" applyAlignment="1">
      <alignment horizontal="center" vertical="center"/>
    </xf>
    <xf numFmtId="170" fontId="5" fillId="4" borderId="7" xfId="1" applyNumberFormat="1" applyFont="1" applyFill="1" applyBorder="1" applyAlignment="1">
      <alignment horizontal="center" vertical="center"/>
    </xf>
    <xf numFmtId="0" fontId="4" fillId="4" borderId="0" xfId="0" applyFont="1" applyFill="1" applyAlignment="1">
      <alignment horizontal="center" vertical="center"/>
    </xf>
    <xf numFmtId="37" fontId="5" fillId="4" borderId="6"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37" fontId="5" fillId="4" borderId="9" xfId="0" applyNumberFormat="1" applyFont="1"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5" fillId="4" borderId="0" xfId="0" applyFont="1" applyFill="1" applyAlignment="1">
      <alignment horizontal="center" vertical="center"/>
    </xf>
    <xf numFmtId="0" fontId="0" fillId="0" borderId="0" xfId="0" applyAlignment="1">
      <alignment vertical="center"/>
    </xf>
    <xf numFmtId="37" fontId="5" fillId="4" borderId="0" xfId="0" applyNumberFormat="1" applyFont="1" applyFill="1" applyAlignment="1">
      <alignment horizontal="center" vertical="center"/>
    </xf>
    <xf numFmtId="37" fontId="5" fillId="4" borderId="8" xfId="0" applyNumberFormat="1" applyFont="1" applyFill="1" applyBorder="1" applyAlignment="1">
      <alignment horizontal="center" vertical="center" wrapText="1"/>
    </xf>
    <xf numFmtId="37" fontId="5" fillId="4" borderId="7" xfId="0" applyNumberFormat="1" applyFont="1" applyFill="1" applyBorder="1" applyAlignment="1">
      <alignment horizontal="center" vertical="center" wrapText="1"/>
    </xf>
    <xf numFmtId="0" fontId="1" fillId="0" borderId="0" xfId="0" applyFont="1" applyAlignment="1">
      <alignment horizontal="center" vertical="center"/>
    </xf>
    <xf numFmtId="37" fontId="5" fillId="4" borderId="16" xfId="0" applyNumberFormat="1" applyFont="1" applyFill="1" applyBorder="1" applyAlignment="1">
      <alignment horizontal="center" vertical="center" wrapText="1"/>
    </xf>
    <xf numFmtId="0" fontId="2" fillId="0" borderId="7" xfId="0" applyFont="1" applyBorder="1" applyAlignment="1">
      <alignment horizontal="center" vertical="center" wrapText="1"/>
    </xf>
    <xf numFmtId="37" fontId="4" fillId="4" borderId="0" xfId="26" applyNumberFormat="1" applyFont="1" applyFill="1" applyAlignment="1">
      <alignment horizontal="center" vertical="center"/>
    </xf>
    <xf numFmtId="0" fontId="2" fillId="0" borderId="0" xfId="24" applyAlignment="1">
      <alignment horizontal="center" vertical="center"/>
    </xf>
    <xf numFmtId="37" fontId="5" fillId="4" borderId="3" xfId="0" applyNumberFormat="1" applyFont="1" applyFill="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7" fillId="4" borderId="0" xfId="0" applyFont="1" applyFill="1" applyAlignment="1" applyProtection="1">
      <alignment horizontal="center" vertical="center"/>
      <protection locked="0"/>
    </xf>
    <xf numFmtId="0" fontId="4" fillId="4" borderId="0" xfId="500" applyFont="1" applyFill="1" applyAlignment="1">
      <alignment horizontal="center" vertical="center"/>
    </xf>
    <xf numFmtId="0" fontId="5" fillId="8" borderId="0" xfId="499" applyFont="1" applyFill="1" applyAlignment="1">
      <alignment horizontal="center" vertical="center"/>
    </xf>
    <xf numFmtId="0" fontId="14" fillId="4" borderId="0" xfId="486" applyFont="1" applyFill="1" applyAlignment="1">
      <alignment horizontal="center"/>
    </xf>
    <xf numFmtId="0" fontId="3" fillId="4" borderId="0" xfId="31" applyFill="1" applyAlignment="1">
      <alignment horizontal="center"/>
    </xf>
    <xf numFmtId="0" fontId="4" fillId="4" borderId="0" xfId="31" applyFont="1" applyFill="1" applyAlignment="1">
      <alignment horizontal="center" vertical="center"/>
    </xf>
    <xf numFmtId="0" fontId="14" fillId="4" borderId="0" xfId="31" applyFont="1" applyFill="1" applyAlignment="1">
      <alignment horizontal="center" vertical="center"/>
    </xf>
    <xf numFmtId="0" fontId="5" fillId="4" borderId="0" xfId="31" applyFont="1" applyFill="1" applyAlignment="1">
      <alignment vertical="center" wrapText="1"/>
    </xf>
    <xf numFmtId="3" fontId="5" fillId="4" borderId="17" xfId="50" applyNumberFormat="1" applyFont="1" applyFill="1" applyBorder="1" applyAlignment="1">
      <alignment horizontal="right" vertical="center"/>
    </xf>
    <xf numFmtId="0" fontId="3" fillId="0" borderId="10" xfId="50" applyBorder="1" applyAlignment="1">
      <alignment horizontal="right" vertical="center"/>
    </xf>
    <xf numFmtId="0" fontId="5" fillId="4" borderId="0" xfId="50" applyFont="1" applyFill="1" applyAlignment="1">
      <alignment horizontal="right" vertical="center"/>
    </xf>
    <xf numFmtId="0" fontId="5" fillId="0" borderId="11" xfId="50" applyFont="1" applyBorder="1" applyAlignment="1">
      <alignment horizontal="right" vertical="center"/>
    </xf>
    <xf numFmtId="0" fontId="5" fillId="4" borderId="0" xfId="13" applyNumberFormat="1" applyFont="1" applyFill="1" applyBorder="1" applyAlignment="1" applyProtection="1">
      <alignment horizontal="right" vertical="center"/>
    </xf>
    <xf numFmtId="0" fontId="5" fillId="0" borderId="0" xfId="13" applyFont="1" applyAlignment="1" applyProtection="1">
      <alignment horizontal="right" vertical="center"/>
    </xf>
    <xf numFmtId="0" fontId="32" fillId="4" borderId="16" xfId="0" applyFont="1" applyFill="1" applyBorder="1" applyAlignment="1">
      <alignment horizontal="center" vertical="center"/>
    </xf>
    <xf numFmtId="0" fontId="0" fillId="0" borderId="17" xfId="0" applyBorder="1" applyAlignment="1">
      <alignment vertical="center"/>
    </xf>
    <xf numFmtId="0" fontId="0" fillId="0" borderId="10" xfId="0" applyBorder="1" applyAlignment="1">
      <alignment vertical="center"/>
    </xf>
    <xf numFmtId="171" fontId="32" fillId="12" borderId="16" xfId="0" applyNumberFormat="1" applyFont="1" applyFill="1" applyBorder="1" applyAlignment="1">
      <alignment horizontal="center" wrapText="1"/>
    </xf>
    <xf numFmtId="171" fontId="32" fillId="12" borderId="17" xfId="0" applyNumberFormat="1" applyFont="1" applyFill="1" applyBorder="1" applyAlignment="1">
      <alignment horizontal="center" wrapText="1"/>
    </xf>
    <xf numFmtId="171" fontId="32" fillId="12" borderId="10" xfId="0" applyNumberFormat="1" applyFont="1" applyFill="1" applyBorder="1" applyAlignment="1">
      <alignment horizontal="center" wrapText="1"/>
    </xf>
    <xf numFmtId="171" fontId="32" fillId="12" borderId="18" xfId="0" applyNumberFormat="1" applyFont="1" applyFill="1" applyBorder="1" applyAlignment="1">
      <alignment horizontal="center" wrapText="1"/>
    </xf>
    <xf numFmtId="171" fontId="32" fillId="12" borderId="0" xfId="0" applyNumberFormat="1" applyFont="1" applyFill="1" applyAlignment="1">
      <alignment horizontal="center" wrapText="1"/>
    </xf>
    <xf numFmtId="171" fontId="32" fillId="12" borderId="11" xfId="0" applyNumberFormat="1" applyFont="1" applyFill="1" applyBorder="1" applyAlignment="1">
      <alignment horizontal="center" wrapText="1"/>
    </xf>
    <xf numFmtId="0" fontId="5" fillId="12" borderId="18" xfId="0" applyFont="1" applyFill="1" applyBorder="1" applyAlignment="1">
      <alignment horizontal="center" vertical="center" wrapText="1"/>
    </xf>
    <xf numFmtId="0" fontId="5" fillId="12" borderId="0" xfId="0" applyFont="1" applyFill="1" applyAlignment="1">
      <alignment horizontal="center" vertical="center" wrapText="1"/>
    </xf>
    <xf numFmtId="0" fontId="5" fillId="12" borderId="12"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1" fillId="12" borderId="11" xfId="0" applyFont="1" applyFill="1" applyBorder="1" applyAlignment="1">
      <alignment horizontal="center" vertical="center"/>
    </xf>
    <xf numFmtId="0" fontId="51" fillId="12" borderId="5" xfId="0" applyFont="1" applyFill="1" applyBorder="1" applyAlignment="1">
      <alignment horizontal="center" vertical="center"/>
    </xf>
    <xf numFmtId="0" fontId="50" fillId="0" borderId="17" xfId="0" applyFont="1" applyBorder="1" applyAlignment="1" applyProtection="1">
      <alignment horizontal="center" vertical="center" wrapText="1"/>
      <protection locked="0"/>
    </xf>
    <xf numFmtId="0" fontId="50" fillId="0" borderId="0" xfId="0" applyFont="1" applyAlignment="1" applyProtection="1">
      <alignment horizontal="center" vertical="center" wrapText="1"/>
      <protection locked="0"/>
    </xf>
    <xf numFmtId="0" fontId="5" fillId="4" borderId="0" xfId="14" applyNumberFormat="1" applyFont="1" applyFill="1" applyBorder="1" applyAlignment="1" applyProtection="1">
      <alignment horizontal="right" vertical="center"/>
    </xf>
    <xf numFmtId="0" fontId="5" fillId="0" borderId="0" xfId="14" applyFont="1" applyAlignment="1" applyProtection="1">
      <alignment horizontal="right" vertical="center"/>
    </xf>
    <xf numFmtId="49" fontId="51" fillId="12" borderId="11" xfId="0" applyNumberFormat="1" applyFont="1" applyFill="1" applyBorder="1" applyAlignment="1">
      <alignment horizontal="center" vertical="center"/>
    </xf>
    <xf numFmtId="49" fontId="51" fillId="12" borderId="5" xfId="0" applyNumberFormat="1" applyFont="1" applyFill="1" applyBorder="1" applyAlignment="1">
      <alignment horizontal="center" vertical="center"/>
    </xf>
    <xf numFmtId="0" fontId="32" fillId="4" borderId="16" xfId="26" applyFont="1" applyFill="1" applyBorder="1" applyAlignment="1">
      <alignment horizontal="center" vertical="center"/>
    </xf>
    <xf numFmtId="0" fontId="3" fillId="0" borderId="17" xfId="26" applyBorder="1" applyAlignment="1">
      <alignment vertical="center"/>
    </xf>
    <xf numFmtId="0" fontId="3" fillId="0" borderId="10" xfId="26" applyBorder="1" applyAlignment="1">
      <alignment vertical="center"/>
    </xf>
    <xf numFmtId="0" fontId="36" fillId="0" borderId="17" xfId="26" applyFont="1" applyBorder="1" applyAlignment="1">
      <alignment horizontal="center" vertical="center"/>
    </xf>
    <xf numFmtId="0" fontId="3" fillId="0" borderId="10" xfId="26" applyBorder="1"/>
    <xf numFmtId="0" fontId="3" fillId="0" borderId="17" xfId="26" applyBorder="1" applyAlignment="1">
      <alignment horizontal="center" vertical="center"/>
    </xf>
    <xf numFmtId="0" fontId="12" fillId="4" borderId="18" xfId="0" applyFont="1" applyFill="1" applyBorder="1" applyAlignment="1">
      <alignment vertical="center" wrapText="1"/>
    </xf>
    <xf numFmtId="0" fontId="0" fillId="0" borderId="18" xfId="0" applyBorder="1" applyAlignment="1">
      <alignment vertical="center" wrapText="1"/>
    </xf>
    <xf numFmtId="0" fontId="5" fillId="8" borderId="0" xfId="0" applyFont="1" applyFill="1" applyAlignment="1">
      <alignment horizontal="right" vertical="center"/>
    </xf>
    <xf numFmtId="0" fontId="4" fillId="4" borderId="9" xfId="0" applyFont="1" applyFill="1" applyBorder="1" applyAlignment="1">
      <alignment vertical="center"/>
    </xf>
    <xf numFmtId="0" fontId="4" fillId="4" borderId="4" xfId="0" applyFont="1" applyFill="1" applyBorder="1" applyAlignment="1">
      <alignment vertical="center"/>
    </xf>
    <xf numFmtId="37" fontId="4" fillId="4" borderId="9" xfId="0" applyNumberFormat="1" applyFont="1" applyFill="1" applyBorder="1" applyAlignment="1">
      <alignment vertical="center"/>
    </xf>
    <xf numFmtId="0" fontId="14" fillId="4" borderId="16" xfId="0" applyFont="1" applyFill="1"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37" fontId="5" fillId="4" borderId="17" xfId="0" applyNumberFormat="1" applyFont="1" applyFill="1" applyBorder="1" applyAlignment="1">
      <alignment horizontal="center" vertical="center"/>
    </xf>
    <xf numFmtId="0" fontId="0" fillId="0" borderId="17" xfId="0" applyBorder="1" applyAlignment="1">
      <alignment horizontal="center" vertical="center"/>
    </xf>
    <xf numFmtId="37" fontId="5" fillId="4" borderId="6" xfId="0" applyNumberFormat="1" applyFont="1" applyFill="1" applyBorder="1" applyAlignment="1">
      <alignment horizontal="center" vertical="center"/>
    </xf>
    <xf numFmtId="37" fontId="5" fillId="4" borderId="8" xfId="0" applyNumberFormat="1" applyFont="1" applyFill="1" applyBorder="1" applyAlignment="1">
      <alignment horizontal="center" vertical="center"/>
    </xf>
    <xf numFmtId="37" fontId="5" fillId="4" borderId="7" xfId="0" applyNumberFormat="1" applyFont="1" applyFill="1" applyBorder="1" applyAlignment="1">
      <alignment horizontal="center" vertical="center"/>
    </xf>
    <xf numFmtId="37" fontId="5" fillId="4" borderId="6" xfId="24" applyNumberFormat="1" applyFont="1" applyFill="1" applyBorder="1" applyAlignment="1">
      <alignment horizontal="center" vertical="center" wrapText="1"/>
    </xf>
    <xf numFmtId="37" fontId="5" fillId="4" borderId="8" xfId="24" applyNumberFormat="1" applyFont="1" applyFill="1" applyBorder="1" applyAlignment="1">
      <alignment horizontal="center" vertical="center" wrapText="1"/>
    </xf>
    <xf numFmtId="37" fontId="5" fillId="4" borderId="7" xfId="24" applyNumberFormat="1" applyFont="1" applyFill="1" applyBorder="1" applyAlignment="1">
      <alignment horizontal="center" vertical="center" wrapText="1"/>
    </xf>
    <xf numFmtId="0" fontId="0" fillId="0" borderId="8" xfId="0" applyBorder="1" applyAlignment="1">
      <alignment horizontal="center" vertical="center"/>
    </xf>
    <xf numFmtId="0" fontId="0" fillId="0" borderId="7" xfId="0" applyBorder="1" applyAlignment="1">
      <alignment horizontal="center" vertical="center"/>
    </xf>
    <xf numFmtId="37" fontId="20" fillId="4" borderId="12" xfId="0" applyNumberFormat="1" applyFont="1" applyFill="1" applyBorder="1" applyAlignment="1">
      <alignment horizontal="right" vertical="center"/>
    </xf>
    <xf numFmtId="37" fontId="20" fillId="4" borderId="2" xfId="0" applyNumberFormat="1" applyFont="1" applyFill="1" applyBorder="1" applyAlignment="1">
      <alignment horizontal="right" vertical="center"/>
    </xf>
    <xf numFmtId="37" fontId="20" fillId="4" borderId="5" xfId="0" applyNumberFormat="1" applyFont="1" applyFill="1" applyBorder="1" applyAlignment="1">
      <alignment horizontal="right" vertical="center"/>
    </xf>
    <xf numFmtId="0" fontId="4" fillId="0" borderId="2" xfId="0" applyFont="1" applyBorder="1" applyAlignment="1" applyProtection="1">
      <alignment horizontal="center" vertical="center"/>
      <protection locked="0"/>
    </xf>
    <xf numFmtId="37" fontId="4" fillId="4" borderId="0" xfId="0" applyNumberFormat="1" applyFont="1" applyFill="1" applyAlignment="1">
      <alignment horizontal="center" vertical="center"/>
    </xf>
    <xf numFmtId="0" fontId="14" fillId="4" borderId="17" xfId="0" applyFont="1" applyFill="1" applyBorder="1" applyAlignment="1">
      <alignment horizontal="center"/>
    </xf>
    <xf numFmtId="0" fontId="14" fillId="4" borderId="10" xfId="0" applyFont="1" applyFill="1" applyBorder="1" applyAlignment="1">
      <alignment horizontal="center"/>
    </xf>
    <xf numFmtId="0" fontId="4" fillId="12" borderId="16" xfId="0" applyFont="1" applyFill="1" applyBorder="1" applyAlignment="1">
      <alignment horizontal="center" wrapText="1"/>
    </xf>
    <xf numFmtId="0" fontId="14" fillId="12" borderId="17" xfId="0" applyFont="1" applyFill="1" applyBorder="1" applyAlignment="1">
      <alignment horizontal="center" wrapText="1"/>
    </xf>
    <xf numFmtId="0" fontId="14" fillId="12" borderId="12" xfId="0" applyFont="1" applyFill="1" applyBorder="1" applyAlignment="1">
      <alignment horizontal="center" wrapText="1"/>
    </xf>
    <xf numFmtId="0" fontId="14" fillId="12" borderId="2" xfId="0" applyFont="1" applyFill="1" applyBorder="1" applyAlignment="1">
      <alignment horizontal="center" wrapText="1"/>
    </xf>
    <xf numFmtId="0" fontId="43" fillId="12" borderId="10" xfId="0" applyFont="1" applyFill="1" applyBorder="1" applyAlignment="1">
      <alignment horizontal="center" vertical="center" wrapText="1"/>
    </xf>
    <xf numFmtId="0" fontId="24" fillId="12" borderId="5" xfId="0" applyFont="1" applyFill="1" applyBorder="1" applyAlignment="1">
      <alignment horizontal="center" vertical="center" wrapText="1"/>
    </xf>
    <xf numFmtId="37" fontId="5" fillId="4" borderId="2" xfId="0" applyNumberFormat="1" applyFont="1" applyFill="1" applyBorder="1" applyAlignment="1" applyProtection="1">
      <alignment horizontal="center" vertical="center"/>
      <protection locked="0"/>
    </xf>
    <xf numFmtId="37" fontId="20" fillId="4" borderId="9" xfId="0" applyNumberFormat="1" applyFont="1" applyFill="1" applyBorder="1" applyAlignment="1">
      <alignment horizontal="right" vertical="center"/>
    </xf>
    <xf numFmtId="37" fontId="20" fillId="4" borderId="3" xfId="0" applyNumberFormat="1" applyFont="1" applyFill="1" applyBorder="1" applyAlignment="1">
      <alignment horizontal="right" vertical="center"/>
    </xf>
    <xf numFmtId="37" fontId="20" fillId="4" borderId="4" xfId="0" applyNumberFormat="1" applyFont="1" applyFill="1" applyBorder="1" applyAlignment="1">
      <alignment horizontal="right" vertical="center"/>
    </xf>
    <xf numFmtId="49" fontId="5" fillId="4" borderId="0" xfId="501" applyNumberFormat="1" applyFont="1" applyFill="1" applyAlignment="1" applyProtection="1">
      <alignment horizontal="left" vertical="center"/>
      <protection locked="0"/>
    </xf>
    <xf numFmtId="37" fontId="4" fillId="4" borderId="0" xfId="501" applyNumberFormat="1" applyFont="1" applyFill="1" applyAlignment="1">
      <alignment horizontal="center" vertical="center"/>
    </xf>
    <xf numFmtId="0" fontId="44" fillId="0" borderId="0" xfId="501" applyAlignment="1">
      <alignment vertical="center"/>
    </xf>
    <xf numFmtId="0" fontId="5" fillId="4" borderId="0" xfId="501" applyFont="1" applyFill="1" applyAlignment="1">
      <alignment horizontal="center" vertical="center"/>
    </xf>
    <xf numFmtId="37" fontId="14" fillId="4" borderId="0" xfId="501" applyNumberFormat="1" applyFont="1" applyFill="1" applyAlignment="1">
      <alignment horizontal="center" vertical="center"/>
    </xf>
    <xf numFmtId="0" fontId="14" fillId="4" borderId="0" xfId="501" applyFont="1" applyFill="1" applyAlignment="1">
      <alignment horizontal="center" vertical="center"/>
    </xf>
    <xf numFmtId="0" fontId="5" fillId="4" borderId="1" xfId="501" applyFont="1" applyFill="1" applyBorder="1" applyAlignment="1">
      <alignment horizontal="center" vertical="center"/>
    </xf>
    <xf numFmtId="0" fontId="4" fillId="4" borderId="0" xfId="501" applyFont="1" applyFill="1" applyAlignment="1">
      <alignment horizontal="center" vertical="center"/>
    </xf>
    <xf numFmtId="0" fontId="4" fillId="4" borderId="2" xfId="501" applyFont="1" applyFill="1" applyBorder="1" applyAlignment="1">
      <alignment horizontal="center" vertical="center"/>
    </xf>
    <xf numFmtId="37" fontId="5" fillId="4" borderId="0" xfId="501" applyNumberFormat="1" applyFont="1" applyFill="1" applyAlignment="1">
      <alignment horizontal="center" vertical="center"/>
    </xf>
    <xf numFmtId="0" fontId="5" fillId="4" borderId="0" xfId="0" applyFont="1" applyFill="1" applyAlignment="1">
      <alignment horizontal="right" vertical="center"/>
    </xf>
    <xf numFmtId="0" fontId="0" fillId="0" borderId="0" xfId="0" applyAlignment="1">
      <alignment horizontal="right" vertical="center"/>
    </xf>
    <xf numFmtId="0" fontId="14" fillId="0" borderId="0" xfId="501" applyFont="1" applyAlignment="1">
      <alignment horizontal="center"/>
    </xf>
    <xf numFmtId="0" fontId="4" fillId="0" borderId="0" xfId="501" applyFont="1" applyAlignment="1">
      <alignment horizontal="left" wrapText="1"/>
    </xf>
    <xf numFmtId="0" fontId="5" fillId="0" borderId="0" xfId="501" applyFont="1" applyAlignment="1">
      <alignment horizontal="left" wrapText="1"/>
    </xf>
    <xf numFmtId="0" fontId="5" fillId="0" borderId="0" xfId="501" applyFont="1" applyAlignment="1">
      <alignment horizontal="center"/>
    </xf>
    <xf numFmtId="0" fontId="64" fillId="0" borderId="9" xfId="503" applyFont="1" applyBorder="1" applyAlignment="1">
      <alignment horizontal="center"/>
    </xf>
    <xf numFmtId="0" fontId="64" fillId="0" borderId="3" xfId="503" applyFont="1" applyBorder="1" applyAlignment="1">
      <alignment horizontal="center"/>
    </xf>
    <xf numFmtId="0" fontId="64" fillId="0" borderId="4" xfId="503" applyFont="1" applyBorder="1" applyAlignment="1">
      <alignment horizontal="center"/>
    </xf>
    <xf numFmtId="0" fontId="65" fillId="0" borderId="0" xfId="503" applyFont="1" applyAlignment="1">
      <alignment horizontal="center"/>
    </xf>
    <xf numFmtId="0" fontId="64" fillId="0" borderId="0" xfId="503" applyFont="1" applyAlignment="1">
      <alignment horizontal="center" wrapText="1"/>
    </xf>
    <xf numFmtId="0" fontId="64" fillId="0" borderId="0" xfId="503" applyFont="1" applyAlignment="1">
      <alignment horizontal="center"/>
    </xf>
    <xf numFmtId="0" fontId="65" fillId="17" borderId="9" xfId="503" applyFont="1" applyFill="1" applyBorder="1" applyAlignment="1">
      <alignment horizontal="center" vertical="center"/>
    </xf>
    <xf numFmtId="0" fontId="65" fillId="17" borderId="3" xfId="503" applyFont="1" applyFill="1" applyBorder="1" applyAlignment="1">
      <alignment horizontal="center" vertical="center"/>
    </xf>
    <xf numFmtId="0" fontId="65" fillId="17" borderId="4" xfId="503" applyFont="1" applyFill="1" applyBorder="1" applyAlignment="1">
      <alignment horizontal="center" vertical="center"/>
    </xf>
    <xf numFmtId="0" fontId="64" fillId="0" borderId="1" xfId="503" applyFont="1" applyBorder="1" applyAlignment="1">
      <alignment horizontal="center"/>
    </xf>
    <xf numFmtId="0" fontId="64" fillId="0" borderId="13" xfId="503" applyFont="1" applyBorder="1" applyAlignment="1">
      <alignment horizontal="center"/>
    </xf>
    <xf numFmtId="0" fontId="67" fillId="0" borderId="7" xfId="503" applyFont="1" applyBorder="1" applyAlignment="1">
      <alignment horizontal="center" vertical="center"/>
    </xf>
    <xf numFmtId="0" fontId="64" fillId="0" borderId="2" xfId="503" applyFont="1" applyBorder="1" applyAlignment="1">
      <alignment horizontal="center" wrapText="1"/>
    </xf>
    <xf numFmtId="0" fontId="5" fillId="0" borderId="0" xfId="502" applyFont="1" applyAlignment="1">
      <alignment horizontal="left" wrapText="1"/>
    </xf>
    <xf numFmtId="0" fontId="5" fillId="0" borderId="0" xfId="502" applyFont="1" applyAlignment="1">
      <alignment horizontal="center"/>
    </xf>
    <xf numFmtId="0" fontId="4" fillId="0" borderId="0" xfId="502" applyFont="1" applyAlignment="1">
      <alignment wrapText="1"/>
    </xf>
    <xf numFmtId="0" fontId="5" fillId="0" borderId="0" xfId="502" applyFont="1" applyAlignment="1">
      <alignment wrapText="1"/>
    </xf>
    <xf numFmtId="0" fontId="54" fillId="0" borderId="0" xfId="501" applyFont="1" applyAlignment="1">
      <alignment horizontal="center"/>
    </xf>
    <xf numFmtId="0" fontId="61" fillId="0" borderId="0" xfId="501" applyFont="1" applyAlignment="1">
      <alignment horizontal="center" wrapText="1"/>
    </xf>
    <xf numFmtId="169" fontId="5" fillId="4" borderId="0" xfId="0" applyNumberFormat="1" applyFont="1" applyFill="1" applyBorder="1" applyAlignment="1">
      <alignment horizontal="center" vertical="center"/>
    </xf>
    <xf numFmtId="37" fontId="4" fillId="4" borderId="0" xfId="0" applyNumberFormat="1" applyFont="1" applyFill="1" applyAlignment="1">
      <alignment horizontal="right" vertical="center"/>
    </xf>
    <xf numFmtId="37" fontId="5" fillId="4" borderId="0" xfId="0" applyNumberFormat="1" applyFont="1" applyFill="1" applyAlignment="1">
      <alignment horizontal="right" vertical="center"/>
    </xf>
  </cellXfs>
  <cellStyles count="504">
    <cellStyle name="Comma" xfId="1" builtinId="3"/>
    <cellStyle name="Comma 11 2" xfId="2" xr:uid="{00000000-0005-0000-0000-000001000000}"/>
    <cellStyle name="Comma 16" xfId="3" xr:uid="{00000000-0005-0000-0000-000002000000}"/>
    <cellStyle name="Comma 16 2" xfId="4" xr:uid="{00000000-0005-0000-0000-000003000000}"/>
    <cellStyle name="Comma 16 3" xfId="5" xr:uid="{00000000-0005-0000-0000-000004000000}"/>
    <cellStyle name="Comma 2 2" xfId="6" xr:uid="{00000000-0005-0000-0000-000005000000}"/>
    <cellStyle name="Comma 3 2" xfId="7" xr:uid="{00000000-0005-0000-0000-000006000000}"/>
    <cellStyle name="Comma 3 3" xfId="8" xr:uid="{00000000-0005-0000-0000-000007000000}"/>
    <cellStyle name="Comma 4 2" xfId="9" xr:uid="{00000000-0005-0000-0000-000008000000}"/>
    <cellStyle name="Comma 6 2" xfId="10" xr:uid="{00000000-0005-0000-0000-000009000000}"/>
    <cellStyle name="Comma 7 2" xfId="11" xr:uid="{00000000-0005-0000-0000-00000A000000}"/>
    <cellStyle name="Comma 7 3" xfId="12" xr:uid="{00000000-0005-0000-0000-00000B000000}"/>
    <cellStyle name="Hyperlink" xfId="13" builtinId="8"/>
    <cellStyle name="Hyperlink 2" xfId="14" xr:uid="{00000000-0005-0000-0000-00000D000000}"/>
    <cellStyle name="Hyperlink 2 2" xfId="15" xr:uid="{00000000-0005-0000-0000-00000E000000}"/>
    <cellStyle name="Hyperlink 2 3" xfId="16" xr:uid="{00000000-0005-0000-0000-00000F000000}"/>
    <cellStyle name="Hyperlink 3 2" xfId="17" xr:uid="{00000000-0005-0000-0000-000010000000}"/>
    <cellStyle name="Hyperlink 3 3" xfId="18" xr:uid="{00000000-0005-0000-0000-000011000000}"/>
    <cellStyle name="Hyperlink 3 4" xfId="19" xr:uid="{00000000-0005-0000-0000-000012000000}"/>
    <cellStyle name="Hyperlink 4 2" xfId="20" xr:uid="{00000000-0005-0000-0000-000013000000}"/>
    <cellStyle name="Hyperlink 7 2" xfId="21" xr:uid="{00000000-0005-0000-0000-000014000000}"/>
    <cellStyle name="Hyperlink 7 3" xfId="22" xr:uid="{00000000-0005-0000-0000-000015000000}"/>
    <cellStyle name="Hyperlink 8 2" xfId="23" xr:uid="{00000000-0005-0000-0000-000016000000}"/>
    <cellStyle name="Normal" xfId="0" builtinId="0"/>
    <cellStyle name="Normal 10 2" xfId="24" xr:uid="{00000000-0005-0000-0000-000018000000}"/>
    <cellStyle name="Normal 10 2 2" xfId="25" xr:uid="{00000000-0005-0000-0000-000019000000}"/>
    <cellStyle name="Normal 10 2 2 2" xfId="26" xr:uid="{00000000-0005-0000-0000-00001A000000}"/>
    <cellStyle name="Normal 10 2 2 3" xfId="27" xr:uid="{00000000-0005-0000-0000-00001B000000}"/>
    <cellStyle name="Normal 10 2 3" xfId="28" xr:uid="{00000000-0005-0000-0000-00001C000000}"/>
    <cellStyle name="Normal 10 3" xfId="29" xr:uid="{00000000-0005-0000-0000-00001D000000}"/>
    <cellStyle name="Normal 10 4" xfId="30" xr:uid="{00000000-0005-0000-0000-00001E000000}"/>
    <cellStyle name="Normal 10 5" xfId="31" xr:uid="{00000000-0005-0000-0000-00001F000000}"/>
    <cellStyle name="Normal 10 5 2" xfId="32" xr:uid="{00000000-0005-0000-0000-000020000000}"/>
    <cellStyle name="Normal 10 5 3" xfId="33" xr:uid="{00000000-0005-0000-0000-000021000000}"/>
    <cellStyle name="Normal 10 6" xfId="34" xr:uid="{00000000-0005-0000-0000-000022000000}"/>
    <cellStyle name="Normal 10 7" xfId="35" xr:uid="{00000000-0005-0000-0000-000023000000}"/>
    <cellStyle name="Normal 11 2" xfId="36" xr:uid="{00000000-0005-0000-0000-000024000000}"/>
    <cellStyle name="Normal 11 2 2" xfId="37" xr:uid="{00000000-0005-0000-0000-000025000000}"/>
    <cellStyle name="Normal 11 2 3" xfId="38" xr:uid="{00000000-0005-0000-0000-000026000000}"/>
    <cellStyle name="Normal 11 3" xfId="39" xr:uid="{00000000-0005-0000-0000-000027000000}"/>
    <cellStyle name="Normal 11 4" xfId="40" xr:uid="{00000000-0005-0000-0000-000028000000}"/>
    <cellStyle name="Normal 11 5" xfId="41" xr:uid="{00000000-0005-0000-0000-000029000000}"/>
    <cellStyle name="Normal 11 5 2" xfId="42" xr:uid="{00000000-0005-0000-0000-00002A000000}"/>
    <cellStyle name="Normal 11 5 3" xfId="43" xr:uid="{00000000-0005-0000-0000-00002B000000}"/>
    <cellStyle name="Normal 11 6" xfId="44" xr:uid="{00000000-0005-0000-0000-00002C000000}"/>
    <cellStyle name="Normal 12" xfId="45" xr:uid="{00000000-0005-0000-0000-00002D000000}"/>
    <cellStyle name="Normal 12 10" xfId="46" xr:uid="{00000000-0005-0000-0000-00002E000000}"/>
    <cellStyle name="Normal 12 11" xfId="47" xr:uid="{00000000-0005-0000-0000-00002F000000}"/>
    <cellStyle name="Normal 12 12" xfId="48" xr:uid="{00000000-0005-0000-0000-000030000000}"/>
    <cellStyle name="Normal 12 13" xfId="49" xr:uid="{00000000-0005-0000-0000-000031000000}"/>
    <cellStyle name="Normal 12 2" xfId="50" xr:uid="{00000000-0005-0000-0000-000032000000}"/>
    <cellStyle name="Normal 12 2 2" xfId="51" xr:uid="{00000000-0005-0000-0000-000033000000}"/>
    <cellStyle name="Normal 12 3" xfId="52" xr:uid="{00000000-0005-0000-0000-000034000000}"/>
    <cellStyle name="Normal 12 4" xfId="53" xr:uid="{00000000-0005-0000-0000-000035000000}"/>
    <cellStyle name="Normal 12 5" xfId="54" xr:uid="{00000000-0005-0000-0000-000036000000}"/>
    <cellStyle name="Normal 12 6" xfId="55" xr:uid="{00000000-0005-0000-0000-000037000000}"/>
    <cellStyle name="Normal 12 7" xfId="56" xr:uid="{00000000-0005-0000-0000-000038000000}"/>
    <cellStyle name="Normal 12 8" xfId="57" xr:uid="{00000000-0005-0000-0000-000039000000}"/>
    <cellStyle name="Normal 12 9" xfId="58" xr:uid="{00000000-0005-0000-0000-00003A000000}"/>
    <cellStyle name="Normal 13 10" xfId="59" xr:uid="{00000000-0005-0000-0000-00003B000000}"/>
    <cellStyle name="Normal 13 11" xfId="60" xr:uid="{00000000-0005-0000-0000-00003C000000}"/>
    <cellStyle name="Normal 13 12" xfId="61" xr:uid="{00000000-0005-0000-0000-00003D000000}"/>
    <cellStyle name="Normal 13 13" xfId="62" xr:uid="{00000000-0005-0000-0000-00003E000000}"/>
    <cellStyle name="Normal 13 2" xfId="63" xr:uid="{00000000-0005-0000-0000-00003F000000}"/>
    <cellStyle name="Normal 13 2 2" xfId="64" xr:uid="{00000000-0005-0000-0000-000040000000}"/>
    <cellStyle name="Normal 13 3" xfId="65" xr:uid="{00000000-0005-0000-0000-000041000000}"/>
    <cellStyle name="Normal 13 4" xfId="66" xr:uid="{00000000-0005-0000-0000-000042000000}"/>
    <cellStyle name="Normal 13 5" xfId="67" xr:uid="{00000000-0005-0000-0000-000043000000}"/>
    <cellStyle name="Normal 13 6" xfId="68" xr:uid="{00000000-0005-0000-0000-000044000000}"/>
    <cellStyle name="Normal 13 7" xfId="69" xr:uid="{00000000-0005-0000-0000-000045000000}"/>
    <cellStyle name="Normal 13 8" xfId="70" xr:uid="{00000000-0005-0000-0000-000046000000}"/>
    <cellStyle name="Normal 13 9" xfId="71" xr:uid="{00000000-0005-0000-0000-000047000000}"/>
    <cellStyle name="Normal 14 2" xfId="72" xr:uid="{00000000-0005-0000-0000-000048000000}"/>
    <cellStyle name="Normal 14 3" xfId="73" xr:uid="{00000000-0005-0000-0000-000049000000}"/>
    <cellStyle name="Normal 14 4" xfId="74" xr:uid="{00000000-0005-0000-0000-00004A000000}"/>
    <cellStyle name="Normal 14 5" xfId="75" xr:uid="{00000000-0005-0000-0000-00004B000000}"/>
    <cellStyle name="Normal 14 6" xfId="76" xr:uid="{00000000-0005-0000-0000-00004C000000}"/>
    <cellStyle name="Normal 14 7" xfId="77" xr:uid="{00000000-0005-0000-0000-00004D000000}"/>
    <cellStyle name="Normal 15 2" xfId="78" xr:uid="{00000000-0005-0000-0000-00004E000000}"/>
    <cellStyle name="Normal 15 3" xfId="79" xr:uid="{00000000-0005-0000-0000-00004F000000}"/>
    <cellStyle name="Normal 15 4" xfId="80" xr:uid="{00000000-0005-0000-0000-000050000000}"/>
    <cellStyle name="Normal 15 5" xfId="81" xr:uid="{00000000-0005-0000-0000-000051000000}"/>
    <cellStyle name="Normal 16" xfId="82" xr:uid="{00000000-0005-0000-0000-000052000000}"/>
    <cellStyle name="Normal 16 2" xfId="83" xr:uid="{00000000-0005-0000-0000-000053000000}"/>
    <cellStyle name="Normal 16 3" xfId="84" xr:uid="{00000000-0005-0000-0000-000054000000}"/>
    <cellStyle name="Normal 16 4" xfId="85" xr:uid="{00000000-0005-0000-0000-000055000000}"/>
    <cellStyle name="Normal 16 5" xfId="86" xr:uid="{00000000-0005-0000-0000-000056000000}"/>
    <cellStyle name="Normal 16 6" xfId="87" xr:uid="{00000000-0005-0000-0000-000057000000}"/>
    <cellStyle name="Normal 17 2" xfId="88" xr:uid="{00000000-0005-0000-0000-000058000000}"/>
    <cellStyle name="Normal 17 3" xfId="89" xr:uid="{00000000-0005-0000-0000-000059000000}"/>
    <cellStyle name="Normal 17 4" xfId="90" xr:uid="{00000000-0005-0000-0000-00005A000000}"/>
    <cellStyle name="Normal 17 5" xfId="91" xr:uid="{00000000-0005-0000-0000-00005B000000}"/>
    <cellStyle name="Normal 18 2" xfId="92" xr:uid="{00000000-0005-0000-0000-00005C000000}"/>
    <cellStyle name="Normal 18 2 2" xfId="93" xr:uid="{00000000-0005-0000-0000-00005D000000}"/>
    <cellStyle name="Normal 18 2 3" xfId="94" xr:uid="{00000000-0005-0000-0000-00005E000000}"/>
    <cellStyle name="Normal 18 3" xfId="95" xr:uid="{00000000-0005-0000-0000-00005F000000}"/>
    <cellStyle name="Normal 18 4" xfId="96" xr:uid="{00000000-0005-0000-0000-000060000000}"/>
    <cellStyle name="Normal 18 5" xfId="97" xr:uid="{00000000-0005-0000-0000-000061000000}"/>
    <cellStyle name="Normal 18 6" xfId="98" xr:uid="{00000000-0005-0000-0000-000062000000}"/>
    <cellStyle name="Normal 18 7" xfId="99" xr:uid="{00000000-0005-0000-0000-000063000000}"/>
    <cellStyle name="Normal 18 8" xfId="100" xr:uid="{00000000-0005-0000-0000-000064000000}"/>
    <cellStyle name="Normal 18 9" xfId="101" xr:uid="{00000000-0005-0000-0000-000065000000}"/>
    <cellStyle name="Normal 19 2" xfId="102" xr:uid="{00000000-0005-0000-0000-000066000000}"/>
    <cellStyle name="Normal 19 2 2" xfId="103" xr:uid="{00000000-0005-0000-0000-000067000000}"/>
    <cellStyle name="Normal 19 2 3" xfId="104" xr:uid="{00000000-0005-0000-0000-000068000000}"/>
    <cellStyle name="Normal 19 3" xfId="105" xr:uid="{00000000-0005-0000-0000-000069000000}"/>
    <cellStyle name="Normal 19 4" xfId="106" xr:uid="{00000000-0005-0000-0000-00006A000000}"/>
    <cellStyle name="Normal 19 5" xfId="107" xr:uid="{00000000-0005-0000-0000-00006B000000}"/>
    <cellStyle name="Normal 19 6" xfId="108" xr:uid="{00000000-0005-0000-0000-00006C000000}"/>
    <cellStyle name="Normal 19 7" xfId="109" xr:uid="{00000000-0005-0000-0000-00006D000000}"/>
    <cellStyle name="Normal 19 8" xfId="110" xr:uid="{00000000-0005-0000-0000-00006E000000}"/>
    <cellStyle name="Normal 2" xfId="501" xr:uid="{49F7A481-621C-49A2-AD3E-65DF1110AE1B}"/>
    <cellStyle name="Normal 2 10" xfId="111" xr:uid="{00000000-0005-0000-0000-00006F000000}"/>
    <cellStyle name="Normal 2 10 10" xfId="112" xr:uid="{00000000-0005-0000-0000-000070000000}"/>
    <cellStyle name="Normal 2 10 11" xfId="113" xr:uid="{00000000-0005-0000-0000-000071000000}"/>
    <cellStyle name="Normal 2 10 11 2" xfId="114" xr:uid="{00000000-0005-0000-0000-000072000000}"/>
    <cellStyle name="Normal 2 10 11 2 2" xfId="115" xr:uid="{00000000-0005-0000-0000-000073000000}"/>
    <cellStyle name="Normal 2 10 11 2 2 2" xfId="116" xr:uid="{00000000-0005-0000-0000-000074000000}"/>
    <cellStyle name="Normal 2 10 11 2 2 3" xfId="117" xr:uid="{00000000-0005-0000-0000-000075000000}"/>
    <cellStyle name="Normal 2 10 11 3" xfId="118" xr:uid="{00000000-0005-0000-0000-000076000000}"/>
    <cellStyle name="Normal 2 10 11 4" xfId="119" xr:uid="{00000000-0005-0000-0000-000077000000}"/>
    <cellStyle name="Normal 2 10 11 5" xfId="120" xr:uid="{00000000-0005-0000-0000-000078000000}"/>
    <cellStyle name="Normal 2 10 12" xfId="121" xr:uid="{00000000-0005-0000-0000-000079000000}"/>
    <cellStyle name="Normal 2 10 2" xfId="122" xr:uid="{00000000-0005-0000-0000-00007A000000}"/>
    <cellStyle name="Normal 2 10 2 2" xfId="123" xr:uid="{00000000-0005-0000-0000-00007B000000}"/>
    <cellStyle name="Normal 2 10 3" xfId="124" xr:uid="{00000000-0005-0000-0000-00007C000000}"/>
    <cellStyle name="Normal 2 10 3 2" xfId="125" xr:uid="{00000000-0005-0000-0000-00007D000000}"/>
    <cellStyle name="Normal 2 10 4" xfId="126" xr:uid="{00000000-0005-0000-0000-00007E000000}"/>
    <cellStyle name="Normal 2 10 4 2" xfId="127" xr:uid="{00000000-0005-0000-0000-00007F000000}"/>
    <cellStyle name="Normal 2 10 5" xfId="128" xr:uid="{00000000-0005-0000-0000-000080000000}"/>
    <cellStyle name="Normal 2 10 5 2" xfId="129" xr:uid="{00000000-0005-0000-0000-000081000000}"/>
    <cellStyle name="Normal 2 10 6" xfId="130" xr:uid="{00000000-0005-0000-0000-000082000000}"/>
    <cellStyle name="Normal 2 10 6 2" xfId="131" xr:uid="{00000000-0005-0000-0000-000083000000}"/>
    <cellStyle name="Normal 2 10 7" xfId="132" xr:uid="{00000000-0005-0000-0000-000084000000}"/>
    <cellStyle name="Normal 2 10 7 2" xfId="133" xr:uid="{00000000-0005-0000-0000-000085000000}"/>
    <cellStyle name="Normal 2 10 8" xfId="134" xr:uid="{00000000-0005-0000-0000-000086000000}"/>
    <cellStyle name="Normal 2 10 8 2" xfId="135" xr:uid="{00000000-0005-0000-0000-000087000000}"/>
    <cellStyle name="Normal 2 10 9" xfId="136" xr:uid="{00000000-0005-0000-0000-000088000000}"/>
    <cellStyle name="Normal 2 11" xfId="137" xr:uid="{00000000-0005-0000-0000-000089000000}"/>
    <cellStyle name="Normal 2 11 10" xfId="138" xr:uid="{00000000-0005-0000-0000-00008A000000}"/>
    <cellStyle name="Normal 2 11 11" xfId="139" xr:uid="{00000000-0005-0000-0000-00008B000000}"/>
    <cellStyle name="Normal 2 11 2" xfId="140" xr:uid="{00000000-0005-0000-0000-00008C000000}"/>
    <cellStyle name="Normal 2 11 2 2" xfId="141" xr:uid="{00000000-0005-0000-0000-00008D000000}"/>
    <cellStyle name="Normal 2 11 3" xfId="142" xr:uid="{00000000-0005-0000-0000-00008E000000}"/>
    <cellStyle name="Normal 2 11 3 2" xfId="143" xr:uid="{00000000-0005-0000-0000-00008F000000}"/>
    <cellStyle name="Normal 2 11 4" xfId="144" xr:uid="{00000000-0005-0000-0000-000090000000}"/>
    <cellStyle name="Normal 2 11 4 2" xfId="145" xr:uid="{00000000-0005-0000-0000-000091000000}"/>
    <cellStyle name="Normal 2 11 5" xfId="146" xr:uid="{00000000-0005-0000-0000-000092000000}"/>
    <cellStyle name="Normal 2 11 5 2" xfId="147" xr:uid="{00000000-0005-0000-0000-000093000000}"/>
    <cellStyle name="Normal 2 11 6" xfId="148" xr:uid="{00000000-0005-0000-0000-000094000000}"/>
    <cellStyle name="Normal 2 11 6 2" xfId="149" xr:uid="{00000000-0005-0000-0000-000095000000}"/>
    <cellStyle name="Normal 2 11 7" xfId="150" xr:uid="{00000000-0005-0000-0000-000096000000}"/>
    <cellStyle name="Normal 2 11 7 2" xfId="151" xr:uid="{00000000-0005-0000-0000-000097000000}"/>
    <cellStyle name="Normal 2 11 8" xfId="152" xr:uid="{00000000-0005-0000-0000-000098000000}"/>
    <cellStyle name="Normal 2 11 8 2" xfId="153" xr:uid="{00000000-0005-0000-0000-000099000000}"/>
    <cellStyle name="Normal 2 11 9" xfId="154" xr:uid="{00000000-0005-0000-0000-00009A000000}"/>
    <cellStyle name="Normal 2 12" xfId="155" xr:uid="{00000000-0005-0000-0000-00009B000000}"/>
    <cellStyle name="Normal 2 13" xfId="156" xr:uid="{00000000-0005-0000-0000-00009C000000}"/>
    <cellStyle name="Normal 2 14" xfId="157" xr:uid="{00000000-0005-0000-0000-00009D000000}"/>
    <cellStyle name="Normal 2 15" xfId="158" xr:uid="{00000000-0005-0000-0000-00009E000000}"/>
    <cellStyle name="Normal 2 16" xfId="159" xr:uid="{00000000-0005-0000-0000-00009F000000}"/>
    <cellStyle name="Normal 2 17" xfId="160" xr:uid="{00000000-0005-0000-0000-0000A0000000}"/>
    <cellStyle name="Normal 2 17 2" xfId="161" xr:uid="{00000000-0005-0000-0000-0000A1000000}"/>
    <cellStyle name="Normal 2 17 3" xfId="162" xr:uid="{00000000-0005-0000-0000-0000A2000000}"/>
    <cellStyle name="Normal 2 17 4" xfId="163" xr:uid="{00000000-0005-0000-0000-0000A3000000}"/>
    <cellStyle name="Normal 2 18" xfId="503" xr:uid="{4DCCA883-66D4-401C-92BC-C2BB862FD593}"/>
    <cellStyle name="Normal 2 2" xfId="164" xr:uid="{00000000-0005-0000-0000-0000A4000000}"/>
    <cellStyle name="Normal 2 2 10" xfId="165" xr:uid="{00000000-0005-0000-0000-0000A5000000}"/>
    <cellStyle name="Normal 2 2 10 2" xfId="166" xr:uid="{00000000-0005-0000-0000-0000A6000000}"/>
    <cellStyle name="Normal 2 2 11" xfId="167" xr:uid="{00000000-0005-0000-0000-0000A7000000}"/>
    <cellStyle name="Normal 2 2 11 2" xfId="168" xr:uid="{00000000-0005-0000-0000-0000A8000000}"/>
    <cellStyle name="Normal 2 2 12" xfId="169" xr:uid="{00000000-0005-0000-0000-0000A9000000}"/>
    <cellStyle name="Normal 2 2 12 2" xfId="170" xr:uid="{00000000-0005-0000-0000-0000AA000000}"/>
    <cellStyle name="Normal 2 2 12 2 2" xfId="171" xr:uid="{00000000-0005-0000-0000-0000AB000000}"/>
    <cellStyle name="Normal 2 2 12 2 3" xfId="172" xr:uid="{00000000-0005-0000-0000-0000AC000000}"/>
    <cellStyle name="Normal 2 2 12 2 4" xfId="173" xr:uid="{00000000-0005-0000-0000-0000AD000000}"/>
    <cellStyle name="Normal 2 2 12 3" xfId="174" xr:uid="{00000000-0005-0000-0000-0000AE000000}"/>
    <cellStyle name="Normal 2 2 12 4" xfId="175" xr:uid="{00000000-0005-0000-0000-0000AF000000}"/>
    <cellStyle name="Normal 2 2 13" xfId="176" xr:uid="{00000000-0005-0000-0000-0000B0000000}"/>
    <cellStyle name="Normal 2 2 13 2" xfId="177" xr:uid="{00000000-0005-0000-0000-0000B1000000}"/>
    <cellStyle name="Normal 2 2 13 2 2" xfId="178" xr:uid="{00000000-0005-0000-0000-0000B2000000}"/>
    <cellStyle name="Normal 2 2 13 2 3" xfId="179" xr:uid="{00000000-0005-0000-0000-0000B3000000}"/>
    <cellStyle name="Normal 2 2 13 2 4" xfId="180" xr:uid="{00000000-0005-0000-0000-0000B4000000}"/>
    <cellStyle name="Normal 2 2 13 3" xfId="181" xr:uid="{00000000-0005-0000-0000-0000B5000000}"/>
    <cellStyle name="Normal 2 2 13 4" xfId="182" xr:uid="{00000000-0005-0000-0000-0000B6000000}"/>
    <cellStyle name="Normal 2 2 14" xfId="183" xr:uid="{00000000-0005-0000-0000-0000B7000000}"/>
    <cellStyle name="Normal 2 2 14 2" xfId="184" xr:uid="{00000000-0005-0000-0000-0000B8000000}"/>
    <cellStyle name="Normal 2 2 15" xfId="185" xr:uid="{00000000-0005-0000-0000-0000B9000000}"/>
    <cellStyle name="Normal 2 2 15 2" xfId="186" xr:uid="{00000000-0005-0000-0000-0000BA000000}"/>
    <cellStyle name="Normal 2 2 16" xfId="187" xr:uid="{00000000-0005-0000-0000-0000BB000000}"/>
    <cellStyle name="Normal 2 2 16 2" xfId="188" xr:uid="{00000000-0005-0000-0000-0000BC000000}"/>
    <cellStyle name="Normal 2 2 16 3" xfId="189" xr:uid="{00000000-0005-0000-0000-0000BD000000}"/>
    <cellStyle name="Normal 2 2 17" xfId="190" xr:uid="{00000000-0005-0000-0000-0000BE000000}"/>
    <cellStyle name="Normal 2 2 18" xfId="191" xr:uid="{00000000-0005-0000-0000-0000BF000000}"/>
    <cellStyle name="Normal 2 2 19" xfId="192" xr:uid="{00000000-0005-0000-0000-0000C0000000}"/>
    <cellStyle name="Normal 2 2 2" xfId="193" xr:uid="{00000000-0005-0000-0000-0000C1000000}"/>
    <cellStyle name="Normal 2 2 2 2" xfId="194" xr:uid="{00000000-0005-0000-0000-0000C2000000}"/>
    <cellStyle name="Normal 2 2 2 2 2" xfId="195" xr:uid="{00000000-0005-0000-0000-0000C3000000}"/>
    <cellStyle name="Normal 2 2 2 2 3" xfId="196" xr:uid="{00000000-0005-0000-0000-0000C4000000}"/>
    <cellStyle name="Normal 2 2 2 2 3 2" xfId="197" xr:uid="{00000000-0005-0000-0000-0000C5000000}"/>
    <cellStyle name="Normal 2 2 2 2 3 3" xfId="198" xr:uid="{00000000-0005-0000-0000-0000C6000000}"/>
    <cellStyle name="Normal 2 2 2 3" xfId="199" xr:uid="{00000000-0005-0000-0000-0000C7000000}"/>
    <cellStyle name="Normal 2 2 2 3 2" xfId="200" xr:uid="{00000000-0005-0000-0000-0000C8000000}"/>
    <cellStyle name="Normal 2 2 2 3 3" xfId="201" xr:uid="{00000000-0005-0000-0000-0000C9000000}"/>
    <cellStyle name="Normal 2 2 2 3 4" xfId="202" xr:uid="{00000000-0005-0000-0000-0000CA000000}"/>
    <cellStyle name="Normal 2 2 2 4" xfId="203" xr:uid="{00000000-0005-0000-0000-0000CB000000}"/>
    <cellStyle name="Normal 2 2 2 4 2" xfId="204" xr:uid="{00000000-0005-0000-0000-0000CC000000}"/>
    <cellStyle name="Normal 2 2 2 5" xfId="205" xr:uid="{00000000-0005-0000-0000-0000CD000000}"/>
    <cellStyle name="Normal 2 2 2 5 2" xfId="206" xr:uid="{00000000-0005-0000-0000-0000CE000000}"/>
    <cellStyle name="Normal 2 2 2 5 3" xfId="207" xr:uid="{00000000-0005-0000-0000-0000CF000000}"/>
    <cellStyle name="Normal 2 2 2 5 4" xfId="208" xr:uid="{00000000-0005-0000-0000-0000D0000000}"/>
    <cellStyle name="Normal 2 2 2 6" xfId="209" xr:uid="{00000000-0005-0000-0000-0000D1000000}"/>
    <cellStyle name="Normal 2 2 2 6 2" xfId="210" xr:uid="{00000000-0005-0000-0000-0000D2000000}"/>
    <cellStyle name="Normal 2 2 2 7" xfId="211" xr:uid="{00000000-0005-0000-0000-0000D3000000}"/>
    <cellStyle name="Normal 2 2 2 7 2" xfId="212" xr:uid="{00000000-0005-0000-0000-0000D4000000}"/>
    <cellStyle name="Normal 2 2 2 7 3" xfId="213" xr:uid="{00000000-0005-0000-0000-0000D5000000}"/>
    <cellStyle name="Normal 2 2 2 8" xfId="214" xr:uid="{00000000-0005-0000-0000-0000D6000000}"/>
    <cellStyle name="Normal 2 2 20" xfId="215" xr:uid="{00000000-0005-0000-0000-0000D7000000}"/>
    <cellStyle name="Normal 2 2 21" xfId="216" xr:uid="{00000000-0005-0000-0000-0000D8000000}"/>
    <cellStyle name="Normal 2 2 22" xfId="217" xr:uid="{00000000-0005-0000-0000-0000D9000000}"/>
    <cellStyle name="Normal 2 2 3" xfId="218" xr:uid="{00000000-0005-0000-0000-0000DA000000}"/>
    <cellStyle name="Normal 2 2 3 2" xfId="219" xr:uid="{00000000-0005-0000-0000-0000DB000000}"/>
    <cellStyle name="Normal 2 2 4" xfId="220" xr:uid="{00000000-0005-0000-0000-0000DC000000}"/>
    <cellStyle name="Normal 2 2 4 2" xfId="221" xr:uid="{00000000-0005-0000-0000-0000DD000000}"/>
    <cellStyle name="Normal 2 2 5" xfId="222" xr:uid="{00000000-0005-0000-0000-0000DE000000}"/>
    <cellStyle name="Normal 2 2 5 2" xfId="223" xr:uid="{00000000-0005-0000-0000-0000DF000000}"/>
    <cellStyle name="Normal 2 2 6" xfId="224" xr:uid="{00000000-0005-0000-0000-0000E0000000}"/>
    <cellStyle name="Normal 2 2 6 2" xfId="225" xr:uid="{00000000-0005-0000-0000-0000E1000000}"/>
    <cellStyle name="Normal 2 2 7" xfId="226" xr:uid="{00000000-0005-0000-0000-0000E2000000}"/>
    <cellStyle name="Normal 2 2 7 2" xfId="227" xr:uid="{00000000-0005-0000-0000-0000E3000000}"/>
    <cellStyle name="Normal 2 2 8" xfId="228" xr:uid="{00000000-0005-0000-0000-0000E4000000}"/>
    <cellStyle name="Normal 2 2 8 2" xfId="229" xr:uid="{00000000-0005-0000-0000-0000E5000000}"/>
    <cellStyle name="Normal 2 2 9" xfId="230" xr:uid="{00000000-0005-0000-0000-0000E6000000}"/>
    <cellStyle name="Normal 2 2 9 2" xfId="231" xr:uid="{00000000-0005-0000-0000-0000E7000000}"/>
    <cellStyle name="Normal 2 3" xfId="232" xr:uid="{00000000-0005-0000-0000-0000E8000000}"/>
    <cellStyle name="Normal 2 3 10" xfId="233" xr:uid="{00000000-0005-0000-0000-0000E9000000}"/>
    <cellStyle name="Normal 2 3 11" xfId="234" xr:uid="{00000000-0005-0000-0000-0000EA000000}"/>
    <cellStyle name="Normal 2 3 12" xfId="235" xr:uid="{00000000-0005-0000-0000-0000EB000000}"/>
    <cellStyle name="Normal 2 3 13" xfId="236" xr:uid="{00000000-0005-0000-0000-0000EC000000}"/>
    <cellStyle name="Normal 2 3 14" xfId="237" xr:uid="{00000000-0005-0000-0000-0000ED000000}"/>
    <cellStyle name="Normal 2 3 15" xfId="238" xr:uid="{00000000-0005-0000-0000-0000EE000000}"/>
    <cellStyle name="Normal 2 3 2" xfId="239" xr:uid="{00000000-0005-0000-0000-0000EF000000}"/>
    <cellStyle name="Normal 2 3 2 2" xfId="240" xr:uid="{00000000-0005-0000-0000-0000F0000000}"/>
    <cellStyle name="Normal 2 3 2 2 2" xfId="241" xr:uid="{00000000-0005-0000-0000-0000F1000000}"/>
    <cellStyle name="Normal 2 3 2 2 3" xfId="242" xr:uid="{00000000-0005-0000-0000-0000F2000000}"/>
    <cellStyle name="Normal 2 3 2 3" xfId="243" xr:uid="{00000000-0005-0000-0000-0000F3000000}"/>
    <cellStyle name="Normal 2 3 2 4" xfId="244" xr:uid="{00000000-0005-0000-0000-0000F4000000}"/>
    <cellStyle name="Normal 2 3 2 5" xfId="245" xr:uid="{00000000-0005-0000-0000-0000F5000000}"/>
    <cellStyle name="Normal 2 3 3" xfId="246" xr:uid="{00000000-0005-0000-0000-0000F6000000}"/>
    <cellStyle name="Normal 2 3 3 2" xfId="247" xr:uid="{00000000-0005-0000-0000-0000F7000000}"/>
    <cellStyle name="Normal 2 3 3 3" xfId="248" xr:uid="{00000000-0005-0000-0000-0000F8000000}"/>
    <cellStyle name="Normal 2 3 4" xfId="249" xr:uid="{00000000-0005-0000-0000-0000F9000000}"/>
    <cellStyle name="Normal 2 3 5" xfId="250" xr:uid="{00000000-0005-0000-0000-0000FA000000}"/>
    <cellStyle name="Normal 2 3 6" xfId="251" xr:uid="{00000000-0005-0000-0000-0000FB000000}"/>
    <cellStyle name="Normal 2 3 7" xfId="252" xr:uid="{00000000-0005-0000-0000-0000FC000000}"/>
    <cellStyle name="Normal 2 3 8" xfId="253" xr:uid="{00000000-0005-0000-0000-0000FD000000}"/>
    <cellStyle name="Normal 2 3 9" xfId="254" xr:uid="{00000000-0005-0000-0000-0000FE000000}"/>
    <cellStyle name="Normal 2 4" xfId="255" xr:uid="{00000000-0005-0000-0000-0000FF000000}"/>
    <cellStyle name="Normal 2 4 10" xfId="256" xr:uid="{00000000-0005-0000-0000-000000010000}"/>
    <cellStyle name="Normal 2 4 11" xfId="257" xr:uid="{00000000-0005-0000-0000-000001010000}"/>
    <cellStyle name="Normal 2 4 12" xfId="258" xr:uid="{00000000-0005-0000-0000-000002010000}"/>
    <cellStyle name="Normal 2 4 12 2" xfId="259" xr:uid="{00000000-0005-0000-0000-000003010000}"/>
    <cellStyle name="Normal 2 4 12 3" xfId="260" xr:uid="{00000000-0005-0000-0000-000004010000}"/>
    <cellStyle name="Normal 2 4 13" xfId="261" xr:uid="{00000000-0005-0000-0000-000005010000}"/>
    <cellStyle name="Normal 2 4 13 2" xfId="262" xr:uid="{00000000-0005-0000-0000-000006010000}"/>
    <cellStyle name="Normal 2 4 13 3" xfId="263" xr:uid="{00000000-0005-0000-0000-000007010000}"/>
    <cellStyle name="Normal 2 4 2" xfId="264" xr:uid="{00000000-0005-0000-0000-000008010000}"/>
    <cellStyle name="Normal 2 4 2 2" xfId="265" xr:uid="{00000000-0005-0000-0000-000009010000}"/>
    <cellStyle name="Normal 2 4 2 2 2" xfId="266" xr:uid="{00000000-0005-0000-0000-00000A010000}"/>
    <cellStyle name="Normal 2 4 2 2 3" xfId="267" xr:uid="{00000000-0005-0000-0000-00000B010000}"/>
    <cellStyle name="Normal 2 4 2 3" xfId="268" xr:uid="{00000000-0005-0000-0000-00000C010000}"/>
    <cellStyle name="Normal 2 4 2 4" xfId="269" xr:uid="{00000000-0005-0000-0000-00000D010000}"/>
    <cellStyle name="Normal 2 4 2 5" xfId="270" xr:uid="{00000000-0005-0000-0000-00000E010000}"/>
    <cellStyle name="Normal 2 4 3" xfId="271" xr:uid="{00000000-0005-0000-0000-00000F010000}"/>
    <cellStyle name="Normal 2 4 3 2" xfId="272" xr:uid="{00000000-0005-0000-0000-000010010000}"/>
    <cellStyle name="Normal 2 4 3 3" xfId="273" xr:uid="{00000000-0005-0000-0000-000011010000}"/>
    <cellStyle name="Normal 2 4 4" xfId="274" xr:uid="{00000000-0005-0000-0000-000012010000}"/>
    <cellStyle name="Normal 2 4 5" xfId="275" xr:uid="{00000000-0005-0000-0000-000013010000}"/>
    <cellStyle name="Normal 2 4 6" xfId="276" xr:uid="{00000000-0005-0000-0000-000014010000}"/>
    <cellStyle name="Normal 2 4 7" xfId="277" xr:uid="{00000000-0005-0000-0000-000015010000}"/>
    <cellStyle name="Normal 2 4 8" xfId="278" xr:uid="{00000000-0005-0000-0000-000016010000}"/>
    <cellStyle name="Normal 2 4 9" xfId="279" xr:uid="{00000000-0005-0000-0000-000017010000}"/>
    <cellStyle name="Normal 2 5" xfId="280" xr:uid="{00000000-0005-0000-0000-000018010000}"/>
    <cellStyle name="Normal 2 5 10" xfId="281" xr:uid="{00000000-0005-0000-0000-000019010000}"/>
    <cellStyle name="Normal 2 5 11" xfId="282" xr:uid="{00000000-0005-0000-0000-00001A010000}"/>
    <cellStyle name="Normal 2 5 12" xfId="283" xr:uid="{00000000-0005-0000-0000-00001B010000}"/>
    <cellStyle name="Normal 2 5 12 2" xfId="284" xr:uid="{00000000-0005-0000-0000-00001C010000}"/>
    <cellStyle name="Normal 2 5 12 3" xfId="285" xr:uid="{00000000-0005-0000-0000-00001D010000}"/>
    <cellStyle name="Normal 2 5 2" xfId="286" xr:uid="{00000000-0005-0000-0000-00001E010000}"/>
    <cellStyle name="Normal 2 5 2 2" xfId="287" xr:uid="{00000000-0005-0000-0000-00001F010000}"/>
    <cellStyle name="Normal 2 5 3" xfId="288" xr:uid="{00000000-0005-0000-0000-000020010000}"/>
    <cellStyle name="Normal 2 5 3 2" xfId="289" xr:uid="{00000000-0005-0000-0000-000021010000}"/>
    <cellStyle name="Normal 2 5 4" xfId="290" xr:uid="{00000000-0005-0000-0000-000022010000}"/>
    <cellStyle name="Normal 2 5 5" xfId="291" xr:uid="{00000000-0005-0000-0000-000023010000}"/>
    <cellStyle name="Normal 2 5 6" xfId="292" xr:uid="{00000000-0005-0000-0000-000024010000}"/>
    <cellStyle name="Normal 2 5 7" xfId="293" xr:uid="{00000000-0005-0000-0000-000025010000}"/>
    <cellStyle name="Normal 2 5 8" xfId="294" xr:uid="{00000000-0005-0000-0000-000026010000}"/>
    <cellStyle name="Normal 2 5 9" xfId="295" xr:uid="{00000000-0005-0000-0000-000027010000}"/>
    <cellStyle name="Normal 2 6" xfId="296" xr:uid="{00000000-0005-0000-0000-000028010000}"/>
    <cellStyle name="Normal 2 6 10" xfId="297" xr:uid="{00000000-0005-0000-0000-000029010000}"/>
    <cellStyle name="Normal 2 6 11" xfId="298" xr:uid="{00000000-0005-0000-0000-00002A010000}"/>
    <cellStyle name="Normal 2 6 12" xfId="299" xr:uid="{00000000-0005-0000-0000-00002B010000}"/>
    <cellStyle name="Normal 2 6 2" xfId="300" xr:uid="{00000000-0005-0000-0000-00002C010000}"/>
    <cellStyle name="Normal 2 6 2 2" xfId="301" xr:uid="{00000000-0005-0000-0000-00002D010000}"/>
    <cellStyle name="Normal 2 6 3" xfId="302" xr:uid="{00000000-0005-0000-0000-00002E010000}"/>
    <cellStyle name="Normal 2 6 3 2" xfId="303" xr:uid="{00000000-0005-0000-0000-00002F010000}"/>
    <cellStyle name="Normal 2 6 4" xfId="304" xr:uid="{00000000-0005-0000-0000-000030010000}"/>
    <cellStyle name="Normal 2 6 5" xfId="305" xr:uid="{00000000-0005-0000-0000-000031010000}"/>
    <cellStyle name="Normal 2 6 6" xfId="306" xr:uid="{00000000-0005-0000-0000-000032010000}"/>
    <cellStyle name="Normal 2 6 7" xfId="307" xr:uid="{00000000-0005-0000-0000-000033010000}"/>
    <cellStyle name="Normal 2 6 8" xfId="308" xr:uid="{00000000-0005-0000-0000-000034010000}"/>
    <cellStyle name="Normal 2 6 9" xfId="309" xr:uid="{00000000-0005-0000-0000-000035010000}"/>
    <cellStyle name="Normal 2 7" xfId="310" xr:uid="{00000000-0005-0000-0000-000036010000}"/>
    <cellStyle name="Normal 2 7 10" xfId="311" xr:uid="{00000000-0005-0000-0000-000037010000}"/>
    <cellStyle name="Normal 2 7 11" xfId="312" xr:uid="{00000000-0005-0000-0000-000038010000}"/>
    <cellStyle name="Normal 2 7 11 2" xfId="313" xr:uid="{00000000-0005-0000-0000-000039010000}"/>
    <cellStyle name="Normal 2 7 2" xfId="314" xr:uid="{00000000-0005-0000-0000-00003A010000}"/>
    <cellStyle name="Normal 2 7 2 2" xfId="315" xr:uid="{00000000-0005-0000-0000-00003B010000}"/>
    <cellStyle name="Normal 2 7 2 3" xfId="316" xr:uid="{00000000-0005-0000-0000-00003C010000}"/>
    <cellStyle name="Normal 2 7 3" xfId="317" xr:uid="{00000000-0005-0000-0000-00003D010000}"/>
    <cellStyle name="Normal 2 7 3 2" xfId="318" xr:uid="{00000000-0005-0000-0000-00003E010000}"/>
    <cellStyle name="Normal 2 7 4" xfId="319" xr:uid="{00000000-0005-0000-0000-00003F010000}"/>
    <cellStyle name="Normal 2 7 4 2" xfId="320" xr:uid="{00000000-0005-0000-0000-000040010000}"/>
    <cellStyle name="Normal 2 7 5" xfId="321" xr:uid="{00000000-0005-0000-0000-000041010000}"/>
    <cellStyle name="Normal 2 7 5 2" xfId="322" xr:uid="{00000000-0005-0000-0000-000042010000}"/>
    <cellStyle name="Normal 2 7 6" xfId="323" xr:uid="{00000000-0005-0000-0000-000043010000}"/>
    <cellStyle name="Normal 2 7 6 2" xfId="324" xr:uid="{00000000-0005-0000-0000-000044010000}"/>
    <cellStyle name="Normal 2 7 7" xfId="325" xr:uid="{00000000-0005-0000-0000-000045010000}"/>
    <cellStyle name="Normal 2 7 7 2" xfId="326" xr:uid="{00000000-0005-0000-0000-000046010000}"/>
    <cellStyle name="Normal 2 7 8" xfId="327" xr:uid="{00000000-0005-0000-0000-000047010000}"/>
    <cellStyle name="Normal 2 7 8 2" xfId="328" xr:uid="{00000000-0005-0000-0000-000048010000}"/>
    <cellStyle name="Normal 2 7 9" xfId="329" xr:uid="{00000000-0005-0000-0000-000049010000}"/>
    <cellStyle name="Normal 2 8" xfId="330" xr:uid="{00000000-0005-0000-0000-00004A010000}"/>
    <cellStyle name="Normal 2 8 10" xfId="331" xr:uid="{00000000-0005-0000-0000-00004B010000}"/>
    <cellStyle name="Normal 2 8 11" xfId="332" xr:uid="{00000000-0005-0000-0000-00004C010000}"/>
    <cellStyle name="Normal 2 8 2" xfId="333" xr:uid="{00000000-0005-0000-0000-00004D010000}"/>
    <cellStyle name="Normal 2 8 2 2" xfId="334" xr:uid="{00000000-0005-0000-0000-00004E010000}"/>
    <cellStyle name="Normal 2 8 3" xfId="335" xr:uid="{00000000-0005-0000-0000-00004F010000}"/>
    <cellStyle name="Normal 2 8 3 2" xfId="336" xr:uid="{00000000-0005-0000-0000-000050010000}"/>
    <cellStyle name="Normal 2 8 4" xfId="337" xr:uid="{00000000-0005-0000-0000-000051010000}"/>
    <cellStyle name="Normal 2 8 4 2" xfId="338" xr:uid="{00000000-0005-0000-0000-000052010000}"/>
    <cellStyle name="Normal 2 8 5" xfId="339" xr:uid="{00000000-0005-0000-0000-000053010000}"/>
    <cellStyle name="Normal 2 8 5 2" xfId="340" xr:uid="{00000000-0005-0000-0000-000054010000}"/>
    <cellStyle name="Normal 2 8 6" xfId="341" xr:uid="{00000000-0005-0000-0000-000055010000}"/>
    <cellStyle name="Normal 2 8 6 2" xfId="342" xr:uid="{00000000-0005-0000-0000-000056010000}"/>
    <cellStyle name="Normal 2 8 7" xfId="343" xr:uid="{00000000-0005-0000-0000-000057010000}"/>
    <cellStyle name="Normal 2 8 7 2" xfId="344" xr:uid="{00000000-0005-0000-0000-000058010000}"/>
    <cellStyle name="Normal 2 8 8" xfId="345" xr:uid="{00000000-0005-0000-0000-000059010000}"/>
    <cellStyle name="Normal 2 8 8 2" xfId="346" xr:uid="{00000000-0005-0000-0000-00005A010000}"/>
    <cellStyle name="Normal 2 8 9" xfId="347" xr:uid="{00000000-0005-0000-0000-00005B010000}"/>
    <cellStyle name="Normal 2 9" xfId="348" xr:uid="{00000000-0005-0000-0000-00005C010000}"/>
    <cellStyle name="Normal 2 9 10" xfId="349" xr:uid="{00000000-0005-0000-0000-00005D010000}"/>
    <cellStyle name="Normal 2 9 11" xfId="350" xr:uid="{00000000-0005-0000-0000-00005E010000}"/>
    <cellStyle name="Normal 2 9 2" xfId="351" xr:uid="{00000000-0005-0000-0000-00005F010000}"/>
    <cellStyle name="Normal 2 9 2 2" xfId="352" xr:uid="{00000000-0005-0000-0000-000060010000}"/>
    <cellStyle name="Normal 2 9 3" xfId="353" xr:uid="{00000000-0005-0000-0000-000061010000}"/>
    <cellStyle name="Normal 2 9 3 2" xfId="354" xr:uid="{00000000-0005-0000-0000-000062010000}"/>
    <cellStyle name="Normal 2 9 4" xfId="355" xr:uid="{00000000-0005-0000-0000-000063010000}"/>
    <cellStyle name="Normal 2 9 4 2" xfId="356" xr:uid="{00000000-0005-0000-0000-000064010000}"/>
    <cellStyle name="Normal 2 9 5" xfId="357" xr:uid="{00000000-0005-0000-0000-000065010000}"/>
    <cellStyle name="Normal 2 9 5 2" xfId="358" xr:uid="{00000000-0005-0000-0000-000066010000}"/>
    <cellStyle name="Normal 2 9 6" xfId="359" xr:uid="{00000000-0005-0000-0000-000067010000}"/>
    <cellStyle name="Normal 2 9 6 2" xfId="360" xr:uid="{00000000-0005-0000-0000-000068010000}"/>
    <cellStyle name="Normal 2 9 7" xfId="361" xr:uid="{00000000-0005-0000-0000-000069010000}"/>
    <cellStyle name="Normal 2 9 7 2" xfId="362" xr:uid="{00000000-0005-0000-0000-00006A010000}"/>
    <cellStyle name="Normal 2 9 8" xfId="363" xr:uid="{00000000-0005-0000-0000-00006B010000}"/>
    <cellStyle name="Normal 2 9 8 2" xfId="364" xr:uid="{00000000-0005-0000-0000-00006C010000}"/>
    <cellStyle name="Normal 2 9 9" xfId="365" xr:uid="{00000000-0005-0000-0000-00006D010000}"/>
    <cellStyle name="Normal 20" xfId="366" xr:uid="{00000000-0005-0000-0000-00006E010000}"/>
    <cellStyle name="Normal 20 2" xfId="367" xr:uid="{00000000-0005-0000-0000-00006F010000}"/>
    <cellStyle name="Normal 20 3" xfId="368" xr:uid="{00000000-0005-0000-0000-000070010000}"/>
    <cellStyle name="Normal 21" xfId="369" xr:uid="{00000000-0005-0000-0000-000071010000}"/>
    <cellStyle name="Normal 21 2" xfId="370" xr:uid="{00000000-0005-0000-0000-000072010000}"/>
    <cellStyle name="Normal 21 2 2" xfId="371" xr:uid="{00000000-0005-0000-0000-000073010000}"/>
    <cellStyle name="Normal 21 2 3" xfId="372" xr:uid="{00000000-0005-0000-0000-000074010000}"/>
    <cellStyle name="Normal 21 3" xfId="373" xr:uid="{00000000-0005-0000-0000-000075010000}"/>
    <cellStyle name="Normal 21 4" xfId="374" xr:uid="{00000000-0005-0000-0000-000076010000}"/>
    <cellStyle name="Normal 21 5" xfId="375" xr:uid="{00000000-0005-0000-0000-000077010000}"/>
    <cellStyle name="Normal 22" xfId="376" xr:uid="{00000000-0005-0000-0000-000078010000}"/>
    <cellStyle name="Normal 22 2" xfId="377" xr:uid="{00000000-0005-0000-0000-000079010000}"/>
    <cellStyle name="Normal 22 3" xfId="378" xr:uid="{00000000-0005-0000-0000-00007A010000}"/>
    <cellStyle name="Normal 23" xfId="379" xr:uid="{00000000-0005-0000-0000-00007B010000}"/>
    <cellStyle name="Normal 23 2" xfId="380" xr:uid="{00000000-0005-0000-0000-00007C010000}"/>
    <cellStyle name="Normal 23 3" xfId="381" xr:uid="{00000000-0005-0000-0000-00007D010000}"/>
    <cellStyle name="Normal 24" xfId="382" xr:uid="{00000000-0005-0000-0000-00007E010000}"/>
    <cellStyle name="Normal 24 2" xfId="383" xr:uid="{00000000-0005-0000-0000-00007F010000}"/>
    <cellStyle name="Normal 24 3" xfId="384" xr:uid="{00000000-0005-0000-0000-000080010000}"/>
    <cellStyle name="Normal 25" xfId="385" xr:uid="{00000000-0005-0000-0000-000081010000}"/>
    <cellStyle name="Normal 25 2" xfId="386" xr:uid="{00000000-0005-0000-0000-000082010000}"/>
    <cellStyle name="Normal 25 3" xfId="387" xr:uid="{00000000-0005-0000-0000-000083010000}"/>
    <cellStyle name="Normal 26" xfId="388" xr:uid="{00000000-0005-0000-0000-000084010000}"/>
    <cellStyle name="Normal 27" xfId="389" xr:uid="{00000000-0005-0000-0000-000085010000}"/>
    <cellStyle name="Normal 27 2" xfId="390" xr:uid="{00000000-0005-0000-0000-000086010000}"/>
    <cellStyle name="Normal 28" xfId="391" xr:uid="{00000000-0005-0000-0000-000087010000}"/>
    <cellStyle name="Normal 29" xfId="392" xr:uid="{00000000-0005-0000-0000-000088010000}"/>
    <cellStyle name="Normal 29 2" xfId="502" xr:uid="{FA5D7981-8813-4EBF-B59B-C8571CEF6695}"/>
    <cellStyle name="Normal 3 10" xfId="393" xr:uid="{00000000-0005-0000-0000-000089010000}"/>
    <cellStyle name="Normal 3 10 2" xfId="394" xr:uid="{00000000-0005-0000-0000-00008A010000}"/>
    <cellStyle name="Normal 3 11" xfId="395" xr:uid="{00000000-0005-0000-0000-00008B010000}"/>
    <cellStyle name="Normal 3 12" xfId="396" xr:uid="{00000000-0005-0000-0000-00008C010000}"/>
    <cellStyle name="Normal 3 13" xfId="397" xr:uid="{00000000-0005-0000-0000-00008D010000}"/>
    <cellStyle name="Normal 3 14" xfId="398" xr:uid="{00000000-0005-0000-0000-00008E010000}"/>
    <cellStyle name="Normal 3 15" xfId="399" xr:uid="{00000000-0005-0000-0000-00008F010000}"/>
    <cellStyle name="Normal 3 2" xfId="400" xr:uid="{00000000-0005-0000-0000-000090010000}"/>
    <cellStyle name="Normal 3 2 2" xfId="401" xr:uid="{00000000-0005-0000-0000-000091010000}"/>
    <cellStyle name="Normal 3 2 2 2" xfId="402" xr:uid="{00000000-0005-0000-0000-000092010000}"/>
    <cellStyle name="Normal 3 2 2 3" xfId="403" xr:uid="{00000000-0005-0000-0000-000093010000}"/>
    <cellStyle name="Normal 3 2 3" xfId="404" xr:uid="{00000000-0005-0000-0000-000094010000}"/>
    <cellStyle name="Normal 3 2 4" xfId="405" xr:uid="{00000000-0005-0000-0000-000095010000}"/>
    <cellStyle name="Normal 3 2 5" xfId="406" xr:uid="{00000000-0005-0000-0000-000096010000}"/>
    <cellStyle name="Normal 3 3" xfId="407" xr:uid="{00000000-0005-0000-0000-000097010000}"/>
    <cellStyle name="Normal 3 3 2" xfId="408" xr:uid="{00000000-0005-0000-0000-000098010000}"/>
    <cellStyle name="Normal 3 3 2 2" xfId="409" xr:uid="{00000000-0005-0000-0000-000099010000}"/>
    <cellStyle name="Normal 3 3 2 3" xfId="410" xr:uid="{00000000-0005-0000-0000-00009A010000}"/>
    <cellStyle name="Normal 3 3 3" xfId="411" xr:uid="{00000000-0005-0000-0000-00009B010000}"/>
    <cellStyle name="Normal 3 3 4" xfId="412" xr:uid="{00000000-0005-0000-0000-00009C010000}"/>
    <cellStyle name="Normal 3 4" xfId="413" xr:uid="{00000000-0005-0000-0000-00009D010000}"/>
    <cellStyle name="Normal 3 5" xfId="414" xr:uid="{00000000-0005-0000-0000-00009E010000}"/>
    <cellStyle name="Normal 3 6" xfId="415" xr:uid="{00000000-0005-0000-0000-00009F010000}"/>
    <cellStyle name="Normal 3 7" xfId="416" xr:uid="{00000000-0005-0000-0000-0000A0010000}"/>
    <cellStyle name="Normal 3 7 2" xfId="417" xr:uid="{00000000-0005-0000-0000-0000A1010000}"/>
    <cellStyle name="Normal 3 7 3" xfId="418" xr:uid="{00000000-0005-0000-0000-0000A2010000}"/>
    <cellStyle name="Normal 3 8" xfId="419" xr:uid="{00000000-0005-0000-0000-0000A3010000}"/>
    <cellStyle name="Normal 3 8 2" xfId="420" xr:uid="{00000000-0005-0000-0000-0000A4010000}"/>
    <cellStyle name="Normal 3 8 3" xfId="421" xr:uid="{00000000-0005-0000-0000-0000A5010000}"/>
    <cellStyle name="Normal 3 9" xfId="422" xr:uid="{00000000-0005-0000-0000-0000A6010000}"/>
    <cellStyle name="Normal 3 9 2" xfId="423" xr:uid="{00000000-0005-0000-0000-0000A7010000}"/>
    <cellStyle name="Normal 3 9 3" xfId="424" xr:uid="{00000000-0005-0000-0000-0000A8010000}"/>
    <cellStyle name="Normal 30" xfId="425" xr:uid="{00000000-0005-0000-0000-0000A9010000}"/>
    <cellStyle name="Normal 4 10" xfId="426" xr:uid="{00000000-0005-0000-0000-0000AA010000}"/>
    <cellStyle name="Normal 4 11" xfId="427" xr:uid="{00000000-0005-0000-0000-0000AB010000}"/>
    <cellStyle name="Normal 4 12" xfId="428" xr:uid="{00000000-0005-0000-0000-0000AC010000}"/>
    <cellStyle name="Normal 4 13" xfId="429" xr:uid="{00000000-0005-0000-0000-0000AD010000}"/>
    <cellStyle name="Normal 4 2" xfId="430" xr:uid="{00000000-0005-0000-0000-0000AE010000}"/>
    <cellStyle name="Normal 4 2 2" xfId="431" xr:uid="{00000000-0005-0000-0000-0000AF010000}"/>
    <cellStyle name="Normal 4 2 2 2" xfId="432" xr:uid="{00000000-0005-0000-0000-0000B0010000}"/>
    <cellStyle name="Normal 4 2 2 3" xfId="433" xr:uid="{00000000-0005-0000-0000-0000B1010000}"/>
    <cellStyle name="Normal 4 2 2 3 2" xfId="434" xr:uid="{00000000-0005-0000-0000-0000B2010000}"/>
    <cellStyle name="Normal 4 2 2 3 3" xfId="435" xr:uid="{00000000-0005-0000-0000-0000B3010000}"/>
    <cellStyle name="Normal 4 2 3" xfId="436" xr:uid="{00000000-0005-0000-0000-0000B4010000}"/>
    <cellStyle name="Normal 4 2 4" xfId="437" xr:uid="{00000000-0005-0000-0000-0000B5010000}"/>
    <cellStyle name="Normal 4 2 5" xfId="438" xr:uid="{00000000-0005-0000-0000-0000B6010000}"/>
    <cellStyle name="Normal 4 3" xfId="439" xr:uid="{00000000-0005-0000-0000-0000B7010000}"/>
    <cellStyle name="Normal 4 3 2" xfId="440" xr:uid="{00000000-0005-0000-0000-0000B8010000}"/>
    <cellStyle name="Normal 4 3 3" xfId="441" xr:uid="{00000000-0005-0000-0000-0000B9010000}"/>
    <cellStyle name="Normal 4 4" xfId="442" xr:uid="{00000000-0005-0000-0000-0000BA010000}"/>
    <cellStyle name="Normal 4 5" xfId="443" xr:uid="{00000000-0005-0000-0000-0000BB010000}"/>
    <cellStyle name="Normal 4 5 2" xfId="444" xr:uid="{00000000-0005-0000-0000-0000BC010000}"/>
    <cellStyle name="Normal 4 5 3" xfId="445" xr:uid="{00000000-0005-0000-0000-0000BD010000}"/>
    <cellStyle name="Normal 4 6" xfId="446" xr:uid="{00000000-0005-0000-0000-0000BE010000}"/>
    <cellStyle name="Normal 4 6 2" xfId="447" xr:uid="{00000000-0005-0000-0000-0000BF010000}"/>
    <cellStyle name="Normal 4 6 3" xfId="448" xr:uid="{00000000-0005-0000-0000-0000C0010000}"/>
    <cellStyle name="Normal 4 7" xfId="449" xr:uid="{00000000-0005-0000-0000-0000C1010000}"/>
    <cellStyle name="Normal 4 8" xfId="450" xr:uid="{00000000-0005-0000-0000-0000C2010000}"/>
    <cellStyle name="Normal 4 9" xfId="451" xr:uid="{00000000-0005-0000-0000-0000C3010000}"/>
    <cellStyle name="Normal 5 2" xfId="452" xr:uid="{00000000-0005-0000-0000-0000C4010000}"/>
    <cellStyle name="Normal 5 3" xfId="453" xr:uid="{00000000-0005-0000-0000-0000C5010000}"/>
    <cellStyle name="Normal 5 3 2" xfId="454" xr:uid="{00000000-0005-0000-0000-0000C6010000}"/>
    <cellStyle name="Normal 5 3 3" xfId="455" xr:uid="{00000000-0005-0000-0000-0000C7010000}"/>
    <cellStyle name="Normal 5 4" xfId="456" xr:uid="{00000000-0005-0000-0000-0000C8010000}"/>
    <cellStyle name="Normal 5 5" xfId="457" xr:uid="{00000000-0005-0000-0000-0000C9010000}"/>
    <cellStyle name="Normal 5 5 2" xfId="458" xr:uid="{00000000-0005-0000-0000-0000CA010000}"/>
    <cellStyle name="Normal 5 5 3" xfId="459" xr:uid="{00000000-0005-0000-0000-0000CB010000}"/>
    <cellStyle name="Normal 5 6" xfId="460" xr:uid="{00000000-0005-0000-0000-0000CC010000}"/>
    <cellStyle name="Normal 5 6 2" xfId="461" xr:uid="{00000000-0005-0000-0000-0000CD010000}"/>
    <cellStyle name="Normal 6 2" xfId="462" xr:uid="{00000000-0005-0000-0000-0000CE010000}"/>
    <cellStyle name="Normal 6 3" xfId="463" xr:uid="{00000000-0005-0000-0000-0000CF010000}"/>
    <cellStyle name="Normal 6 4" xfId="464" xr:uid="{00000000-0005-0000-0000-0000D0010000}"/>
    <cellStyle name="Normal 6 5" xfId="465" xr:uid="{00000000-0005-0000-0000-0000D1010000}"/>
    <cellStyle name="Normal 7 2" xfId="466" xr:uid="{00000000-0005-0000-0000-0000D2010000}"/>
    <cellStyle name="Normal 7 2 2" xfId="467" xr:uid="{00000000-0005-0000-0000-0000D3010000}"/>
    <cellStyle name="Normal 7 2 2 2" xfId="468" xr:uid="{00000000-0005-0000-0000-0000D4010000}"/>
    <cellStyle name="Normal 7 2 2 3" xfId="469" xr:uid="{00000000-0005-0000-0000-0000D5010000}"/>
    <cellStyle name="Normal 7 2 3" xfId="470" xr:uid="{00000000-0005-0000-0000-0000D6010000}"/>
    <cellStyle name="Normal 7 2 4" xfId="471" xr:uid="{00000000-0005-0000-0000-0000D7010000}"/>
    <cellStyle name="Normal 7 2 4 2" xfId="472" xr:uid="{00000000-0005-0000-0000-0000D8010000}"/>
    <cellStyle name="Normal 7 2 4 3" xfId="473" xr:uid="{00000000-0005-0000-0000-0000D9010000}"/>
    <cellStyle name="Normal 7 2 5" xfId="474" xr:uid="{00000000-0005-0000-0000-0000DA010000}"/>
    <cellStyle name="Normal 7 3" xfId="475" xr:uid="{00000000-0005-0000-0000-0000DB010000}"/>
    <cellStyle name="Normal 7 4" xfId="476" xr:uid="{00000000-0005-0000-0000-0000DC010000}"/>
    <cellStyle name="Normal 7 4 2" xfId="477" xr:uid="{00000000-0005-0000-0000-0000DD010000}"/>
    <cellStyle name="Normal 7 4 3" xfId="478" xr:uid="{00000000-0005-0000-0000-0000DE010000}"/>
    <cellStyle name="Normal 7 5" xfId="479" xr:uid="{00000000-0005-0000-0000-0000DF010000}"/>
    <cellStyle name="Normal 7 5 2" xfId="480" xr:uid="{00000000-0005-0000-0000-0000E0010000}"/>
    <cellStyle name="Normal 7 5 3" xfId="481" xr:uid="{00000000-0005-0000-0000-0000E1010000}"/>
    <cellStyle name="Normal 7 5 4" xfId="482" xr:uid="{00000000-0005-0000-0000-0000E2010000}"/>
    <cellStyle name="Normal 7 5 5" xfId="483" xr:uid="{00000000-0005-0000-0000-0000E3010000}"/>
    <cellStyle name="Normal 7 6" xfId="484" xr:uid="{00000000-0005-0000-0000-0000E4010000}"/>
    <cellStyle name="Normal 7 7" xfId="485" xr:uid="{00000000-0005-0000-0000-0000E5010000}"/>
    <cellStyle name="Normal 8 2" xfId="486" xr:uid="{00000000-0005-0000-0000-0000E6010000}"/>
    <cellStyle name="Normal 8 3" xfId="487" xr:uid="{00000000-0005-0000-0000-0000E7010000}"/>
    <cellStyle name="Normal 9 2" xfId="488" xr:uid="{00000000-0005-0000-0000-0000E8010000}"/>
    <cellStyle name="Normal 9 2 2" xfId="489" xr:uid="{00000000-0005-0000-0000-0000E9010000}"/>
    <cellStyle name="Normal 9 2 3" xfId="490" xr:uid="{00000000-0005-0000-0000-0000EA010000}"/>
    <cellStyle name="Normal 9 3" xfId="491" xr:uid="{00000000-0005-0000-0000-0000EB010000}"/>
    <cellStyle name="Normal 9 4" xfId="492" xr:uid="{00000000-0005-0000-0000-0000EC010000}"/>
    <cellStyle name="Normal 9 5" xfId="493" xr:uid="{00000000-0005-0000-0000-0000ED010000}"/>
    <cellStyle name="Normal 9 5 2" xfId="494" xr:uid="{00000000-0005-0000-0000-0000EE010000}"/>
    <cellStyle name="Normal 9 5 3" xfId="495" xr:uid="{00000000-0005-0000-0000-0000EF010000}"/>
    <cellStyle name="Normal 9 6" xfId="496" xr:uid="{00000000-0005-0000-0000-0000F0010000}"/>
    <cellStyle name="Normal 9 6 2" xfId="497" xr:uid="{00000000-0005-0000-0000-0000F1010000}"/>
    <cellStyle name="Normal 9 6 3" xfId="498" xr:uid="{00000000-0005-0000-0000-0000F2010000}"/>
    <cellStyle name="Normal_debt" xfId="499" xr:uid="{00000000-0005-0000-0000-0000F3010000}"/>
    <cellStyle name="Normal_lpform" xfId="500" xr:uid="{00000000-0005-0000-0000-0000F4010000}"/>
  </cellStyles>
  <dxfs count="200">
    <dxf>
      <font>
        <b/>
        <i val="0"/>
        <color rgb="FFFF0000"/>
      </font>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28575</xdr:rowOff>
    </xdr:from>
    <xdr:to>
      <xdr:col>1</xdr:col>
      <xdr:colOff>209550</xdr:colOff>
      <xdr:row>18</xdr:row>
      <xdr:rowOff>180975</xdr:rowOff>
    </xdr:to>
    <xdr:sp macro="" textlink="">
      <xdr:nvSpPr>
        <xdr:cNvPr id="2" name="Text Box 2">
          <a:extLst>
            <a:ext uri="{FF2B5EF4-FFF2-40B4-BE49-F238E27FC236}">
              <a16:creationId xmlns:a16="http://schemas.microsoft.com/office/drawing/2014/main" id="{08FAAB88-7CF1-41B5-A2A8-77E45A50EC01}"/>
            </a:ext>
          </a:extLst>
        </xdr:cNvPr>
        <xdr:cNvSpPr txBox="1"/>
      </xdr:nvSpPr>
      <xdr:spPr>
        <a:xfrm>
          <a:off x="104775" y="5695950"/>
          <a:ext cx="209550" cy="152400"/>
        </a:xfrm>
        <a:prstGeom prst="rect">
          <a:avLst/>
        </a:prstGeom>
        <a:solidFill>
          <a:srgbClr val="00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20</xdr:row>
      <xdr:rowOff>57150</xdr:rowOff>
    </xdr:from>
    <xdr:to>
      <xdr:col>1</xdr:col>
      <xdr:colOff>209550</xdr:colOff>
      <xdr:row>20</xdr:row>
      <xdr:rowOff>209550</xdr:rowOff>
    </xdr:to>
    <xdr:sp macro="" textlink="">
      <xdr:nvSpPr>
        <xdr:cNvPr id="3" name="Text Box 5">
          <a:extLst>
            <a:ext uri="{FF2B5EF4-FFF2-40B4-BE49-F238E27FC236}">
              <a16:creationId xmlns:a16="http://schemas.microsoft.com/office/drawing/2014/main" id="{B8390F74-ECE5-4326-8456-FF7D44DE653F}"/>
            </a:ext>
          </a:extLst>
        </xdr:cNvPr>
        <xdr:cNvSpPr txBox="1">
          <a:spLocks noChangeArrowheads="1"/>
        </xdr:cNvSpPr>
      </xdr:nvSpPr>
      <xdr:spPr bwMode="auto">
        <a:xfrm>
          <a:off x="104775" y="6086475"/>
          <a:ext cx="209550" cy="152400"/>
        </a:xfrm>
        <a:prstGeom prst="rect">
          <a:avLst/>
        </a:prstGeom>
        <a:solidFill>
          <a:srgbClr val="FFF2CC"/>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 </a:t>
          </a:r>
        </a:p>
      </xdr:txBody>
    </xdr:sp>
    <xdr:clientData/>
  </xdr:twoCellAnchor>
  <xdr:twoCellAnchor>
    <xdr:from>
      <xdr:col>1</xdr:col>
      <xdr:colOff>0</xdr:colOff>
      <xdr:row>22</xdr:row>
      <xdr:rowOff>38100</xdr:rowOff>
    </xdr:from>
    <xdr:to>
      <xdr:col>1</xdr:col>
      <xdr:colOff>209550</xdr:colOff>
      <xdr:row>22</xdr:row>
      <xdr:rowOff>190500</xdr:rowOff>
    </xdr:to>
    <xdr:sp macro="" textlink="">
      <xdr:nvSpPr>
        <xdr:cNvPr id="4" name="Text Box 6">
          <a:extLst>
            <a:ext uri="{FF2B5EF4-FFF2-40B4-BE49-F238E27FC236}">
              <a16:creationId xmlns:a16="http://schemas.microsoft.com/office/drawing/2014/main" id="{D225F924-99A2-422F-8A78-76CA24C45363}"/>
            </a:ext>
          </a:extLst>
        </xdr:cNvPr>
        <xdr:cNvSpPr txBox="1"/>
      </xdr:nvSpPr>
      <xdr:spPr>
        <a:xfrm>
          <a:off x="104775" y="7086600"/>
          <a:ext cx="209550" cy="152400"/>
        </a:xfrm>
        <a:prstGeom prst="rect">
          <a:avLst/>
        </a:prstGeom>
        <a:solidFill>
          <a:srgbClr val="00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24</xdr:row>
      <xdr:rowOff>38100</xdr:rowOff>
    </xdr:from>
    <xdr:to>
      <xdr:col>1</xdr:col>
      <xdr:colOff>209550</xdr:colOff>
      <xdr:row>24</xdr:row>
      <xdr:rowOff>190500</xdr:rowOff>
    </xdr:to>
    <xdr:sp macro="" textlink="">
      <xdr:nvSpPr>
        <xdr:cNvPr id="5" name="Text Box 7">
          <a:extLst>
            <a:ext uri="{FF2B5EF4-FFF2-40B4-BE49-F238E27FC236}">
              <a16:creationId xmlns:a16="http://schemas.microsoft.com/office/drawing/2014/main" id="{0FB787D9-BE51-49BB-AB8E-FFEB451B2568}"/>
            </a:ext>
          </a:extLst>
        </xdr:cNvPr>
        <xdr:cNvSpPr txBox="1"/>
      </xdr:nvSpPr>
      <xdr:spPr>
        <a:xfrm>
          <a:off x="104775" y="7448550"/>
          <a:ext cx="209550" cy="152400"/>
        </a:xfrm>
        <a:prstGeom prst="rect">
          <a:avLst/>
        </a:prstGeom>
        <a:solidFill>
          <a:srgbClr val="FF00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17</xdr:row>
      <xdr:rowOff>182276</xdr:rowOff>
    </xdr:from>
    <xdr:to>
      <xdr:col>7</xdr:col>
      <xdr:colOff>47625</xdr:colOff>
      <xdr:row>32</xdr:row>
      <xdr:rowOff>9049</xdr:rowOff>
    </xdr:to>
    <xdr:pic>
      <xdr:nvPicPr>
        <xdr:cNvPr id="2" name="Picture 1">
          <a:extLst>
            <a:ext uri="{FF2B5EF4-FFF2-40B4-BE49-F238E27FC236}">
              <a16:creationId xmlns:a16="http://schemas.microsoft.com/office/drawing/2014/main" id="{1D4A4995-1BA2-4B48-9992-DEE44733548C}"/>
            </a:ext>
          </a:extLst>
        </xdr:cNvPr>
        <xdr:cNvPicPr>
          <a:picLocks noChangeAspect="1"/>
        </xdr:cNvPicPr>
      </xdr:nvPicPr>
      <xdr:blipFill>
        <a:blip xmlns:r="http://schemas.openxmlformats.org/officeDocument/2006/relationships" r:embed="rId1"/>
        <a:stretch>
          <a:fillRect/>
        </a:stretch>
      </xdr:blipFill>
      <xdr:spPr>
        <a:xfrm>
          <a:off x="180975" y="3249326"/>
          <a:ext cx="4657725" cy="2827148"/>
        </a:xfrm>
        <a:prstGeom prst="rect">
          <a:avLst/>
        </a:prstGeom>
      </xdr:spPr>
    </xdr:pic>
    <xdr:clientData/>
  </xdr:twoCellAnchor>
  <xdr:twoCellAnchor editAs="oneCell">
    <xdr:from>
      <xdr:col>7</xdr:col>
      <xdr:colOff>66675</xdr:colOff>
      <xdr:row>19</xdr:row>
      <xdr:rowOff>180975</xdr:rowOff>
    </xdr:from>
    <xdr:to>
      <xdr:col>13</xdr:col>
      <xdr:colOff>596228</xdr:colOff>
      <xdr:row>31</xdr:row>
      <xdr:rowOff>161925</xdr:rowOff>
    </xdr:to>
    <xdr:pic>
      <xdr:nvPicPr>
        <xdr:cNvPr id="3" name="Picture 2">
          <a:extLst>
            <a:ext uri="{FF2B5EF4-FFF2-40B4-BE49-F238E27FC236}">
              <a16:creationId xmlns:a16="http://schemas.microsoft.com/office/drawing/2014/main" id="{A6C970F4-95EF-49B1-AAFE-F402AB835E67}"/>
            </a:ext>
          </a:extLst>
        </xdr:cNvPr>
        <xdr:cNvPicPr>
          <a:picLocks noChangeAspect="1"/>
        </xdr:cNvPicPr>
      </xdr:nvPicPr>
      <xdr:blipFill>
        <a:blip xmlns:r="http://schemas.openxmlformats.org/officeDocument/2006/relationships" r:embed="rId2"/>
        <a:stretch>
          <a:fillRect/>
        </a:stretch>
      </xdr:blipFill>
      <xdr:spPr>
        <a:xfrm>
          <a:off x="4857750" y="3648075"/>
          <a:ext cx="5101553" cy="2381250"/>
        </a:xfrm>
        <a:prstGeom prst="rect">
          <a:avLst/>
        </a:prstGeom>
      </xdr:spPr>
    </xdr:pic>
    <xdr:clientData/>
  </xdr:twoCellAnchor>
  <xdr:twoCellAnchor editAs="oneCell">
    <xdr:from>
      <xdr:col>0</xdr:col>
      <xdr:colOff>123826</xdr:colOff>
      <xdr:row>45</xdr:row>
      <xdr:rowOff>35479</xdr:rowOff>
    </xdr:from>
    <xdr:to>
      <xdr:col>6</xdr:col>
      <xdr:colOff>628651</xdr:colOff>
      <xdr:row>56</xdr:row>
      <xdr:rowOff>9246</xdr:rowOff>
    </xdr:to>
    <xdr:pic>
      <xdr:nvPicPr>
        <xdr:cNvPr id="4" name="Picture 3">
          <a:extLst>
            <a:ext uri="{FF2B5EF4-FFF2-40B4-BE49-F238E27FC236}">
              <a16:creationId xmlns:a16="http://schemas.microsoft.com/office/drawing/2014/main" id="{AD0FB44C-CC61-4A97-895F-F7A7F22E1F5C}"/>
            </a:ext>
          </a:extLst>
        </xdr:cNvPr>
        <xdr:cNvPicPr>
          <a:picLocks noChangeAspect="1"/>
        </xdr:cNvPicPr>
      </xdr:nvPicPr>
      <xdr:blipFill>
        <a:blip xmlns:r="http://schemas.openxmlformats.org/officeDocument/2006/relationships" r:embed="rId3"/>
        <a:stretch>
          <a:fillRect/>
        </a:stretch>
      </xdr:blipFill>
      <xdr:spPr>
        <a:xfrm>
          <a:off x="123826" y="8703229"/>
          <a:ext cx="4533900" cy="2174042"/>
        </a:xfrm>
        <a:prstGeom prst="rect">
          <a:avLst/>
        </a:prstGeom>
      </xdr:spPr>
    </xdr:pic>
    <xdr:clientData/>
  </xdr:twoCellAnchor>
  <xdr:twoCellAnchor editAs="oneCell">
    <xdr:from>
      <xdr:col>7</xdr:col>
      <xdr:colOff>47626</xdr:colOff>
      <xdr:row>44</xdr:row>
      <xdr:rowOff>92161</xdr:rowOff>
    </xdr:from>
    <xdr:to>
      <xdr:col>13</xdr:col>
      <xdr:colOff>485776</xdr:colOff>
      <xdr:row>55</xdr:row>
      <xdr:rowOff>85725</xdr:rowOff>
    </xdr:to>
    <xdr:pic>
      <xdr:nvPicPr>
        <xdr:cNvPr id="5" name="Picture 4">
          <a:extLst>
            <a:ext uri="{FF2B5EF4-FFF2-40B4-BE49-F238E27FC236}">
              <a16:creationId xmlns:a16="http://schemas.microsoft.com/office/drawing/2014/main" id="{81F89271-7311-4079-B3B9-385621664BC2}"/>
            </a:ext>
          </a:extLst>
        </xdr:cNvPr>
        <xdr:cNvPicPr>
          <a:picLocks noChangeAspect="1"/>
        </xdr:cNvPicPr>
      </xdr:nvPicPr>
      <xdr:blipFill>
        <a:blip xmlns:r="http://schemas.openxmlformats.org/officeDocument/2006/relationships" r:embed="rId4"/>
        <a:stretch>
          <a:fillRect/>
        </a:stretch>
      </xdr:blipFill>
      <xdr:spPr>
        <a:xfrm>
          <a:off x="4838701" y="8559886"/>
          <a:ext cx="5010150" cy="2193839"/>
        </a:xfrm>
        <a:prstGeom prst="rect">
          <a:avLst/>
        </a:prstGeom>
      </xdr:spPr>
    </xdr:pic>
    <xdr:clientData/>
  </xdr:twoCellAnchor>
  <xdr:twoCellAnchor editAs="oneCell">
    <xdr:from>
      <xdr:col>1</xdr:col>
      <xdr:colOff>9524</xdr:colOff>
      <xdr:row>84</xdr:row>
      <xdr:rowOff>65082</xdr:rowOff>
    </xdr:from>
    <xdr:to>
      <xdr:col>8</xdr:col>
      <xdr:colOff>666749</xdr:colOff>
      <xdr:row>108</xdr:row>
      <xdr:rowOff>104257</xdr:rowOff>
    </xdr:to>
    <xdr:pic>
      <xdr:nvPicPr>
        <xdr:cNvPr id="6" name="Picture 5">
          <a:extLst>
            <a:ext uri="{FF2B5EF4-FFF2-40B4-BE49-F238E27FC236}">
              <a16:creationId xmlns:a16="http://schemas.microsoft.com/office/drawing/2014/main" id="{A73F5652-CB00-4E70-A5C6-162565CB2DF5}"/>
            </a:ext>
          </a:extLst>
        </xdr:cNvPr>
        <xdr:cNvPicPr>
          <a:picLocks noChangeAspect="1"/>
        </xdr:cNvPicPr>
      </xdr:nvPicPr>
      <xdr:blipFill>
        <a:blip xmlns:r="http://schemas.openxmlformats.org/officeDocument/2006/relationships" r:embed="rId5"/>
        <a:stretch>
          <a:fillRect/>
        </a:stretch>
      </xdr:blipFill>
      <xdr:spPr>
        <a:xfrm>
          <a:off x="304799" y="16295682"/>
          <a:ext cx="5915025" cy="4611175"/>
        </a:xfrm>
        <a:prstGeom prst="rect">
          <a:avLst/>
        </a:prstGeom>
      </xdr:spPr>
    </xdr:pic>
    <xdr:clientData/>
  </xdr:twoCellAnchor>
  <xdr:twoCellAnchor editAs="oneCell">
    <xdr:from>
      <xdr:col>1</xdr:col>
      <xdr:colOff>9525</xdr:colOff>
      <xdr:row>62</xdr:row>
      <xdr:rowOff>170419</xdr:rowOff>
    </xdr:from>
    <xdr:to>
      <xdr:col>8</xdr:col>
      <xdr:colOff>676275</xdr:colOff>
      <xdr:row>84</xdr:row>
      <xdr:rowOff>104305</xdr:rowOff>
    </xdr:to>
    <xdr:pic>
      <xdr:nvPicPr>
        <xdr:cNvPr id="7" name="Picture 6">
          <a:extLst>
            <a:ext uri="{FF2B5EF4-FFF2-40B4-BE49-F238E27FC236}">
              <a16:creationId xmlns:a16="http://schemas.microsoft.com/office/drawing/2014/main" id="{695B3EAA-C71F-4839-B62A-A2A9C48F10F1}"/>
            </a:ext>
          </a:extLst>
        </xdr:cNvPr>
        <xdr:cNvPicPr>
          <a:picLocks noChangeAspect="1"/>
        </xdr:cNvPicPr>
      </xdr:nvPicPr>
      <xdr:blipFill>
        <a:blip xmlns:r="http://schemas.openxmlformats.org/officeDocument/2006/relationships" r:embed="rId6"/>
        <a:stretch>
          <a:fillRect/>
        </a:stretch>
      </xdr:blipFill>
      <xdr:spPr>
        <a:xfrm>
          <a:off x="304800" y="12152869"/>
          <a:ext cx="5924550" cy="4182036"/>
        </a:xfrm>
        <a:prstGeom prst="rect">
          <a:avLst/>
        </a:prstGeom>
      </xdr:spPr>
    </xdr:pic>
    <xdr:clientData/>
  </xdr:twoCellAnchor>
  <xdr:twoCellAnchor editAs="oneCell">
    <xdr:from>
      <xdr:col>1</xdr:col>
      <xdr:colOff>0</xdr:colOff>
      <xdr:row>108</xdr:row>
      <xdr:rowOff>104155</xdr:rowOff>
    </xdr:from>
    <xdr:to>
      <xdr:col>8</xdr:col>
      <xdr:colOff>666750</xdr:colOff>
      <xdr:row>140</xdr:row>
      <xdr:rowOff>123137</xdr:rowOff>
    </xdr:to>
    <xdr:pic>
      <xdr:nvPicPr>
        <xdr:cNvPr id="8" name="Picture 7">
          <a:extLst>
            <a:ext uri="{FF2B5EF4-FFF2-40B4-BE49-F238E27FC236}">
              <a16:creationId xmlns:a16="http://schemas.microsoft.com/office/drawing/2014/main" id="{EBAB0D24-E3AE-4FE2-9F2D-8CF10D10C415}"/>
            </a:ext>
          </a:extLst>
        </xdr:cNvPr>
        <xdr:cNvPicPr>
          <a:picLocks noChangeAspect="1"/>
        </xdr:cNvPicPr>
      </xdr:nvPicPr>
      <xdr:blipFill>
        <a:blip xmlns:r="http://schemas.openxmlformats.org/officeDocument/2006/relationships" r:embed="rId7"/>
        <a:stretch>
          <a:fillRect/>
        </a:stretch>
      </xdr:blipFill>
      <xdr:spPr>
        <a:xfrm>
          <a:off x="295275" y="20906755"/>
          <a:ext cx="5924550" cy="6114982"/>
        </a:xfrm>
        <a:prstGeom prst="rect">
          <a:avLst/>
        </a:prstGeom>
      </xdr:spPr>
    </xdr:pic>
    <xdr:clientData/>
  </xdr:twoCellAnchor>
  <xdr:twoCellAnchor editAs="oneCell">
    <xdr:from>
      <xdr:col>0</xdr:col>
      <xdr:colOff>285749</xdr:colOff>
      <xdr:row>140</xdr:row>
      <xdr:rowOff>92320</xdr:rowOff>
    </xdr:from>
    <xdr:to>
      <xdr:col>8</xdr:col>
      <xdr:colOff>647699</xdr:colOff>
      <xdr:row>181</xdr:row>
      <xdr:rowOff>189608</xdr:rowOff>
    </xdr:to>
    <xdr:pic>
      <xdr:nvPicPr>
        <xdr:cNvPr id="9" name="Picture 8">
          <a:extLst>
            <a:ext uri="{FF2B5EF4-FFF2-40B4-BE49-F238E27FC236}">
              <a16:creationId xmlns:a16="http://schemas.microsoft.com/office/drawing/2014/main" id="{E8C36901-5210-46A5-9C52-6BF5E6C7937D}"/>
            </a:ext>
          </a:extLst>
        </xdr:cNvPr>
        <xdr:cNvPicPr>
          <a:picLocks noChangeAspect="1"/>
        </xdr:cNvPicPr>
      </xdr:nvPicPr>
      <xdr:blipFill>
        <a:blip xmlns:r="http://schemas.openxmlformats.org/officeDocument/2006/relationships" r:embed="rId8"/>
        <a:stretch>
          <a:fillRect/>
        </a:stretch>
      </xdr:blipFill>
      <xdr:spPr>
        <a:xfrm>
          <a:off x="285749" y="26990920"/>
          <a:ext cx="5915025" cy="7907788"/>
        </a:xfrm>
        <a:prstGeom prst="rect">
          <a:avLst/>
        </a:prstGeom>
      </xdr:spPr>
    </xdr:pic>
    <xdr:clientData/>
  </xdr:twoCellAnchor>
  <xdr:twoCellAnchor editAs="oneCell">
    <xdr:from>
      <xdr:col>1</xdr:col>
      <xdr:colOff>0</xdr:colOff>
      <xdr:row>181</xdr:row>
      <xdr:rowOff>165483</xdr:rowOff>
    </xdr:from>
    <xdr:to>
      <xdr:col>8</xdr:col>
      <xdr:colOff>657225</xdr:colOff>
      <xdr:row>212</xdr:row>
      <xdr:rowOff>37450</xdr:rowOff>
    </xdr:to>
    <xdr:pic>
      <xdr:nvPicPr>
        <xdr:cNvPr id="10" name="Picture 9">
          <a:extLst>
            <a:ext uri="{FF2B5EF4-FFF2-40B4-BE49-F238E27FC236}">
              <a16:creationId xmlns:a16="http://schemas.microsoft.com/office/drawing/2014/main" id="{559FECA5-37D1-4A2F-ABC6-98B90865E963}"/>
            </a:ext>
          </a:extLst>
        </xdr:cNvPr>
        <xdr:cNvPicPr>
          <a:picLocks noChangeAspect="1"/>
        </xdr:cNvPicPr>
      </xdr:nvPicPr>
      <xdr:blipFill>
        <a:blip xmlns:r="http://schemas.openxmlformats.org/officeDocument/2006/relationships" r:embed="rId9"/>
        <a:stretch>
          <a:fillRect/>
        </a:stretch>
      </xdr:blipFill>
      <xdr:spPr>
        <a:xfrm>
          <a:off x="295275" y="34874583"/>
          <a:ext cx="5915025" cy="577746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Alice.Smith@ks.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4.bin"/><Relationship Id="rId1" Type="http://schemas.openxmlformats.org/officeDocument/2006/relationships/hyperlink" Target="https://pooledmoneyinvestmentboard.com/"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1EE37-8C20-4FE0-A53E-8CF64CEFAF42}">
  <sheetPr>
    <tabColor rgb="FFC00000"/>
  </sheetPr>
  <dimension ref="B1:B112"/>
  <sheetViews>
    <sheetView tabSelected="1" topLeftCell="B1" zoomScaleNormal="100" workbookViewId="0">
      <selection activeCell="B1" sqref="B1"/>
    </sheetView>
  </sheetViews>
  <sheetFormatPr defaultRowHeight="15.75" x14ac:dyDescent="0.25"/>
  <cols>
    <col min="1" max="1" width="1.09765625" style="540" customWidth="1"/>
    <col min="2" max="2" width="76.19921875" style="541" customWidth="1"/>
    <col min="3" max="16384" width="8.796875" style="540"/>
  </cols>
  <sheetData>
    <row r="1" spans="2:2" ht="39" customHeight="1" x14ac:dyDescent="0.25">
      <c r="B1" s="539" t="s">
        <v>0</v>
      </c>
    </row>
    <row r="2" spans="2:2" ht="12.95" customHeight="1" x14ac:dyDescent="0.25"/>
    <row r="3" spans="2:2" ht="34.5" customHeight="1" x14ac:dyDescent="0.25">
      <c r="B3" s="541" t="s">
        <v>1</v>
      </c>
    </row>
    <row r="4" spans="2:2" ht="12.95" customHeight="1" x14ac:dyDescent="0.25"/>
    <row r="5" spans="2:2" ht="66" customHeight="1" x14ac:dyDescent="0.25">
      <c r="B5" s="541" t="s">
        <v>2</v>
      </c>
    </row>
    <row r="6" spans="2:2" ht="14.45" customHeight="1" x14ac:dyDescent="0.25"/>
    <row r="7" spans="2:2" ht="25.5" customHeight="1" x14ac:dyDescent="0.25">
      <c r="B7" s="542" t="s">
        <v>3</v>
      </c>
    </row>
    <row r="8" spans="2:2" ht="12.95" customHeight="1" x14ac:dyDescent="0.25"/>
    <row r="9" spans="2:2" ht="50.25" x14ac:dyDescent="0.25">
      <c r="B9" s="541" t="s">
        <v>4</v>
      </c>
    </row>
    <row r="10" spans="2:2" ht="12.95" customHeight="1" x14ac:dyDescent="0.25"/>
    <row r="11" spans="2:2" ht="31.5" x14ac:dyDescent="0.25">
      <c r="B11" s="541" t="s">
        <v>5</v>
      </c>
    </row>
    <row r="12" spans="2:2" ht="15" customHeight="1" x14ac:dyDescent="0.25"/>
    <row r="13" spans="2:2" ht="25.5" customHeight="1" x14ac:dyDescent="0.25">
      <c r="B13" s="542" t="s">
        <v>6</v>
      </c>
    </row>
    <row r="14" spans="2:2" ht="12.95" customHeight="1" x14ac:dyDescent="0.25"/>
    <row r="15" spans="2:2" ht="39.75" customHeight="1" x14ac:dyDescent="0.25">
      <c r="B15" s="541" t="s">
        <v>7</v>
      </c>
    </row>
    <row r="16" spans="2:2" ht="12.95" customHeight="1" x14ac:dyDescent="0.25"/>
    <row r="17" spans="2:2" x14ac:dyDescent="0.25">
      <c r="B17" s="543" t="s">
        <v>8</v>
      </c>
    </row>
    <row r="18" spans="2:2" ht="12.95" customHeight="1" x14ac:dyDescent="0.25">
      <c r="B18" s="543"/>
    </row>
    <row r="19" spans="2:2" x14ac:dyDescent="0.25">
      <c r="B19" s="541" t="s">
        <v>9</v>
      </c>
    </row>
    <row r="20" spans="2:2" ht="12.95" customHeight="1" x14ac:dyDescent="0.25"/>
    <row r="21" spans="2:2" ht="67.5" customHeight="1" x14ac:dyDescent="0.25">
      <c r="B21" s="541" t="s">
        <v>10</v>
      </c>
    </row>
    <row r="22" spans="2:2" ht="12.95" customHeight="1" x14ac:dyDescent="0.25">
      <c r="B22" s="544"/>
    </row>
    <row r="23" spans="2:2" ht="15.75" customHeight="1" x14ac:dyDescent="0.25">
      <c r="B23" s="541" t="s">
        <v>11</v>
      </c>
    </row>
    <row r="24" spans="2:2" ht="12.95" customHeight="1" x14ac:dyDescent="0.25">
      <c r="B24" s="544"/>
    </row>
    <row r="25" spans="2:2" ht="15.75" customHeight="1" x14ac:dyDescent="0.25">
      <c r="B25" s="541" t="s">
        <v>12</v>
      </c>
    </row>
    <row r="26" spans="2:2" ht="12.95" customHeight="1" x14ac:dyDescent="0.25"/>
    <row r="27" spans="2:2" ht="49.5" customHeight="1" x14ac:dyDescent="0.25">
      <c r="B27" s="541" t="s">
        <v>13</v>
      </c>
    </row>
    <row r="28" spans="2:2" ht="12.95" customHeight="1" x14ac:dyDescent="0.25"/>
    <row r="29" spans="2:2" ht="110.25" x14ac:dyDescent="0.25">
      <c r="B29" s="619" t="s">
        <v>14</v>
      </c>
    </row>
    <row r="30" spans="2:2" ht="12.95" customHeight="1" x14ac:dyDescent="0.25"/>
    <row r="31" spans="2:2" ht="25.5" customHeight="1" x14ac:dyDescent="0.25">
      <c r="B31" s="542" t="s">
        <v>15</v>
      </c>
    </row>
    <row r="32" spans="2:2" ht="12.95" customHeight="1" x14ac:dyDescent="0.25">
      <c r="B32" s="545"/>
    </row>
    <row r="33" spans="2:2" ht="50.25" customHeight="1" x14ac:dyDescent="0.25">
      <c r="B33" s="541" t="s">
        <v>16</v>
      </c>
    </row>
    <row r="34" spans="2:2" ht="12.95" customHeight="1" x14ac:dyDescent="0.25"/>
    <row r="35" spans="2:2" ht="49.5" customHeight="1" x14ac:dyDescent="0.25">
      <c r="B35" s="546" t="s">
        <v>17</v>
      </c>
    </row>
    <row r="36" spans="2:2" ht="39.75" customHeight="1" x14ac:dyDescent="0.25">
      <c r="B36" s="547" t="s">
        <v>18</v>
      </c>
    </row>
    <row r="37" spans="2:2" ht="60.75" customHeight="1" x14ac:dyDescent="0.25">
      <c r="B37" s="547" t="s">
        <v>19</v>
      </c>
    </row>
    <row r="38" spans="2:2" ht="61.5" customHeight="1" x14ac:dyDescent="0.25">
      <c r="B38" s="547" t="s">
        <v>20</v>
      </c>
    </row>
    <row r="39" spans="2:2" ht="41.25" customHeight="1" x14ac:dyDescent="0.25">
      <c r="B39" s="547" t="s">
        <v>21</v>
      </c>
    </row>
    <row r="40" spans="2:2" x14ac:dyDescent="0.25">
      <c r="B40" s="547" t="s">
        <v>22</v>
      </c>
    </row>
    <row r="41" spans="2:2" ht="12.95" customHeight="1" x14ac:dyDescent="0.25"/>
    <row r="42" spans="2:2" ht="52.5" customHeight="1" x14ac:dyDescent="0.25">
      <c r="B42" s="546" t="s">
        <v>23</v>
      </c>
    </row>
    <row r="43" spans="2:2" ht="27.75" customHeight="1" x14ac:dyDescent="0.25">
      <c r="B43" s="547" t="s">
        <v>24</v>
      </c>
    </row>
    <row r="44" spans="2:2" ht="57" customHeight="1" x14ac:dyDescent="0.25">
      <c r="B44" s="547" t="s">
        <v>25</v>
      </c>
    </row>
    <row r="45" spans="2:2" ht="105" customHeight="1" x14ac:dyDescent="0.25">
      <c r="B45" s="547" t="s">
        <v>26</v>
      </c>
    </row>
    <row r="46" spans="2:2" s="541" customFormat="1" ht="12.95" customHeight="1" x14ac:dyDescent="0.25"/>
    <row r="47" spans="2:2" ht="47.25" x14ac:dyDescent="0.25">
      <c r="B47" s="546" t="s">
        <v>27</v>
      </c>
    </row>
    <row r="48" spans="2:2" ht="66.75" customHeight="1" x14ac:dyDescent="0.25">
      <c r="B48" s="546" t="s">
        <v>28</v>
      </c>
    </row>
    <row r="49" spans="2:2" ht="72.75" customHeight="1" x14ac:dyDescent="0.25">
      <c r="B49" s="547" t="s">
        <v>29</v>
      </c>
    </row>
    <row r="50" spans="2:2" ht="108" customHeight="1" x14ac:dyDescent="0.25">
      <c r="B50" s="547" t="s">
        <v>30</v>
      </c>
    </row>
    <row r="51" spans="2:2" ht="95.25" customHeight="1" x14ac:dyDescent="0.25">
      <c r="B51" s="547" t="s">
        <v>31</v>
      </c>
    </row>
    <row r="52" spans="2:2" ht="12.95" customHeight="1" x14ac:dyDescent="0.25"/>
    <row r="53" spans="2:2" ht="47.25" x14ac:dyDescent="0.25">
      <c r="B53" s="546" t="s">
        <v>32</v>
      </c>
    </row>
    <row r="54" spans="2:2" ht="38.25" customHeight="1" x14ac:dyDescent="0.25">
      <c r="B54" s="547" t="s">
        <v>33</v>
      </c>
    </row>
    <row r="55" spans="2:2" ht="34.5" customHeight="1" x14ac:dyDescent="0.25">
      <c r="B55" s="547" t="s">
        <v>34</v>
      </c>
    </row>
    <row r="56" spans="2:2" ht="12.95" customHeight="1" x14ac:dyDescent="0.25"/>
    <row r="57" spans="2:2" ht="71.25" customHeight="1" x14ac:dyDescent="0.25">
      <c r="B57" s="546" t="s">
        <v>35</v>
      </c>
    </row>
    <row r="58" spans="2:2" ht="21.75" customHeight="1" x14ac:dyDescent="0.25">
      <c r="B58" s="547" t="s">
        <v>36</v>
      </c>
    </row>
    <row r="59" spans="2:2" ht="12.95" customHeight="1" x14ac:dyDescent="0.25">
      <c r="B59" s="548"/>
    </row>
    <row r="60" spans="2:2" ht="57.75" customHeight="1" x14ac:dyDescent="0.25">
      <c r="B60" s="546" t="s">
        <v>37</v>
      </c>
    </row>
    <row r="61" spans="2:2" ht="41.25" customHeight="1" x14ac:dyDescent="0.25">
      <c r="B61" s="547" t="s">
        <v>38</v>
      </c>
    </row>
    <row r="62" spans="2:2" ht="72" customHeight="1" x14ac:dyDescent="0.25">
      <c r="B62" s="547" t="s">
        <v>39</v>
      </c>
    </row>
    <row r="63" spans="2:2" ht="27" customHeight="1" x14ac:dyDescent="0.25">
      <c r="B63" s="547" t="s">
        <v>40</v>
      </c>
    </row>
    <row r="64" spans="2:2" ht="44.25" customHeight="1" x14ac:dyDescent="0.25">
      <c r="B64" s="547" t="s">
        <v>41</v>
      </c>
    </row>
    <row r="65" spans="2:2" ht="12.95" customHeight="1" x14ac:dyDescent="0.25"/>
    <row r="66" spans="2:2" ht="38.25" customHeight="1" x14ac:dyDescent="0.25">
      <c r="B66" s="546" t="s">
        <v>42</v>
      </c>
    </row>
    <row r="67" spans="2:2" s="549" customFormat="1" ht="30.75" customHeight="1" x14ac:dyDescent="0.25">
      <c r="B67" s="547" t="s">
        <v>43</v>
      </c>
    </row>
    <row r="68" spans="2:2" ht="12.95" customHeight="1" x14ac:dyDescent="0.25"/>
    <row r="69" spans="2:2" ht="52.5" customHeight="1" x14ac:dyDescent="0.25">
      <c r="B69" s="546" t="s">
        <v>44</v>
      </c>
    </row>
    <row r="70" spans="2:2" s="549" customFormat="1" ht="39.75" customHeight="1" x14ac:dyDescent="0.25">
      <c r="B70" s="547" t="s">
        <v>45</v>
      </c>
    </row>
    <row r="71" spans="2:2" ht="12.95" customHeight="1" x14ac:dyDescent="0.25"/>
    <row r="72" spans="2:2" ht="68.25" customHeight="1" x14ac:dyDescent="0.25">
      <c r="B72" s="546" t="s">
        <v>46</v>
      </c>
    </row>
    <row r="73" spans="2:2" ht="57" customHeight="1" x14ac:dyDescent="0.25">
      <c r="B73" s="547" t="s">
        <v>47</v>
      </c>
    </row>
    <row r="74" spans="2:2" ht="44.25" customHeight="1" x14ac:dyDescent="0.25">
      <c r="B74" s="547" t="s">
        <v>48</v>
      </c>
    </row>
    <row r="75" spans="2:2" ht="12.95" customHeight="1" x14ac:dyDescent="0.25"/>
    <row r="76" spans="2:2" ht="78.75" x14ac:dyDescent="0.25">
      <c r="B76" s="546" t="s">
        <v>49</v>
      </c>
    </row>
    <row r="77" spans="2:2" ht="72.75" customHeight="1" x14ac:dyDescent="0.25">
      <c r="B77" s="547" t="s">
        <v>50</v>
      </c>
    </row>
    <row r="78" spans="2:2" ht="90" customHeight="1" x14ac:dyDescent="0.25">
      <c r="B78" s="547" t="s">
        <v>51</v>
      </c>
    </row>
    <row r="79" spans="2:2" ht="70.5" customHeight="1" x14ac:dyDescent="0.25">
      <c r="B79" s="547" t="s">
        <v>52</v>
      </c>
    </row>
    <row r="80" spans="2:2" ht="87" customHeight="1" x14ac:dyDescent="0.25">
      <c r="B80" s="547" t="s">
        <v>53</v>
      </c>
    </row>
    <row r="81" spans="2:2" ht="110.25" x14ac:dyDescent="0.25">
      <c r="B81" s="547" t="s">
        <v>54</v>
      </c>
    </row>
    <row r="82" spans="2:2" ht="55.5" customHeight="1" x14ac:dyDescent="0.25">
      <c r="B82" s="547" t="s">
        <v>55</v>
      </c>
    </row>
    <row r="83" spans="2:2" ht="96.75" customHeight="1" x14ac:dyDescent="0.25">
      <c r="B83" s="547" t="s">
        <v>56</v>
      </c>
    </row>
    <row r="84" spans="2:2" ht="111.75" customHeight="1" x14ac:dyDescent="0.25">
      <c r="B84" s="547" t="s">
        <v>57</v>
      </c>
    </row>
    <row r="85" spans="2:2" ht="123.75" customHeight="1" x14ac:dyDescent="0.25">
      <c r="B85" s="547" t="s">
        <v>58</v>
      </c>
    </row>
    <row r="86" spans="2:2" ht="26.25" customHeight="1" x14ac:dyDescent="0.25">
      <c r="B86" s="547" t="s">
        <v>59</v>
      </c>
    </row>
    <row r="87" spans="2:2" ht="57.75" customHeight="1" x14ac:dyDescent="0.25">
      <c r="B87" s="547" t="s">
        <v>60</v>
      </c>
    </row>
    <row r="88" spans="2:2" ht="57.75" customHeight="1" x14ac:dyDescent="0.25">
      <c r="B88" s="547" t="s">
        <v>61</v>
      </c>
    </row>
    <row r="89" spans="2:2" ht="91.5" customHeight="1" x14ac:dyDescent="0.25">
      <c r="B89" s="547" t="s">
        <v>62</v>
      </c>
    </row>
    <row r="90" spans="2:2" ht="75" customHeight="1" x14ac:dyDescent="0.25">
      <c r="B90" s="547" t="s">
        <v>63</v>
      </c>
    </row>
    <row r="91" spans="2:2" ht="69" customHeight="1" x14ac:dyDescent="0.25">
      <c r="B91" s="547" t="s">
        <v>64</v>
      </c>
    </row>
    <row r="92" spans="2:2" ht="39" customHeight="1" x14ac:dyDescent="0.25">
      <c r="B92" s="547" t="s">
        <v>65</v>
      </c>
    </row>
    <row r="93" spans="2:2" ht="12.95" customHeight="1" x14ac:dyDescent="0.25"/>
    <row r="94" spans="2:2" ht="63" x14ac:dyDescent="0.25">
      <c r="B94" s="546" t="s">
        <v>66</v>
      </c>
    </row>
    <row r="95" spans="2:2" ht="75.75" customHeight="1" x14ac:dyDescent="0.25">
      <c r="B95" s="547" t="s">
        <v>67</v>
      </c>
    </row>
    <row r="96" spans="2:2" ht="23.25" customHeight="1" x14ac:dyDescent="0.25">
      <c r="B96" s="547" t="s">
        <v>68</v>
      </c>
    </row>
    <row r="97" spans="2:2" ht="27" customHeight="1" x14ac:dyDescent="0.25">
      <c r="B97" s="547" t="s">
        <v>69</v>
      </c>
    </row>
    <row r="98" spans="2:2" ht="42" customHeight="1" x14ac:dyDescent="0.25">
      <c r="B98" s="550" t="s">
        <v>70</v>
      </c>
    </row>
    <row r="99" spans="2:2" ht="108" customHeight="1" x14ac:dyDescent="0.25">
      <c r="B99" s="550" t="s">
        <v>71</v>
      </c>
    </row>
    <row r="100" spans="2:2" ht="88.5" customHeight="1" x14ac:dyDescent="0.25">
      <c r="B100" s="550" t="s">
        <v>72</v>
      </c>
    </row>
    <row r="101" spans="2:2" ht="98.25" customHeight="1" x14ac:dyDescent="0.25">
      <c r="B101" s="547" t="s">
        <v>73</v>
      </c>
    </row>
    <row r="102" spans="2:2" ht="68.25" customHeight="1" x14ac:dyDescent="0.25">
      <c r="B102" s="547" t="s">
        <v>74</v>
      </c>
    </row>
    <row r="103" spans="2:2" ht="12.95" customHeight="1" x14ac:dyDescent="0.25"/>
    <row r="104" spans="2:2" ht="94.5" x14ac:dyDescent="0.25">
      <c r="B104" s="546" t="s">
        <v>75</v>
      </c>
    </row>
    <row r="105" spans="2:2" ht="78.75" x14ac:dyDescent="0.25">
      <c r="B105" s="551" t="s">
        <v>76</v>
      </c>
    </row>
    <row r="106" spans="2:2" ht="63" x14ac:dyDescent="0.25">
      <c r="B106" s="547" t="s">
        <v>77</v>
      </c>
    </row>
    <row r="107" spans="2:2" ht="39.75" customHeight="1" x14ac:dyDescent="0.25">
      <c r="B107" s="547" t="s">
        <v>78</v>
      </c>
    </row>
    <row r="108" spans="2:2" ht="12.95" customHeight="1" x14ac:dyDescent="0.25">
      <c r="B108" s="540"/>
    </row>
    <row r="109" spans="2:2" ht="47.25" x14ac:dyDescent="0.25">
      <c r="B109" s="546" t="s">
        <v>79</v>
      </c>
    </row>
    <row r="110" spans="2:2" ht="12.95" customHeight="1" x14ac:dyDescent="0.25">
      <c r="B110" s="540"/>
    </row>
    <row r="111" spans="2:2" ht="47.25" x14ac:dyDescent="0.25">
      <c r="B111" s="546" t="s">
        <v>80</v>
      </c>
    </row>
    <row r="112" spans="2:2" x14ac:dyDescent="0.25">
      <c r="B112" s="540"/>
    </row>
  </sheetData>
  <sheetProtection sheet="1" objects="1" scenarios="1"/>
  <pageMargins left="0.5" right="0.5" top="0.25" bottom="0.5" header="0.5" footer="0.25"/>
  <pageSetup scale="85" fitToHeight="2"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00B0F0"/>
    <pageSetUpPr fitToPage="1"/>
  </sheetPr>
  <dimension ref="A1:Y39"/>
  <sheetViews>
    <sheetView workbookViewId="0">
      <selection activeCell="M1" sqref="M1"/>
    </sheetView>
  </sheetViews>
  <sheetFormatPr defaultRowHeight="15.75" x14ac:dyDescent="0.25"/>
  <cols>
    <col min="1" max="1" width="1.3984375" style="160" customWidth="1"/>
    <col min="2" max="2" width="18.69921875" style="160" customWidth="1"/>
    <col min="3" max="3" width="8.796875" style="160"/>
    <col min="4" max="4" width="7.8984375" style="160" customWidth="1"/>
    <col min="5" max="5" width="8.796875" style="160"/>
    <col min="6" max="6" width="16.19921875" style="160" customWidth="1"/>
    <col min="7" max="16384" width="8.796875" style="160"/>
  </cols>
  <sheetData>
    <row r="1" spans="1:12" x14ac:dyDescent="0.25">
      <c r="A1" s="181"/>
      <c r="B1" s="158">
        <f>inputPrYr!$D$4</f>
        <v>0</v>
      </c>
      <c r="C1" s="159"/>
      <c r="D1" s="159"/>
      <c r="E1" s="159"/>
      <c r="F1" s="159"/>
      <c r="G1" s="159"/>
      <c r="H1" s="159"/>
      <c r="I1" s="159"/>
      <c r="J1" s="35"/>
      <c r="K1" s="35"/>
      <c r="L1" s="140">
        <f>inputPrYr!D10</f>
        <v>2025</v>
      </c>
    </row>
    <row r="2" spans="1:12" x14ac:dyDescent="0.25">
      <c r="A2" s="181"/>
      <c r="B2" s="158">
        <f>inputPrYr!$D$5</f>
        <v>0</v>
      </c>
      <c r="C2" s="159"/>
      <c r="D2" s="159"/>
      <c r="E2" s="159"/>
      <c r="F2" s="159"/>
      <c r="G2" s="159"/>
      <c r="H2" s="159"/>
      <c r="I2" s="159"/>
      <c r="J2" s="35"/>
      <c r="K2" s="35"/>
      <c r="L2" s="136"/>
    </row>
    <row r="3" spans="1:12" x14ac:dyDescent="0.25">
      <c r="A3" s="181"/>
      <c r="B3" s="741" t="s">
        <v>241</v>
      </c>
      <c r="C3" s="677"/>
      <c r="D3" s="677"/>
      <c r="E3" s="677"/>
      <c r="F3" s="677"/>
      <c r="G3" s="677"/>
      <c r="H3" s="677"/>
      <c r="I3" s="677"/>
      <c r="J3" s="677"/>
      <c r="K3" s="677"/>
      <c r="L3" s="677"/>
    </row>
    <row r="4" spans="1:12" x14ac:dyDescent="0.25">
      <c r="A4" s="181"/>
      <c r="B4" s="159"/>
      <c r="C4" s="159"/>
      <c r="D4" s="159"/>
      <c r="E4" s="159"/>
      <c r="F4" s="159"/>
      <c r="G4" s="159"/>
      <c r="H4" s="159"/>
      <c r="I4" s="159"/>
      <c r="J4" s="159"/>
      <c r="K4" s="159"/>
      <c r="L4" s="159"/>
    </row>
    <row r="5" spans="1:12" x14ac:dyDescent="0.25">
      <c r="A5" s="181"/>
      <c r="B5" s="142" t="s">
        <v>242</v>
      </c>
      <c r="C5" s="142" t="s">
        <v>243</v>
      </c>
      <c r="D5" s="142" t="s">
        <v>244</v>
      </c>
      <c r="E5" s="142"/>
      <c r="F5" s="142" t="s">
        <v>245</v>
      </c>
      <c r="G5" s="161"/>
      <c r="H5" s="162"/>
      <c r="I5" s="161" t="s">
        <v>246</v>
      </c>
      <c r="J5" s="162"/>
      <c r="K5" s="161" t="s">
        <v>246</v>
      </c>
      <c r="L5" s="162"/>
    </row>
    <row r="6" spans="1:12" x14ac:dyDescent="0.25">
      <c r="A6" s="181"/>
      <c r="B6" s="163" t="s">
        <v>247</v>
      </c>
      <c r="C6" s="163" t="s">
        <v>247</v>
      </c>
      <c r="D6" s="163" t="s">
        <v>125</v>
      </c>
      <c r="E6" s="163" t="s">
        <v>245</v>
      </c>
      <c r="F6" s="163" t="s">
        <v>248</v>
      </c>
      <c r="G6" s="164" t="s">
        <v>249</v>
      </c>
      <c r="H6" s="165"/>
      <c r="I6" s="164">
        <f>L1-1</f>
        <v>2024</v>
      </c>
      <c r="J6" s="165"/>
      <c r="K6" s="164">
        <f>L1</f>
        <v>2025</v>
      </c>
      <c r="L6" s="165"/>
    </row>
    <row r="7" spans="1:12" x14ac:dyDescent="0.25">
      <c r="A7" s="181"/>
      <c r="B7" s="620" t="s">
        <v>250</v>
      </c>
      <c r="C7" s="620" t="s">
        <v>251</v>
      </c>
      <c r="D7" s="620" t="s">
        <v>100</v>
      </c>
      <c r="E7" s="620" t="s">
        <v>252</v>
      </c>
      <c r="F7" s="166" t="str">
        <f>CONCATENATE("Jan 1, ",L1-1,"")</f>
        <v>Jan 1, 2024</v>
      </c>
      <c r="G7" s="51" t="s">
        <v>244</v>
      </c>
      <c r="H7" s="51" t="s">
        <v>253</v>
      </c>
      <c r="I7" s="51" t="s">
        <v>244</v>
      </c>
      <c r="J7" s="51" t="s">
        <v>253</v>
      </c>
      <c r="K7" s="51" t="s">
        <v>244</v>
      </c>
      <c r="L7" s="51" t="s">
        <v>253</v>
      </c>
    </row>
    <row r="8" spans="1:12" x14ac:dyDescent="0.25">
      <c r="A8" s="181"/>
      <c r="B8" s="167" t="s">
        <v>254</v>
      </c>
      <c r="C8" s="168"/>
      <c r="D8" s="167"/>
      <c r="E8" s="167"/>
      <c r="F8" s="167"/>
      <c r="G8" s="169"/>
      <c r="H8" s="169"/>
      <c r="I8" s="167"/>
      <c r="J8" s="167"/>
      <c r="K8" s="167"/>
      <c r="L8" s="167"/>
    </row>
    <row r="9" spans="1:12" x14ac:dyDescent="0.25">
      <c r="A9" s="181"/>
      <c r="B9" s="170"/>
      <c r="C9" s="237"/>
      <c r="D9" s="172"/>
      <c r="E9" s="106"/>
      <c r="F9" s="173"/>
      <c r="G9" s="174"/>
      <c r="H9" s="174"/>
      <c r="I9" s="173"/>
      <c r="J9" s="173"/>
      <c r="K9" s="173"/>
      <c r="L9" s="173"/>
    </row>
    <row r="10" spans="1:12" x14ac:dyDescent="0.25">
      <c r="A10" s="181"/>
      <c r="B10" s="170"/>
      <c r="C10" s="237"/>
      <c r="D10" s="172"/>
      <c r="E10" s="106"/>
      <c r="F10" s="173"/>
      <c r="G10" s="174"/>
      <c r="H10" s="174"/>
      <c r="I10" s="173"/>
      <c r="J10" s="173"/>
      <c r="K10" s="173"/>
      <c r="L10" s="173"/>
    </row>
    <row r="11" spans="1:12" x14ac:dyDescent="0.25">
      <c r="A11" s="181"/>
      <c r="B11" s="132" t="s">
        <v>255</v>
      </c>
      <c r="C11" s="175"/>
      <c r="D11" s="176"/>
      <c r="E11" s="157"/>
      <c r="F11" s="53">
        <f>SUM(F9:F10)</f>
        <v>0</v>
      </c>
      <c r="G11" s="53"/>
      <c r="H11" s="53"/>
      <c r="I11" s="53">
        <f>SUM(I9:I10)</f>
        <v>0</v>
      </c>
      <c r="J11" s="53">
        <f>SUM(J9:J10)</f>
        <v>0</v>
      </c>
      <c r="K11" s="53">
        <f>SUM(K9:K10)</f>
        <v>0</v>
      </c>
      <c r="L11" s="53">
        <f>SUM(L9:L10)</f>
        <v>0</v>
      </c>
    </row>
    <row r="12" spans="1:12" x14ac:dyDescent="0.25">
      <c r="A12" s="181"/>
      <c r="B12" s="132" t="s">
        <v>256</v>
      </c>
      <c r="C12" s="175"/>
      <c r="D12" s="176"/>
      <c r="E12" s="157"/>
      <c r="F12" s="53"/>
      <c r="G12" s="177"/>
      <c r="H12" s="177"/>
      <c r="I12" s="53"/>
      <c r="J12" s="53"/>
      <c r="K12" s="53"/>
      <c r="L12" s="53"/>
    </row>
    <row r="13" spans="1:12" x14ac:dyDescent="0.25">
      <c r="A13" s="181"/>
      <c r="B13" s="170"/>
      <c r="C13" s="237"/>
      <c r="D13" s="172"/>
      <c r="E13" s="106"/>
      <c r="F13" s="173"/>
      <c r="G13" s="174"/>
      <c r="H13" s="174"/>
      <c r="I13" s="173"/>
      <c r="J13" s="173"/>
      <c r="K13" s="173"/>
      <c r="L13" s="173"/>
    </row>
    <row r="14" spans="1:12" x14ac:dyDescent="0.25">
      <c r="A14" s="181"/>
      <c r="B14" s="170"/>
      <c r="C14" s="237"/>
      <c r="D14" s="172"/>
      <c r="E14" s="106"/>
      <c r="F14" s="173"/>
      <c r="G14" s="174"/>
      <c r="H14" s="174"/>
      <c r="I14" s="173"/>
      <c r="J14" s="173"/>
      <c r="K14" s="173"/>
      <c r="L14" s="173"/>
    </row>
    <row r="15" spans="1:12" x14ac:dyDescent="0.25">
      <c r="A15" s="181"/>
      <c r="B15" s="132" t="s">
        <v>257</v>
      </c>
      <c r="C15" s="175"/>
      <c r="D15" s="176"/>
      <c r="E15" s="157"/>
      <c r="F15" s="53">
        <f>SUM(F13:F14)</f>
        <v>0</v>
      </c>
      <c r="G15" s="53"/>
      <c r="H15" s="53"/>
      <c r="I15" s="53">
        <f>SUM(I13:I14)</f>
        <v>0</v>
      </c>
      <c r="J15" s="53">
        <f>SUM(J13:J14)</f>
        <v>0</v>
      </c>
      <c r="K15" s="53">
        <f>SUM(K13:K14)</f>
        <v>0</v>
      </c>
      <c r="L15" s="53">
        <f>SUM(L13:L14)</f>
        <v>0</v>
      </c>
    </row>
    <row r="16" spans="1:12" x14ac:dyDescent="0.25">
      <c r="A16" s="181"/>
      <c r="B16" s="178" t="s">
        <v>258</v>
      </c>
      <c r="C16" s="303"/>
      <c r="D16" s="304"/>
      <c r="E16" s="305"/>
      <c r="F16" s="586">
        <f>SUM(F11+F15)</f>
        <v>0</v>
      </c>
      <c r="G16" s="586"/>
      <c r="H16" s="586"/>
      <c r="I16" s="586">
        <f>SUM(I11+I15)</f>
        <v>0</v>
      </c>
      <c r="J16" s="586">
        <f>SUM(J11+J15)</f>
        <v>0</v>
      </c>
      <c r="K16" s="586">
        <f>SUM(K11+K15)</f>
        <v>0</v>
      </c>
      <c r="L16" s="586">
        <f>SUM(L11+L15)</f>
        <v>0</v>
      </c>
    </row>
    <row r="17" spans="1:25" x14ac:dyDescent="0.25">
      <c r="A17" s="181"/>
      <c r="B17" s="35"/>
      <c r="C17" s="35"/>
      <c r="D17" s="35"/>
      <c r="E17" s="35"/>
      <c r="F17" s="35"/>
      <c r="G17" s="35"/>
      <c r="H17" s="35"/>
      <c r="I17" s="35"/>
      <c r="J17" s="35"/>
      <c r="K17" s="35"/>
      <c r="L17" s="35"/>
      <c r="M17" s="65"/>
      <c r="N17" s="65"/>
      <c r="O17" s="65"/>
      <c r="P17" s="65"/>
      <c r="Q17" s="65"/>
      <c r="R17" s="65"/>
      <c r="S17" s="65"/>
      <c r="T17" s="65"/>
      <c r="U17" s="65"/>
      <c r="V17" s="65"/>
      <c r="W17" s="65"/>
      <c r="X17" s="65"/>
      <c r="Y17" s="65"/>
    </row>
    <row r="18" spans="1:25" s="182" customFormat="1" x14ac:dyDescent="0.25">
      <c r="A18" s="181"/>
      <c r="B18" s="741" t="s">
        <v>259</v>
      </c>
      <c r="C18" s="677"/>
      <c r="D18" s="677"/>
      <c r="E18" s="677"/>
      <c r="F18" s="677"/>
      <c r="G18" s="677"/>
      <c r="H18" s="677"/>
      <c r="I18" s="677"/>
      <c r="J18" s="180"/>
      <c r="K18" s="180"/>
      <c r="L18" s="181"/>
    </row>
    <row r="19" spans="1:25" s="182" customFormat="1" x14ac:dyDescent="0.25">
      <c r="A19" s="181"/>
      <c r="B19" s="35"/>
      <c r="C19" s="183"/>
      <c r="D19" s="183"/>
      <c r="E19" s="183"/>
      <c r="F19" s="183"/>
      <c r="G19" s="183"/>
      <c r="H19" s="183"/>
      <c r="I19" s="183"/>
      <c r="J19" s="184"/>
      <c r="K19" s="184"/>
      <c r="L19" s="181"/>
    </row>
    <row r="20" spans="1:25" s="182" customFormat="1" x14ac:dyDescent="0.25">
      <c r="A20" s="181"/>
      <c r="B20" s="131"/>
      <c r="C20" s="131"/>
      <c r="D20" s="142" t="s">
        <v>260</v>
      </c>
      <c r="E20" s="131"/>
      <c r="F20" s="142" t="s">
        <v>126</v>
      </c>
      <c r="G20" s="131"/>
      <c r="H20" s="131"/>
      <c r="I20" s="131"/>
      <c r="J20" s="185"/>
      <c r="K20" s="181"/>
      <c r="L20" s="181"/>
    </row>
    <row r="21" spans="1:25" s="182" customFormat="1" x14ac:dyDescent="0.25">
      <c r="A21" s="181"/>
      <c r="B21" s="40"/>
      <c r="C21" s="163"/>
      <c r="D21" s="163" t="s">
        <v>247</v>
      </c>
      <c r="E21" s="163" t="s">
        <v>244</v>
      </c>
      <c r="F21" s="163" t="s">
        <v>245</v>
      </c>
      <c r="G21" s="163" t="s">
        <v>253</v>
      </c>
      <c r="H21" s="163" t="s">
        <v>261</v>
      </c>
      <c r="I21" s="163" t="s">
        <v>261</v>
      </c>
      <c r="J21" s="181"/>
      <c r="K21" s="181"/>
      <c r="L21" s="181"/>
    </row>
    <row r="22" spans="1:25" s="182" customFormat="1" x14ac:dyDescent="0.25">
      <c r="A22" s="181"/>
      <c r="B22" s="163" t="s">
        <v>262</v>
      </c>
      <c r="C22" s="163" t="s">
        <v>263</v>
      </c>
      <c r="D22" s="163" t="s">
        <v>264</v>
      </c>
      <c r="E22" s="163" t="s">
        <v>125</v>
      </c>
      <c r="F22" s="163" t="s">
        <v>265</v>
      </c>
      <c r="G22" s="163" t="s">
        <v>266</v>
      </c>
      <c r="H22" s="163" t="s">
        <v>267</v>
      </c>
      <c r="I22" s="163" t="s">
        <v>267</v>
      </c>
      <c r="J22" s="181"/>
      <c r="K22" s="181"/>
      <c r="L22" s="181"/>
    </row>
    <row r="23" spans="1:25" s="182" customFormat="1" x14ac:dyDescent="0.25">
      <c r="A23" s="181"/>
      <c r="B23" s="620" t="s">
        <v>268</v>
      </c>
      <c r="C23" s="620" t="s">
        <v>243</v>
      </c>
      <c r="D23" s="186" t="s">
        <v>269</v>
      </c>
      <c r="E23" s="620" t="s">
        <v>100</v>
      </c>
      <c r="F23" s="186" t="s">
        <v>270</v>
      </c>
      <c r="G23" s="166" t="str">
        <f>CONCATENATE("Jan 1, ",L1-1,"")</f>
        <v>Jan 1, 2024</v>
      </c>
      <c r="H23" s="620">
        <f>L1-1</f>
        <v>2024</v>
      </c>
      <c r="I23" s="620">
        <f>L1</f>
        <v>2025</v>
      </c>
      <c r="J23" s="181"/>
      <c r="K23" s="181"/>
      <c r="L23" s="181"/>
    </row>
    <row r="24" spans="1:25" s="182" customFormat="1" x14ac:dyDescent="0.25">
      <c r="A24" s="181"/>
      <c r="B24" s="170"/>
      <c r="C24" s="171"/>
      <c r="D24" s="187"/>
      <c r="E24" s="172"/>
      <c r="F24" s="106"/>
      <c r="G24" s="106"/>
      <c r="H24" s="106"/>
      <c r="I24" s="106"/>
      <c r="J24" s="181"/>
      <c r="K24" s="181"/>
      <c r="L24" s="181"/>
    </row>
    <row r="25" spans="1:25" s="182" customFormat="1" x14ac:dyDescent="0.25">
      <c r="A25" s="181"/>
      <c r="B25" s="170"/>
      <c r="C25" s="171"/>
      <c r="D25" s="187"/>
      <c r="E25" s="172"/>
      <c r="F25" s="106"/>
      <c r="G25" s="106"/>
      <c r="H25" s="106"/>
      <c r="I25" s="106"/>
      <c r="J25" s="181"/>
      <c r="K25" s="181"/>
      <c r="L25" s="181"/>
    </row>
    <row r="26" spans="1:25" s="182" customFormat="1" x14ac:dyDescent="0.25">
      <c r="A26" s="181"/>
      <c r="B26" s="170"/>
      <c r="C26" s="171"/>
      <c r="D26" s="187"/>
      <c r="E26" s="172"/>
      <c r="F26" s="106"/>
      <c r="G26" s="106"/>
      <c r="H26" s="106"/>
      <c r="I26" s="106"/>
      <c r="J26" s="181"/>
      <c r="K26" s="181"/>
      <c r="L26" s="181"/>
    </row>
    <row r="27" spans="1:25" s="182" customFormat="1" x14ac:dyDescent="0.25">
      <c r="A27" s="181"/>
      <c r="B27" s="170"/>
      <c r="C27" s="171"/>
      <c r="D27" s="187"/>
      <c r="E27" s="172"/>
      <c r="F27" s="106"/>
      <c r="G27" s="106"/>
      <c r="H27" s="106"/>
      <c r="I27" s="106"/>
      <c r="J27" s="181"/>
      <c r="K27" s="181"/>
      <c r="L27" s="181"/>
    </row>
    <row r="28" spans="1:25" s="182" customFormat="1" x14ac:dyDescent="0.25">
      <c r="A28" s="181"/>
      <c r="B28" s="170"/>
      <c r="C28" s="171"/>
      <c r="D28" s="187"/>
      <c r="E28" s="172"/>
      <c r="F28" s="106"/>
      <c r="G28" s="106"/>
      <c r="H28" s="106"/>
      <c r="I28" s="106"/>
      <c r="J28" s="181"/>
      <c r="K28" s="181"/>
      <c r="L28" s="181"/>
    </row>
    <row r="29" spans="1:25" s="182" customFormat="1" x14ac:dyDescent="0.25">
      <c r="A29" s="181"/>
      <c r="B29" s="170"/>
      <c r="C29" s="171"/>
      <c r="D29" s="187"/>
      <c r="E29" s="172"/>
      <c r="F29" s="106"/>
      <c r="G29" s="106"/>
      <c r="H29" s="106"/>
      <c r="I29" s="106"/>
      <c r="J29" s="181"/>
      <c r="K29" s="181"/>
      <c r="L29" s="181"/>
    </row>
    <row r="30" spans="1:25" s="182" customFormat="1" x14ac:dyDescent="0.25">
      <c r="A30" s="181"/>
      <c r="B30" s="170"/>
      <c r="C30" s="171"/>
      <c r="D30" s="187"/>
      <c r="E30" s="172"/>
      <c r="F30" s="106"/>
      <c r="G30" s="106"/>
      <c r="H30" s="106"/>
      <c r="I30" s="106"/>
      <c r="J30" s="181"/>
      <c r="K30" s="181"/>
      <c r="L30" s="181"/>
    </row>
    <row r="31" spans="1:25" s="182" customFormat="1" x14ac:dyDescent="0.25">
      <c r="A31" s="181"/>
      <c r="B31" s="170"/>
      <c r="C31" s="171"/>
      <c r="D31" s="187"/>
      <c r="E31" s="172"/>
      <c r="F31" s="106"/>
      <c r="G31" s="106"/>
      <c r="H31" s="106"/>
      <c r="I31" s="106"/>
      <c r="J31" s="181"/>
      <c r="K31" s="181"/>
      <c r="L31" s="181"/>
    </row>
    <row r="32" spans="1:25" s="182" customFormat="1" x14ac:dyDescent="0.25">
      <c r="A32" s="181"/>
      <c r="B32" s="170"/>
      <c r="C32" s="171"/>
      <c r="D32" s="187"/>
      <c r="E32" s="172"/>
      <c r="F32" s="106"/>
      <c r="G32" s="106"/>
      <c r="H32" s="106"/>
      <c r="I32" s="106"/>
      <c r="J32" s="181"/>
      <c r="K32" s="181"/>
      <c r="L32" s="181"/>
    </row>
    <row r="33" spans="1:12" s="182" customFormat="1" x14ac:dyDescent="0.25">
      <c r="A33" s="181"/>
      <c r="B33" s="170"/>
      <c r="C33" s="171"/>
      <c r="D33" s="187"/>
      <c r="E33" s="172"/>
      <c r="F33" s="106"/>
      <c r="G33" s="106"/>
      <c r="H33" s="106"/>
      <c r="I33" s="106"/>
      <c r="J33" s="181"/>
      <c r="K33" s="181"/>
      <c r="L33" s="181"/>
    </row>
    <row r="34" spans="1:12" s="182" customFormat="1" x14ac:dyDescent="0.25">
      <c r="A34" s="181"/>
      <c r="B34" s="170"/>
      <c r="C34" s="171"/>
      <c r="D34" s="187"/>
      <c r="E34" s="172"/>
      <c r="F34" s="106"/>
      <c r="G34" s="106"/>
      <c r="H34" s="106"/>
      <c r="I34" s="106"/>
      <c r="J34" s="181"/>
      <c r="K34" s="181"/>
      <c r="L34" s="181"/>
    </row>
    <row r="35" spans="1:12" s="182" customFormat="1" x14ac:dyDescent="0.25">
      <c r="A35" s="181"/>
      <c r="B35" s="170"/>
      <c r="C35" s="171"/>
      <c r="D35" s="187"/>
      <c r="E35" s="172"/>
      <c r="F35" s="106"/>
      <c r="G35" s="106"/>
      <c r="H35" s="106"/>
      <c r="I35" s="106"/>
      <c r="J35" s="181"/>
      <c r="K35" s="181"/>
      <c r="L35" s="181"/>
    </row>
    <row r="36" spans="1:12" x14ac:dyDescent="0.25">
      <c r="A36" s="181"/>
      <c r="B36" s="181"/>
      <c r="C36" s="179"/>
      <c r="D36" s="179"/>
      <c r="E36" s="188"/>
      <c r="F36" s="306" t="s">
        <v>258</v>
      </c>
      <c r="G36" s="586">
        <f>SUM(G24:G35)</f>
        <v>0</v>
      </c>
      <c r="H36" s="586">
        <f>SUM(H24:H35)</f>
        <v>0</v>
      </c>
      <c r="I36" s="586">
        <f>SUM(I24:I35)</f>
        <v>0</v>
      </c>
      <c r="J36" s="159"/>
      <c r="K36" s="159"/>
      <c r="L36" s="113"/>
    </row>
    <row r="37" spans="1:12" x14ac:dyDescent="0.25">
      <c r="A37" s="181"/>
      <c r="B37" s="159"/>
      <c r="C37" s="159"/>
      <c r="D37" s="159"/>
      <c r="E37" s="159"/>
      <c r="F37" s="159"/>
      <c r="G37" s="159"/>
      <c r="H37" s="159"/>
      <c r="I37" s="159"/>
      <c r="J37" s="159"/>
      <c r="K37" s="159"/>
      <c r="L37" s="159"/>
    </row>
    <row r="38" spans="1:12" x14ac:dyDescent="0.25">
      <c r="A38" s="181"/>
      <c r="B38" s="742" t="s">
        <v>271</v>
      </c>
      <c r="C38" s="742"/>
      <c r="D38" s="742"/>
      <c r="E38" s="742"/>
      <c r="F38" s="742"/>
      <c r="G38" s="742"/>
      <c r="H38" s="742"/>
      <c r="I38" s="742"/>
      <c r="J38" s="159"/>
      <c r="K38" s="159"/>
      <c r="L38" s="159"/>
    </row>
    <row r="39" spans="1:12" x14ac:dyDescent="0.25">
      <c r="B39" s="189"/>
    </row>
  </sheetData>
  <sheetProtection sheet="1"/>
  <mergeCells count="3">
    <mergeCell ref="B18:I18"/>
    <mergeCell ref="B3:L3"/>
    <mergeCell ref="B38:I38"/>
  </mergeCells>
  <phoneticPr fontId="0" type="noConversion"/>
  <pageMargins left="0.5" right="0.5" top="1" bottom="0.5" header="0.5" footer="0.5"/>
  <pageSetup scale="87" orientation="landscape" blackAndWhite="1" horizontalDpi="120" verticalDpi="144" r:id="rId1"/>
  <headerFooter alignWithMargins="0">
    <oddHeader xml:space="preserve">&amp;RState of Kansas
Township
</oddHeader>
    <oddFooter>&amp;CPage No.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rgb="FF00B0F0"/>
  </sheetPr>
  <dimension ref="B1:I108"/>
  <sheetViews>
    <sheetView zoomScaleNormal="100" workbookViewId="0">
      <selection activeCell="N33" sqref="N33"/>
    </sheetView>
  </sheetViews>
  <sheetFormatPr defaultRowHeight="15" x14ac:dyDescent="0.2"/>
  <cols>
    <col min="1" max="1" width="2.296875" style="314" customWidth="1"/>
    <col min="2" max="4" width="8.796875" style="314"/>
    <col min="5" max="5" width="8.69921875" style="314" customWidth="1"/>
    <col min="6" max="6" width="8.796875" style="314"/>
    <col min="7" max="7" width="8.69921875" style="314" customWidth="1"/>
    <col min="8" max="16384" width="8.796875" style="314"/>
  </cols>
  <sheetData>
    <row r="1" spans="2:9" ht="15.75" x14ac:dyDescent="0.25">
      <c r="B1" s="313"/>
      <c r="C1" s="313"/>
      <c r="D1" s="313"/>
      <c r="E1" s="313"/>
      <c r="F1" s="313"/>
      <c r="G1" s="313"/>
      <c r="H1" s="313"/>
      <c r="I1" s="313"/>
    </row>
    <row r="2" spans="2:9" ht="15.75" x14ac:dyDescent="0.2">
      <c r="B2" s="745" t="s">
        <v>272</v>
      </c>
      <c r="C2" s="745"/>
      <c r="D2" s="745"/>
      <c r="E2" s="745"/>
      <c r="F2" s="745"/>
      <c r="G2" s="745"/>
      <c r="H2" s="745"/>
      <c r="I2" s="745"/>
    </row>
    <row r="3" spans="2:9" ht="15.75" x14ac:dyDescent="0.2">
      <c r="B3" s="745" t="s">
        <v>273</v>
      </c>
      <c r="C3" s="745"/>
      <c r="D3" s="745"/>
      <c r="E3" s="745"/>
      <c r="F3" s="745"/>
      <c r="G3" s="745"/>
      <c r="H3" s="745"/>
      <c r="I3" s="745"/>
    </row>
    <row r="4" spans="2:9" ht="15.75" x14ac:dyDescent="0.2">
      <c r="B4" s="315"/>
      <c r="C4" s="315"/>
      <c r="D4" s="315"/>
      <c r="E4" s="315"/>
      <c r="F4" s="315"/>
      <c r="G4" s="315"/>
      <c r="H4" s="315"/>
      <c r="I4" s="315"/>
    </row>
    <row r="5" spans="2:9" ht="15.75" x14ac:dyDescent="0.2">
      <c r="B5" s="746" t="str">
        <f>CONCATENATE("Budgeted Year: ",inputPrYr!D10,"")</f>
        <v>Budgeted Year: 2025</v>
      </c>
      <c r="C5" s="746"/>
      <c r="D5" s="746"/>
      <c r="E5" s="746"/>
      <c r="F5" s="746"/>
      <c r="G5" s="746"/>
      <c r="H5" s="746"/>
      <c r="I5" s="746"/>
    </row>
    <row r="6" spans="2:9" ht="15.75" x14ac:dyDescent="0.2">
      <c r="B6" s="316"/>
      <c r="C6" s="315"/>
      <c r="D6" s="315"/>
      <c r="E6" s="315"/>
      <c r="F6" s="315"/>
      <c r="G6" s="315"/>
      <c r="H6" s="315"/>
      <c r="I6" s="315"/>
    </row>
    <row r="7" spans="2:9" ht="15.75" x14ac:dyDescent="0.2">
      <c r="B7" s="316" t="str">
        <f>CONCATENATE("Library found in: ",inputPrYr!D4,"")</f>
        <v xml:space="preserve">Library found in: </v>
      </c>
      <c r="C7" s="315"/>
      <c r="D7" s="315"/>
      <c r="E7" s="315"/>
      <c r="F7" s="315"/>
      <c r="G7" s="315"/>
      <c r="H7" s="315"/>
      <c r="I7" s="315"/>
    </row>
    <row r="8" spans="2:9" ht="15.75" x14ac:dyDescent="0.2">
      <c r="B8" s="316">
        <f>inputPrYr!D5</f>
        <v>0</v>
      </c>
      <c r="C8" s="315"/>
      <c r="D8" s="315"/>
      <c r="E8" s="315"/>
      <c r="F8" s="315"/>
      <c r="G8" s="315"/>
      <c r="H8" s="315"/>
      <c r="I8" s="315"/>
    </row>
    <row r="9" spans="2:9" ht="15.75" x14ac:dyDescent="0.2">
      <c r="B9" s="315"/>
      <c r="C9" s="315"/>
      <c r="D9" s="315"/>
      <c r="E9" s="315"/>
      <c r="F9" s="315"/>
      <c r="G9" s="315"/>
      <c r="H9" s="315"/>
      <c r="I9" s="315"/>
    </row>
    <row r="10" spans="2:9" ht="39" customHeight="1" x14ac:dyDescent="0.2">
      <c r="B10" s="747" t="s">
        <v>274</v>
      </c>
      <c r="C10" s="747"/>
      <c r="D10" s="747"/>
      <c r="E10" s="747"/>
      <c r="F10" s="747"/>
      <c r="G10" s="747"/>
      <c r="H10" s="747"/>
      <c r="I10" s="747"/>
    </row>
    <row r="11" spans="2:9" ht="15.75" x14ac:dyDescent="0.2">
      <c r="B11" s="315"/>
      <c r="C11" s="315"/>
      <c r="D11" s="315"/>
      <c r="E11" s="315"/>
      <c r="F11" s="315"/>
      <c r="G11" s="315"/>
      <c r="H11" s="315"/>
      <c r="I11" s="315"/>
    </row>
    <row r="12" spans="2:9" ht="15.75" x14ac:dyDescent="0.2">
      <c r="B12" s="317" t="s">
        <v>275</v>
      </c>
      <c r="C12" s="315"/>
      <c r="D12" s="315"/>
      <c r="E12" s="315"/>
      <c r="F12" s="315"/>
      <c r="G12" s="315"/>
      <c r="H12" s="315"/>
      <c r="I12" s="315"/>
    </row>
    <row r="13" spans="2:9" ht="15.75" x14ac:dyDescent="0.2">
      <c r="B13" s="315"/>
      <c r="C13" s="315"/>
      <c r="D13" s="315"/>
      <c r="E13" s="318" t="s">
        <v>276</v>
      </c>
      <c r="F13" s="315"/>
      <c r="G13" s="318" t="s">
        <v>277</v>
      </c>
      <c r="H13" s="315"/>
      <c r="I13" s="315"/>
    </row>
    <row r="14" spans="2:9" ht="15.75" x14ac:dyDescent="0.2">
      <c r="B14" s="315"/>
      <c r="C14" s="315"/>
      <c r="D14" s="315"/>
      <c r="E14" s="319">
        <f>inputPrYr!D10-1</f>
        <v>2024</v>
      </c>
      <c r="F14" s="315"/>
      <c r="G14" s="319">
        <f>inputPrYr!D10</f>
        <v>2025</v>
      </c>
      <c r="H14" s="315"/>
      <c r="I14" s="315"/>
    </row>
    <row r="15" spans="2:9" ht="15.75" x14ac:dyDescent="0.2">
      <c r="B15" s="316" t="str">
        <f>'DebtSvs-Library'!B49</f>
        <v>Ad Valorem Tax</v>
      </c>
      <c r="C15" s="315"/>
      <c r="D15" s="315"/>
      <c r="E15" s="320">
        <f>'DebtSvs-Library'!D49</f>
        <v>0</v>
      </c>
      <c r="F15" s="315"/>
      <c r="G15" s="320">
        <f>'DebtSvs-Library'!E82</f>
        <v>0</v>
      </c>
      <c r="H15" s="315"/>
      <c r="I15" s="315"/>
    </row>
    <row r="16" spans="2:9" ht="15.75" x14ac:dyDescent="0.2">
      <c r="B16" s="316" t="str">
        <f>'DebtSvs-Library'!B50</f>
        <v>Delinquent Tax</v>
      </c>
      <c r="C16" s="315"/>
      <c r="D16" s="315"/>
      <c r="E16" s="320">
        <f>'DebtSvs-Library'!D50</f>
        <v>0</v>
      </c>
      <c r="F16" s="315"/>
      <c r="G16" s="320">
        <f>'DebtSvs-Library'!E50</f>
        <v>0</v>
      </c>
      <c r="H16" s="315"/>
      <c r="I16" s="315"/>
    </row>
    <row r="17" spans="2:9" ht="15.75" x14ac:dyDescent="0.2">
      <c r="B17" s="316" t="str">
        <f>'DebtSvs-Library'!B51</f>
        <v>Motor Vehicle Tax</v>
      </c>
      <c r="C17" s="315"/>
      <c r="D17" s="315"/>
      <c r="E17" s="320">
        <f>'DebtSvs-Library'!D51</f>
        <v>0</v>
      </c>
      <c r="F17" s="315"/>
      <c r="G17" s="320">
        <f>'DebtSvs-Library'!E51</f>
        <v>0</v>
      </c>
      <c r="H17" s="315"/>
      <c r="I17" s="315"/>
    </row>
    <row r="18" spans="2:9" ht="15.75" x14ac:dyDescent="0.2">
      <c r="B18" s="316" t="str">
        <f>'DebtSvs-Library'!B52</f>
        <v>Recreational Vehicle Tax</v>
      </c>
      <c r="C18" s="315"/>
      <c r="D18" s="315"/>
      <c r="E18" s="320">
        <f>'DebtSvs-Library'!D52</f>
        <v>0</v>
      </c>
      <c r="F18" s="315"/>
      <c r="G18" s="320">
        <f>'DebtSvs-Library'!E52</f>
        <v>0</v>
      </c>
      <c r="H18" s="315"/>
      <c r="I18" s="315"/>
    </row>
    <row r="19" spans="2:9" ht="15.75" x14ac:dyDescent="0.2">
      <c r="B19" s="316" t="str">
        <f>'DebtSvs-Library'!B53</f>
        <v>16/20M Vehicle Tax</v>
      </c>
      <c r="C19" s="315"/>
      <c r="D19" s="315"/>
      <c r="E19" s="320">
        <f>'DebtSvs-Library'!D53</f>
        <v>0</v>
      </c>
      <c r="F19" s="315"/>
      <c r="G19" s="320">
        <f>'DebtSvs-Library'!E53</f>
        <v>0</v>
      </c>
      <c r="H19" s="315"/>
      <c r="I19" s="315"/>
    </row>
    <row r="20" spans="2:9" ht="15.75" x14ac:dyDescent="0.2">
      <c r="B20" s="315" t="s">
        <v>138</v>
      </c>
      <c r="C20" s="315"/>
      <c r="D20" s="315"/>
      <c r="E20" s="320">
        <v>0</v>
      </c>
      <c r="F20" s="315"/>
      <c r="G20" s="320">
        <v>0</v>
      </c>
      <c r="H20" s="315"/>
      <c r="I20" s="315"/>
    </row>
    <row r="21" spans="2:9" ht="15.75" x14ac:dyDescent="0.2">
      <c r="B21" s="315"/>
      <c r="C21" s="315"/>
      <c r="D21" s="315"/>
      <c r="E21" s="320">
        <v>0</v>
      </c>
      <c r="F21" s="315"/>
      <c r="G21" s="320">
        <v>0</v>
      </c>
      <c r="H21" s="315"/>
      <c r="I21" s="315"/>
    </row>
    <row r="22" spans="2:9" ht="15.75" x14ac:dyDescent="0.2">
      <c r="B22" s="315" t="s">
        <v>278</v>
      </c>
      <c r="C22" s="315"/>
      <c r="D22" s="315"/>
      <c r="E22" s="321">
        <f>SUM(E15:E21)</f>
        <v>0</v>
      </c>
      <c r="F22" s="315"/>
      <c r="G22" s="321">
        <f>SUM(G15:G21)</f>
        <v>0</v>
      </c>
      <c r="H22" s="315"/>
      <c r="I22" s="315"/>
    </row>
    <row r="23" spans="2:9" ht="15.75" x14ac:dyDescent="0.2">
      <c r="B23" s="315" t="s">
        <v>279</v>
      </c>
      <c r="C23" s="315"/>
      <c r="D23" s="315"/>
      <c r="E23" s="322">
        <f>G22-E22</f>
        <v>0</v>
      </c>
      <c r="F23" s="315"/>
      <c r="G23" s="320"/>
      <c r="H23" s="315"/>
      <c r="I23" s="315"/>
    </row>
    <row r="24" spans="2:9" ht="15.75" x14ac:dyDescent="0.2">
      <c r="B24" s="315" t="s">
        <v>280</v>
      </c>
      <c r="C24" s="315"/>
      <c r="D24" s="631" t="str">
        <f>IF((G22-E22)&gt;=0,"Qualify","Not Qualify")</f>
        <v>Qualify</v>
      </c>
      <c r="E24" s="315"/>
      <c r="F24" s="315"/>
      <c r="G24" s="315"/>
      <c r="H24" s="315"/>
      <c r="I24" s="315"/>
    </row>
    <row r="25" spans="2:9" ht="15.75" x14ac:dyDescent="0.2">
      <c r="B25" s="315"/>
      <c r="C25" s="315"/>
      <c r="D25" s="315"/>
      <c r="E25" s="315"/>
      <c r="F25" s="315"/>
      <c r="G25" s="315"/>
      <c r="H25" s="315"/>
      <c r="I25" s="315"/>
    </row>
    <row r="26" spans="2:9" ht="15.75" x14ac:dyDescent="0.2">
      <c r="B26" s="317" t="s">
        <v>281</v>
      </c>
      <c r="C26" s="315"/>
      <c r="D26" s="315"/>
      <c r="E26" s="315"/>
      <c r="F26" s="315"/>
      <c r="G26" s="315"/>
      <c r="H26" s="315"/>
      <c r="I26" s="315"/>
    </row>
    <row r="27" spans="2:9" ht="15.75" x14ac:dyDescent="0.2">
      <c r="B27" s="315" t="s">
        <v>282</v>
      </c>
      <c r="C27" s="315"/>
      <c r="D27" s="315"/>
      <c r="E27" s="320">
        <f>'Budget Hearing Notice'!D42</f>
        <v>0</v>
      </c>
      <c r="F27" s="315"/>
      <c r="G27" s="320">
        <f>'Budget Hearing Notice'!F42</f>
        <v>0</v>
      </c>
      <c r="H27" s="315"/>
      <c r="I27" s="315"/>
    </row>
    <row r="28" spans="2:9" ht="15.75" x14ac:dyDescent="0.2">
      <c r="B28" s="315" t="s">
        <v>283</v>
      </c>
      <c r="C28" s="315"/>
      <c r="D28" s="315"/>
      <c r="E28" s="632" t="str">
        <f>IF(G27-E27&gt;=0,"No","Yes")</f>
        <v>No</v>
      </c>
      <c r="F28" s="315"/>
      <c r="G28" s="315"/>
      <c r="H28" s="315"/>
      <c r="I28" s="315"/>
    </row>
    <row r="29" spans="2:9" ht="15.75" x14ac:dyDescent="0.2">
      <c r="B29" s="315" t="s">
        <v>284</v>
      </c>
      <c r="C29" s="315"/>
      <c r="D29" s="315"/>
      <c r="E29" s="323" t="str">
        <f>'Budget Hearing Notice'!E20</f>
        <v xml:space="preserve">  </v>
      </c>
      <c r="F29" s="315"/>
      <c r="G29" s="323" t="str">
        <f>'Budget Hearing Notice'!H20</f>
        <v xml:space="preserve"> </v>
      </c>
      <c r="H29" s="315"/>
      <c r="I29" s="315"/>
    </row>
    <row r="30" spans="2:9" ht="15.75" x14ac:dyDescent="0.2">
      <c r="B30" s="315" t="s">
        <v>285</v>
      </c>
      <c r="C30" s="315"/>
      <c r="D30" s="315"/>
      <c r="E30" s="633" t="e">
        <f>G29-E29</f>
        <v>#VALUE!</v>
      </c>
      <c r="F30" s="315"/>
      <c r="G30" s="315"/>
      <c r="H30" s="315"/>
      <c r="I30" s="315"/>
    </row>
    <row r="31" spans="2:9" ht="15.75" x14ac:dyDescent="0.2">
      <c r="B31" s="315" t="s">
        <v>280</v>
      </c>
      <c r="C31" s="315"/>
      <c r="D31" s="634" t="e">
        <f>IF(E30&gt;=0,"Qualify","Not Qualify")</f>
        <v>#VALUE!</v>
      </c>
      <c r="E31" s="315"/>
      <c r="F31" s="315"/>
      <c r="G31" s="315"/>
      <c r="H31" s="315"/>
      <c r="I31" s="315"/>
    </row>
    <row r="32" spans="2:9" ht="15.75" x14ac:dyDescent="0.2">
      <c r="B32" s="315"/>
      <c r="C32" s="315"/>
      <c r="D32" s="315"/>
      <c r="E32" s="315"/>
      <c r="F32" s="315"/>
      <c r="G32" s="315"/>
      <c r="H32" s="315"/>
      <c r="I32" s="315"/>
    </row>
    <row r="33" spans="2:9" ht="15.75" x14ac:dyDescent="0.2">
      <c r="B33" s="315" t="s">
        <v>286</v>
      </c>
      <c r="C33" s="315"/>
      <c r="D33" s="315"/>
      <c r="E33" s="315"/>
      <c r="F33" s="635" t="str">
        <f>IF(D24="Not Qualify",IF(D31="Not Qualify",IF(D31="Not Qualify","Not Qualify","Qualify"),"Qualify"),"Qualify")</f>
        <v>Qualify</v>
      </c>
      <c r="G33" s="315"/>
      <c r="H33" s="315"/>
      <c r="I33" s="315"/>
    </row>
    <row r="34" spans="2:9" ht="15.75" x14ac:dyDescent="0.2">
      <c r="B34" s="315"/>
      <c r="C34" s="315"/>
      <c r="D34" s="315"/>
      <c r="E34" s="315"/>
      <c r="F34" s="315"/>
      <c r="G34" s="315"/>
      <c r="H34" s="315"/>
      <c r="I34" s="315"/>
    </row>
    <row r="35" spans="2:9" ht="15.75" x14ac:dyDescent="0.2">
      <c r="B35" s="315"/>
      <c r="C35" s="315"/>
      <c r="D35" s="315"/>
      <c r="E35" s="315"/>
      <c r="F35" s="315"/>
      <c r="G35" s="315"/>
      <c r="H35" s="315"/>
      <c r="I35" s="315"/>
    </row>
    <row r="36" spans="2:9" ht="37.5" customHeight="1" x14ac:dyDescent="0.2">
      <c r="B36" s="747" t="s">
        <v>287</v>
      </c>
      <c r="C36" s="747"/>
      <c r="D36" s="747"/>
      <c r="E36" s="747"/>
      <c r="F36" s="747"/>
      <c r="G36" s="747"/>
      <c r="H36" s="747"/>
      <c r="I36" s="747"/>
    </row>
    <row r="37" spans="2:9" ht="15.75" x14ac:dyDescent="0.2">
      <c r="B37" s="315"/>
      <c r="C37" s="315"/>
      <c r="D37" s="315"/>
      <c r="E37" s="315"/>
      <c r="F37" s="315"/>
      <c r="G37" s="315"/>
      <c r="H37" s="315"/>
      <c r="I37" s="315"/>
    </row>
    <row r="38" spans="2:9" ht="15.75" x14ac:dyDescent="0.2">
      <c r="B38" s="315"/>
      <c r="C38" s="315"/>
      <c r="D38" s="315"/>
      <c r="E38" s="315"/>
      <c r="F38" s="315"/>
      <c r="G38" s="315"/>
      <c r="H38" s="315"/>
      <c r="I38" s="315"/>
    </row>
    <row r="39" spans="2:9" ht="15.75" x14ac:dyDescent="0.2">
      <c r="B39" s="315"/>
      <c r="C39" s="315"/>
      <c r="D39" s="315"/>
      <c r="E39" s="315"/>
      <c r="F39" s="315"/>
      <c r="G39" s="315"/>
      <c r="H39" s="315"/>
      <c r="I39" s="315"/>
    </row>
    <row r="40" spans="2:9" ht="15.75" x14ac:dyDescent="0.2">
      <c r="B40" s="315"/>
      <c r="C40" s="315"/>
      <c r="D40" s="315"/>
      <c r="E40" s="324" t="s">
        <v>288</v>
      </c>
      <c r="F40" s="325">
        <v>5</v>
      </c>
      <c r="G40" s="315"/>
      <c r="H40" s="315"/>
      <c r="I40" s="315"/>
    </row>
    <row r="41" spans="2:9" ht="15.75" x14ac:dyDescent="0.2">
      <c r="B41" s="315"/>
      <c r="C41" s="315"/>
      <c r="D41" s="315"/>
      <c r="E41" s="315"/>
      <c r="F41" s="315"/>
      <c r="G41" s="315"/>
      <c r="H41" s="315"/>
      <c r="I41" s="315"/>
    </row>
    <row r="42" spans="2:9" ht="15.75" x14ac:dyDescent="0.2">
      <c r="B42" s="315"/>
      <c r="C42" s="315"/>
      <c r="D42" s="315"/>
      <c r="E42" s="315"/>
      <c r="F42" s="315"/>
      <c r="G42" s="315"/>
      <c r="H42" s="315"/>
      <c r="I42" s="315"/>
    </row>
    <row r="43" spans="2:9" ht="15.75" x14ac:dyDescent="0.25">
      <c r="B43" s="743" t="s">
        <v>289</v>
      </c>
      <c r="C43" s="744"/>
      <c r="D43" s="744"/>
      <c r="E43" s="744"/>
      <c r="F43" s="744"/>
      <c r="G43" s="744"/>
      <c r="H43" s="744"/>
      <c r="I43" s="744"/>
    </row>
    <row r="44" spans="2:9" ht="15.75" x14ac:dyDescent="0.2">
      <c r="B44" s="315"/>
      <c r="C44" s="315"/>
      <c r="D44" s="315"/>
      <c r="E44" s="315"/>
      <c r="F44" s="315"/>
      <c r="G44" s="315"/>
      <c r="H44" s="315"/>
      <c r="I44" s="315"/>
    </row>
    <row r="45" spans="2:9" ht="15.75" x14ac:dyDescent="0.25">
      <c r="B45" s="326" t="s">
        <v>290</v>
      </c>
      <c r="C45" s="315"/>
      <c r="D45" s="315"/>
      <c r="E45" s="315"/>
      <c r="F45" s="315"/>
      <c r="G45" s="315"/>
      <c r="H45" s="315"/>
      <c r="I45" s="315"/>
    </row>
    <row r="46" spans="2:9" ht="15.75" x14ac:dyDescent="0.25">
      <c r="B46" s="326" t="str">
        <f>CONCATENATE("sources in your ",G14," library fund is not equal to or greater than the amount from the same")</f>
        <v>sources in your 2025 library fund is not equal to or greater than the amount from the same</v>
      </c>
      <c r="C46" s="315"/>
      <c r="D46" s="315"/>
      <c r="E46" s="315"/>
      <c r="F46" s="315"/>
      <c r="G46" s="315"/>
      <c r="H46" s="315"/>
      <c r="I46" s="315"/>
    </row>
    <row r="47" spans="2:9" ht="15.75" x14ac:dyDescent="0.25">
      <c r="B47" s="326" t="str">
        <f>CONCATENATE("sources in ",E14,".")</f>
        <v>sources in 2024.</v>
      </c>
      <c r="C47" s="313"/>
      <c r="D47" s="313"/>
      <c r="E47" s="313"/>
      <c r="F47" s="313"/>
      <c r="G47" s="313"/>
      <c r="H47" s="313"/>
      <c r="I47" s="313"/>
    </row>
    <row r="48" spans="2:9" ht="15.75" x14ac:dyDescent="0.25">
      <c r="B48" s="313"/>
      <c r="C48" s="313"/>
      <c r="D48" s="313"/>
      <c r="E48" s="313"/>
      <c r="F48" s="313"/>
      <c r="G48" s="313"/>
      <c r="H48" s="313"/>
      <c r="I48" s="313"/>
    </row>
    <row r="49" spans="2:9" ht="15.75" x14ac:dyDescent="0.25">
      <c r="B49" s="326" t="s">
        <v>291</v>
      </c>
      <c r="C49" s="326"/>
      <c r="D49" s="327"/>
      <c r="E49" s="327"/>
      <c r="F49" s="327"/>
      <c r="G49" s="327"/>
      <c r="H49" s="327"/>
      <c r="I49" s="327"/>
    </row>
    <row r="50" spans="2:9" ht="15.75" x14ac:dyDescent="0.25">
      <c r="B50" s="326" t="s">
        <v>292</v>
      </c>
      <c r="C50" s="326"/>
      <c r="D50" s="327"/>
      <c r="E50" s="327"/>
      <c r="F50" s="327"/>
      <c r="G50" s="327"/>
      <c r="H50" s="327"/>
      <c r="I50" s="327"/>
    </row>
    <row r="51" spans="2:9" ht="15.75" x14ac:dyDescent="0.25">
      <c r="B51" s="326" t="s">
        <v>293</v>
      </c>
      <c r="C51" s="326"/>
      <c r="D51" s="327"/>
      <c r="E51" s="327"/>
      <c r="F51" s="327"/>
      <c r="G51" s="327"/>
      <c r="H51" s="327"/>
      <c r="I51" s="327"/>
    </row>
    <row r="52" spans="2:9" x14ac:dyDescent="0.2">
      <c r="B52" s="327"/>
      <c r="C52" s="327"/>
      <c r="D52" s="327"/>
      <c r="E52" s="327"/>
      <c r="F52" s="327"/>
      <c r="G52" s="327"/>
      <c r="H52" s="327"/>
      <c r="I52" s="327"/>
    </row>
    <row r="53" spans="2:9" ht="15.75" x14ac:dyDescent="0.25">
      <c r="B53" s="328" t="s">
        <v>294</v>
      </c>
      <c r="C53" s="327"/>
      <c r="D53" s="327"/>
      <c r="E53" s="327"/>
      <c r="F53" s="327"/>
      <c r="G53" s="327"/>
      <c r="H53" s="327"/>
      <c r="I53" s="327"/>
    </row>
    <row r="54" spans="2:9" x14ac:dyDescent="0.2">
      <c r="B54" s="327"/>
      <c r="C54" s="327"/>
      <c r="D54" s="327"/>
      <c r="E54" s="327"/>
      <c r="F54" s="327"/>
      <c r="G54" s="327"/>
      <c r="H54" s="327"/>
      <c r="I54" s="327"/>
    </row>
    <row r="55" spans="2:9" ht="15.75" x14ac:dyDescent="0.25">
      <c r="B55" s="326" t="s">
        <v>295</v>
      </c>
      <c r="C55" s="327"/>
      <c r="D55" s="327"/>
      <c r="E55" s="327"/>
      <c r="F55" s="327"/>
      <c r="G55" s="327"/>
      <c r="H55" s="327"/>
      <c r="I55" s="327"/>
    </row>
    <row r="56" spans="2:9" ht="15.75" x14ac:dyDescent="0.25">
      <c r="B56" s="326" t="s">
        <v>296</v>
      </c>
      <c r="C56" s="327"/>
      <c r="D56" s="327"/>
      <c r="E56" s="327"/>
      <c r="F56" s="327"/>
      <c r="G56" s="327"/>
      <c r="H56" s="327"/>
      <c r="I56" s="327"/>
    </row>
    <row r="57" spans="2:9" x14ac:dyDescent="0.2">
      <c r="B57" s="327"/>
      <c r="C57" s="327"/>
      <c r="D57" s="327"/>
      <c r="E57" s="327"/>
      <c r="F57" s="327"/>
      <c r="G57" s="327"/>
      <c r="H57" s="327"/>
      <c r="I57" s="327"/>
    </row>
    <row r="58" spans="2:9" ht="15.75" x14ac:dyDescent="0.25">
      <c r="B58" s="328" t="s">
        <v>297</v>
      </c>
      <c r="C58" s="326"/>
      <c r="D58" s="326"/>
      <c r="E58" s="326"/>
      <c r="F58" s="326"/>
      <c r="G58" s="327"/>
      <c r="H58" s="327"/>
      <c r="I58" s="327"/>
    </row>
    <row r="59" spans="2:9" ht="15.75" x14ac:dyDescent="0.25">
      <c r="B59" s="326"/>
      <c r="C59" s="326"/>
      <c r="D59" s="326"/>
      <c r="E59" s="326"/>
      <c r="F59" s="326"/>
      <c r="G59" s="327"/>
      <c r="H59" s="327"/>
      <c r="I59" s="327"/>
    </row>
    <row r="60" spans="2:9" ht="15.75" x14ac:dyDescent="0.25">
      <c r="B60" s="326" t="s">
        <v>298</v>
      </c>
      <c r="C60" s="326"/>
      <c r="D60" s="326"/>
      <c r="E60" s="326"/>
      <c r="F60" s="326"/>
      <c r="G60" s="327"/>
      <c r="H60" s="327"/>
      <c r="I60" s="327"/>
    </row>
    <row r="61" spans="2:9" ht="15.75" x14ac:dyDescent="0.25">
      <c r="B61" s="326" t="s">
        <v>299</v>
      </c>
      <c r="C61" s="326"/>
      <c r="D61" s="326"/>
      <c r="E61" s="326"/>
      <c r="F61" s="326"/>
      <c r="G61" s="327"/>
      <c r="H61" s="327"/>
      <c r="I61" s="327"/>
    </row>
    <row r="62" spans="2:9" ht="15.75" x14ac:dyDescent="0.25">
      <c r="B62" s="326" t="s">
        <v>300</v>
      </c>
      <c r="C62" s="326"/>
      <c r="D62" s="326"/>
      <c r="E62" s="326"/>
      <c r="F62" s="326"/>
      <c r="G62" s="327"/>
      <c r="H62" s="327"/>
      <c r="I62" s="327"/>
    </row>
    <row r="63" spans="2:9" ht="15.75" x14ac:dyDescent="0.25">
      <c r="B63" s="326" t="s">
        <v>301</v>
      </c>
      <c r="C63" s="326"/>
      <c r="D63" s="326"/>
      <c r="E63" s="326"/>
      <c r="F63" s="326"/>
      <c r="G63" s="327"/>
      <c r="H63" s="327"/>
      <c r="I63" s="327"/>
    </row>
    <row r="64" spans="2:9" x14ac:dyDescent="0.2">
      <c r="B64" s="329"/>
      <c r="C64" s="329"/>
      <c r="D64" s="329"/>
      <c r="E64" s="329"/>
      <c r="F64" s="329"/>
      <c r="G64" s="327"/>
      <c r="H64" s="327"/>
      <c r="I64" s="327"/>
    </row>
    <row r="65" spans="2:9" ht="15.75" x14ac:dyDescent="0.25">
      <c r="B65" s="326" t="s">
        <v>302</v>
      </c>
      <c r="C65" s="329"/>
      <c r="D65" s="329"/>
      <c r="E65" s="329"/>
      <c r="F65" s="329"/>
      <c r="G65" s="327"/>
      <c r="H65" s="327"/>
      <c r="I65" s="327"/>
    </row>
    <row r="66" spans="2:9" ht="15.75" x14ac:dyDescent="0.25">
      <c r="B66" s="326" t="s">
        <v>303</v>
      </c>
      <c r="C66" s="329"/>
      <c r="D66" s="329"/>
      <c r="E66" s="329"/>
      <c r="F66" s="329"/>
      <c r="G66" s="327"/>
      <c r="H66" s="327"/>
      <c r="I66" s="327"/>
    </row>
    <row r="67" spans="2:9" x14ac:dyDescent="0.2">
      <c r="B67" s="329"/>
      <c r="C67" s="329"/>
      <c r="D67" s="329"/>
      <c r="E67" s="329"/>
      <c r="F67" s="329"/>
      <c r="G67" s="327"/>
      <c r="H67" s="327"/>
      <c r="I67" s="327"/>
    </row>
    <row r="68" spans="2:9" ht="15.75" x14ac:dyDescent="0.25">
      <c r="B68" s="326" t="s">
        <v>304</v>
      </c>
      <c r="C68" s="329"/>
      <c r="D68" s="329"/>
      <c r="E68" s="329"/>
      <c r="F68" s="329"/>
      <c r="G68" s="327"/>
      <c r="H68" s="327"/>
      <c r="I68" s="327"/>
    </row>
    <row r="69" spans="2:9" ht="15.75" x14ac:dyDescent="0.25">
      <c r="B69" s="326" t="s">
        <v>305</v>
      </c>
      <c r="C69" s="329"/>
      <c r="D69" s="329"/>
      <c r="E69" s="329"/>
      <c r="F69" s="329"/>
      <c r="G69" s="327"/>
      <c r="H69" s="327"/>
      <c r="I69" s="327"/>
    </row>
    <row r="70" spans="2:9" x14ac:dyDescent="0.2">
      <c r="B70" s="329"/>
      <c r="C70" s="329"/>
      <c r="D70" s="329"/>
      <c r="E70" s="329"/>
      <c r="F70" s="329"/>
      <c r="G70" s="327"/>
      <c r="H70" s="327"/>
      <c r="I70" s="327"/>
    </row>
    <row r="71" spans="2:9" ht="15.75" x14ac:dyDescent="0.25">
      <c r="B71" s="328" t="s">
        <v>306</v>
      </c>
      <c r="C71" s="329"/>
      <c r="D71" s="329"/>
      <c r="E71" s="329"/>
      <c r="F71" s="329"/>
      <c r="G71" s="327"/>
      <c r="H71" s="327"/>
      <c r="I71" s="327"/>
    </row>
    <row r="72" spans="2:9" x14ac:dyDescent="0.2">
      <c r="B72" s="329"/>
      <c r="C72" s="329"/>
      <c r="D72" s="329"/>
      <c r="E72" s="329"/>
      <c r="F72" s="329"/>
      <c r="G72" s="327"/>
      <c r="H72" s="327"/>
      <c r="I72" s="327"/>
    </row>
    <row r="73" spans="2:9" ht="15.75" x14ac:dyDescent="0.25">
      <c r="B73" s="326" t="s">
        <v>307</v>
      </c>
      <c r="C73" s="329"/>
      <c r="D73" s="329"/>
      <c r="E73" s="329"/>
      <c r="F73" s="329"/>
      <c r="G73" s="327"/>
      <c r="H73" s="327"/>
      <c r="I73" s="327"/>
    </row>
    <row r="74" spans="2:9" ht="15.75" x14ac:dyDescent="0.25">
      <c r="B74" s="326" t="s">
        <v>308</v>
      </c>
      <c r="C74" s="329"/>
      <c r="D74" s="329"/>
      <c r="E74" s="329"/>
      <c r="F74" s="329"/>
      <c r="G74" s="327"/>
      <c r="H74" s="327"/>
      <c r="I74" s="327"/>
    </row>
    <row r="75" spans="2:9" x14ac:dyDescent="0.2">
      <c r="B75" s="329"/>
      <c r="C75" s="329"/>
      <c r="D75" s="329"/>
      <c r="E75" s="329"/>
      <c r="F75" s="329"/>
      <c r="G75" s="327"/>
      <c r="H75" s="327"/>
      <c r="I75" s="327"/>
    </row>
    <row r="76" spans="2:9" ht="15.75" x14ac:dyDescent="0.25">
      <c r="B76" s="328" t="s">
        <v>309</v>
      </c>
      <c r="C76" s="329"/>
      <c r="D76" s="329"/>
      <c r="E76" s="329"/>
      <c r="F76" s="329"/>
      <c r="G76" s="327"/>
      <c r="H76" s="327"/>
      <c r="I76" s="327"/>
    </row>
    <row r="77" spans="2:9" x14ac:dyDescent="0.2">
      <c r="B77" s="329"/>
      <c r="C77" s="329"/>
      <c r="D77" s="329"/>
      <c r="E77" s="329"/>
      <c r="F77" s="329"/>
      <c r="G77" s="327"/>
      <c r="H77" s="327"/>
      <c r="I77" s="327"/>
    </row>
    <row r="78" spans="2:9" ht="15.75" x14ac:dyDescent="0.25">
      <c r="B78" s="326" t="str">
        <f>CONCATENATE("If the ",G14," municipal budget has not been published and has not been submitted to the County")</f>
        <v>If the 2025 municipal budget has not been published and has not been submitted to the County</v>
      </c>
      <c r="C78" s="329"/>
      <c r="D78" s="329"/>
      <c r="E78" s="329"/>
      <c r="F78" s="329"/>
      <c r="G78" s="327"/>
      <c r="H78" s="327"/>
      <c r="I78" s="327"/>
    </row>
    <row r="79" spans="2:9" ht="15.75" x14ac:dyDescent="0.25">
      <c r="B79" s="326" t="s">
        <v>310</v>
      </c>
      <c r="C79" s="329"/>
      <c r="D79" s="329"/>
      <c r="E79" s="329"/>
      <c r="F79" s="329"/>
      <c r="G79" s="327"/>
      <c r="H79" s="327"/>
      <c r="I79" s="327"/>
    </row>
    <row r="80" spans="2:9" x14ac:dyDescent="0.2">
      <c r="B80" s="329"/>
      <c r="C80" s="329"/>
      <c r="D80" s="329"/>
      <c r="E80" s="329"/>
      <c r="F80" s="329"/>
      <c r="G80" s="327"/>
      <c r="H80" s="327"/>
      <c r="I80" s="327"/>
    </row>
    <row r="81" spans="2:9" ht="15.75" x14ac:dyDescent="0.25">
      <c r="B81" s="328" t="s">
        <v>311</v>
      </c>
      <c r="C81" s="329"/>
      <c r="D81" s="329"/>
      <c r="E81" s="329"/>
      <c r="F81" s="329"/>
      <c r="G81" s="327"/>
      <c r="H81" s="327"/>
      <c r="I81" s="327"/>
    </row>
    <row r="82" spans="2:9" x14ac:dyDescent="0.2">
      <c r="B82" s="329"/>
      <c r="C82" s="329"/>
      <c r="D82" s="329"/>
      <c r="E82" s="329"/>
      <c r="F82" s="329"/>
      <c r="G82" s="327"/>
      <c r="H82" s="327"/>
      <c r="I82" s="327"/>
    </row>
    <row r="83" spans="2:9" ht="15.75" x14ac:dyDescent="0.25">
      <c r="B83" s="326" t="s">
        <v>312</v>
      </c>
      <c r="C83" s="329"/>
      <c r="D83" s="329"/>
      <c r="E83" s="329"/>
      <c r="F83" s="329"/>
      <c r="G83" s="327"/>
      <c r="H83" s="327"/>
      <c r="I83" s="327"/>
    </row>
    <row r="84" spans="2:9" ht="15.75" x14ac:dyDescent="0.25">
      <c r="B84" s="326" t="str">
        <f>CONCATENATE("Budget Year ",G14," is equal to or greater than that for Current Year Estimate ",E14,".")</f>
        <v>Budget Year 2025 is equal to or greater than that for Current Year Estimate 2024.</v>
      </c>
      <c r="C84" s="329"/>
      <c r="D84" s="329"/>
      <c r="E84" s="329"/>
      <c r="F84" s="329"/>
      <c r="G84" s="327"/>
      <c r="H84" s="327"/>
      <c r="I84" s="327"/>
    </row>
    <row r="85" spans="2:9" x14ac:dyDescent="0.2">
      <c r="B85" s="329"/>
      <c r="C85" s="329"/>
      <c r="D85" s="329"/>
      <c r="E85" s="329"/>
      <c r="F85" s="329"/>
      <c r="G85" s="327"/>
      <c r="H85" s="327"/>
      <c r="I85" s="327"/>
    </row>
    <row r="86" spans="2:9" ht="15.75" x14ac:dyDescent="0.25">
      <c r="B86" s="326" t="s">
        <v>313</v>
      </c>
      <c r="C86" s="329"/>
      <c r="D86" s="329"/>
      <c r="E86" s="329"/>
      <c r="F86" s="329"/>
      <c r="G86" s="327"/>
      <c r="H86" s="327"/>
      <c r="I86" s="327"/>
    </row>
    <row r="87" spans="2:9" ht="15.75" x14ac:dyDescent="0.25">
      <c r="B87" s="326" t="s">
        <v>314</v>
      </c>
      <c r="C87" s="329"/>
      <c r="D87" s="329"/>
      <c r="E87" s="329"/>
      <c r="F87" s="329"/>
      <c r="G87" s="327"/>
      <c r="H87" s="327"/>
      <c r="I87" s="327"/>
    </row>
    <row r="88" spans="2:9" ht="15.75" x14ac:dyDescent="0.25">
      <c r="B88" s="326" t="s">
        <v>315</v>
      </c>
      <c r="C88" s="329"/>
      <c r="D88" s="329"/>
      <c r="E88" s="329"/>
      <c r="F88" s="329"/>
      <c r="G88" s="327"/>
      <c r="H88" s="327"/>
      <c r="I88" s="327"/>
    </row>
    <row r="89" spans="2:9" ht="15.75" x14ac:dyDescent="0.25">
      <c r="B89" s="326" t="str">
        <f>CONCATENATE("purpose for the previous (",E14,") year.")</f>
        <v>purpose for the previous (2024) year.</v>
      </c>
      <c r="C89" s="329"/>
      <c r="D89" s="329"/>
      <c r="E89" s="329"/>
      <c r="F89" s="329"/>
      <c r="G89" s="327"/>
      <c r="H89" s="327"/>
      <c r="I89" s="327"/>
    </row>
    <row r="90" spans="2:9" x14ac:dyDescent="0.2">
      <c r="B90" s="329"/>
      <c r="C90" s="329"/>
      <c r="D90" s="329"/>
      <c r="E90" s="329"/>
      <c r="F90" s="329"/>
      <c r="G90" s="327"/>
      <c r="H90" s="327"/>
      <c r="I90" s="327"/>
    </row>
    <row r="91" spans="2:9" ht="15.75" x14ac:dyDescent="0.25">
      <c r="B91" s="326" t="str">
        <f>CONCATENATE("Next, look to see if delinquent tax for ",G14," is budgeted. Often this line is budgeted at $0 or left")</f>
        <v>Next, look to see if delinquent tax for 2025 is budgeted. Often this line is budgeted at $0 or left</v>
      </c>
      <c r="C91" s="329"/>
      <c r="D91" s="329"/>
      <c r="E91" s="329"/>
      <c r="F91" s="329"/>
      <c r="G91" s="327"/>
      <c r="H91" s="327"/>
      <c r="I91" s="327"/>
    </row>
    <row r="92" spans="2:9" ht="15.75" x14ac:dyDescent="0.25">
      <c r="B92" s="326" t="s">
        <v>316</v>
      </c>
      <c r="C92" s="329"/>
      <c r="D92" s="329"/>
      <c r="E92" s="329"/>
      <c r="F92" s="329"/>
      <c r="G92" s="327"/>
      <c r="H92" s="327"/>
      <c r="I92" s="327"/>
    </row>
    <row r="93" spans="2:9" ht="15.75" x14ac:dyDescent="0.25">
      <c r="B93" s="326" t="s">
        <v>317</v>
      </c>
      <c r="C93" s="329"/>
      <c r="D93" s="329"/>
      <c r="E93" s="329"/>
      <c r="F93" s="329"/>
      <c r="G93" s="327"/>
      <c r="H93" s="327"/>
      <c r="I93" s="327"/>
    </row>
    <row r="94" spans="2:9" ht="15.75" x14ac:dyDescent="0.25">
      <c r="B94" s="326" t="s">
        <v>318</v>
      </c>
      <c r="C94" s="329"/>
      <c r="D94" s="329"/>
      <c r="E94" s="329"/>
      <c r="F94" s="329"/>
      <c r="G94" s="327"/>
      <c r="H94" s="327"/>
      <c r="I94" s="327"/>
    </row>
    <row r="95" spans="2:9" x14ac:dyDescent="0.2">
      <c r="B95" s="329"/>
      <c r="C95" s="329"/>
      <c r="D95" s="329"/>
      <c r="E95" s="329"/>
      <c r="F95" s="329"/>
      <c r="G95" s="327"/>
      <c r="H95" s="327"/>
      <c r="I95" s="327"/>
    </row>
    <row r="96" spans="2:9" ht="15.75" x14ac:dyDescent="0.25">
      <c r="B96" s="328" t="s">
        <v>319</v>
      </c>
      <c r="C96" s="329"/>
      <c r="D96" s="329"/>
      <c r="E96" s="329"/>
      <c r="F96" s="329"/>
      <c r="G96" s="327"/>
      <c r="H96" s="327"/>
      <c r="I96" s="327"/>
    </row>
    <row r="97" spans="2:9" x14ac:dyDescent="0.2">
      <c r="B97" s="329"/>
      <c r="C97" s="329"/>
      <c r="D97" s="329"/>
      <c r="E97" s="329"/>
      <c r="F97" s="329"/>
      <c r="G97" s="327"/>
      <c r="H97" s="327"/>
      <c r="I97" s="327"/>
    </row>
    <row r="98" spans="2:9" ht="15.75" x14ac:dyDescent="0.25">
      <c r="B98" s="326" t="s">
        <v>320</v>
      </c>
      <c r="C98" s="329"/>
      <c r="D98" s="329"/>
      <c r="E98" s="329"/>
      <c r="F98" s="329"/>
      <c r="G98" s="327"/>
      <c r="H98" s="327"/>
      <c r="I98" s="327"/>
    </row>
    <row r="99" spans="2:9" ht="15.75" x14ac:dyDescent="0.25">
      <c r="B99" s="326" t="s">
        <v>321</v>
      </c>
      <c r="C99" s="329"/>
      <c r="D99" s="329"/>
      <c r="E99" s="329"/>
      <c r="F99" s="329"/>
      <c r="G99" s="327"/>
      <c r="H99" s="327"/>
      <c r="I99" s="327"/>
    </row>
    <row r="100" spans="2:9" x14ac:dyDescent="0.2">
      <c r="B100" s="329"/>
      <c r="C100" s="329"/>
      <c r="D100" s="329"/>
      <c r="E100" s="329"/>
      <c r="F100" s="329"/>
      <c r="G100" s="327"/>
      <c r="H100" s="327"/>
      <c r="I100" s="327"/>
    </row>
    <row r="101" spans="2:9" ht="15.75" x14ac:dyDescent="0.25">
      <c r="B101" s="326" t="s">
        <v>322</v>
      </c>
      <c r="C101" s="329"/>
      <c r="D101" s="329"/>
      <c r="E101" s="329"/>
      <c r="F101" s="329"/>
      <c r="G101" s="327"/>
      <c r="H101" s="327"/>
      <c r="I101" s="327"/>
    </row>
    <row r="102" spans="2:9" ht="15.75" x14ac:dyDescent="0.25">
      <c r="B102" s="326" t="s">
        <v>323</v>
      </c>
      <c r="C102" s="329"/>
      <c r="D102" s="329"/>
      <c r="E102" s="329"/>
      <c r="F102" s="329"/>
      <c r="G102" s="327"/>
      <c r="H102" s="327"/>
      <c r="I102" s="327"/>
    </row>
    <row r="103" spans="2:9" ht="15.75" x14ac:dyDescent="0.25">
      <c r="B103" s="326" t="s">
        <v>324</v>
      </c>
      <c r="C103" s="329"/>
      <c r="D103" s="329"/>
      <c r="E103" s="329"/>
      <c r="F103" s="329"/>
      <c r="G103" s="327"/>
      <c r="H103" s="327"/>
      <c r="I103" s="327"/>
    </row>
    <row r="104" spans="2:9" ht="15.75" x14ac:dyDescent="0.25">
      <c r="B104" s="326" t="s">
        <v>325</v>
      </c>
      <c r="C104" s="329"/>
      <c r="D104" s="329"/>
      <c r="E104" s="329"/>
      <c r="F104" s="329"/>
      <c r="G104" s="327"/>
      <c r="H104" s="327"/>
      <c r="I104" s="327"/>
    </row>
    <row r="105" spans="2:9" ht="15.75" x14ac:dyDescent="0.25">
      <c r="B105" s="461" t="s">
        <v>326</v>
      </c>
      <c r="C105" s="418"/>
      <c r="D105" s="418"/>
      <c r="E105" s="418"/>
      <c r="F105" s="418"/>
      <c r="G105" s="327"/>
      <c r="H105" s="327"/>
      <c r="I105" s="327"/>
    </row>
    <row r="108" spans="2:9" x14ac:dyDescent="0.2">
      <c r="G108" s="330"/>
    </row>
  </sheetData>
  <sheetProtection sheet="1" objects="1" scenarios="1"/>
  <mergeCells count="6">
    <mergeCell ref="B43:I43"/>
    <mergeCell ref="B2:I2"/>
    <mergeCell ref="B3:I3"/>
    <mergeCell ref="B5:I5"/>
    <mergeCell ref="B10:I10"/>
    <mergeCell ref="B36:I36"/>
  </mergeCells>
  <hyperlinks>
    <hyperlink ref="B105" r:id="rId1" xr:uid="{00000000-0004-0000-0A00-000000000000}"/>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00B0F0"/>
    <pageSetUpPr fitToPage="1"/>
  </sheetPr>
  <dimension ref="B1:K77"/>
  <sheetViews>
    <sheetView workbookViewId="0">
      <selection activeCell="B15" sqref="B15:E15"/>
    </sheetView>
  </sheetViews>
  <sheetFormatPr defaultRowHeight="15.75" x14ac:dyDescent="0.25"/>
  <cols>
    <col min="1" max="1" width="2.3984375" style="99" customWidth="1"/>
    <col min="2" max="2" width="31" style="99" customWidth="1"/>
    <col min="3" max="4" width="15.69921875" style="99" customWidth="1"/>
    <col min="5" max="5" width="13.69921875" style="99" customWidth="1"/>
    <col min="6" max="6" width="8.796875" style="99"/>
    <col min="7" max="7" width="7" style="99" customWidth="1"/>
    <col min="8" max="8" width="8.796875" style="99"/>
    <col min="9" max="9" width="6.5" style="99" customWidth="1"/>
    <col min="10" max="10" width="9.09765625" style="99" customWidth="1"/>
    <col min="11" max="16384" width="8.796875" style="99"/>
  </cols>
  <sheetData>
    <row r="1" spans="2:5" x14ac:dyDescent="0.25">
      <c r="B1" s="72">
        <f>inputPrYr!D4</f>
        <v>0</v>
      </c>
      <c r="C1" s="35"/>
      <c r="D1" s="35"/>
      <c r="E1" s="140">
        <f>inputPrYr!D10</f>
        <v>2025</v>
      </c>
    </row>
    <row r="2" spans="2:5" x14ac:dyDescent="0.25">
      <c r="B2" s="288" t="s">
        <v>327</v>
      </c>
      <c r="C2" s="35"/>
      <c r="D2" s="35"/>
      <c r="E2" s="190"/>
    </row>
    <row r="3" spans="2:5" x14ac:dyDescent="0.25">
      <c r="B3" s="35"/>
      <c r="C3" s="42"/>
      <c r="D3" s="42"/>
      <c r="E3" s="191"/>
    </row>
    <row r="4" spans="2:5" x14ac:dyDescent="0.25">
      <c r="B4" s="39" t="s">
        <v>328</v>
      </c>
      <c r="C4" s="238" t="s">
        <v>329</v>
      </c>
      <c r="D4" s="241" t="s">
        <v>276</v>
      </c>
      <c r="E4" s="625" t="s">
        <v>330</v>
      </c>
    </row>
    <row r="5" spans="2:5" x14ac:dyDescent="0.25">
      <c r="B5" s="246" t="str">
        <f>inputPrYr!B21</f>
        <v>General</v>
      </c>
      <c r="C5" s="239" t="str">
        <f>CONCATENATE("Actual for ",$E$1-2,"")</f>
        <v>Actual for 2023</v>
      </c>
      <c r="D5" s="239" t="str">
        <f>CONCATENATE("Estimate for ",$E$1-1,"")</f>
        <v>Estimate for 2024</v>
      </c>
      <c r="E5" s="626" t="str">
        <f>CONCATENATE("Year for ",$E$1,"")</f>
        <v>Year for 2025</v>
      </c>
    </row>
    <row r="6" spans="2:5" x14ac:dyDescent="0.25">
      <c r="B6" s="43" t="s">
        <v>331</v>
      </c>
      <c r="C6" s="192"/>
      <c r="D6" s="240">
        <f>C50</f>
        <v>0</v>
      </c>
      <c r="E6" s="157">
        <f>D50</f>
        <v>0</v>
      </c>
    </row>
    <row r="7" spans="2:5" x14ac:dyDescent="0.25">
      <c r="B7" s="43" t="s">
        <v>332</v>
      </c>
      <c r="C7" s="240"/>
      <c r="D7" s="240"/>
      <c r="E7" s="194"/>
    </row>
    <row r="8" spans="2:5" x14ac:dyDescent="0.25">
      <c r="B8" s="43" t="s">
        <v>96</v>
      </c>
      <c r="C8" s="192"/>
      <c r="D8" s="240">
        <f>IF(inputPrYr!H22&gt;0,inputPrYr!G23,inputPrYr!E21)</f>
        <v>0</v>
      </c>
      <c r="E8" s="194" t="s">
        <v>185</v>
      </c>
    </row>
    <row r="9" spans="2:5" x14ac:dyDescent="0.25">
      <c r="B9" s="43" t="s">
        <v>333</v>
      </c>
      <c r="C9" s="192"/>
      <c r="D9" s="192"/>
      <c r="E9" s="106"/>
    </row>
    <row r="10" spans="2:5" x14ac:dyDescent="0.25">
      <c r="B10" s="43" t="s">
        <v>334</v>
      </c>
      <c r="C10" s="192"/>
      <c r="D10" s="192"/>
      <c r="E10" s="157">
        <f>Mvalloc!D11+Mvalloc!E11</f>
        <v>0</v>
      </c>
    </row>
    <row r="11" spans="2:5" x14ac:dyDescent="0.25">
      <c r="B11" s="43" t="s">
        <v>335</v>
      </c>
      <c r="C11" s="192"/>
      <c r="D11" s="192"/>
      <c r="E11" s="157">
        <f>Mvalloc!F11+Mvalloc!G11</f>
        <v>0</v>
      </c>
    </row>
    <row r="12" spans="2:5" x14ac:dyDescent="0.25">
      <c r="B12" s="195" t="s">
        <v>130</v>
      </c>
      <c r="C12" s="192"/>
      <c r="D12" s="192"/>
      <c r="E12" s="157">
        <f>Mvalloc!H11+Mvalloc!I11</f>
        <v>0</v>
      </c>
    </row>
    <row r="13" spans="2:5" x14ac:dyDescent="0.25">
      <c r="B13" s="472" t="s">
        <v>336</v>
      </c>
      <c r="C13" s="192"/>
      <c r="D13" s="192"/>
      <c r="E13" s="157">
        <f>Mvalloc!J11+Mvalloc!K11</f>
        <v>0</v>
      </c>
    </row>
    <row r="14" spans="2:5" x14ac:dyDescent="0.25">
      <c r="B14" s="472" t="s">
        <v>337</v>
      </c>
      <c r="C14" s="192"/>
      <c r="D14" s="192"/>
      <c r="E14" s="157">
        <f>Mvalloc!L11+Mvalloc!M11</f>
        <v>0</v>
      </c>
    </row>
    <row r="15" spans="2:5" x14ac:dyDescent="0.25">
      <c r="B15" s="43" t="s">
        <v>338</v>
      </c>
      <c r="C15" s="192"/>
      <c r="D15" s="192"/>
      <c r="E15" s="157">
        <f>inputOth!E32</f>
        <v>0</v>
      </c>
    </row>
    <row r="16" spans="2:5" x14ac:dyDescent="0.25">
      <c r="B16" s="197"/>
      <c r="C16" s="192"/>
      <c r="D16" s="192"/>
      <c r="E16" s="106"/>
    </row>
    <row r="17" spans="2:10" x14ac:dyDescent="0.25">
      <c r="B17" s="196"/>
      <c r="C17" s="192"/>
      <c r="D17" s="192"/>
      <c r="E17" s="106"/>
    </row>
    <row r="18" spans="2:10" x14ac:dyDescent="0.25">
      <c r="B18" s="196"/>
      <c r="C18" s="192"/>
      <c r="D18" s="192"/>
      <c r="E18" s="106"/>
    </row>
    <row r="19" spans="2:10" x14ac:dyDescent="0.25">
      <c r="B19" s="197"/>
      <c r="C19" s="192"/>
      <c r="D19" s="192"/>
      <c r="E19" s="106"/>
    </row>
    <row r="20" spans="2:10" x14ac:dyDescent="0.25">
      <c r="B20" s="197"/>
      <c r="C20" s="192"/>
      <c r="D20" s="192"/>
      <c r="E20" s="106"/>
    </row>
    <row r="21" spans="2:10" x14ac:dyDescent="0.25">
      <c r="B21" s="196"/>
      <c r="C21" s="192"/>
      <c r="D21" s="192"/>
      <c r="E21" s="106"/>
    </row>
    <row r="22" spans="2:10" x14ac:dyDescent="0.25">
      <c r="B22" s="197" t="s">
        <v>339</v>
      </c>
      <c r="C22" s="192"/>
      <c r="D22" s="192"/>
      <c r="E22" s="106"/>
    </row>
    <row r="23" spans="2:10" x14ac:dyDescent="0.25">
      <c r="B23" s="195" t="s">
        <v>191</v>
      </c>
      <c r="C23" s="192"/>
      <c r="D23" s="192"/>
      <c r="E23" s="157">
        <f>'NR Rebate'!E6*-1</f>
        <v>0</v>
      </c>
    </row>
    <row r="24" spans="2:10" x14ac:dyDescent="0.25">
      <c r="B24" s="198" t="s">
        <v>340</v>
      </c>
      <c r="C24" s="192"/>
      <c r="D24" s="192"/>
      <c r="E24" s="106"/>
    </row>
    <row r="25" spans="2:10" x14ac:dyDescent="0.25">
      <c r="B25" s="198" t="s">
        <v>341</v>
      </c>
      <c r="C25" s="242" t="str">
        <f>IF(C26*0.1&lt;C24,"Exceed 10% Rule","")</f>
        <v/>
      </c>
      <c r="D25" s="242" t="str">
        <f>IF(D26*0.1&lt;D24,"Exceed 10% Rule","")</f>
        <v/>
      </c>
      <c r="E25" s="201" t="str">
        <f>IF((E56+E26)*0.1&lt;E24,"Exceed 10% Rule","")</f>
        <v/>
      </c>
      <c r="G25" s="754" t="str">
        <f>CONCATENATE("Desired Carryover Into ",E1+1,"")</f>
        <v>Desired Carryover Into 2026</v>
      </c>
      <c r="H25" s="755"/>
      <c r="I25" s="755"/>
      <c r="J25" s="756"/>
    </row>
    <row r="26" spans="2:10" x14ac:dyDescent="0.25">
      <c r="B26" s="200" t="s">
        <v>342</v>
      </c>
      <c r="C26" s="206">
        <f>SUM(C8:C24)</f>
        <v>0</v>
      </c>
      <c r="D26" s="206">
        <f>SUM(D8:D24)</f>
        <v>0</v>
      </c>
      <c r="E26" s="206">
        <f>SUM(E8:E24)</f>
        <v>0</v>
      </c>
      <c r="G26" s="252"/>
      <c r="H26" s="35"/>
      <c r="I26" s="292"/>
      <c r="J26" s="253"/>
    </row>
    <row r="27" spans="2:10" x14ac:dyDescent="0.25">
      <c r="B27" s="60" t="s">
        <v>344</v>
      </c>
      <c r="C27" s="206">
        <f>C26+C6</f>
        <v>0</v>
      </c>
      <c r="D27" s="206">
        <f>D26+D6</f>
        <v>0</v>
      </c>
      <c r="E27" s="206">
        <f>E26+E6</f>
        <v>0</v>
      </c>
      <c r="G27" s="254" t="s">
        <v>343</v>
      </c>
      <c r="H27" s="292"/>
      <c r="I27" s="292"/>
      <c r="J27" s="255">
        <v>0</v>
      </c>
    </row>
    <row r="28" spans="2:10" x14ac:dyDescent="0.25">
      <c r="B28" s="43" t="s">
        <v>346</v>
      </c>
      <c r="C28" s="240"/>
      <c r="D28" s="240"/>
      <c r="E28" s="157"/>
      <c r="G28" s="252" t="s">
        <v>345</v>
      </c>
      <c r="H28" s="35"/>
      <c r="I28" s="35"/>
      <c r="J28" s="409" t="str">
        <f>IF(J27=0,"",ROUND((J27+E56-G40)/inputOth!E11*1000,3)-G45)</f>
        <v/>
      </c>
    </row>
    <row r="29" spans="2:10" x14ac:dyDescent="0.25">
      <c r="B29" s="196"/>
      <c r="C29" s="192"/>
      <c r="D29" s="192"/>
      <c r="E29" s="106"/>
      <c r="G29" s="410" t="str">
        <f>CONCATENATE("",E1," Tot Exp/Non-Appr Must Be:")</f>
        <v>2025 Tot Exp/Non-Appr Must Be:</v>
      </c>
      <c r="H29" s="285"/>
      <c r="I29" s="407"/>
      <c r="J29" s="411">
        <f>IF(J27&gt;0,IF(E53&lt;E22,IF(J27=G40,E53,((J27-G40)*(1-D55))+E22),E53+(J27-G40)),0)</f>
        <v>0</v>
      </c>
    </row>
    <row r="30" spans="2:10" x14ac:dyDescent="0.25">
      <c r="B30" s="197" t="s">
        <v>348</v>
      </c>
      <c r="C30" s="192"/>
      <c r="D30" s="192"/>
      <c r="E30" s="106"/>
      <c r="G30" s="412" t="s">
        <v>347</v>
      </c>
      <c r="H30" s="413"/>
      <c r="I30" s="413"/>
      <c r="J30" s="414">
        <f>IF(J27&gt;0,J29-E53,0)</f>
        <v>0</v>
      </c>
    </row>
    <row r="31" spans="2:10" x14ac:dyDescent="0.25">
      <c r="B31" s="197" t="s">
        <v>349</v>
      </c>
      <c r="C31" s="192"/>
      <c r="D31" s="192"/>
      <c r="E31" s="106"/>
    </row>
    <row r="32" spans="2:10" x14ac:dyDescent="0.25">
      <c r="B32" s="197" t="s">
        <v>350</v>
      </c>
      <c r="C32" s="192"/>
      <c r="D32" s="192"/>
      <c r="E32" s="106"/>
      <c r="G32" s="754" t="str">
        <f>CONCATENATE("Projected Carryover Into ",E1+1,"")</f>
        <v>Projected Carryover Into 2026</v>
      </c>
      <c r="H32" s="755"/>
      <c r="I32" s="755"/>
      <c r="J32" s="756"/>
    </row>
    <row r="33" spans="2:11" x14ac:dyDescent="0.25">
      <c r="B33" s="197" t="s">
        <v>351</v>
      </c>
      <c r="C33" s="192"/>
      <c r="D33" s="192"/>
      <c r="E33" s="106"/>
      <c r="G33" s="251"/>
      <c r="H33" s="35"/>
      <c r="I33" s="35"/>
      <c r="J33" s="47"/>
    </row>
    <row r="34" spans="2:11" x14ac:dyDescent="0.25">
      <c r="B34" s="196" t="s">
        <v>352</v>
      </c>
      <c r="C34" s="192"/>
      <c r="D34" s="192"/>
      <c r="E34" s="106"/>
      <c r="G34" s="289">
        <f>D50</f>
        <v>0</v>
      </c>
      <c r="H34" s="290" t="str">
        <f>CONCATENATE("",E1-1," Ending Cash Balance (est.)")</f>
        <v>2024 Ending Cash Balance (est.)</v>
      </c>
      <c r="I34" s="291"/>
      <c r="J34" s="47"/>
    </row>
    <row r="35" spans="2:11" x14ac:dyDescent="0.25">
      <c r="B35" s="196" t="s">
        <v>353</v>
      </c>
      <c r="C35" s="192"/>
      <c r="D35" s="192"/>
      <c r="E35" s="106"/>
      <c r="G35" s="289">
        <f>E26</f>
        <v>0</v>
      </c>
      <c r="H35" s="292" t="str">
        <f>CONCATENATE("",E1," Non-AV Receipts (est.)")</f>
        <v>2025 Non-AV Receipts (est.)</v>
      </c>
      <c r="I35" s="292"/>
      <c r="J35" s="47"/>
    </row>
    <row r="36" spans="2:11" x14ac:dyDescent="0.2">
      <c r="B36" s="197" t="s">
        <v>354</v>
      </c>
      <c r="C36" s="192"/>
      <c r="D36" s="192"/>
      <c r="E36" s="106"/>
      <c r="G36" s="293">
        <f>IF(D55&gt;0,E54,E56)</f>
        <v>0</v>
      </c>
      <c r="H36" s="292" t="str">
        <f>CONCATENATE("",E1," Ad Valorem Tax (est.)")</f>
        <v>2025 Ad Valorem Tax (est.)</v>
      </c>
      <c r="I36" s="292"/>
      <c r="J36" s="47"/>
      <c r="K36" s="636" t="str">
        <f>IF(G36=E56,"","Note: Does not include Delinquent Taxes")</f>
        <v/>
      </c>
    </row>
    <row r="37" spans="2:11" x14ac:dyDescent="0.25">
      <c r="B37" s="197"/>
      <c r="C37" s="192"/>
      <c r="D37" s="192"/>
      <c r="E37" s="106"/>
      <c r="G37" s="289">
        <f>SUM(G34:G36)</f>
        <v>0</v>
      </c>
      <c r="H37" s="292" t="str">
        <f>CONCATENATE("Total ",E1," Resources Available")</f>
        <v>Total 2025 Resources Available</v>
      </c>
      <c r="I37" s="292"/>
      <c r="J37" s="47"/>
    </row>
    <row r="38" spans="2:11" x14ac:dyDescent="0.25">
      <c r="B38" s="197"/>
      <c r="C38" s="192"/>
      <c r="D38" s="192"/>
      <c r="E38" s="106"/>
      <c r="G38" s="294"/>
      <c r="H38" s="292"/>
      <c r="I38" s="292"/>
      <c r="J38" s="47"/>
    </row>
    <row r="39" spans="2:11" x14ac:dyDescent="0.25">
      <c r="B39" s="197"/>
      <c r="C39" s="192"/>
      <c r="D39" s="192"/>
      <c r="E39" s="106"/>
      <c r="G39" s="293">
        <f>ROUND(C49*0.05+C49,0)</f>
        <v>0</v>
      </c>
      <c r="H39" s="292" t="str">
        <f>CONCATENATE("Less ",E1-2," Expenditures + 5%")</f>
        <v>Less 2023 Expenditures + 5%</v>
      </c>
      <c r="I39" s="292"/>
      <c r="J39" s="47"/>
    </row>
    <row r="40" spans="2:11" x14ac:dyDescent="0.25">
      <c r="B40" s="197"/>
      <c r="C40" s="192"/>
      <c r="D40" s="192"/>
      <c r="E40" s="106"/>
      <c r="G40" s="295">
        <f>G37-G39</f>
        <v>0</v>
      </c>
      <c r="H40" s="296" t="str">
        <f>CONCATENATE("Projected ",E1+1," Carryover (est.)")</f>
        <v>Projected 2026 Carryover (est.)</v>
      </c>
      <c r="I40" s="297"/>
      <c r="J40" s="298"/>
    </row>
    <row r="41" spans="2:11" x14ac:dyDescent="0.25">
      <c r="B41" s="196"/>
      <c r="C41" s="192"/>
      <c r="D41" s="192"/>
      <c r="E41" s="106"/>
    </row>
    <row r="42" spans="2:11" x14ac:dyDescent="0.25">
      <c r="B42" s="195" t="str">
        <f>CONCATENATE("Cash Reserve (",E1," column)")</f>
        <v>Cash Reserve (2025 column)</v>
      </c>
      <c r="C42" s="192"/>
      <c r="D42" s="192"/>
      <c r="E42" s="106"/>
      <c r="G42" s="757" t="s">
        <v>355</v>
      </c>
      <c r="H42" s="758"/>
      <c r="I42" s="758"/>
      <c r="J42" s="759"/>
    </row>
    <row r="43" spans="2:11" x14ac:dyDescent="0.25">
      <c r="B43" s="195" t="s">
        <v>356</v>
      </c>
      <c r="C43" s="192"/>
      <c r="D43" s="192"/>
      <c r="E43" s="106"/>
      <c r="G43" s="760"/>
      <c r="H43" s="761"/>
      <c r="I43" s="761"/>
      <c r="J43" s="762"/>
    </row>
    <row r="44" spans="2:11" x14ac:dyDescent="0.25">
      <c r="B44" s="195" t="s">
        <v>357</v>
      </c>
      <c r="C44" s="242" t="str">
        <f>IF(AND($C$43&gt;0,$C$8&gt;0),"Not Authorized","")</f>
        <v/>
      </c>
      <c r="D44" s="242" t="str">
        <f>IF(AND($D$43&gt;0,$D$8&gt;0),"Not Authorized","")</f>
        <v/>
      </c>
      <c r="E44" s="201" t="str">
        <f>IF(AND(E56&gt;0,$E$43&gt;0),"Not Authorized","")</f>
        <v/>
      </c>
      <c r="G44" s="587" t="str">
        <f>'Budget Hearing Notice'!H18</f>
        <v xml:space="preserve"> </v>
      </c>
      <c r="H44" s="588" t="str">
        <f>CONCATENATE("",E1," Estimated Fund Mill Rate")</f>
        <v>2025 Estimated Fund Mill Rate</v>
      </c>
      <c r="I44" s="589"/>
      <c r="J44" s="590"/>
    </row>
    <row r="45" spans="2:11" x14ac:dyDescent="0.25">
      <c r="B45" s="43" t="s">
        <v>358</v>
      </c>
      <c r="C45" s="192"/>
      <c r="D45" s="192"/>
      <c r="E45" s="106"/>
      <c r="G45" s="591" t="str">
        <f>'Budget Hearing Notice'!E18</f>
        <v xml:space="preserve">  </v>
      </c>
      <c r="H45" s="588" t="str">
        <f>CONCATENATE("",E1-1," Fund Mill Rate")</f>
        <v>2024 Fund Mill Rate</v>
      </c>
      <c r="I45" s="589"/>
      <c r="J45" s="590"/>
    </row>
    <row r="46" spans="2:11" x14ac:dyDescent="0.25">
      <c r="B46" s="43" t="s">
        <v>360</v>
      </c>
      <c r="C46" s="242" t="str">
        <f>IF(C27*0.25&lt;C45,"Exceeds 25%","")</f>
        <v/>
      </c>
      <c r="D46" s="242" t="str">
        <f>IF(D27*0.25&lt;D45,"Exceeds 25%","")</f>
        <v/>
      </c>
      <c r="E46" s="201" t="str">
        <f>IF(E27*0.25+E56&lt;E45,"Exceeds 25%","")</f>
        <v/>
      </c>
      <c r="G46" s="592">
        <f>'Budget Hearing Notice'!M30</f>
        <v>0</v>
      </c>
      <c r="H46" s="593" t="s">
        <v>359</v>
      </c>
      <c r="I46" s="589"/>
      <c r="J46" s="590"/>
    </row>
    <row r="47" spans="2:11" x14ac:dyDescent="0.25">
      <c r="B47" s="195" t="s">
        <v>340</v>
      </c>
      <c r="C47" s="192"/>
      <c r="D47" s="192"/>
      <c r="E47" s="106"/>
      <c r="G47" s="592">
        <f>SUM('Budget Hearing Notice'!H18:H20,'Budget Hearing Notice'!H25:H29)</f>
        <v>0</v>
      </c>
      <c r="H47" s="593" t="s">
        <v>361</v>
      </c>
      <c r="I47" s="589"/>
      <c r="J47" s="590"/>
    </row>
    <row r="48" spans="2:11" x14ac:dyDescent="0.25">
      <c r="B48" s="195" t="s">
        <v>362</v>
      </c>
      <c r="C48" s="242" t="str">
        <f>IF(C49*0.1&lt;C47,"Exceed 10% Rule","")</f>
        <v/>
      </c>
      <c r="D48" s="242" t="str">
        <f>IF(D49*0.1&lt;D47,"Exceed 10% Rule","")</f>
        <v/>
      </c>
      <c r="E48" s="201" t="str">
        <f>IF(E49*0.1&lt;E47,"Exceed 10% Rule","")</f>
        <v/>
      </c>
      <c r="G48" s="587">
        <f>'Budget Hearing Notice'!H36</f>
        <v>0</v>
      </c>
      <c r="H48" s="588" t="str">
        <f>CONCATENATE(E1," Estimated Total Mill Rate")</f>
        <v>2025 Estimated Total Mill Rate</v>
      </c>
      <c r="I48" s="589"/>
      <c r="J48" s="590"/>
    </row>
    <row r="49" spans="2:10" x14ac:dyDescent="0.25">
      <c r="B49" s="60" t="s">
        <v>363</v>
      </c>
      <c r="C49" s="206">
        <f>SUM(C29:C43,C45,C47:C47)</f>
        <v>0</v>
      </c>
      <c r="D49" s="206">
        <f>SUM(D29:D43,D45,D47:D47)</f>
        <v>0</v>
      </c>
      <c r="E49" s="206">
        <f>SUM(E29:E43,E47:E47,E45)</f>
        <v>0</v>
      </c>
      <c r="G49" s="594">
        <f>'Budget Hearing Notice'!E36</f>
        <v>0</v>
      </c>
      <c r="H49" s="588" t="str">
        <f>CONCATENATE(E1-1," Total Mill Rate")</f>
        <v>2024 Total Mill Rate</v>
      </c>
      <c r="I49" s="589"/>
      <c r="J49" s="590"/>
    </row>
    <row r="50" spans="2:10" x14ac:dyDescent="0.25">
      <c r="B50" s="43" t="s">
        <v>364</v>
      </c>
      <c r="C50" s="157">
        <f>C27-C49</f>
        <v>0</v>
      </c>
      <c r="D50" s="157">
        <f>D27-D49</f>
        <v>0</v>
      </c>
      <c r="E50" s="194" t="s">
        <v>185</v>
      </c>
      <c r="G50" s="595"/>
      <c r="H50" s="471"/>
      <c r="I50" s="471"/>
      <c r="J50" s="596"/>
    </row>
    <row r="51" spans="2:10" x14ac:dyDescent="0.25">
      <c r="B51" s="68" t="str">
        <f>CONCATENATE("",E1-2,"/",E1-1,"/",E1," Budget Authority Amount:")</f>
        <v>2023/2024/2025 Budget Authority Amount:</v>
      </c>
      <c r="C51" s="427">
        <f>inputOth!B91</f>
        <v>0</v>
      </c>
      <c r="D51" s="427">
        <f>inputPrYr!D21</f>
        <v>0</v>
      </c>
      <c r="E51" s="157">
        <f>E49</f>
        <v>0</v>
      </c>
      <c r="G51" s="763" t="s">
        <v>365</v>
      </c>
      <c r="H51" s="764"/>
      <c r="I51" s="764"/>
      <c r="J51" s="767" t="str">
        <f>IF(G47&gt;G46, "Yes", "No")</f>
        <v>No</v>
      </c>
    </row>
    <row r="52" spans="2:10" x14ac:dyDescent="0.25">
      <c r="B52" s="140"/>
      <c r="C52" s="748" t="s">
        <v>366</v>
      </c>
      <c r="D52" s="749"/>
      <c r="E52" s="106"/>
      <c r="F52" s="202"/>
      <c r="G52" s="765"/>
      <c r="H52" s="766"/>
      <c r="I52" s="766"/>
      <c r="J52" s="768"/>
    </row>
    <row r="53" spans="2:10" x14ac:dyDescent="0.25">
      <c r="B53" s="637" t="str">
        <f>CONCATENATE(C75,"      ",D75)</f>
        <v xml:space="preserve">      </v>
      </c>
      <c r="C53" s="750" t="s">
        <v>367</v>
      </c>
      <c r="D53" s="751"/>
      <c r="E53" s="157">
        <f>E49+E52</f>
        <v>0</v>
      </c>
      <c r="F53" s="202" t="str">
        <f>IF(E49/0.95-E49&lt;E52,"Exceeds 5%","")</f>
        <v/>
      </c>
      <c r="G53" s="769" t="str">
        <f>IF(J51="Yes", "Follow procedure prescribed by KSA 79-2988 to exceed the Revenue Neutral Rate.", " ")</f>
        <v xml:space="preserve"> </v>
      </c>
      <c r="H53" s="769"/>
      <c r="I53" s="769"/>
      <c r="J53" s="769"/>
    </row>
    <row r="54" spans="2:10" x14ac:dyDescent="0.25">
      <c r="B54" s="637" t="str">
        <f>CONCATENATE(C76,"       ",D76)</f>
        <v xml:space="preserve">       </v>
      </c>
      <c r="C54" s="638"/>
      <c r="D54" s="250" t="s">
        <v>368</v>
      </c>
      <c r="E54" s="157">
        <f>IF(E53-E27&gt;0,E53-E27,0)</f>
        <v>0</v>
      </c>
      <c r="G54" s="770"/>
      <c r="H54" s="770"/>
      <c r="I54" s="770"/>
      <c r="J54" s="770"/>
    </row>
    <row r="55" spans="2:10" x14ac:dyDescent="0.25">
      <c r="B55" s="136"/>
      <c r="C55" s="621" t="s">
        <v>369</v>
      </c>
      <c r="D55" s="408">
        <f>inputOth!$E$85</f>
        <v>0</v>
      </c>
      <c r="E55" s="157">
        <f>ROUND(IF(D55&gt;0,(E54*D55),0),0)</f>
        <v>0</v>
      </c>
      <c r="G55" s="770"/>
      <c r="H55" s="770"/>
      <c r="I55" s="770"/>
      <c r="J55" s="770"/>
    </row>
    <row r="56" spans="2:10" x14ac:dyDescent="0.25">
      <c r="B56" s="35"/>
      <c r="C56" s="752" t="str">
        <f>CONCATENATE("Amount of  ",$E$1-1," Ad Valorem Tax")</f>
        <v>Amount of  2024 Ad Valorem Tax</v>
      </c>
      <c r="D56" s="753"/>
      <c r="E56" s="157">
        <f>E54+E55</f>
        <v>0</v>
      </c>
    </row>
    <row r="57" spans="2:10" x14ac:dyDescent="0.25">
      <c r="B57" s="35"/>
      <c r="C57" s="35"/>
      <c r="D57" s="35"/>
      <c r="E57" s="35"/>
    </row>
    <row r="58" spans="2:10" x14ac:dyDescent="0.25">
      <c r="B58" s="490" t="s">
        <v>203</v>
      </c>
      <c r="C58" s="436"/>
      <c r="D58" s="436"/>
      <c r="E58" s="45"/>
    </row>
    <row r="59" spans="2:10" x14ac:dyDescent="0.25">
      <c r="B59" s="251"/>
      <c r="C59" s="35"/>
      <c r="D59" s="35"/>
      <c r="E59" s="47"/>
    </row>
    <row r="60" spans="2:10" x14ac:dyDescent="0.25">
      <c r="B60" s="491"/>
      <c r="C60" s="42"/>
      <c r="D60" s="435"/>
      <c r="E60" s="52"/>
    </row>
    <row r="61" spans="2:10" x14ac:dyDescent="0.25">
      <c r="B61" s="35"/>
      <c r="C61" s="35"/>
      <c r="D61" s="97"/>
      <c r="E61" s="35"/>
    </row>
    <row r="62" spans="2:10" x14ac:dyDescent="0.25">
      <c r="B62" s="136" t="s">
        <v>370</v>
      </c>
      <c r="C62" s="442"/>
      <c r="D62" s="35"/>
      <c r="E62" s="35"/>
    </row>
    <row r="64" spans="2:10" x14ac:dyDescent="0.25">
      <c r="B64" s="62"/>
    </row>
    <row r="75" spans="3:4" x14ac:dyDescent="0.25">
      <c r="C75" s="99" t="str">
        <f>IF(C49&gt;C51,"See Tab A","")</f>
        <v/>
      </c>
      <c r="D75" s="99" t="str">
        <f>IF(D49&gt;D51,"See Tab C","")</f>
        <v/>
      </c>
    </row>
    <row r="76" spans="3:4" hidden="1" x14ac:dyDescent="0.25">
      <c r="C76" s="99" t="str">
        <f>IF(C50&lt;0,"See Tab B","")</f>
        <v/>
      </c>
      <c r="D76" s="99" t="str">
        <f>IF(D50&lt;0,"See Tab D","")</f>
        <v/>
      </c>
    </row>
    <row r="77" spans="3:4" hidden="1" x14ac:dyDescent="0.25"/>
  </sheetData>
  <sheetProtection sheet="1"/>
  <mergeCells count="9">
    <mergeCell ref="C52:D52"/>
    <mergeCell ref="C53:D53"/>
    <mergeCell ref="C56:D56"/>
    <mergeCell ref="G25:J25"/>
    <mergeCell ref="G32:J32"/>
    <mergeCell ref="G42:J43"/>
    <mergeCell ref="G51:I52"/>
    <mergeCell ref="J51:J52"/>
    <mergeCell ref="G53:J55"/>
  </mergeCells>
  <phoneticPr fontId="0" type="noConversion"/>
  <conditionalFormatting sqref="C24">
    <cfRule type="cellIs" dxfId="198" priority="7" stopIfTrue="1" operator="greaterThan">
      <formula>$C$26*0.1</formula>
    </cfRule>
  </conditionalFormatting>
  <conditionalFormatting sqref="C43">
    <cfRule type="expression" dxfId="197" priority="20" stopIfTrue="1">
      <formula>$C$8&gt;0</formula>
    </cfRule>
  </conditionalFormatting>
  <conditionalFormatting sqref="C45">
    <cfRule type="cellIs" dxfId="196" priority="16" stopIfTrue="1" operator="greaterThan">
      <formula>$C$27*0.25</formula>
    </cfRule>
  </conditionalFormatting>
  <conditionalFormatting sqref="C47">
    <cfRule type="cellIs" dxfId="195" priority="12" stopIfTrue="1" operator="greaterThan">
      <formula>$C$49*0.1</formula>
    </cfRule>
  </conditionalFormatting>
  <conditionalFormatting sqref="C49">
    <cfRule type="expression" dxfId="194" priority="4">
      <formula>$C$49&gt;$C$51</formula>
    </cfRule>
  </conditionalFormatting>
  <conditionalFormatting sqref="C50">
    <cfRule type="expression" dxfId="193" priority="3">
      <formula>$C$50&lt;0</formula>
    </cfRule>
  </conditionalFormatting>
  <conditionalFormatting sqref="D24">
    <cfRule type="cellIs" dxfId="192" priority="8" stopIfTrue="1" operator="greaterThan">
      <formula>$D$26*0.1</formula>
    </cfRule>
  </conditionalFormatting>
  <conditionalFormatting sqref="D43">
    <cfRule type="expression" dxfId="191" priority="18" stopIfTrue="1">
      <formula>$D$8&gt;0</formula>
    </cfRule>
  </conditionalFormatting>
  <conditionalFormatting sqref="D45">
    <cfRule type="cellIs" dxfId="190" priority="17" stopIfTrue="1" operator="greaterThan">
      <formula>$D$27*0.25</formula>
    </cfRule>
  </conditionalFormatting>
  <conditionalFormatting sqref="D47">
    <cfRule type="cellIs" dxfId="189" priority="11" stopIfTrue="1" operator="greaterThan">
      <formula>$D$49*0.1</formula>
    </cfRule>
  </conditionalFormatting>
  <conditionalFormatting sqref="D49">
    <cfRule type="expression" dxfId="188" priority="2">
      <formula>$D$49&gt;$D$51</formula>
    </cfRule>
  </conditionalFormatting>
  <conditionalFormatting sqref="D50">
    <cfRule type="cellIs" dxfId="187" priority="1" operator="lessThan">
      <formula>0</formula>
    </cfRule>
  </conditionalFormatting>
  <conditionalFormatting sqref="E24">
    <cfRule type="cellIs" dxfId="186" priority="28" stopIfTrue="1" operator="greaterThan">
      <formula>$E$26*0.1+$E$56</formula>
    </cfRule>
  </conditionalFormatting>
  <conditionalFormatting sqref="E43">
    <cfRule type="expression" dxfId="185" priority="22" stopIfTrue="1">
      <formula>$E$56&gt;0</formula>
    </cfRule>
  </conditionalFormatting>
  <conditionalFormatting sqref="E45">
    <cfRule type="cellIs" dxfId="184" priority="29" stopIfTrue="1" operator="greaterThan">
      <formula>$E$27*0.25+$E$56</formula>
    </cfRule>
  </conditionalFormatting>
  <conditionalFormatting sqref="E47">
    <cfRule type="cellIs" dxfId="183" priority="10" stopIfTrue="1" operator="greaterThan">
      <formula>$E$49*0.1</formula>
    </cfRule>
  </conditionalFormatting>
  <conditionalFormatting sqref="E52">
    <cfRule type="cellIs" dxfId="182" priority="9" stopIfTrue="1" operator="greaterThan">
      <formula>$E$49/0.95-$E$49</formula>
    </cfRule>
  </conditionalFormatting>
  <conditionalFormatting sqref="J51">
    <cfRule type="containsText" dxfId="181" priority="5" operator="containsText" text="Yes">
      <formula>NOT(ISERROR(SEARCH("Yes",J51)))</formula>
    </cfRule>
  </conditionalFormatting>
  <pageMargins left="0.9" right="0.9" top="0.96" bottom="0.5" header="0.41" footer="0.3"/>
  <pageSetup scale="78" orientation="portrait" blackAndWhite="1" r:id="rId1"/>
  <headerFooter alignWithMargins="0">
    <oddHeader xml:space="preserve">&amp;RState of Kansas
Township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rgb="FF00B0F0"/>
    <pageSetUpPr fitToPage="1"/>
  </sheetPr>
  <dimension ref="B1:K101"/>
  <sheetViews>
    <sheetView zoomScaleNormal="100" workbookViewId="0">
      <selection activeCell="B32" sqref="B32"/>
    </sheetView>
  </sheetViews>
  <sheetFormatPr defaultRowHeight="15.75" x14ac:dyDescent="0.25"/>
  <cols>
    <col min="1" max="1" width="2.19921875" style="334" customWidth="1"/>
    <col min="2" max="2" width="28.59765625" style="334" customWidth="1"/>
    <col min="3" max="4" width="14.19921875" style="334" customWidth="1"/>
    <col min="5" max="5" width="14.59765625" style="334" customWidth="1"/>
    <col min="6" max="6" width="7.296875" style="334" customWidth="1"/>
    <col min="7" max="7" width="9.19921875" style="334" customWidth="1"/>
    <col min="8" max="8" width="8.796875" style="334"/>
    <col min="9" max="9" width="4.5" style="334" customWidth="1"/>
    <col min="10" max="10" width="12" style="334" customWidth="1"/>
    <col min="11" max="16384" width="8.796875" style="334"/>
  </cols>
  <sheetData>
    <row r="1" spans="2:10" x14ac:dyDescent="0.25">
      <c r="B1" s="331">
        <f>inputPrYr!D4</f>
        <v>0</v>
      </c>
      <c r="C1" s="331"/>
      <c r="D1" s="332"/>
      <c r="E1" s="333">
        <f>inputPrYr!D10</f>
        <v>2025</v>
      </c>
    </row>
    <row r="2" spans="2:10" x14ac:dyDescent="0.25">
      <c r="B2" s="332"/>
      <c r="C2" s="332"/>
      <c r="D2" s="332"/>
      <c r="E2" s="335"/>
    </row>
    <row r="3" spans="2:10" x14ac:dyDescent="0.25">
      <c r="B3" s="336" t="s">
        <v>327</v>
      </c>
      <c r="C3" s="336"/>
      <c r="D3" s="337"/>
      <c r="E3" s="338"/>
    </row>
    <row r="4" spans="2:10" x14ac:dyDescent="0.25">
      <c r="B4" s="339" t="s">
        <v>328</v>
      </c>
      <c r="C4" s="340" t="s">
        <v>371</v>
      </c>
      <c r="D4" s="341" t="s">
        <v>372</v>
      </c>
      <c r="E4" s="342" t="s">
        <v>373</v>
      </c>
    </row>
    <row r="5" spans="2:10" x14ac:dyDescent="0.25">
      <c r="B5" s="343" t="str">
        <f>inputPrYr!B22</f>
        <v>Debt Service</v>
      </c>
      <c r="C5" s="344" t="str">
        <f>CONCATENATE("Actual for ",$E$1-2,"")</f>
        <v>Actual for 2023</v>
      </c>
      <c r="D5" s="345" t="str">
        <f>CONCATENATE("Estimate for ",$E$1-1,"")</f>
        <v>Estimate for 2024</v>
      </c>
      <c r="E5" s="346" t="str">
        <f>CONCATENATE("Year for ",$E$1,"")</f>
        <v>Year for 2025</v>
      </c>
    </row>
    <row r="6" spans="2:10" x14ac:dyDescent="0.25">
      <c r="B6" s="347" t="s">
        <v>374</v>
      </c>
      <c r="C6" s="348"/>
      <c r="D6" s="349">
        <f>C35</f>
        <v>0</v>
      </c>
      <c r="E6" s="350">
        <f>D35</f>
        <v>0</v>
      </c>
    </row>
    <row r="7" spans="2:10" x14ac:dyDescent="0.25">
      <c r="B7" s="347" t="s">
        <v>332</v>
      </c>
      <c r="C7" s="351"/>
      <c r="D7" s="349"/>
      <c r="E7" s="350"/>
    </row>
    <row r="8" spans="2:10" x14ac:dyDescent="0.25">
      <c r="B8" s="347" t="s">
        <v>96</v>
      </c>
      <c r="C8" s="352"/>
      <c r="D8" s="349">
        <f>IF(inputPrYr!H22&gt;0,inputPrYr!G24,inputPrYr!E22)</f>
        <v>0</v>
      </c>
      <c r="E8" s="353" t="s">
        <v>185</v>
      </c>
    </row>
    <row r="9" spans="2:10" x14ac:dyDescent="0.25">
      <c r="B9" s="347" t="s">
        <v>333</v>
      </c>
      <c r="C9" s="352"/>
      <c r="D9" s="354"/>
      <c r="E9" s="355"/>
    </row>
    <row r="10" spans="2:10" x14ac:dyDescent="0.25">
      <c r="B10" s="347" t="s">
        <v>334</v>
      </c>
      <c r="C10" s="352"/>
      <c r="D10" s="354"/>
      <c r="E10" s="350">
        <f>Mvalloc!D12+Mvalloc!E12</f>
        <v>0</v>
      </c>
      <c r="G10" s="775" t="str">
        <f>CONCATENATE("Desired Carryover Into ",E1+1,"")</f>
        <v>Desired Carryover Into 2026</v>
      </c>
      <c r="H10" s="776"/>
      <c r="I10" s="776"/>
      <c r="J10" s="777"/>
    </row>
    <row r="11" spans="2:10" x14ac:dyDescent="0.25">
      <c r="B11" s="347" t="s">
        <v>335</v>
      </c>
      <c r="C11" s="352"/>
      <c r="D11" s="354"/>
      <c r="E11" s="350">
        <f>Mvalloc!F12+Mvalloc!G12</f>
        <v>0</v>
      </c>
      <c r="G11" s="365"/>
      <c r="H11" s="332"/>
      <c r="I11" s="366"/>
      <c r="J11" s="367"/>
    </row>
    <row r="12" spans="2:10" x14ac:dyDescent="0.25">
      <c r="B12" s="356" t="s">
        <v>375</v>
      </c>
      <c r="C12" s="352"/>
      <c r="D12" s="354"/>
      <c r="E12" s="350">
        <f>Mvalloc!H12+Mvalloc!I12</f>
        <v>0</v>
      </c>
      <c r="G12" s="368" t="s">
        <v>343</v>
      </c>
      <c r="H12" s="366"/>
      <c r="I12" s="366"/>
      <c r="J12" s="369">
        <v>0</v>
      </c>
    </row>
    <row r="13" spans="2:10" x14ac:dyDescent="0.25">
      <c r="B13" s="472" t="s">
        <v>336</v>
      </c>
      <c r="C13" s="352"/>
      <c r="D13" s="354"/>
      <c r="E13" s="350">
        <f>Mvalloc!J12+Mvalloc!K12</f>
        <v>0</v>
      </c>
      <c r="G13" s="365" t="s">
        <v>345</v>
      </c>
      <c r="H13" s="332"/>
      <c r="I13" s="332"/>
      <c r="J13" s="370" t="str">
        <f>IF(J12=0,"",ROUND((J12+E41-G25)/inputOth!E11*1000,3)-G30)</f>
        <v/>
      </c>
    </row>
    <row r="14" spans="2:10" x14ac:dyDescent="0.25">
      <c r="B14" s="472" t="s">
        <v>337</v>
      </c>
      <c r="C14" s="352"/>
      <c r="D14" s="354"/>
      <c r="E14" s="350">
        <f>Mvalloc!L12+Mvalloc!M12</f>
        <v>0</v>
      </c>
      <c r="G14" s="371" t="str">
        <f>CONCATENATE("",E1," Tot Exp/Non-Appr Must Be:")</f>
        <v>2025 Tot Exp/Non-Appr Must Be:</v>
      </c>
      <c r="H14" s="372"/>
      <c r="I14" s="373"/>
      <c r="J14" s="374">
        <f>IF(J12&gt;0,IF(E38&lt;E23,IF(J12=G25,E38,((J12-G25)*(1-D40))+E23),E38+(J12-G25)),0)</f>
        <v>0</v>
      </c>
    </row>
    <row r="15" spans="2:10" x14ac:dyDescent="0.25">
      <c r="B15" s="357"/>
      <c r="C15" s="352"/>
      <c r="D15" s="354"/>
      <c r="E15" s="358"/>
      <c r="G15" s="375" t="s">
        <v>347</v>
      </c>
      <c r="H15" s="376"/>
      <c r="I15" s="376"/>
      <c r="J15" s="377">
        <f>IF(J12&gt;0,J14-E38,0)</f>
        <v>0</v>
      </c>
    </row>
    <row r="16" spans="2:10" x14ac:dyDescent="0.25">
      <c r="B16" s="357"/>
      <c r="C16" s="352"/>
      <c r="D16" s="354"/>
      <c r="E16" s="355"/>
    </row>
    <row r="17" spans="2:11" x14ac:dyDescent="0.25">
      <c r="B17" s="357"/>
      <c r="C17" s="352"/>
      <c r="D17" s="354"/>
      <c r="E17" s="355"/>
      <c r="G17" s="775" t="str">
        <f>CONCATENATE("Projected Carryover Into ",E1+1,"")</f>
        <v>Projected Carryover Into 2026</v>
      </c>
      <c r="H17" s="780"/>
      <c r="I17" s="780"/>
      <c r="J17" s="779"/>
    </row>
    <row r="18" spans="2:11" x14ac:dyDescent="0.25">
      <c r="B18" s="359" t="s">
        <v>339</v>
      </c>
      <c r="C18" s="352"/>
      <c r="D18" s="354"/>
      <c r="E18" s="355"/>
      <c r="G18" s="365"/>
      <c r="H18" s="366"/>
      <c r="I18" s="366"/>
      <c r="J18" s="379"/>
    </row>
    <row r="19" spans="2:11" x14ac:dyDescent="0.25">
      <c r="B19" s="378" t="s">
        <v>191</v>
      </c>
      <c r="C19" s="352"/>
      <c r="D19" s="354"/>
      <c r="E19" s="429">
        <f>'NR Rebate'!E7*-1</f>
        <v>0</v>
      </c>
      <c r="G19" s="380">
        <f>D35</f>
        <v>0</v>
      </c>
      <c r="H19" s="381" t="str">
        <f>CONCATENATE("",E1-1," Ending Cash Balance (est.)")</f>
        <v>2024 Ending Cash Balance (est.)</v>
      </c>
      <c r="I19" s="382"/>
      <c r="J19" s="379"/>
    </row>
    <row r="20" spans="2:11" x14ac:dyDescent="0.25">
      <c r="B20" s="347" t="s">
        <v>340</v>
      </c>
      <c r="C20" s="360"/>
      <c r="D20" s="354"/>
      <c r="E20" s="355"/>
      <c r="G20" s="380">
        <f>E22</f>
        <v>0</v>
      </c>
      <c r="H20" s="366" t="str">
        <f>CONCATENATE("",E1," Non-AV Receipts (est.)")</f>
        <v>2025 Non-AV Receipts (est.)</v>
      </c>
      <c r="I20" s="382"/>
      <c r="J20" s="379"/>
    </row>
    <row r="21" spans="2:11" x14ac:dyDescent="0.25">
      <c r="B21" s="347" t="s">
        <v>376</v>
      </c>
      <c r="C21" s="361" t="str">
        <f>IF(C22*0.1&lt;C20,"Exceed 10% Rule","")</f>
        <v/>
      </c>
      <c r="D21" s="361" t="str">
        <f>IF(D22*0.1&lt;D20,"Exceeds 10% Rule","")</f>
        <v/>
      </c>
      <c r="E21" s="362" t="str">
        <f>IF((E41+E22)*0.1&lt;E20,"Exceed 10% Rule","")</f>
        <v/>
      </c>
      <c r="G21" s="386">
        <f>IF(E40&gt;0,E39,E41)</f>
        <v>0</v>
      </c>
      <c r="H21" s="366" t="str">
        <f>CONCATENATE("",E1," Ad Valorem Tax (est.)")</f>
        <v>2025 Ad Valorem Tax (est.)</v>
      </c>
      <c r="I21" s="366"/>
      <c r="J21" s="379"/>
      <c r="K21" s="639" t="str">
        <f>IF(G21=E41,"","Note: Does not include Delinquent Taxes")</f>
        <v/>
      </c>
    </row>
    <row r="22" spans="2:11" x14ac:dyDescent="0.25">
      <c r="B22" s="363" t="s">
        <v>342</v>
      </c>
      <c r="C22" s="597">
        <f>SUM(C8:C20)</f>
        <v>0</v>
      </c>
      <c r="D22" s="597">
        <f>SUM(D8:D20)</f>
        <v>0</v>
      </c>
      <c r="E22" s="597">
        <f>SUM(E9:E20)</f>
        <v>0</v>
      </c>
      <c r="G22" s="380">
        <f>SUM(G19:G21)</f>
        <v>0</v>
      </c>
      <c r="H22" s="366" t="str">
        <f>CONCATENATE("Total ",E1," Resources Available")</f>
        <v>Total 2025 Resources Available</v>
      </c>
      <c r="I22" s="382"/>
      <c r="J22" s="379"/>
    </row>
    <row r="23" spans="2:11" x14ac:dyDescent="0.25">
      <c r="B23" s="363" t="s">
        <v>344</v>
      </c>
      <c r="C23" s="597">
        <f>C6+C22</f>
        <v>0</v>
      </c>
      <c r="D23" s="597">
        <f>D6+D22</f>
        <v>0</v>
      </c>
      <c r="E23" s="597">
        <f>E6+E22</f>
        <v>0</v>
      </c>
      <c r="G23" s="387"/>
      <c r="H23" s="366"/>
      <c r="I23" s="366"/>
      <c r="J23" s="379"/>
    </row>
    <row r="24" spans="2:11" x14ac:dyDescent="0.25">
      <c r="B24" s="347" t="s">
        <v>346</v>
      </c>
      <c r="C24" s="347"/>
      <c r="D24" s="349"/>
      <c r="E24" s="350"/>
      <c r="G24" s="386">
        <f>C34</f>
        <v>0</v>
      </c>
      <c r="H24" s="366" t="str">
        <f>CONCATENATE("Less ",E1-2," Expenditures")</f>
        <v>Less 2023 Expenditures</v>
      </c>
      <c r="I24" s="366"/>
      <c r="J24" s="379"/>
    </row>
    <row r="25" spans="2:11" x14ac:dyDescent="0.25">
      <c r="B25" s="357"/>
      <c r="C25" s="352"/>
      <c r="D25" s="354"/>
      <c r="E25" s="355"/>
      <c r="G25" s="390">
        <f>G22-G24</f>
        <v>0</v>
      </c>
      <c r="H25" s="391" t="str">
        <f>CONCATENATE("Projected ",E1+1," carryover (est.)")</f>
        <v>Projected 2026 carryover (est.)</v>
      </c>
      <c r="I25" s="392"/>
      <c r="J25" s="393"/>
    </row>
    <row r="26" spans="2:11" x14ac:dyDescent="0.25">
      <c r="B26" s="357"/>
      <c r="C26" s="352"/>
      <c r="D26" s="354"/>
      <c r="E26" s="355"/>
    </row>
    <row r="27" spans="2:11" x14ac:dyDescent="0.25">
      <c r="B27" s="357"/>
      <c r="C27" s="354"/>
      <c r="D27" s="354"/>
      <c r="E27" s="355"/>
      <c r="G27" s="757" t="s">
        <v>355</v>
      </c>
      <c r="H27" s="758"/>
      <c r="I27" s="758"/>
      <c r="J27" s="759"/>
    </row>
    <row r="28" spans="2:11" x14ac:dyDescent="0.25">
      <c r="B28" s="357"/>
      <c r="C28" s="352"/>
      <c r="D28" s="354"/>
      <c r="E28" s="355"/>
      <c r="G28" s="760"/>
      <c r="H28" s="761"/>
      <c r="I28" s="761"/>
      <c r="J28" s="762"/>
    </row>
    <row r="29" spans="2:11" x14ac:dyDescent="0.25">
      <c r="B29" s="357"/>
      <c r="C29" s="352"/>
      <c r="D29" s="354"/>
      <c r="E29" s="355"/>
      <c r="G29" s="587" t="str">
        <f>'Budget Hearing Notice'!H19</f>
        <v xml:space="preserve"> </v>
      </c>
      <c r="H29" s="588" t="str">
        <f>CONCATENATE("",E1," Estimated Fund Mill Rate")</f>
        <v>2025 Estimated Fund Mill Rate</v>
      </c>
      <c r="I29" s="589"/>
      <c r="J29" s="590"/>
    </row>
    <row r="30" spans="2:11" x14ac:dyDescent="0.25">
      <c r="B30" s="357"/>
      <c r="C30" s="352"/>
      <c r="D30" s="354"/>
      <c r="E30" s="355"/>
      <c r="G30" s="591" t="str">
        <f>'Budget Hearing Notice'!E19</f>
        <v xml:space="preserve">  </v>
      </c>
      <c r="H30" s="588" t="str">
        <f>CONCATENATE("",E1-1," Fund Mill Rate")</f>
        <v>2024 Fund Mill Rate</v>
      </c>
      <c r="I30" s="589"/>
      <c r="J30" s="590"/>
    </row>
    <row r="31" spans="2:11" x14ac:dyDescent="0.25">
      <c r="B31" s="378" t="str">
        <f>CONCATENATE("Cash Reserve (",E1," column)")</f>
        <v>Cash Reserve (2025 column)</v>
      </c>
      <c r="C31" s="352"/>
      <c r="D31" s="354"/>
      <c r="E31" s="355"/>
      <c r="G31" s="592">
        <f>inputOth!E36</f>
        <v>0</v>
      </c>
      <c r="H31" s="593" t="s">
        <v>359</v>
      </c>
      <c r="I31" s="589"/>
      <c r="J31" s="590"/>
    </row>
    <row r="32" spans="2:11" x14ac:dyDescent="0.25">
      <c r="B32" s="378" t="s">
        <v>340</v>
      </c>
      <c r="C32" s="360"/>
      <c r="D32" s="354"/>
      <c r="E32" s="355"/>
      <c r="G32" s="592">
        <f>SUM('Budget Hearing Notice'!H18:H20,'Budget Hearing Notice'!H25:H29)</f>
        <v>0</v>
      </c>
      <c r="H32" s="593" t="s">
        <v>361</v>
      </c>
      <c r="I32" s="589"/>
      <c r="J32" s="590"/>
    </row>
    <row r="33" spans="2:10" x14ac:dyDescent="0.25">
      <c r="B33" s="378" t="s">
        <v>362</v>
      </c>
      <c r="C33" s="361" t="str">
        <f>IF(C34*0.1&lt;C32,"Exceed 10% Rule","")</f>
        <v/>
      </c>
      <c r="D33" s="361" t="str">
        <f>IF(D34*0.1&lt;D32,"Exceed 10% Rule","")</f>
        <v/>
      </c>
      <c r="E33" s="362" t="str">
        <f>IF(E34*0.1&lt;E32,"Exceed 10% Rule","")</f>
        <v/>
      </c>
      <c r="G33" s="587">
        <f>'Budget Hearing Notice'!H36</f>
        <v>0</v>
      </c>
      <c r="H33" s="588" t="str">
        <f>CONCATENATE(E1," Estimated Total Mill Rate")</f>
        <v>2025 Estimated Total Mill Rate</v>
      </c>
      <c r="I33" s="589"/>
      <c r="J33" s="590"/>
    </row>
    <row r="34" spans="2:10" x14ac:dyDescent="0.25">
      <c r="B34" s="363" t="s">
        <v>363</v>
      </c>
      <c r="C34" s="597">
        <f>SUM(C25:C32)</f>
        <v>0</v>
      </c>
      <c r="D34" s="597">
        <f>SUM(D25:D32)</f>
        <v>0</v>
      </c>
      <c r="E34" s="597">
        <f>SUM(E25:E32)</f>
        <v>0</v>
      </c>
      <c r="G34" s="594">
        <f>'Budget Hearing Notice'!E36</f>
        <v>0</v>
      </c>
      <c r="H34" s="588" t="str">
        <f>CONCATENATE(E1-1," Total Mill Rate")</f>
        <v>2024 Total Mill Rate</v>
      </c>
      <c r="I34" s="589"/>
      <c r="J34" s="590"/>
    </row>
    <row r="35" spans="2:10" x14ac:dyDescent="0.25">
      <c r="B35" s="347" t="s">
        <v>364</v>
      </c>
      <c r="C35" s="429">
        <f>C23-C34</f>
        <v>0</v>
      </c>
      <c r="D35" s="429">
        <f>D23-D34</f>
        <v>0</v>
      </c>
      <c r="E35" s="353" t="s">
        <v>185</v>
      </c>
      <c r="F35" s="383"/>
      <c r="G35" s="595"/>
      <c r="H35" s="471"/>
      <c r="I35" s="471"/>
      <c r="J35" s="596"/>
    </row>
    <row r="36" spans="2:10" x14ac:dyDescent="0.25">
      <c r="B36" s="430" t="str">
        <f>CONCATENATE("",E1-2,"/",E1-1,"/",E1," Budget Authority Amount:")</f>
        <v>2023/2024/2025 Budget Authority Amount:</v>
      </c>
      <c r="C36" s="429">
        <f>inputOth!B92</f>
        <v>0</v>
      </c>
      <c r="D36" s="428">
        <f>inputPrYr!D22</f>
        <v>0</v>
      </c>
      <c r="E36" s="350">
        <f>E34</f>
        <v>0</v>
      </c>
      <c r="F36" s="385"/>
      <c r="G36" s="763" t="s">
        <v>365</v>
      </c>
      <c r="H36" s="764"/>
      <c r="I36" s="764"/>
      <c r="J36" s="767" t="str">
        <f>IF(G32&gt;G31, "Yes", "No")</f>
        <v>No</v>
      </c>
    </row>
    <row r="37" spans="2:10" x14ac:dyDescent="0.25">
      <c r="B37" s="384"/>
      <c r="C37" s="748" t="s">
        <v>366</v>
      </c>
      <c r="D37" s="749"/>
      <c r="E37" s="355"/>
      <c r="F37" s="640" t="str">
        <f>IF(E34/0.95-E34&lt;E37,"Exceeds 5%","")</f>
        <v/>
      </c>
      <c r="G37" s="765"/>
      <c r="H37" s="766"/>
      <c r="I37" s="766"/>
      <c r="J37" s="768"/>
    </row>
    <row r="38" spans="2:10" x14ac:dyDescent="0.25">
      <c r="B38" s="641" t="str">
        <f>CONCATENATE(C98,"     ",D98)</f>
        <v xml:space="preserve">     </v>
      </c>
      <c r="C38" s="750" t="s">
        <v>367</v>
      </c>
      <c r="D38" s="751"/>
      <c r="E38" s="350">
        <f>E34+E37</f>
        <v>0</v>
      </c>
      <c r="F38" s="383"/>
      <c r="G38" s="769" t="str">
        <f>IF(J36="Yes", "Follow procedure prescribed by KSA 79-2988 to exceed the Revenue Neutral Rate.", " ")</f>
        <v xml:space="preserve"> </v>
      </c>
      <c r="H38" s="769"/>
      <c r="I38" s="769"/>
      <c r="J38" s="769"/>
    </row>
    <row r="39" spans="2:10" x14ac:dyDescent="0.25">
      <c r="B39" s="641" t="str">
        <f>CONCATENATE(C99,"     ",D99)</f>
        <v xml:space="preserve">     </v>
      </c>
      <c r="C39" s="388"/>
      <c r="D39" s="335" t="s">
        <v>368</v>
      </c>
      <c r="E39" s="429">
        <f>IF(E38-E23&gt;0,E38-E23,0)</f>
        <v>0</v>
      </c>
      <c r="F39" s="383"/>
      <c r="G39" s="770"/>
      <c r="H39" s="770"/>
      <c r="I39" s="770"/>
      <c r="J39" s="770"/>
    </row>
    <row r="40" spans="2:10" x14ac:dyDescent="0.25">
      <c r="B40" s="335"/>
      <c r="C40" s="621" t="s">
        <v>369</v>
      </c>
      <c r="D40" s="389">
        <f>inputOth!E85</f>
        <v>0</v>
      </c>
      <c r="E40" s="350">
        <f>ROUND(IF(D40&gt;0,(E39*D40),0),0)</f>
        <v>0</v>
      </c>
      <c r="F40" s="383"/>
      <c r="G40" s="770"/>
      <c r="H40" s="770"/>
      <c r="I40" s="770"/>
      <c r="J40" s="770"/>
    </row>
    <row r="41" spans="2:10" x14ac:dyDescent="0.25">
      <c r="B41" s="332"/>
      <c r="C41" s="771" t="str">
        <f>CONCATENATE("Amount of  ",E1-1," Ad Valorem Tax")</f>
        <v>Amount of  2024 Ad Valorem Tax</v>
      </c>
      <c r="D41" s="772"/>
      <c r="E41" s="429">
        <f>SUM(E39:E40)</f>
        <v>0</v>
      </c>
      <c r="F41" s="383"/>
    </row>
    <row r="42" spans="2:10" x14ac:dyDescent="0.25">
      <c r="B42" s="332"/>
      <c r="C42" s="771"/>
      <c r="D42" s="772"/>
      <c r="E42" s="394"/>
      <c r="F42" s="383"/>
    </row>
    <row r="43" spans="2:10" x14ac:dyDescent="0.25">
      <c r="B43" s="332"/>
      <c r="C43" s="623"/>
      <c r="D43" s="332"/>
      <c r="E43" s="332"/>
      <c r="F43" s="383"/>
    </row>
    <row r="44" spans="2:10" x14ac:dyDescent="0.25">
      <c r="B44" s="339"/>
      <c r="C44" s="339"/>
      <c r="D44" s="337"/>
      <c r="E44" s="337"/>
      <c r="F44" s="383"/>
    </row>
    <row r="45" spans="2:10" x14ac:dyDescent="0.25">
      <c r="B45" s="339" t="s">
        <v>328</v>
      </c>
      <c r="C45" s="340" t="s">
        <v>371</v>
      </c>
      <c r="D45" s="341" t="s">
        <v>372</v>
      </c>
      <c r="E45" s="342" t="s">
        <v>373</v>
      </c>
      <c r="F45" s="383"/>
    </row>
    <row r="46" spans="2:10" x14ac:dyDescent="0.25">
      <c r="B46" s="395" t="str">
        <f>inputPrYr!B23</f>
        <v>Library</v>
      </c>
      <c r="C46" s="344" t="str">
        <f>CONCATENATE("Actual for ",$E$1-2,"")</f>
        <v>Actual for 2023</v>
      </c>
      <c r="D46" s="345" t="str">
        <f>CONCATENATE("Estimate for ",$E$1-1,"")</f>
        <v>Estimate for 2024</v>
      </c>
      <c r="E46" s="346" t="str">
        <f>CONCATENATE("Year for ",$E$1,"")</f>
        <v>Year for 2025</v>
      </c>
      <c r="F46" s="383"/>
    </row>
    <row r="47" spans="2:10" x14ac:dyDescent="0.25">
      <c r="B47" s="347" t="s">
        <v>374</v>
      </c>
      <c r="C47" s="352">
        <v>0</v>
      </c>
      <c r="D47" s="349">
        <f>C76</f>
        <v>0</v>
      </c>
      <c r="E47" s="350">
        <f>D76</f>
        <v>0</v>
      </c>
      <c r="F47" s="383"/>
    </row>
    <row r="48" spans="2:10" x14ac:dyDescent="0.25">
      <c r="B48" s="396" t="s">
        <v>332</v>
      </c>
      <c r="C48" s="347"/>
      <c r="D48" s="349"/>
      <c r="E48" s="350"/>
      <c r="F48" s="383"/>
    </row>
    <row r="49" spans="2:11" x14ac:dyDescent="0.25">
      <c r="B49" s="347" t="s">
        <v>96</v>
      </c>
      <c r="C49" s="360"/>
      <c r="D49" s="349">
        <f>IF(inputPrYr!H22&gt;0,inputPrYr!G25,inputPrYr!E23)</f>
        <v>0</v>
      </c>
      <c r="E49" s="353" t="s">
        <v>185</v>
      </c>
      <c r="F49" s="383"/>
    </row>
    <row r="50" spans="2:11" x14ac:dyDescent="0.25">
      <c r="B50" s="347" t="s">
        <v>333</v>
      </c>
      <c r="C50" s="360"/>
      <c r="D50" s="354"/>
      <c r="E50" s="355"/>
      <c r="F50" s="383"/>
    </row>
    <row r="51" spans="2:11" x14ac:dyDescent="0.25">
      <c r="B51" s="347" t="s">
        <v>334</v>
      </c>
      <c r="C51" s="360"/>
      <c r="D51" s="354"/>
      <c r="E51" s="350">
        <f>Mvalloc!D13+Mvalloc!E13</f>
        <v>0</v>
      </c>
      <c r="F51" s="383"/>
    </row>
    <row r="52" spans="2:11" x14ac:dyDescent="0.25">
      <c r="B52" s="347" t="s">
        <v>335</v>
      </c>
      <c r="C52" s="360"/>
      <c r="D52" s="354"/>
      <c r="E52" s="350">
        <f>Mvalloc!F13+Mvalloc!G13</f>
        <v>0</v>
      </c>
      <c r="F52" s="383"/>
      <c r="G52" s="775" t="str">
        <f>CONCATENATE("Desired Carryover Into ",E1+1,"")</f>
        <v>Desired Carryover Into 2026</v>
      </c>
      <c r="H52" s="776"/>
      <c r="I52" s="776"/>
      <c r="J52" s="777"/>
    </row>
    <row r="53" spans="2:11" x14ac:dyDescent="0.25">
      <c r="B53" s="356" t="s">
        <v>375</v>
      </c>
      <c r="C53" s="360"/>
      <c r="D53" s="354"/>
      <c r="E53" s="350">
        <f>Mvalloc!H13+Mvalloc!I13</f>
        <v>0</v>
      </c>
      <c r="G53" s="365"/>
      <c r="H53" s="332"/>
      <c r="I53" s="366"/>
      <c r="J53" s="367"/>
    </row>
    <row r="54" spans="2:11" x14ac:dyDescent="0.25">
      <c r="B54" s="472" t="s">
        <v>336</v>
      </c>
      <c r="C54" s="360"/>
      <c r="D54" s="354"/>
      <c r="E54" s="350">
        <f>Mvalloc!J13+Mvalloc!K13</f>
        <v>0</v>
      </c>
      <c r="G54" s="368" t="s">
        <v>343</v>
      </c>
      <c r="H54" s="366"/>
      <c r="I54" s="366"/>
      <c r="J54" s="369">
        <v>0</v>
      </c>
    </row>
    <row r="55" spans="2:11" x14ac:dyDescent="0.25">
      <c r="B55" s="472" t="s">
        <v>337</v>
      </c>
      <c r="C55" s="360"/>
      <c r="D55" s="354"/>
      <c r="E55" s="350">
        <f>Mvalloc!L13+Mvalloc!M13</f>
        <v>0</v>
      </c>
      <c r="G55" s="365" t="s">
        <v>345</v>
      </c>
      <c r="H55" s="332"/>
      <c r="I55" s="332"/>
      <c r="J55" s="370" t="str">
        <f>IF(J54=0,"",ROUND((J54+E82-G67)/inputOth!E11*1000,3)-G72)</f>
        <v/>
      </c>
    </row>
    <row r="56" spans="2:11" x14ac:dyDescent="0.25">
      <c r="B56" s="357"/>
      <c r="C56" s="360"/>
      <c r="D56" s="354"/>
      <c r="E56" s="358"/>
      <c r="G56" s="371" t="str">
        <f>CONCATENATE("",E1," Tot Exp/Non-Appr Must Be:")</f>
        <v>2025 Tot Exp/Non-Appr Must Be:</v>
      </c>
      <c r="H56" s="372"/>
      <c r="I56" s="373"/>
      <c r="J56" s="374">
        <f>IF(J54&gt;0,IF(E79&lt;E64,IF(J54=G67,E79,((J54-G67)*(1-D81))+E64),E79+(J54-G67)),0)</f>
        <v>0</v>
      </c>
    </row>
    <row r="57" spans="2:11" x14ac:dyDescent="0.25">
      <c r="B57" s="357"/>
      <c r="C57" s="360"/>
      <c r="D57" s="354"/>
      <c r="E57" s="355"/>
      <c r="G57" s="375" t="s">
        <v>347</v>
      </c>
      <c r="H57" s="376"/>
      <c r="I57" s="376"/>
      <c r="J57" s="377">
        <f>IF(J54&gt;0,J56-E79,0)</f>
        <v>0</v>
      </c>
    </row>
    <row r="58" spans="2:11" x14ac:dyDescent="0.25">
      <c r="B58" s="357"/>
      <c r="C58" s="360"/>
      <c r="D58" s="354"/>
      <c r="E58" s="355"/>
    </row>
    <row r="59" spans="2:11" x14ac:dyDescent="0.25">
      <c r="B59" s="359" t="s">
        <v>339</v>
      </c>
      <c r="C59" s="360"/>
      <c r="D59" s="354"/>
      <c r="E59" s="355"/>
      <c r="G59" s="775" t="str">
        <f>CONCATENATE("Projected Carryover Into ",E1+1,"")</f>
        <v>Projected Carryover Into 2026</v>
      </c>
      <c r="H59" s="778"/>
      <c r="I59" s="778"/>
      <c r="J59" s="779"/>
    </row>
    <row r="60" spans="2:11" x14ac:dyDescent="0.25">
      <c r="B60" s="356" t="s">
        <v>191</v>
      </c>
      <c r="C60" s="360"/>
      <c r="D60" s="354"/>
      <c r="E60" s="350">
        <f>'NR Rebate'!E8*-1</f>
        <v>0</v>
      </c>
      <c r="G60" s="398"/>
      <c r="H60" s="332"/>
      <c r="I60" s="332"/>
      <c r="J60" s="399"/>
    </row>
    <row r="61" spans="2:11" x14ac:dyDescent="0.25">
      <c r="B61" s="347" t="s">
        <v>340</v>
      </c>
      <c r="C61" s="360"/>
      <c r="D61" s="360"/>
      <c r="E61" s="397"/>
      <c r="G61" s="380">
        <f>D76</f>
        <v>0</v>
      </c>
      <c r="H61" s="381" t="str">
        <f>CONCATENATE("",E1-1," Ending Cash Balance (est.)")</f>
        <v>2024 Ending Cash Balance (est.)</v>
      </c>
      <c r="I61" s="382"/>
      <c r="J61" s="399"/>
    </row>
    <row r="62" spans="2:11" x14ac:dyDescent="0.25">
      <c r="B62" s="347" t="s">
        <v>376</v>
      </c>
      <c r="C62" s="361" t="str">
        <f>IF(C63*0.1&lt;C61,"Exceed 10% Rule","")</f>
        <v/>
      </c>
      <c r="D62" s="361" t="str">
        <f>IF(D63*0.1&lt;D61,"Exceeds 10% Rule","")</f>
        <v/>
      </c>
      <c r="E62" s="362" t="str">
        <f>IF((E82+E63)*0.1&lt;E61,"Exceed 10% Rule","")</f>
        <v/>
      </c>
      <c r="G62" s="380">
        <f>E63</f>
        <v>0</v>
      </c>
      <c r="H62" s="366" t="str">
        <f>CONCATENATE("",E1," Non-AV Receipts (est.)")</f>
        <v>2025 Non-AV Receipts (est.)</v>
      </c>
      <c r="I62" s="382"/>
      <c r="J62" s="399"/>
    </row>
    <row r="63" spans="2:11" x14ac:dyDescent="0.25">
      <c r="B63" s="363" t="s">
        <v>342</v>
      </c>
      <c r="C63" s="364">
        <f>SUM(C49:C61)</f>
        <v>0</v>
      </c>
      <c r="D63" s="364">
        <f>SUM(D49:D61)</f>
        <v>0</v>
      </c>
      <c r="E63" s="364">
        <f>SUM(E50:E61)</f>
        <v>0</v>
      </c>
      <c r="G63" s="386">
        <f>IF(E81&gt;0,E80,E82)</f>
        <v>0</v>
      </c>
      <c r="H63" s="366" t="str">
        <f>CONCATENATE("",E1," Ad Valorem Tax (est.)")</f>
        <v>2025 Ad Valorem Tax (est.)</v>
      </c>
      <c r="I63" s="366"/>
      <c r="J63" s="399"/>
      <c r="K63" s="639" t="str">
        <f>IF(G63=E82,"","Note: Does not include Delinquent Taxes")</f>
        <v/>
      </c>
    </row>
    <row r="64" spans="2:11" x14ac:dyDescent="0.25">
      <c r="B64" s="363" t="s">
        <v>344</v>
      </c>
      <c r="C64" s="364">
        <f>C47+C63</f>
        <v>0</v>
      </c>
      <c r="D64" s="364">
        <f>D47+D63</f>
        <v>0</v>
      </c>
      <c r="E64" s="364">
        <f>E47+E63</f>
        <v>0</v>
      </c>
      <c r="G64" s="400">
        <f>SUM(G61:G63)</f>
        <v>0</v>
      </c>
      <c r="H64" s="366" t="str">
        <f>CONCATENATE("Total ",E1," Resources Available")</f>
        <v>Total 2025 Resources Available</v>
      </c>
      <c r="I64" s="401"/>
      <c r="J64" s="399"/>
    </row>
    <row r="65" spans="2:10" x14ac:dyDescent="0.25">
      <c r="B65" s="347" t="s">
        <v>346</v>
      </c>
      <c r="C65" s="347"/>
      <c r="D65" s="349"/>
      <c r="E65" s="350"/>
      <c r="G65" s="402"/>
      <c r="H65" s="403"/>
      <c r="I65" s="332"/>
      <c r="J65" s="399"/>
    </row>
    <row r="66" spans="2:10" x14ac:dyDescent="0.25">
      <c r="B66" s="357"/>
      <c r="C66" s="352"/>
      <c r="D66" s="354"/>
      <c r="E66" s="355"/>
      <c r="G66" s="386">
        <f>ROUND(C75*0.05+C75,0)</f>
        <v>0</v>
      </c>
      <c r="H66" s="366" t="str">
        <f>CONCATENATE("Less ",E1-2," Expenditures + 5%")</f>
        <v>Less 2023 Expenditures + 5%</v>
      </c>
      <c r="I66" s="401"/>
      <c r="J66" s="399"/>
    </row>
    <row r="67" spans="2:10" x14ac:dyDescent="0.25">
      <c r="B67" s="357"/>
      <c r="C67" s="352"/>
      <c r="D67" s="354"/>
      <c r="E67" s="355"/>
      <c r="G67" s="390">
        <f>G64-G66</f>
        <v>0</v>
      </c>
      <c r="H67" s="391" t="str">
        <f>CONCATENATE("Projected ",E1+1," carryover (est.)")</f>
        <v>Projected 2026 carryover (est.)</v>
      </c>
      <c r="I67" s="404"/>
      <c r="J67" s="405"/>
    </row>
    <row r="68" spans="2:10" x14ac:dyDescent="0.25">
      <c r="B68" s="357"/>
      <c r="C68" s="352"/>
      <c r="D68" s="354"/>
      <c r="E68" s="355"/>
    </row>
    <row r="69" spans="2:10" x14ac:dyDescent="0.25">
      <c r="B69" s="357"/>
      <c r="C69" s="352"/>
      <c r="D69" s="354"/>
      <c r="E69" s="355"/>
      <c r="G69" s="757" t="s">
        <v>355</v>
      </c>
      <c r="H69" s="758"/>
      <c r="I69" s="758"/>
      <c r="J69" s="759"/>
    </row>
    <row r="70" spans="2:10" x14ac:dyDescent="0.25">
      <c r="B70" s="357"/>
      <c r="C70" s="352"/>
      <c r="D70" s="354"/>
      <c r="E70" s="355"/>
      <c r="G70" s="760"/>
      <c r="H70" s="761"/>
      <c r="I70" s="761"/>
      <c r="J70" s="762"/>
    </row>
    <row r="71" spans="2:10" x14ac:dyDescent="0.25">
      <c r="B71" s="357"/>
      <c r="C71" s="352"/>
      <c r="D71" s="354"/>
      <c r="E71" s="355"/>
      <c r="G71" s="587" t="str">
        <f>'Budget Hearing Notice'!H20</f>
        <v xml:space="preserve"> </v>
      </c>
      <c r="H71" s="588" t="str">
        <f>CONCATENATE("",2023," Estimated Fund Mill Rate")</f>
        <v>2023 Estimated Fund Mill Rate</v>
      </c>
      <c r="I71" s="589"/>
      <c r="J71" s="590"/>
    </row>
    <row r="72" spans="2:10" x14ac:dyDescent="0.25">
      <c r="B72" s="357"/>
      <c r="C72" s="352"/>
      <c r="D72" s="354"/>
      <c r="E72" s="355"/>
      <c r="F72" s="383"/>
      <c r="G72" s="591" t="str">
        <f>'Budget Hearing Notice'!E20</f>
        <v xml:space="preserve">  </v>
      </c>
      <c r="H72" s="588" t="str">
        <f>CONCATENATE("",2023-1," Fund Mill Rate")</f>
        <v>2022 Fund Mill Rate</v>
      </c>
      <c r="I72" s="589"/>
      <c r="J72" s="590"/>
    </row>
    <row r="73" spans="2:10" x14ac:dyDescent="0.25">
      <c r="B73" s="356" t="s">
        <v>340</v>
      </c>
      <c r="C73" s="360"/>
      <c r="D73" s="354"/>
      <c r="E73" s="355"/>
      <c r="F73" s="383"/>
      <c r="G73" s="592">
        <f>inputOth!E36</f>
        <v>0</v>
      </c>
      <c r="H73" s="593" t="s">
        <v>359</v>
      </c>
      <c r="I73" s="589"/>
      <c r="J73" s="590"/>
    </row>
    <row r="74" spans="2:10" x14ac:dyDescent="0.25">
      <c r="B74" s="356" t="s">
        <v>362</v>
      </c>
      <c r="C74" s="361" t="str">
        <f>IF(C75*0.1&lt;C73,"Exceed 10% Rule","")</f>
        <v/>
      </c>
      <c r="D74" s="361" t="str">
        <f>IF(D75*0.1&lt;D73,"Exceed 10% Rule","")</f>
        <v/>
      </c>
      <c r="E74" s="362" t="str">
        <f>IF(E75*0.1&lt;E73,"Exceed 10% Rule","")</f>
        <v/>
      </c>
      <c r="F74" s="383"/>
      <c r="G74" s="592">
        <f>SUM('Budget Hearing Notice'!H18:H20,'Budget Hearing Notice'!H25:H29)</f>
        <v>0</v>
      </c>
      <c r="H74" s="593" t="s">
        <v>361</v>
      </c>
      <c r="I74" s="589"/>
      <c r="J74" s="590"/>
    </row>
    <row r="75" spans="2:10" x14ac:dyDescent="0.25">
      <c r="B75" s="363" t="s">
        <v>363</v>
      </c>
      <c r="C75" s="364">
        <f>SUM(C66:C73)</f>
        <v>0</v>
      </c>
      <c r="D75" s="364">
        <f>SUM(D66:D73)</f>
        <v>0</v>
      </c>
      <c r="E75" s="364">
        <f>SUM(E66:E73)</f>
        <v>0</v>
      </c>
      <c r="F75" s="383"/>
      <c r="G75" s="587">
        <f>'Budget Hearing Notice'!H36</f>
        <v>0</v>
      </c>
      <c r="H75" s="588" t="str">
        <f>CONCATENATE(2023," Estimated Total Mill Rate")</f>
        <v>2023 Estimated Total Mill Rate</v>
      </c>
      <c r="I75" s="589"/>
      <c r="J75" s="590"/>
    </row>
    <row r="76" spans="2:10" x14ac:dyDescent="0.25">
      <c r="B76" s="347" t="s">
        <v>364</v>
      </c>
      <c r="C76" s="350">
        <f>C64-C75</f>
        <v>0</v>
      </c>
      <c r="D76" s="350">
        <f>D64-D75</f>
        <v>0</v>
      </c>
      <c r="E76" s="353" t="s">
        <v>185</v>
      </c>
      <c r="F76" s="383"/>
      <c r="G76" s="594">
        <f>'Budget Hearing Notice'!E36</f>
        <v>0</v>
      </c>
      <c r="H76" s="588" t="str">
        <f>CONCATENATE(2023-1," Total Mill Rate")</f>
        <v>2022 Total Mill Rate</v>
      </c>
      <c r="I76" s="589"/>
      <c r="J76" s="590"/>
    </row>
    <row r="77" spans="2:10" x14ac:dyDescent="0.25">
      <c r="B77" s="430" t="str">
        <f>CONCATENATE("",E1-2,"/",E1-1,"/",E1," Budget Authority Amount:")</f>
        <v>2023/2024/2025 Budget Authority Amount:</v>
      </c>
      <c r="C77" s="429">
        <f>inputOth!B93</f>
        <v>0</v>
      </c>
      <c r="D77" s="429">
        <f>inputPrYr!D23</f>
        <v>0</v>
      </c>
      <c r="E77" s="350">
        <f>E75</f>
        <v>0</v>
      </c>
      <c r="F77" s="385"/>
      <c r="G77" s="595"/>
      <c r="H77" s="471"/>
      <c r="I77" s="471"/>
      <c r="J77" s="596"/>
    </row>
    <row r="78" spans="2:10" x14ac:dyDescent="0.25">
      <c r="B78" s="384"/>
      <c r="C78" s="748" t="s">
        <v>366</v>
      </c>
      <c r="D78" s="749"/>
      <c r="E78" s="355"/>
      <c r="F78" s="642" t="str">
        <f>IF(E75/0.95-E75&lt;E78,"Exceeds 5%","")</f>
        <v/>
      </c>
      <c r="G78" s="763" t="s">
        <v>365</v>
      </c>
      <c r="H78" s="764"/>
      <c r="I78" s="764"/>
      <c r="J78" s="773" t="str">
        <f>IF(G75&gt;G73, "Yes", "No")</f>
        <v>No</v>
      </c>
    </row>
    <row r="79" spans="2:10" x14ac:dyDescent="0.25">
      <c r="B79" s="641" t="str">
        <f>CONCATENATE(C100,"     ",D100)</f>
        <v xml:space="preserve">     </v>
      </c>
      <c r="C79" s="750" t="s">
        <v>367</v>
      </c>
      <c r="D79" s="751"/>
      <c r="E79" s="350">
        <f>E75+E78</f>
        <v>0</v>
      </c>
      <c r="F79" s="383"/>
      <c r="G79" s="765"/>
      <c r="H79" s="766"/>
      <c r="I79" s="766"/>
      <c r="J79" s="774"/>
    </row>
    <row r="80" spans="2:10" x14ac:dyDescent="0.25">
      <c r="B80" s="641" t="str">
        <f>CONCATENATE(C101,"     ",D101)</f>
        <v xml:space="preserve">     </v>
      </c>
      <c r="C80" s="388"/>
      <c r="D80" s="335" t="s">
        <v>368</v>
      </c>
      <c r="E80" s="350">
        <f>IF(E79-E64&gt;0,E79-E64,0)</f>
        <v>0</v>
      </c>
      <c r="F80" s="383"/>
      <c r="G80" s="769" t="str">
        <f>IF(J78="Yes", "Follow procedure prescribed by KSA 79-2988 to exceed the Revenue Neutral Rate.", " ")</f>
        <v xml:space="preserve"> </v>
      </c>
      <c r="H80" s="769"/>
      <c r="I80" s="769"/>
      <c r="J80" s="769"/>
    </row>
    <row r="81" spans="2:10" x14ac:dyDescent="0.25">
      <c r="B81" s="335"/>
      <c r="C81" s="621" t="s">
        <v>369</v>
      </c>
      <c r="D81" s="389">
        <f>inputOth!E85</f>
        <v>0</v>
      </c>
      <c r="E81" s="350">
        <f>ROUND(IF(E80&gt;0,(E80*D81),0),0)</f>
        <v>0</v>
      </c>
      <c r="F81" s="383"/>
      <c r="G81" s="770"/>
      <c r="H81" s="770"/>
      <c r="I81" s="770"/>
      <c r="J81" s="770"/>
    </row>
    <row r="82" spans="2:10" x14ac:dyDescent="0.25">
      <c r="B82" s="332"/>
      <c r="C82" s="771" t="str">
        <f>CONCATENATE("Amount of  ",E1-1," Ad Valorem Tax")</f>
        <v>Amount of  2024 Ad Valorem Tax</v>
      </c>
      <c r="D82" s="772"/>
      <c r="E82" s="350">
        <f>E80+E81</f>
        <v>0</v>
      </c>
      <c r="F82" s="643" t="str">
        <f>IF('Library Grant'!F33="","",IF('Library Grant'!F33="Qualify","Qualifies for State Library Grant","See 'Library Grant' tab"))</f>
        <v>Qualifies for State Library Grant</v>
      </c>
      <c r="G82" s="770"/>
      <c r="H82" s="770"/>
      <c r="I82" s="770"/>
      <c r="J82" s="770"/>
    </row>
    <row r="83" spans="2:10" x14ac:dyDescent="0.25">
      <c r="B83" s="335"/>
      <c r="C83" s="771"/>
      <c r="D83" s="772"/>
      <c r="E83" s="394"/>
      <c r="F83" s="383"/>
    </row>
    <row r="84" spans="2:10" x14ac:dyDescent="0.25">
      <c r="B84" s="513" t="s">
        <v>203</v>
      </c>
      <c r="C84" s="514"/>
      <c r="D84" s="514"/>
      <c r="E84" s="515"/>
    </row>
    <row r="85" spans="2:10" x14ac:dyDescent="0.25">
      <c r="B85" s="516"/>
      <c r="C85" s="517"/>
      <c r="D85" s="517"/>
      <c r="E85" s="518"/>
      <c r="F85" s="383"/>
    </row>
    <row r="86" spans="2:10" x14ac:dyDescent="0.25">
      <c r="B86" s="519"/>
      <c r="C86" s="520"/>
      <c r="D86" s="520"/>
      <c r="E86" s="521"/>
    </row>
    <row r="87" spans="2:10" x14ac:dyDescent="0.25">
      <c r="B87" s="335"/>
      <c r="C87" s="335"/>
      <c r="D87" s="335"/>
      <c r="E87" s="335"/>
    </row>
    <row r="88" spans="2:10" x14ac:dyDescent="0.25">
      <c r="B88" s="335" t="s">
        <v>370</v>
      </c>
      <c r="C88" s="462"/>
      <c r="D88" s="335"/>
      <c r="E88" s="335"/>
    </row>
    <row r="93" spans="2:10" x14ac:dyDescent="0.25">
      <c r="C93" s="406" t="s">
        <v>377</v>
      </c>
      <c r="D93" s="406" t="s">
        <v>377</v>
      </c>
    </row>
    <row r="94" spans="2:10" x14ac:dyDescent="0.25">
      <c r="C94" s="406" t="s">
        <v>377</v>
      </c>
      <c r="D94" s="406" t="s">
        <v>377</v>
      </c>
    </row>
    <row r="95" spans="2:10" hidden="1" x14ac:dyDescent="0.25"/>
    <row r="96" spans="2:10" hidden="1" x14ac:dyDescent="0.25">
      <c r="C96" s="406" t="s">
        <v>377</v>
      </c>
      <c r="D96" s="406" t="s">
        <v>377</v>
      </c>
    </row>
    <row r="97" spans="3:4" hidden="1" x14ac:dyDescent="0.25">
      <c r="C97" s="406" t="s">
        <v>377</v>
      </c>
      <c r="D97" s="406" t="s">
        <v>377</v>
      </c>
    </row>
    <row r="98" spans="3:4" hidden="1" x14ac:dyDescent="0.25">
      <c r="C98" s="644" t="str">
        <f>IF(C34&gt;C36,"See Tab A","")</f>
        <v/>
      </c>
      <c r="D98" s="644" t="str">
        <f>IF(D34&gt;D36,"See Tab C","")</f>
        <v/>
      </c>
    </row>
    <row r="99" spans="3:4" x14ac:dyDescent="0.25">
      <c r="C99" s="644" t="str">
        <f>IF(C35&lt;0,"See Tab B","")</f>
        <v/>
      </c>
      <c r="D99" s="644" t="str">
        <f>IF(D35&lt;0,"See Tab D","")</f>
        <v/>
      </c>
    </row>
    <row r="100" spans="3:4" x14ac:dyDescent="0.25">
      <c r="C100" s="645" t="str">
        <f>IF(C75&gt;C77,"See Tab A","")</f>
        <v/>
      </c>
      <c r="D100" s="645" t="str">
        <f>IF(D75&gt;D77,"See Tab C","")</f>
        <v/>
      </c>
    </row>
    <row r="101" spans="3:4" x14ac:dyDescent="0.25">
      <c r="C101" s="645" t="str">
        <f>IF(C76&lt;0,"See Tab B","")</f>
        <v/>
      </c>
      <c r="D101" s="645" t="str">
        <f>IF(D76&lt;0,"See Tab D","")</f>
        <v/>
      </c>
    </row>
  </sheetData>
  <sheetProtection sheet="1" objects="1" scenarios="1"/>
  <mergeCells count="20">
    <mergeCell ref="G10:J10"/>
    <mergeCell ref="G17:J17"/>
    <mergeCell ref="C37:D37"/>
    <mergeCell ref="C38:D38"/>
    <mergeCell ref="C41:D41"/>
    <mergeCell ref="C79:D79"/>
    <mergeCell ref="C82:D82"/>
    <mergeCell ref="C83:D83"/>
    <mergeCell ref="G27:J28"/>
    <mergeCell ref="G36:I37"/>
    <mergeCell ref="J36:J37"/>
    <mergeCell ref="G38:J40"/>
    <mergeCell ref="G69:J70"/>
    <mergeCell ref="G78:I79"/>
    <mergeCell ref="J78:J79"/>
    <mergeCell ref="G80:J82"/>
    <mergeCell ref="C42:D42"/>
    <mergeCell ref="G52:J52"/>
    <mergeCell ref="G59:J59"/>
    <mergeCell ref="C78:D78"/>
  </mergeCells>
  <conditionalFormatting sqref="C20 C61:E61">
    <cfRule type="cellIs" dxfId="180" priority="19" stopIfTrue="1" operator="greaterThan">
      <formula>$C$22*0.1</formula>
    </cfRule>
  </conditionalFormatting>
  <conditionalFormatting sqref="C32">
    <cfRule type="cellIs" dxfId="179" priority="22" stopIfTrue="1" operator="greaterThan">
      <formula>$C$34*0.1</formula>
    </cfRule>
  </conditionalFormatting>
  <conditionalFormatting sqref="C34">
    <cfRule type="expression" dxfId="178" priority="8">
      <formula>$C$34&gt;$C$36</formula>
    </cfRule>
  </conditionalFormatting>
  <conditionalFormatting sqref="C35">
    <cfRule type="expression" dxfId="177" priority="6">
      <formula>$C$35&lt;0</formula>
    </cfRule>
  </conditionalFormatting>
  <conditionalFormatting sqref="C73">
    <cfRule type="cellIs" dxfId="176" priority="16" stopIfTrue="1" operator="greaterThan">
      <formula>$C$75*0.1</formula>
    </cfRule>
  </conditionalFormatting>
  <conditionalFormatting sqref="C75">
    <cfRule type="expression" dxfId="175" priority="4">
      <formula>$C$75&gt;$C$77</formula>
    </cfRule>
  </conditionalFormatting>
  <conditionalFormatting sqref="C76">
    <cfRule type="expression" dxfId="174" priority="3">
      <formula>$C$76&lt;0</formula>
    </cfRule>
  </conditionalFormatting>
  <conditionalFormatting sqref="D20">
    <cfRule type="cellIs" dxfId="173" priority="18" stopIfTrue="1" operator="greaterThan">
      <formula>$D$22*0.1</formula>
    </cfRule>
  </conditionalFormatting>
  <conditionalFormatting sqref="D32">
    <cfRule type="cellIs" dxfId="172" priority="21" stopIfTrue="1" operator="greaterThan">
      <formula>$D$34*0.1</formula>
    </cfRule>
  </conditionalFormatting>
  <conditionalFormatting sqref="D34">
    <cfRule type="expression" dxfId="171" priority="7">
      <formula>$D$34&gt;$D$36</formula>
    </cfRule>
  </conditionalFormatting>
  <conditionalFormatting sqref="D35">
    <cfRule type="expression" dxfId="170" priority="5">
      <formula>$D$35&lt;0</formula>
    </cfRule>
  </conditionalFormatting>
  <conditionalFormatting sqref="D73">
    <cfRule type="cellIs" dxfId="169" priority="15" stopIfTrue="1" operator="greaterThan">
      <formula>$D$75*0.1</formula>
    </cfRule>
  </conditionalFormatting>
  <conditionalFormatting sqref="D75">
    <cfRule type="expression" dxfId="168" priority="2">
      <formula>$D$75&gt;$D$77</formula>
    </cfRule>
  </conditionalFormatting>
  <conditionalFormatting sqref="D76">
    <cfRule type="expression" dxfId="167" priority="1">
      <formula>$D$76&lt;0</formula>
    </cfRule>
  </conditionalFormatting>
  <conditionalFormatting sqref="E20">
    <cfRule type="cellIs" dxfId="166" priority="36" stopIfTrue="1" operator="greaterThan">
      <formula>$E$22*0.1+$E$41</formula>
    </cfRule>
  </conditionalFormatting>
  <conditionalFormatting sqref="E32">
    <cfRule type="cellIs" dxfId="165" priority="20" stopIfTrue="1" operator="greaterThan">
      <formula>$E$34*0.1</formula>
    </cfRule>
  </conditionalFormatting>
  <conditionalFormatting sqref="E37">
    <cfRule type="cellIs" dxfId="164" priority="13" stopIfTrue="1" operator="greaterThan">
      <formula>$E$34/0.95-$E$34</formula>
    </cfRule>
  </conditionalFormatting>
  <conditionalFormatting sqref="E73">
    <cfRule type="cellIs" dxfId="163" priority="14" stopIfTrue="1" operator="greaterThan">
      <formula>$E$75*0.1</formula>
    </cfRule>
  </conditionalFormatting>
  <conditionalFormatting sqref="E78">
    <cfRule type="cellIs" dxfId="162" priority="12" stopIfTrue="1" operator="greaterThan">
      <formula>$E$75/0.98-$E$75</formula>
    </cfRule>
  </conditionalFormatting>
  <conditionalFormatting sqref="J36">
    <cfRule type="containsText" dxfId="161" priority="11" operator="containsText" text="Yes">
      <formula>NOT(ISERROR(SEARCH("Yes",J36)))</formula>
    </cfRule>
  </conditionalFormatting>
  <conditionalFormatting sqref="J78">
    <cfRule type="containsText" dxfId="160" priority="10" operator="containsText" text="Yes">
      <formula>NOT(ISERROR(SEARCH("Yes",J78)))</formula>
    </cfRule>
  </conditionalFormatting>
  <pageMargins left="0.75" right="0.75" top="1" bottom="1" header="0.5" footer="0.5"/>
  <pageSetup scale="53" orientation="portrait" blackAndWhite="1"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00B0F0"/>
    <pageSetUpPr fitToPage="1"/>
  </sheetPr>
  <dimension ref="B1:K77"/>
  <sheetViews>
    <sheetView zoomScaleNormal="100" workbookViewId="0">
      <selection activeCell="F1" sqref="F1"/>
    </sheetView>
  </sheetViews>
  <sheetFormatPr defaultRowHeight="15.75" x14ac:dyDescent="0.25"/>
  <cols>
    <col min="1" max="1" width="2.3984375" style="99" customWidth="1"/>
    <col min="2" max="2" width="31" style="99" customWidth="1"/>
    <col min="3" max="4" width="15.69921875" style="99" customWidth="1"/>
    <col min="5" max="5" width="12.69921875" style="99" customWidth="1"/>
    <col min="6" max="6" width="7.296875" style="99" customWidth="1"/>
    <col min="7" max="7" width="9.19921875" style="99" customWidth="1"/>
    <col min="8" max="8" width="8.796875" style="99"/>
    <col min="9" max="9" width="4.5" style="99" customWidth="1"/>
    <col min="10" max="10" width="9" style="99" customWidth="1"/>
    <col min="11" max="16384" width="8.796875" style="99"/>
  </cols>
  <sheetData>
    <row r="1" spans="2:5" x14ac:dyDescent="0.25">
      <c r="B1" s="72">
        <f>inputPrYr!D4</f>
        <v>0</v>
      </c>
      <c r="C1" s="35"/>
      <c r="D1" s="35"/>
      <c r="E1" s="140">
        <f>inputPrYr!D10</f>
        <v>2025</v>
      </c>
    </row>
    <row r="2" spans="2:5" x14ac:dyDescent="0.25">
      <c r="B2" s="288" t="s">
        <v>327</v>
      </c>
      <c r="C2" s="35"/>
      <c r="D2" s="133"/>
      <c r="E2" s="37"/>
    </row>
    <row r="3" spans="2:5" x14ac:dyDescent="0.25">
      <c r="B3" s="39" t="s">
        <v>328</v>
      </c>
      <c r="C3" s="38"/>
      <c r="D3" s="38"/>
      <c r="E3" s="38"/>
    </row>
    <row r="4" spans="2:5" x14ac:dyDescent="0.25">
      <c r="B4" s="35"/>
      <c r="C4" s="238" t="s">
        <v>329</v>
      </c>
      <c r="D4" s="241" t="s">
        <v>276</v>
      </c>
      <c r="E4" s="625" t="s">
        <v>330</v>
      </c>
    </row>
    <row r="5" spans="2:5" x14ac:dyDescent="0.25">
      <c r="B5" s="246" t="str">
        <f>inputPrYr!B24</f>
        <v>Road</v>
      </c>
      <c r="C5" s="239" t="str">
        <f>General!C5</f>
        <v>Actual for 2023</v>
      </c>
      <c r="D5" s="239" t="str">
        <f>General!D5</f>
        <v>Estimate for 2024</v>
      </c>
      <c r="E5" s="626" t="str">
        <f>General!E5</f>
        <v>Year for 2025</v>
      </c>
    </row>
    <row r="6" spans="2:5" x14ac:dyDescent="0.25">
      <c r="B6" s="43" t="s">
        <v>331</v>
      </c>
      <c r="C6" s="192"/>
      <c r="D6" s="240">
        <f>C44</f>
        <v>0</v>
      </c>
      <c r="E6" s="157">
        <f>D44</f>
        <v>0</v>
      </c>
    </row>
    <row r="7" spans="2:5" x14ac:dyDescent="0.25">
      <c r="B7" s="43" t="s">
        <v>332</v>
      </c>
      <c r="C7" s="240"/>
      <c r="D7" s="240"/>
      <c r="E7" s="194"/>
    </row>
    <row r="8" spans="2:5" x14ac:dyDescent="0.25">
      <c r="B8" s="43" t="s">
        <v>96</v>
      </c>
      <c r="C8" s="192"/>
      <c r="D8" s="240">
        <f>IF(inputPrYr!H22&gt;0,inputPrYr!G26,inputPrYr!E24)</f>
        <v>0</v>
      </c>
      <c r="E8" s="194" t="s">
        <v>185</v>
      </c>
    </row>
    <row r="9" spans="2:5" x14ac:dyDescent="0.25">
      <c r="B9" s="43" t="s">
        <v>333</v>
      </c>
      <c r="C9" s="192"/>
      <c r="D9" s="192"/>
      <c r="E9" s="106"/>
    </row>
    <row r="10" spans="2:5" x14ac:dyDescent="0.25">
      <c r="B10" s="43" t="s">
        <v>334</v>
      </c>
      <c r="C10" s="192"/>
      <c r="D10" s="192"/>
      <c r="E10" s="157">
        <f>Mvalloc!D14</f>
        <v>0</v>
      </c>
    </row>
    <row r="11" spans="2:5" x14ac:dyDescent="0.25">
      <c r="B11" s="43" t="s">
        <v>335</v>
      </c>
      <c r="C11" s="192"/>
      <c r="D11" s="192"/>
      <c r="E11" s="157">
        <f>Mvalloc!F14</f>
        <v>0</v>
      </c>
    </row>
    <row r="12" spans="2:5" x14ac:dyDescent="0.25">
      <c r="B12" s="43" t="s">
        <v>375</v>
      </c>
      <c r="C12" s="192"/>
      <c r="D12" s="192"/>
      <c r="E12" s="157">
        <f>Mvalloc!H14</f>
        <v>0</v>
      </c>
    </row>
    <row r="13" spans="2:5" x14ac:dyDescent="0.25">
      <c r="B13" s="472" t="s">
        <v>336</v>
      </c>
      <c r="C13" s="192"/>
      <c r="D13" s="192"/>
      <c r="E13" s="157">
        <f>Mvalloc!J14</f>
        <v>0</v>
      </c>
    </row>
    <row r="14" spans="2:5" x14ac:dyDescent="0.25">
      <c r="B14" s="472" t="s">
        <v>337</v>
      </c>
      <c r="C14" s="192"/>
      <c r="D14" s="192"/>
      <c r="E14" s="157">
        <f>Mvalloc!L14</f>
        <v>0</v>
      </c>
    </row>
    <row r="15" spans="2:5" x14ac:dyDescent="0.25">
      <c r="B15" s="43" t="s">
        <v>139</v>
      </c>
      <c r="C15" s="192"/>
      <c r="D15" s="192"/>
      <c r="E15" s="157">
        <f>inputOth!E80</f>
        <v>0</v>
      </c>
    </row>
    <row r="16" spans="2:5" x14ac:dyDescent="0.25">
      <c r="B16" s="197"/>
      <c r="C16" s="192"/>
      <c r="D16" s="192"/>
      <c r="E16" s="106"/>
    </row>
    <row r="17" spans="2:11" x14ac:dyDescent="0.25">
      <c r="B17" s="197"/>
      <c r="C17" s="192"/>
      <c r="D17" s="192"/>
      <c r="E17" s="106"/>
    </row>
    <row r="18" spans="2:11" x14ac:dyDescent="0.25">
      <c r="B18" s="197"/>
      <c r="C18" s="192"/>
      <c r="D18" s="192"/>
      <c r="E18" s="106"/>
      <c r="G18" s="754" t="str">
        <f>CONCATENATE("Desired Carryover Into ",E1+1,"")</f>
        <v>Desired Carryover Into 2026</v>
      </c>
      <c r="H18" s="755"/>
      <c r="I18" s="755"/>
      <c r="J18" s="756"/>
    </row>
    <row r="19" spans="2:11" x14ac:dyDescent="0.25">
      <c r="B19" s="197"/>
      <c r="C19" s="192"/>
      <c r="D19" s="192"/>
      <c r="E19" s="106"/>
      <c r="G19" s="252"/>
      <c r="H19" s="35"/>
      <c r="I19" s="292"/>
      <c r="J19" s="253"/>
    </row>
    <row r="20" spans="2:11" x14ac:dyDescent="0.25">
      <c r="B20" s="197" t="s">
        <v>339</v>
      </c>
      <c r="C20" s="192"/>
      <c r="D20" s="192"/>
      <c r="E20" s="106"/>
      <c r="G20" s="254" t="s">
        <v>343</v>
      </c>
      <c r="H20" s="292"/>
      <c r="I20" s="292"/>
      <c r="J20" s="255">
        <v>0</v>
      </c>
    </row>
    <row r="21" spans="2:11" x14ac:dyDescent="0.25">
      <c r="B21" s="195" t="s">
        <v>191</v>
      </c>
      <c r="C21" s="192"/>
      <c r="D21" s="192"/>
      <c r="E21" s="427">
        <f>'NR Rebate'!E9*-1</f>
        <v>0</v>
      </c>
      <c r="G21" s="252" t="s">
        <v>345</v>
      </c>
      <c r="H21" s="35"/>
      <c r="I21" s="35"/>
      <c r="J21" s="409" t="str">
        <f>IF(J20=0,"",ROUND((J20+E50-G33)/inputOth!E11*1000,3)-G38)</f>
        <v/>
      </c>
    </row>
    <row r="22" spans="2:11" x14ac:dyDescent="0.25">
      <c r="B22" s="198" t="s">
        <v>340</v>
      </c>
      <c r="C22" s="192"/>
      <c r="D22" s="192"/>
      <c r="E22" s="106"/>
      <c r="G22" s="410" t="str">
        <f>CONCATENATE("",E1," Tot Exp/Non-Appr Must Be:")</f>
        <v>2025 Tot Exp/Non-Appr Must Be:</v>
      </c>
      <c r="H22" s="285"/>
      <c r="I22" s="407"/>
      <c r="J22" s="411">
        <f>IF(J20&gt;0,IF(E47&lt;E25,IF(J20=G33,E47,((J20-G33)*(1-D49))+E25),E47+(J20-G33)),0)</f>
        <v>0</v>
      </c>
    </row>
    <row r="23" spans="2:11" x14ac:dyDescent="0.25">
      <c r="B23" s="198" t="s">
        <v>341</v>
      </c>
      <c r="C23" s="242" t="str">
        <f>IF(C24*0.1&lt;C22,"Exceed 10% Rule","")</f>
        <v/>
      </c>
      <c r="D23" s="242" t="str">
        <f>IF(D24*0.1&lt;D22,"Exceed 10% Rule","")</f>
        <v/>
      </c>
      <c r="E23" s="201" t="str">
        <f>IF((E50+E24)*0.1&lt;E22,"Exceed 10% Rule","")</f>
        <v/>
      </c>
      <c r="G23" s="412" t="s">
        <v>347</v>
      </c>
      <c r="H23" s="413"/>
      <c r="I23" s="413"/>
      <c r="J23" s="414">
        <f>IF(J20&gt;0,J22-E47,0)</f>
        <v>0</v>
      </c>
    </row>
    <row r="24" spans="2:11" x14ac:dyDescent="0.25">
      <c r="B24" s="200" t="s">
        <v>342</v>
      </c>
      <c r="C24" s="206">
        <f>SUM(C8:C22)</f>
        <v>0</v>
      </c>
      <c r="D24" s="206">
        <f>SUM(D8:D22)</f>
        <v>0</v>
      </c>
      <c r="E24" s="206">
        <f>SUM(E8:E22)</f>
        <v>0</v>
      </c>
    </row>
    <row r="25" spans="2:11" x14ac:dyDescent="0.25">
      <c r="B25" s="60" t="s">
        <v>344</v>
      </c>
      <c r="C25" s="206">
        <f>C24+C6</f>
        <v>0</v>
      </c>
      <c r="D25" s="206">
        <f>D24+D6</f>
        <v>0</v>
      </c>
      <c r="E25" s="206">
        <f>E24+E6</f>
        <v>0</v>
      </c>
      <c r="G25" s="754" t="str">
        <f>CONCATENATE("Projected Carryover Into ",E1+1,"")</f>
        <v>Projected Carryover Into 2026</v>
      </c>
      <c r="H25" s="755"/>
      <c r="I25" s="755"/>
      <c r="J25" s="756"/>
    </row>
    <row r="26" spans="2:11" x14ac:dyDescent="0.25">
      <c r="B26" s="43" t="s">
        <v>346</v>
      </c>
      <c r="C26" s="240"/>
      <c r="D26" s="240"/>
      <c r="E26" s="157"/>
      <c r="G26" s="251"/>
      <c r="H26" s="35"/>
      <c r="I26" s="35"/>
      <c r="J26" s="47"/>
    </row>
    <row r="27" spans="2:11" x14ac:dyDescent="0.25">
      <c r="B27" s="197"/>
      <c r="C27" s="192"/>
      <c r="D27" s="192"/>
      <c r="E27" s="106"/>
      <c r="G27" s="289">
        <f>D44</f>
        <v>0</v>
      </c>
      <c r="H27" s="290" t="str">
        <f>CONCATENATE("",E1-1," Ending Cash Balance (est.)")</f>
        <v>2024 Ending Cash Balance (est.)</v>
      </c>
      <c r="I27" s="291"/>
      <c r="J27" s="47"/>
    </row>
    <row r="28" spans="2:11" x14ac:dyDescent="0.25">
      <c r="B28" s="197" t="s">
        <v>348</v>
      </c>
      <c r="C28" s="192"/>
      <c r="D28" s="192"/>
      <c r="E28" s="106"/>
      <c r="G28" s="289">
        <f>E24</f>
        <v>0</v>
      </c>
      <c r="H28" s="292" t="str">
        <f>CONCATENATE("",E1," Non-AV Receipts (est.)")</f>
        <v>2025 Non-AV Receipts (est.)</v>
      </c>
      <c r="I28" s="291"/>
      <c r="J28" s="47"/>
    </row>
    <row r="29" spans="2:11" x14ac:dyDescent="0.2">
      <c r="B29" s="197" t="s">
        <v>349</v>
      </c>
      <c r="C29" s="192"/>
      <c r="D29" s="192"/>
      <c r="E29" s="106"/>
      <c r="G29" s="293">
        <f>IF(D49&gt;0,E48,E50)</f>
        <v>0</v>
      </c>
      <c r="H29" s="292" t="str">
        <f>CONCATENATE("",E1," Ad Valorem Tax (est.)")</f>
        <v>2025 Ad Valorem Tax (est.)</v>
      </c>
      <c r="I29" s="292"/>
      <c r="J29" s="47"/>
      <c r="K29" s="636" t="str">
        <f>IF(G29=E50,"","Note: Does not include Delinquent Taxes")</f>
        <v/>
      </c>
    </row>
    <row r="30" spans="2:11" x14ac:dyDescent="0.25">
      <c r="B30" s="196" t="s">
        <v>350</v>
      </c>
      <c r="C30" s="192"/>
      <c r="D30" s="192"/>
      <c r="E30" s="106"/>
      <c r="G30" s="289">
        <f>SUM(G27:G29)</f>
        <v>0</v>
      </c>
      <c r="H30" s="292" t="str">
        <f>CONCATENATE("Total ",E1," Resources Available")</f>
        <v>Total 2025 Resources Available</v>
      </c>
      <c r="I30" s="291"/>
      <c r="J30" s="47"/>
    </row>
    <row r="31" spans="2:11" x14ac:dyDescent="0.25">
      <c r="B31" s="197" t="s">
        <v>378</v>
      </c>
      <c r="C31" s="192"/>
      <c r="D31" s="192"/>
      <c r="E31" s="106"/>
      <c r="G31" s="294"/>
      <c r="H31" s="292"/>
      <c r="I31" s="292"/>
      <c r="J31" s="47"/>
    </row>
    <row r="32" spans="2:11" x14ac:dyDescent="0.25">
      <c r="B32" s="197" t="s">
        <v>379</v>
      </c>
      <c r="C32" s="192"/>
      <c r="D32" s="192"/>
      <c r="E32" s="106"/>
      <c r="G32" s="293">
        <f>ROUND(C43*0.05+C43,0)</f>
        <v>0</v>
      </c>
      <c r="H32" s="292" t="str">
        <f>CONCATENATE("Less ",E1-2," Expenditures + 5%")</f>
        <v>Less 2023 Expenditures + 5%</v>
      </c>
      <c r="I32" s="291"/>
      <c r="J32" s="47"/>
    </row>
    <row r="33" spans="2:10" x14ac:dyDescent="0.25">
      <c r="B33" s="197" t="s">
        <v>352</v>
      </c>
      <c r="C33" s="192"/>
      <c r="D33" s="192"/>
      <c r="E33" s="106"/>
      <c r="G33" s="295">
        <f>G30-G32</f>
        <v>0</v>
      </c>
      <c r="H33" s="296" t="str">
        <f>CONCATENATE("Projected ",E1+1," Carryover (est.)")</f>
        <v>Projected 2026 Carryover (est.)</v>
      </c>
      <c r="I33" s="297"/>
      <c r="J33" s="298"/>
    </row>
    <row r="34" spans="2:10" x14ac:dyDescent="0.25">
      <c r="B34" s="197"/>
      <c r="C34" s="192"/>
      <c r="D34" s="192"/>
      <c r="E34" s="106"/>
    </row>
    <row r="35" spans="2:10" x14ac:dyDescent="0.25">
      <c r="B35" s="197"/>
      <c r="C35" s="192"/>
      <c r="D35" s="192"/>
      <c r="E35" s="106"/>
      <c r="G35" s="757" t="s">
        <v>355</v>
      </c>
      <c r="H35" s="758"/>
      <c r="I35" s="758"/>
      <c r="J35" s="759"/>
    </row>
    <row r="36" spans="2:10" x14ac:dyDescent="0.25">
      <c r="B36" s="197"/>
      <c r="C36" s="192"/>
      <c r="D36" s="192"/>
      <c r="E36" s="106"/>
      <c r="G36" s="760"/>
      <c r="H36" s="761"/>
      <c r="I36" s="761"/>
      <c r="J36" s="762"/>
    </row>
    <row r="37" spans="2:10" x14ac:dyDescent="0.25">
      <c r="B37" s="196"/>
      <c r="C37" s="192"/>
      <c r="D37" s="192"/>
      <c r="E37" s="106"/>
      <c r="G37" s="587" t="str">
        <f>'Budget Hearing Notice'!H21</f>
        <v xml:space="preserve"> </v>
      </c>
      <c r="H37" s="588" t="str">
        <f>CONCATENATE("",E1," Estimated Fund Mill Rate")</f>
        <v>2025 Estimated Fund Mill Rate</v>
      </c>
      <c r="I37" s="589"/>
      <c r="J37" s="590"/>
    </row>
    <row r="38" spans="2:10" x14ac:dyDescent="0.25">
      <c r="B38" s="43" t="str">
        <f>CONCATENATE("Cash Reserve (",E1," column)")</f>
        <v>Cash Reserve (2025 column)</v>
      </c>
      <c r="C38" s="192"/>
      <c r="D38" s="192"/>
      <c r="E38" s="106"/>
      <c r="G38" s="591" t="str">
        <f>'Budget Hearing Notice'!E21</f>
        <v xml:space="preserve">  </v>
      </c>
      <c r="H38" s="588" t="str">
        <f>CONCATENATE("",E1-1," Fund Mill Rate")</f>
        <v>2024 Fund Mill Rate</v>
      </c>
      <c r="I38" s="589"/>
      <c r="J38" s="590"/>
    </row>
    <row r="39" spans="2:10" x14ac:dyDescent="0.25">
      <c r="B39" s="43" t="s">
        <v>380</v>
      </c>
      <c r="C39" s="192"/>
      <c r="D39" s="192"/>
      <c r="E39" s="106"/>
      <c r="G39" s="592">
        <f>inputOth!D36</f>
        <v>0</v>
      </c>
      <c r="H39" s="593" t="s">
        <v>381</v>
      </c>
      <c r="I39" s="589"/>
      <c r="J39" s="590"/>
    </row>
    <row r="40" spans="2:10" x14ac:dyDescent="0.25">
      <c r="B40" s="43" t="s">
        <v>382</v>
      </c>
      <c r="C40" s="242" t="str">
        <f>IF(C25*0.25&lt;C39,"Exceeds 25%","")</f>
        <v/>
      </c>
      <c r="D40" s="242" t="str">
        <f>IF(D25*0.25&lt;D39,"Exceeds 25%","")</f>
        <v/>
      </c>
      <c r="E40" s="201" t="str">
        <f>IF(E25*0.25+E50&lt;E39,"Exceeds 25%","")</f>
        <v/>
      </c>
      <c r="G40" s="592">
        <f>SUM('Budget Hearing Notice'!H21:H24)</f>
        <v>0</v>
      </c>
      <c r="H40" s="593" t="s">
        <v>383</v>
      </c>
      <c r="I40" s="589"/>
      <c r="J40" s="590"/>
    </row>
    <row r="41" spans="2:10" x14ac:dyDescent="0.25">
      <c r="B41" s="195" t="s">
        <v>340</v>
      </c>
      <c r="C41" s="192"/>
      <c r="D41" s="192"/>
      <c r="E41" s="106"/>
      <c r="G41" s="587">
        <f>'Budget Hearing Notice'!H36</f>
        <v>0</v>
      </c>
      <c r="H41" s="588" t="str">
        <f>CONCATENATE(E1," Estimated Total Mill Rate")</f>
        <v>2025 Estimated Total Mill Rate</v>
      </c>
      <c r="I41" s="589"/>
      <c r="J41" s="590"/>
    </row>
    <row r="42" spans="2:10" x14ac:dyDescent="0.25">
      <c r="B42" s="195" t="s">
        <v>362</v>
      </c>
      <c r="C42" s="242" t="str">
        <f>IF(C43*0.1&lt;C41,"Exceed 10% Rule","")</f>
        <v/>
      </c>
      <c r="D42" s="242" t="str">
        <f>IF(D43*0.1&lt;D41,"Exceed 10% Rule","")</f>
        <v/>
      </c>
      <c r="E42" s="201" t="str">
        <f>IF(E43*0.1&lt;E41,"Exceed 10% Rule","")</f>
        <v/>
      </c>
      <c r="G42" s="594">
        <f>'Budget Hearing Notice'!E36</f>
        <v>0</v>
      </c>
      <c r="H42" s="588" t="str">
        <f>CONCATENATE(E1-1," Total Mill Rate")</f>
        <v>2024 Total Mill Rate</v>
      </c>
      <c r="I42" s="589"/>
      <c r="J42" s="590"/>
    </row>
    <row r="43" spans="2:10" x14ac:dyDescent="0.25">
      <c r="B43" s="60" t="s">
        <v>363</v>
      </c>
      <c r="C43" s="206">
        <f>SUM(C27:C41)</f>
        <v>0</v>
      </c>
      <c r="D43" s="206">
        <f>SUM(D27:D41)</f>
        <v>0</v>
      </c>
      <c r="E43" s="206">
        <f>SUM(E27:E39,E41)</f>
        <v>0</v>
      </c>
      <c r="G43" s="595"/>
      <c r="H43" s="471"/>
      <c r="I43" s="471"/>
      <c r="J43" s="596"/>
    </row>
    <row r="44" spans="2:10" x14ac:dyDescent="0.25">
      <c r="B44" s="43" t="s">
        <v>364</v>
      </c>
      <c r="C44" s="157">
        <f>C25-C43</f>
        <v>0</v>
      </c>
      <c r="D44" s="157">
        <f>D25-D43</f>
        <v>0</v>
      </c>
      <c r="E44" s="194" t="s">
        <v>185</v>
      </c>
      <c r="G44" s="763" t="s">
        <v>365</v>
      </c>
      <c r="H44" s="764"/>
      <c r="I44" s="764"/>
      <c r="J44" s="767" t="str">
        <f>IF(G40&gt;G39, "Yes", "No")</f>
        <v>No</v>
      </c>
    </row>
    <row r="45" spans="2:10" x14ac:dyDescent="0.25">
      <c r="B45" s="68" t="str">
        <f>CONCATENATE("",E1-2,"/",E1-1,"/",E1," Budget Authority Amount:")</f>
        <v>2023/2024/2025 Budget Authority Amount:</v>
      </c>
      <c r="C45" s="427">
        <f>inputOth!B94</f>
        <v>0</v>
      </c>
      <c r="D45" s="427">
        <f>inputPrYr!D24</f>
        <v>0</v>
      </c>
      <c r="E45" s="157">
        <f>E43</f>
        <v>0</v>
      </c>
      <c r="F45" s="202"/>
      <c r="G45" s="765"/>
      <c r="H45" s="766"/>
      <c r="I45" s="766"/>
      <c r="J45" s="768"/>
    </row>
    <row r="46" spans="2:10" x14ac:dyDescent="0.25">
      <c r="B46" s="140"/>
      <c r="C46" s="748" t="s">
        <v>366</v>
      </c>
      <c r="D46" s="749"/>
      <c r="E46" s="106"/>
      <c r="F46" s="415" t="str">
        <f>IF(E43/0.95-E43&lt;E46,"Exceeds 5%","")</f>
        <v/>
      </c>
      <c r="G46" s="769" t="str">
        <f>IF(J44="Yes", "Follow procedure prescribed by KSA 79-2988 to exceed the Revenue Neutral Rate.", " ")</f>
        <v xml:space="preserve"> </v>
      </c>
      <c r="H46" s="769"/>
      <c r="I46" s="769"/>
      <c r="J46" s="769"/>
    </row>
    <row r="47" spans="2:10" x14ac:dyDescent="0.25">
      <c r="B47" s="637" t="str">
        <f>CONCATENATE(C76,"     ",D76)</f>
        <v xml:space="preserve">     </v>
      </c>
      <c r="C47" s="750" t="s">
        <v>367</v>
      </c>
      <c r="D47" s="751"/>
      <c r="E47" s="157">
        <f>E43+E46</f>
        <v>0</v>
      </c>
      <c r="G47" s="770"/>
      <c r="H47" s="770"/>
      <c r="I47" s="770"/>
      <c r="J47" s="770"/>
    </row>
    <row r="48" spans="2:10" x14ac:dyDescent="0.25">
      <c r="B48" s="637" t="str">
        <f>CONCATENATE(C77,"     ",D77)</f>
        <v xml:space="preserve">     </v>
      </c>
      <c r="C48" s="638"/>
      <c r="D48" s="250" t="s">
        <v>368</v>
      </c>
      <c r="E48" s="157">
        <f>IF(E47-E25&gt;0,E47-E25,0)</f>
        <v>0</v>
      </c>
      <c r="G48" s="770"/>
      <c r="H48" s="770"/>
      <c r="I48" s="770"/>
      <c r="J48" s="770"/>
    </row>
    <row r="49" spans="2:5" x14ac:dyDescent="0.25">
      <c r="B49" s="136"/>
      <c r="C49" s="621" t="s">
        <v>369</v>
      </c>
      <c r="D49" s="408">
        <f>inputOth!$E$85</f>
        <v>0</v>
      </c>
      <c r="E49" s="157">
        <f>ROUND(IF(D49&gt;0,(E48*D49),0),0)</f>
        <v>0</v>
      </c>
    </row>
    <row r="50" spans="2:5" x14ac:dyDescent="0.25">
      <c r="B50" s="35"/>
      <c r="C50" s="752" t="str">
        <f>CONCATENATE("Amount of  ",$E$1-1," Ad Valorem Tax")</f>
        <v>Amount of  2024 Ad Valorem Tax</v>
      </c>
      <c r="D50" s="753"/>
      <c r="E50" s="157">
        <f>E48+E49</f>
        <v>0</v>
      </c>
    </row>
    <row r="51" spans="2:5" x14ac:dyDescent="0.25">
      <c r="B51" s="35"/>
      <c r="C51" s="35"/>
      <c r="D51" s="35"/>
      <c r="E51" s="35"/>
    </row>
    <row r="52" spans="2:5" x14ac:dyDescent="0.25">
      <c r="B52" s="35"/>
      <c r="C52" s="35"/>
      <c r="D52" s="35"/>
      <c r="E52" s="35"/>
    </row>
    <row r="53" spans="2:5" x14ac:dyDescent="0.25">
      <c r="B53" s="100" t="s">
        <v>384</v>
      </c>
      <c r="C53" s="130">
        <f>E1-2</f>
        <v>2023</v>
      </c>
      <c r="D53" s="35"/>
      <c r="E53" s="35"/>
    </row>
    <row r="54" spans="2:5" x14ac:dyDescent="0.25">
      <c r="B54" s="41" t="s">
        <v>385</v>
      </c>
      <c r="C54" s="626" t="s">
        <v>220</v>
      </c>
      <c r="D54" s="35"/>
      <c r="E54" s="35"/>
    </row>
    <row r="55" spans="2:5" x14ac:dyDescent="0.25">
      <c r="B55" s="61" t="s">
        <v>386</v>
      </c>
      <c r="C55" s="249"/>
      <c r="D55" s="35"/>
      <c r="E55" s="35"/>
    </row>
    <row r="56" spans="2:5" x14ac:dyDescent="0.25">
      <c r="B56" s="61" t="s">
        <v>387</v>
      </c>
      <c r="C56" s="211"/>
      <c r="D56" s="35"/>
      <c r="E56" s="35"/>
    </row>
    <row r="57" spans="2:5" x14ac:dyDescent="0.25">
      <c r="B57" s="61" t="s">
        <v>388</v>
      </c>
      <c r="C57" s="157">
        <f>IF(C39&gt;0,C39,0)</f>
        <v>0</v>
      </c>
      <c r="D57" s="204" t="str">
        <f>IF(C39&gt;(C25*0.25),"Exceeds 25% of Resources Available","")</f>
        <v/>
      </c>
      <c r="E57" s="35"/>
    </row>
    <row r="58" spans="2:5" x14ac:dyDescent="0.25">
      <c r="B58" s="61" t="s">
        <v>389</v>
      </c>
      <c r="C58" s="157">
        <f>IF(General!C43&gt;0,General!C43,0)</f>
        <v>0</v>
      </c>
      <c r="D58" s="781" t="str">
        <f>IF(AND(General!C43&gt;0,General!C45&gt;0),"Not Auth. Two General Transfers - Only One","")</f>
        <v/>
      </c>
      <c r="E58" s="35"/>
    </row>
    <row r="59" spans="2:5" x14ac:dyDescent="0.25">
      <c r="B59" s="61" t="s">
        <v>390</v>
      </c>
      <c r="C59" s="157">
        <f>IF(General!C45&gt;0,General!C45,0)</f>
        <v>0</v>
      </c>
      <c r="D59" s="782"/>
      <c r="E59" s="35"/>
    </row>
    <row r="60" spans="2:5" x14ac:dyDescent="0.25">
      <c r="B60" s="108"/>
      <c r="C60" s="249"/>
      <c r="D60" s="35"/>
      <c r="E60" s="35"/>
    </row>
    <row r="61" spans="2:5" x14ac:dyDescent="0.25">
      <c r="B61" s="108" t="s">
        <v>339</v>
      </c>
      <c r="C61" s="249"/>
      <c r="D61" s="35"/>
      <c r="E61" s="35"/>
    </row>
    <row r="62" spans="2:5" x14ac:dyDescent="0.25">
      <c r="B62" s="108" t="s">
        <v>256</v>
      </c>
      <c r="C62" s="249"/>
      <c r="D62" s="35"/>
      <c r="E62" s="35"/>
    </row>
    <row r="63" spans="2:5" x14ac:dyDescent="0.25">
      <c r="B63" s="205" t="s">
        <v>344</v>
      </c>
      <c r="C63" s="248">
        <f>SUM(C55,C57:C62)</f>
        <v>0</v>
      </c>
      <c r="D63" s="35"/>
      <c r="E63" s="35"/>
    </row>
    <row r="64" spans="2:5" x14ac:dyDescent="0.25">
      <c r="B64" s="205" t="s">
        <v>363</v>
      </c>
      <c r="C64" s="249"/>
      <c r="D64" s="35"/>
      <c r="E64" s="35"/>
    </row>
    <row r="65" spans="2:5" x14ac:dyDescent="0.25">
      <c r="B65" s="205" t="s">
        <v>391</v>
      </c>
      <c r="C65" s="248">
        <f>C63-C64</f>
        <v>0</v>
      </c>
      <c r="D65" s="35"/>
      <c r="E65" s="35"/>
    </row>
    <row r="66" spans="2:5" x14ac:dyDescent="0.25">
      <c r="B66" s="100"/>
      <c r="C66" s="492"/>
      <c r="D66" s="35"/>
      <c r="E66" s="35"/>
    </row>
    <row r="67" spans="2:5" x14ac:dyDescent="0.25">
      <c r="B67" s="493" t="s">
        <v>203</v>
      </c>
      <c r="C67" s="494"/>
      <c r="D67" s="436"/>
      <c r="E67" s="45"/>
    </row>
    <row r="68" spans="2:5" x14ac:dyDescent="0.25">
      <c r="B68" s="495"/>
      <c r="C68" s="492"/>
      <c r="D68" s="35"/>
      <c r="E68" s="47"/>
    </row>
    <row r="69" spans="2:5" x14ac:dyDescent="0.25">
      <c r="B69" s="496"/>
      <c r="C69" s="497"/>
      <c r="D69" s="42"/>
      <c r="E69" s="52"/>
    </row>
    <row r="70" spans="2:5" x14ac:dyDescent="0.25">
      <c r="B70" s="35"/>
      <c r="C70" s="35"/>
      <c r="D70" s="35"/>
      <c r="E70" s="35"/>
    </row>
    <row r="71" spans="2:5" x14ac:dyDescent="0.25">
      <c r="B71" s="136" t="s">
        <v>370</v>
      </c>
      <c r="C71" s="441"/>
      <c r="D71" s="35"/>
      <c r="E71" s="35"/>
    </row>
    <row r="73" spans="2:5" x14ac:dyDescent="0.25">
      <c r="B73" s="62"/>
    </row>
    <row r="76" spans="2:5" hidden="1" x14ac:dyDescent="0.25">
      <c r="C76" s="99" t="str">
        <f>IF(C43&gt;C45,"See Tab A","")</f>
        <v/>
      </c>
      <c r="D76" s="99" t="str">
        <f>IF(D43&gt;D45,"See Tab C","")</f>
        <v/>
      </c>
    </row>
    <row r="77" spans="2:5" hidden="1" x14ac:dyDescent="0.25">
      <c r="C77" s="99" t="str">
        <f>IF(C44&lt;0,"See Tab B","")</f>
        <v/>
      </c>
      <c r="D77" s="99" t="str">
        <f>IF(D44&lt;0,"See Tab D","")</f>
        <v/>
      </c>
    </row>
  </sheetData>
  <sheetProtection sheet="1" objects="1" scenarios="1"/>
  <mergeCells count="10">
    <mergeCell ref="D58:D59"/>
    <mergeCell ref="C46:D46"/>
    <mergeCell ref="C47:D47"/>
    <mergeCell ref="C50:D50"/>
    <mergeCell ref="G18:J18"/>
    <mergeCell ref="G25:J25"/>
    <mergeCell ref="G35:J36"/>
    <mergeCell ref="G44:I45"/>
    <mergeCell ref="J44:J45"/>
    <mergeCell ref="G46:J48"/>
  </mergeCells>
  <phoneticPr fontId="0" type="noConversion"/>
  <conditionalFormatting sqref="C22">
    <cfRule type="cellIs" dxfId="159" priority="10" stopIfTrue="1" operator="greaterThan">
      <formula>$C$24*0.1</formula>
    </cfRule>
  </conditionalFormatting>
  <conditionalFormatting sqref="C39">
    <cfRule type="cellIs" dxfId="158" priority="12" stopIfTrue="1" operator="greaterThan">
      <formula>$C$25*0.25</formula>
    </cfRule>
  </conditionalFormatting>
  <conditionalFormatting sqref="C41">
    <cfRule type="cellIs" dxfId="157" priority="7" stopIfTrue="1" operator="greaterThan">
      <formula>$C$43*0.1</formula>
    </cfRule>
  </conditionalFormatting>
  <conditionalFormatting sqref="C43">
    <cfRule type="expression" dxfId="156" priority="4">
      <formula>$C$43&gt;$C$45</formula>
    </cfRule>
  </conditionalFormatting>
  <conditionalFormatting sqref="C44">
    <cfRule type="expression" dxfId="155" priority="3">
      <formula>$C$44&lt;0</formula>
    </cfRule>
  </conditionalFormatting>
  <conditionalFormatting sqref="D22">
    <cfRule type="cellIs" dxfId="154" priority="11" stopIfTrue="1" operator="greaterThan">
      <formula>$D$24*0.1</formula>
    </cfRule>
  </conditionalFormatting>
  <conditionalFormatting sqref="D39">
    <cfRule type="cellIs" dxfId="153" priority="17" stopIfTrue="1" operator="greaterThan">
      <formula>$D$25*0.25</formula>
    </cfRule>
  </conditionalFormatting>
  <conditionalFormatting sqref="D41">
    <cfRule type="cellIs" dxfId="152" priority="8" stopIfTrue="1" operator="greaterThan">
      <formula>$D$43*0.1</formula>
    </cfRule>
  </conditionalFormatting>
  <conditionalFormatting sqref="D43">
    <cfRule type="expression" dxfId="151" priority="2">
      <formula>$D$43&gt;$D$45</formula>
    </cfRule>
  </conditionalFormatting>
  <conditionalFormatting sqref="D44">
    <cfRule type="expression" dxfId="150" priority="1">
      <formula>$D$44&lt;0</formula>
    </cfRule>
  </conditionalFormatting>
  <conditionalFormatting sqref="E22">
    <cfRule type="cellIs" dxfId="149" priority="32" stopIfTrue="1" operator="greaterThan">
      <formula>$E$24*0.1+$E$50</formula>
    </cfRule>
  </conditionalFormatting>
  <conditionalFormatting sqref="E39">
    <cfRule type="cellIs" dxfId="148" priority="31" stopIfTrue="1" operator="greaterThan">
      <formula>$E$25*0.25+$E$50</formula>
    </cfRule>
  </conditionalFormatting>
  <conditionalFormatting sqref="E41">
    <cfRule type="cellIs" dxfId="147" priority="9" stopIfTrue="1" operator="greaterThan">
      <formula>$E$43*0.1</formula>
    </cfRule>
  </conditionalFormatting>
  <conditionalFormatting sqref="E46">
    <cfRule type="cellIs" dxfId="146" priority="13" stopIfTrue="1" operator="greaterThan">
      <formula>$E$43/0.95-$E$43</formula>
    </cfRule>
  </conditionalFormatting>
  <conditionalFormatting sqref="J44">
    <cfRule type="containsText" dxfId="145" priority="5" operator="containsText" text="Yes">
      <formula>NOT(ISERROR(SEARCH("Yes",J44)))</formula>
    </cfRule>
  </conditionalFormatting>
  <pageMargins left="0.9" right="0.9" top="0.96" bottom="0.5" header="0.41" footer="0.3"/>
  <pageSetup scale="69" orientation="portrait" blackAndWhite="1" horizontalDpi="4294967292" verticalDpi="96" r:id="rId1"/>
  <headerFooter alignWithMargins="0">
    <oddHeader xml:space="preserve">&amp;RState of Kansas
Township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00B0F0"/>
    <pageSetUpPr fitToPage="1"/>
  </sheetPr>
  <dimension ref="B1:K95"/>
  <sheetViews>
    <sheetView zoomScaleNormal="100" workbookViewId="0">
      <selection activeCell="F1" sqref="F1"/>
    </sheetView>
  </sheetViews>
  <sheetFormatPr defaultRowHeight="15.75" x14ac:dyDescent="0.25"/>
  <cols>
    <col min="1" max="1" width="2.3984375" style="99" customWidth="1"/>
    <col min="2" max="2" width="31" style="99" customWidth="1"/>
    <col min="3" max="4" width="15.69921875" style="99" customWidth="1"/>
    <col min="5" max="5" width="12.69921875" style="99" customWidth="1"/>
    <col min="6" max="6" width="7.296875" style="99" customWidth="1"/>
    <col min="7" max="7" width="9.19921875" style="99" customWidth="1"/>
    <col min="8" max="8" width="8.796875" style="99"/>
    <col min="9" max="9" width="4.5" style="99" customWidth="1"/>
    <col min="10" max="10" width="9" style="99" customWidth="1"/>
    <col min="11" max="16384" width="8.796875" style="99"/>
  </cols>
  <sheetData>
    <row r="1" spans="2:11" x14ac:dyDescent="0.25">
      <c r="B1" s="72">
        <f>inputPrYr!D4</f>
        <v>0</v>
      </c>
      <c r="C1" s="39" t="s">
        <v>392</v>
      </c>
      <c r="D1" s="35"/>
      <c r="E1" s="140">
        <f>inputPrYr!D10</f>
        <v>2025</v>
      </c>
    </row>
    <row r="2" spans="2:11" x14ac:dyDescent="0.25">
      <c r="B2" s="288" t="s">
        <v>327</v>
      </c>
      <c r="C2" s="35"/>
      <c r="D2" s="35"/>
      <c r="E2" s="37"/>
    </row>
    <row r="3" spans="2:11" x14ac:dyDescent="0.25">
      <c r="B3" s="35"/>
      <c r="C3" s="38"/>
      <c r="D3" s="38"/>
      <c r="E3" s="35"/>
    </row>
    <row r="4" spans="2:11" x14ac:dyDescent="0.25">
      <c r="B4" s="39" t="s">
        <v>328</v>
      </c>
      <c r="C4" s="238" t="s">
        <v>329</v>
      </c>
      <c r="D4" s="241" t="s">
        <v>276</v>
      </c>
      <c r="E4" s="625" t="s">
        <v>330</v>
      </c>
    </row>
    <row r="5" spans="2:11" x14ac:dyDescent="0.25">
      <c r="B5" s="246" t="str">
        <f>inputPrYr!B25</f>
        <v>Special Road</v>
      </c>
      <c r="C5" s="239" t="str">
        <f>General!C5</f>
        <v>Actual for 2023</v>
      </c>
      <c r="D5" s="239" t="str">
        <f>General!D5</f>
        <v>Estimate for 2024</v>
      </c>
      <c r="E5" s="626" t="str">
        <f>General!E5</f>
        <v>Year for 2025</v>
      </c>
    </row>
    <row r="6" spans="2:11" x14ac:dyDescent="0.25">
      <c r="B6" s="43" t="s">
        <v>331</v>
      </c>
      <c r="C6" s="192"/>
      <c r="D6" s="240">
        <f>C35</f>
        <v>0</v>
      </c>
      <c r="E6" s="157">
        <f>D35</f>
        <v>0</v>
      </c>
    </row>
    <row r="7" spans="2:11" x14ac:dyDescent="0.25">
      <c r="B7" s="43" t="s">
        <v>332</v>
      </c>
      <c r="C7" s="240"/>
      <c r="D7" s="240"/>
      <c r="E7" s="194"/>
    </row>
    <row r="8" spans="2:11" x14ac:dyDescent="0.25">
      <c r="B8" s="43" t="s">
        <v>96</v>
      </c>
      <c r="C8" s="192"/>
      <c r="D8" s="240">
        <f>IF(inputPrYr!H22&gt;0,inputPrYr!G27,inputPrYr!E25)</f>
        <v>0</v>
      </c>
      <c r="E8" s="194" t="s">
        <v>185</v>
      </c>
    </row>
    <row r="9" spans="2:11" x14ac:dyDescent="0.25">
      <c r="B9" s="43" t="s">
        <v>333</v>
      </c>
      <c r="C9" s="192"/>
      <c r="D9" s="192"/>
      <c r="E9" s="106"/>
      <c r="G9" s="775" t="str">
        <f>CONCATENATE("Desired Carryover Into ",E1+1,"")</f>
        <v>Desired Carryover Into 2026</v>
      </c>
      <c r="H9" s="776"/>
      <c r="I9" s="776"/>
      <c r="J9" s="777"/>
      <c r="K9" s="334"/>
    </row>
    <row r="10" spans="2:11" x14ac:dyDescent="0.25">
      <c r="B10" s="43" t="s">
        <v>334</v>
      </c>
      <c r="C10" s="192"/>
      <c r="D10" s="192"/>
      <c r="E10" s="157">
        <f>Mvalloc!D15</f>
        <v>0</v>
      </c>
      <c r="G10" s="365"/>
      <c r="H10" s="332"/>
      <c r="I10" s="366"/>
      <c r="J10" s="367"/>
      <c r="K10" s="334"/>
    </row>
    <row r="11" spans="2:11" x14ac:dyDescent="0.25">
      <c r="B11" s="43" t="s">
        <v>335</v>
      </c>
      <c r="C11" s="192"/>
      <c r="D11" s="192"/>
      <c r="E11" s="157">
        <f>Mvalloc!F15</f>
        <v>0</v>
      </c>
      <c r="G11" s="368" t="s">
        <v>343</v>
      </c>
      <c r="H11" s="366"/>
      <c r="I11" s="366"/>
      <c r="J11" s="369">
        <v>0</v>
      </c>
      <c r="K11" s="334"/>
    </row>
    <row r="12" spans="2:11" x14ac:dyDescent="0.25">
      <c r="B12" s="195" t="s">
        <v>130</v>
      </c>
      <c r="C12" s="192"/>
      <c r="D12" s="192"/>
      <c r="E12" s="157">
        <f>Mvalloc!H15</f>
        <v>0</v>
      </c>
      <c r="G12" s="365" t="s">
        <v>345</v>
      </c>
      <c r="H12" s="332"/>
      <c r="I12" s="332"/>
      <c r="J12" s="370" t="str">
        <f>IF(J11=0,"",ROUND((J11+E41-G24)/inputOth!E11*1000,3)-G29)</f>
        <v/>
      </c>
      <c r="K12" s="334"/>
    </row>
    <row r="13" spans="2:11" x14ac:dyDescent="0.25">
      <c r="B13" s="472" t="s">
        <v>336</v>
      </c>
      <c r="C13" s="192"/>
      <c r="D13" s="192"/>
      <c r="E13" s="157">
        <f>Mvalloc!J15</f>
        <v>0</v>
      </c>
      <c r="G13" s="371" t="str">
        <f>CONCATENATE("",E1," Tot Exp/Non-Appr Must Be:")</f>
        <v>2025 Tot Exp/Non-Appr Must Be:</v>
      </c>
      <c r="H13" s="372"/>
      <c r="I13" s="373"/>
      <c r="J13" s="374">
        <f>IF(J11&gt;0,IF(E38&lt;E23,IF(J11=G24,E38,((J11-G24)*(1-D40))+E23),E38+(J11-G24)),0)</f>
        <v>0</v>
      </c>
      <c r="K13" s="334"/>
    </row>
    <row r="14" spans="2:11" x14ac:dyDescent="0.25">
      <c r="B14" s="472" t="s">
        <v>337</v>
      </c>
      <c r="C14" s="192"/>
      <c r="D14" s="192"/>
      <c r="E14" s="157">
        <f>Mvalloc!L15</f>
        <v>0</v>
      </c>
      <c r="G14" s="375" t="s">
        <v>347</v>
      </c>
      <c r="H14" s="376"/>
      <c r="I14" s="376"/>
      <c r="J14" s="377">
        <f>IF(J11&gt;0,J13-E38,0)</f>
        <v>0</v>
      </c>
      <c r="K14" s="334"/>
    </row>
    <row r="15" spans="2:11" x14ac:dyDescent="0.25">
      <c r="B15" s="197"/>
      <c r="C15" s="192"/>
      <c r="D15" s="192"/>
      <c r="E15" s="106"/>
      <c r="G15" s="334"/>
      <c r="H15" s="334"/>
      <c r="I15" s="334"/>
      <c r="J15" s="334"/>
      <c r="K15" s="334"/>
    </row>
    <row r="16" spans="2:11" x14ac:dyDescent="0.25">
      <c r="B16" s="197"/>
      <c r="C16" s="192"/>
      <c r="D16" s="192"/>
      <c r="E16" s="106"/>
      <c r="G16" s="775" t="str">
        <f>CONCATENATE("Projected Carryover Into ",E1+1,"")</f>
        <v>Projected Carryover Into 2026</v>
      </c>
      <c r="H16" s="780"/>
      <c r="I16" s="780"/>
      <c r="J16" s="779"/>
      <c r="K16" s="334"/>
    </row>
    <row r="17" spans="2:11" x14ac:dyDescent="0.25">
      <c r="B17" s="197"/>
      <c r="C17" s="192"/>
      <c r="D17" s="192"/>
      <c r="E17" s="106"/>
      <c r="G17" s="365"/>
      <c r="H17" s="366"/>
      <c r="I17" s="366"/>
      <c r="J17" s="379"/>
      <c r="K17" s="334"/>
    </row>
    <row r="18" spans="2:11" x14ac:dyDescent="0.25">
      <c r="B18" s="197" t="s">
        <v>339</v>
      </c>
      <c r="C18" s="192"/>
      <c r="D18" s="192"/>
      <c r="E18" s="106"/>
      <c r="G18" s="380">
        <f>D35</f>
        <v>0</v>
      </c>
      <c r="H18" s="381" t="str">
        <f>CONCATENATE("",E1-1," Ending Cash Balance (est.)")</f>
        <v>2024 Ending Cash Balance (est.)</v>
      </c>
      <c r="I18" s="382"/>
      <c r="J18" s="379"/>
      <c r="K18" s="334"/>
    </row>
    <row r="19" spans="2:11" x14ac:dyDescent="0.25">
      <c r="B19" s="195" t="s">
        <v>191</v>
      </c>
      <c r="C19" s="192"/>
      <c r="D19" s="192"/>
      <c r="E19" s="157">
        <f>'NR Rebate'!E10*-1</f>
        <v>0</v>
      </c>
      <c r="G19" s="380">
        <f>E22</f>
        <v>0</v>
      </c>
      <c r="H19" s="366" t="str">
        <f>CONCATENATE("",E1," Non-AV Receipts (est.)")</f>
        <v>2025 Non-AV Receipts (est.)</v>
      </c>
      <c r="I19" s="382"/>
      <c r="J19" s="379"/>
      <c r="K19" s="334"/>
    </row>
    <row r="20" spans="2:11" x14ac:dyDescent="0.2">
      <c r="B20" s="198" t="s">
        <v>340</v>
      </c>
      <c r="C20" s="192"/>
      <c r="D20" s="192"/>
      <c r="E20" s="106"/>
      <c r="G20" s="386">
        <f>IF(E40&gt;0,E39,E41)</f>
        <v>0</v>
      </c>
      <c r="H20" s="366" t="str">
        <f>CONCATENATE("",E1," Ad Valorem Tax (est.)")</f>
        <v>2025 Ad Valorem Tax (est.)</v>
      </c>
      <c r="I20" s="366"/>
      <c r="J20" s="379"/>
      <c r="K20" s="639" t="str">
        <f>IF(G20=E41,"","Note: Does not include Delinquent Taxes")</f>
        <v/>
      </c>
    </row>
    <row r="21" spans="2:11" x14ac:dyDescent="0.25">
      <c r="B21" s="198" t="s">
        <v>341</v>
      </c>
      <c r="C21" s="242" t="str">
        <f>IF(C22*0.1&lt;C20,"Exceed 10% Rule","")</f>
        <v/>
      </c>
      <c r="D21" s="242" t="str">
        <f>IF(D22*0.1&lt;D20,"Exceed 10% Rule","")</f>
        <v/>
      </c>
      <c r="E21" s="201" t="str">
        <f>IF((E41+E22)*0.1&lt;E20,"Exceed 10% Rule","")</f>
        <v/>
      </c>
      <c r="G21" s="380">
        <f>SUM(G18:G20)</f>
        <v>0</v>
      </c>
      <c r="H21" s="366" t="str">
        <f>CONCATENATE("Total ",E1," Resources Available")</f>
        <v>Total 2025 Resources Available</v>
      </c>
      <c r="I21" s="382"/>
      <c r="J21" s="379"/>
      <c r="K21" s="334"/>
    </row>
    <row r="22" spans="2:11" x14ac:dyDescent="0.25">
      <c r="B22" s="200" t="s">
        <v>342</v>
      </c>
      <c r="C22" s="206">
        <f>SUM(C8:C20)</f>
        <v>0</v>
      </c>
      <c r="D22" s="206">
        <f>SUM(D8:D20)</f>
        <v>0</v>
      </c>
      <c r="E22" s="206">
        <f>SUM(E8:E20)</f>
        <v>0</v>
      </c>
      <c r="G22" s="387"/>
      <c r="H22" s="366"/>
      <c r="I22" s="366"/>
      <c r="J22" s="379"/>
      <c r="K22" s="334"/>
    </row>
    <row r="23" spans="2:11" x14ac:dyDescent="0.25">
      <c r="B23" s="60" t="s">
        <v>344</v>
      </c>
      <c r="C23" s="206">
        <f>C22+C6</f>
        <v>0</v>
      </c>
      <c r="D23" s="206">
        <f>D22+D6</f>
        <v>0</v>
      </c>
      <c r="E23" s="206">
        <f>E22+E6</f>
        <v>0</v>
      </c>
      <c r="G23" s="386">
        <f>C34*0.05+C34</f>
        <v>0</v>
      </c>
      <c r="H23" s="366" t="str">
        <f>CONCATENATE("Less ",E1-2," Expenditures + 5%")</f>
        <v>Less 2023 Expenditures + 5%</v>
      </c>
      <c r="I23" s="366"/>
      <c r="J23" s="379"/>
      <c r="K23" s="334"/>
    </row>
    <row r="24" spans="2:11" x14ac:dyDescent="0.25">
      <c r="B24" s="43" t="s">
        <v>346</v>
      </c>
      <c r="C24" s="240"/>
      <c r="D24" s="240"/>
      <c r="E24" s="157"/>
      <c r="G24" s="390">
        <f>G21-G23</f>
        <v>0</v>
      </c>
      <c r="H24" s="391" t="str">
        <f>CONCATENATE("Projected ",E1+1," carryover (est.)")</f>
        <v>Projected 2026 carryover (est.)</v>
      </c>
      <c r="I24" s="392"/>
      <c r="J24" s="393"/>
      <c r="K24" s="334"/>
    </row>
    <row r="25" spans="2:11" x14ac:dyDescent="0.25">
      <c r="B25" s="197"/>
      <c r="C25" s="192"/>
      <c r="D25" s="192"/>
      <c r="E25" s="106"/>
      <c r="G25" s="334"/>
      <c r="H25" s="334"/>
      <c r="I25" s="334"/>
      <c r="J25" s="334"/>
      <c r="K25" s="334"/>
    </row>
    <row r="26" spans="2:11" x14ac:dyDescent="0.25">
      <c r="B26" s="197"/>
      <c r="C26" s="192"/>
      <c r="D26" s="192"/>
      <c r="E26" s="106"/>
      <c r="G26" s="757" t="s">
        <v>355</v>
      </c>
      <c r="H26" s="758"/>
      <c r="I26" s="758"/>
      <c r="J26" s="759"/>
      <c r="K26" s="334"/>
    </row>
    <row r="27" spans="2:11" x14ac:dyDescent="0.25">
      <c r="B27" s="197"/>
      <c r="C27" s="192"/>
      <c r="D27" s="192"/>
      <c r="E27" s="106"/>
      <c r="G27" s="760"/>
      <c r="H27" s="761"/>
      <c r="I27" s="761"/>
      <c r="J27" s="762"/>
      <c r="K27" s="334"/>
    </row>
    <row r="28" spans="2:11" x14ac:dyDescent="0.25">
      <c r="B28" s="197"/>
      <c r="C28" s="192"/>
      <c r="D28" s="192"/>
      <c r="E28" s="106"/>
      <c r="G28" s="587" t="str">
        <f>'Budget Hearing Notice'!H22</f>
        <v xml:space="preserve"> </v>
      </c>
      <c r="H28" s="588" t="str">
        <f>CONCATENATE("",E1," Estimated Fund Mill Rate")</f>
        <v>2025 Estimated Fund Mill Rate</v>
      </c>
      <c r="I28" s="589"/>
      <c r="J28" s="590"/>
      <c r="K28" s="334"/>
    </row>
    <row r="29" spans="2:11" x14ac:dyDescent="0.25">
      <c r="B29" s="197"/>
      <c r="C29" s="192"/>
      <c r="D29" s="192"/>
      <c r="E29" s="106"/>
      <c r="G29" s="591" t="str">
        <f>'Budget Hearing Notice'!E22</f>
        <v xml:space="preserve">  </v>
      </c>
      <c r="H29" s="588" t="str">
        <f>CONCATENATE("",E1-1," Fund Mill Rate")</f>
        <v>2024 Fund Mill Rate</v>
      </c>
      <c r="I29" s="589"/>
      <c r="J29" s="590"/>
      <c r="K29" s="334"/>
    </row>
    <row r="30" spans="2:11" x14ac:dyDescent="0.25">
      <c r="B30" s="197"/>
      <c r="C30" s="192"/>
      <c r="D30" s="192"/>
      <c r="E30" s="106"/>
      <c r="G30" s="592">
        <f>'Budget Hearing Notice'!H37</f>
        <v>0</v>
      </c>
      <c r="H30" s="593" t="s">
        <v>381</v>
      </c>
      <c r="I30" s="589"/>
      <c r="J30" s="590"/>
      <c r="K30" s="334"/>
    </row>
    <row r="31" spans="2:11" x14ac:dyDescent="0.25">
      <c r="B31" s="195" t="str">
        <f>CONCATENATE("Cash Reserve (",E1," column)")</f>
        <v>Cash Reserve (2025 column)</v>
      </c>
      <c r="C31" s="192"/>
      <c r="D31" s="192"/>
      <c r="E31" s="106"/>
      <c r="G31" s="592">
        <f>SUM('Budget Hearing Notice'!H21:H24)</f>
        <v>0</v>
      </c>
      <c r="H31" s="593" t="s">
        <v>383</v>
      </c>
      <c r="I31" s="589"/>
      <c r="J31" s="590"/>
      <c r="K31" s="334"/>
    </row>
    <row r="32" spans="2:11" x14ac:dyDescent="0.25">
      <c r="B32" s="195" t="s">
        <v>340</v>
      </c>
      <c r="C32" s="192"/>
      <c r="D32" s="192"/>
      <c r="E32" s="106"/>
      <c r="G32" s="587">
        <f>'Budget Hearing Notice'!H36</f>
        <v>0</v>
      </c>
      <c r="H32" s="588" t="str">
        <f>CONCATENATE(E1," Estimated Total Mill Rate")</f>
        <v>2025 Estimated Total Mill Rate</v>
      </c>
      <c r="I32" s="589"/>
      <c r="J32" s="590"/>
      <c r="K32" s="334"/>
    </row>
    <row r="33" spans="2:11" x14ac:dyDescent="0.25">
      <c r="B33" s="195" t="s">
        <v>362</v>
      </c>
      <c r="C33" s="242" t="str">
        <f>IF(C34*0.1&lt;C32,"Exceed 10% Rule","")</f>
        <v/>
      </c>
      <c r="D33" s="242" t="str">
        <f>IF(D34*0.1&lt;D32,"Exceed 10% Rule","")</f>
        <v/>
      </c>
      <c r="E33" s="201" t="str">
        <f>IF(E34*0.1&lt;E32,"Exceed 10% Rule","")</f>
        <v/>
      </c>
      <c r="G33" s="594">
        <f>'Budget Hearing Notice'!E36</f>
        <v>0</v>
      </c>
      <c r="H33" s="588" t="str">
        <f>CONCATENATE(E1-1," Total Mill Rate")</f>
        <v>2024 Total Mill Rate</v>
      </c>
      <c r="I33" s="589"/>
      <c r="J33" s="590"/>
    </row>
    <row r="34" spans="2:11" x14ac:dyDescent="0.25">
      <c r="B34" s="60" t="s">
        <v>363</v>
      </c>
      <c r="C34" s="206">
        <f>SUM(C25:C32)</f>
        <v>0</v>
      </c>
      <c r="D34" s="206">
        <f>SUM(D25:D32)</f>
        <v>0</v>
      </c>
      <c r="E34" s="206">
        <f>SUM(E25:E32)</f>
        <v>0</v>
      </c>
      <c r="G34" s="595"/>
      <c r="H34" s="471"/>
      <c r="I34" s="471"/>
      <c r="J34" s="596"/>
    </row>
    <row r="35" spans="2:11" x14ac:dyDescent="0.25">
      <c r="B35" s="43" t="s">
        <v>364</v>
      </c>
      <c r="C35" s="157">
        <f>C23-C34</f>
        <v>0</v>
      </c>
      <c r="D35" s="157">
        <f>D23-D34</f>
        <v>0</v>
      </c>
      <c r="E35" s="194" t="s">
        <v>185</v>
      </c>
      <c r="G35" s="763" t="s">
        <v>365</v>
      </c>
      <c r="H35" s="764"/>
      <c r="I35" s="764"/>
      <c r="J35" s="767" t="str">
        <f>IF(G31&gt;G30, "Yes", "No")</f>
        <v>No</v>
      </c>
    </row>
    <row r="36" spans="2:11" x14ac:dyDescent="0.25">
      <c r="B36" s="68" t="str">
        <f>CONCATENATE("",E1-2,"/",E1-1,"/",E1," Budget Authority Amount:")</f>
        <v>2023/2024/2025 Budget Authority Amount:</v>
      </c>
      <c r="C36" s="427">
        <f>inputOth!$B95</f>
        <v>0</v>
      </c>
      <c r="D36" s="427">
        <f>inputPrYr!$D25</f>
        <v>0</v>
      </c>
      <c r="E36" s="157">
        <f>E34</f>
        <v>0</v>
      </c>
      <c r="F36" s="202"/>
      <c r="G36" s="765"/>
      <c r="H36" s="766"/>
      <c r="I36" s="766"/>
      <c r="J36" s="768"/>
      <c r="K36" s="334"/>
    </row>
    <row r="37" spans="2:11" x14ac:dyDescent="0.25">
      <c r="B37" s="140"/>
      <c r="C37" s="748" t="s">
        <v>366</v>
      </c>
      <c r="D37" s="749"/>
      <c r="E37" s="106"/>
      <c r="F37" s="415" t="str">
        <f>IF(E34/0.95-E34&lt;E37,"Exceeds 5%","")</f>
        <v/>
      </c>
      <c r="G37" s="769" t="str">
        <f>IF(J35="Yes", "Follow procedure prescribed by KSA 79-2988 to exceed the Revenue Neutral Rate.", " ")</f>
        <v xml:space="preserve"> </v>
      </c>
      <c r="H37" s="769"/>
      <c r="I37" s="769"/>
      <c r="J37" s="769"/>
      <c r="K37" s="334"/>
    </row>
    <row r="38" spans="2:11" x14ac:dyDescent="0.25">
      <c r="B38" s="637" t="str">
        <f>CONCATENATE(C92,"     ",D92)</f>
        <v xml:space="preserve">     </v>
      </c>
      <c r="C38" s="750" t="s">
        <v>367</v>
      </c>
      <c r="D38" s="751"/>
      <c r="E38" s="157">
        <f>E34+E37</f>
        <v>0</v>
      </c>
      <c r="G38" s="770"/>
      <c r="H38" s="770"/>
      <c r="I38" s="770"/>
      <c r="J38" s="770"/>
      <c r="K38" s="334"/>
    </row>
    <row r="39" spans="2:11" x14ac:dyDescent="0.25">
      <c r="B39" s="637" t="str">
        <f>CONCATENATE(C93,"     ",D93)</f>
        <v xml:space="preserve">     </v>
      </c>
      <c r="C39" s="638"/>
      <c r="D39" s="250" t="s">
        <v>368</v>
      </c>
      <c r="E39" s="157">
        <f>IF(E38-E23&gt;0,E38-E23,0)</f>
        <v>0</v>
      </c>
      <c r="G39" s="770"/>
      <c r="H39" s="770"/>
      <c r="I39" s="770"/>
      <c r="J39" s="770"/>
      <c r="K39" s="334"/>
    </row>
    <row r="40" spans="2:11" x14ac:dyDescent="0.25">
      <c r="B40" s="136"/>
      <c r="C40" s="621" t="s">
        <v>369</v>
      </c>
      <c r="D40" s="408">
        <f>inputOth!$E$85</f>
        <v>0</v>
      </c>
      <c r="E40" s="157">
        <f>ROUND(IF(D40&gt;0,(E39*D40),0),0)</f>
        <v>0</v>
      </c>
      <c r="G40" s="334"/>
      <c r="H40" s="334"/>
      <c r="I40" s="334"/>
      <c r="J40" s="334"/>
      <c r="K40" s="334"/>
    </row>
    <row r="41" spans="2:11" x14ac:dyDescent="0.25">
      <c r="B41" s="35"/>
      <c r="C41" s="752" t="str">
        <f>CONCATENATE("Amount of  ",$E$1-1," Ad Valorem Tax")</f>
        <v>Amount of  2024 Ad Valorem Tax</v>
      </c>
      <c r="D41" s="753"/>
      <c r="E41" s="157">
        <f>E39+E40</f>
        <v>0</v>
      </c>
      <c r="G41" s="334"/>
      <c r="H41" s="334"/>
      <c r="I41" s="334"/>
      <c r="J41" s="334"/>
      <c r="K41" s="334"/>
    </row>
    <row r="42" spans="2:11" x14ac:dyDescent="0.25">
      <c r="B42" s="35"/>
      <c r="C42" s="622"/>
      <c r="D42" s="35"/>
      <c r="E42" s="35"/>
      <c r="G42" s="334"/>
      <c r="H42" s="334"/>
      <c r="I42" s="334"/>
      <c r="J42" s="334"/>
      <c r="K42" s="334"/>
    </row>
    <row r="43" spans="2:11" x14ac:dyDescent="0.25">
      <c r="B43" s="35"/>
      <c r="C43" s="622"/>
      <c r="D43" s="35"/>
      <c r="E43" s="35"/>
      <c r="G43" s="334"/>
      <c r="H43" s="334"/>
      <c r="I43" s="334"/>
      <c r="J43" s="334"/>
      <c r="K43" s="334"/>
    </row>
    <row r="44" spans="2:11" x14ac:dyDescent="0.25">
      <c r="B44" s="39" t="s">
        <v>328</v>
      </c>
      <c r="C44" s="38"/>
      <c r="D44" s="38"/>
      <c r="E44" s="38"/>
      <c r="G44" s="334"/>
      <c r="H44" s="334"/>
      <c r="I44" s="334"/>
      <c r="J44" s="334"/>
      <c r="K44" s="334"/>
    </row>
    <row r="45" spans="2:11" x14ac:dyDescent="0.25">
      <c r="B45" s="35"/>
      <c r="C45" s="238" t="s">
        <v>329</v>
      </c>
      <c r="D45" s="241" t="s">
        <v>276</v>
      </c>
      <c r="E45" s="625" t="s">
        <v>330</v>
      </c>
      <c r="G45" s="334"/>
      <c r="H45" s="334"/>
      <c r="I45" s="334"/>
      <c r="J45" s="334"/>
      <c r="K45" s="334"/>
    </row>
    <row r="46" spans="2:11" x14ac:dyDescent="0.25">
      <c r="B46" s="247" t="str">
        <f>inputPrYr!B26</f>
        <v>Noxious Weed</v>
      </c>
      <c r="C46" s="239" t="str">
        <f>C5</f>
        <v>Actual for 2023</v>
      </c>
      <c r="D46" s="239" t="str">
        <f>D5</f>
        <v>Estimate for 2024</v>
      </c>
      <c r="E46" s="626" t="str">
        <f>E5</f>
        <v>Year for 2025</v>
      </c>
      <c r="G46" s="334"/>
      <c r="H46" s="334"/>
      <c r="I46" s="334"/>
      <c r="J46" s="334"/>
      <c r="K46" s="334"/>
    </row>
    <row r="47" spans="2:11" x14ac:dyDescent="0.25">
      <c r="B47" s="43" t="s">
        <v>331</v>
      </c>
      <c r="C47" s="192"/>
      <c r="D47" s="240">
        <f>C76</f>
        <v>0</v>
      </c>
      <c r="E47" s="157">
        <f>D76</f>
        <v>0</v>
      </c>
      <c r="G47" s="334"/>
      <c r="H47" s="334"/>
      <c r="I47" s="334"/>
      <c r="J47" s="334"/>
      <c r="K47" s="334"/>
    </row>
    <row r="48" spans="2:11" x14ac:dyDescent="0.25">
      <c r="B48" s="43" t="s">
        <v>332</v>
      </c>
      <c r="C48" s="240"/>
      <c r="D48" s="240"/>
      <c r="E48" s="194"/>
      <c r="G48" s="334"/>
      <c r="H48" s="334"/>
      <c r="I48" s="334"/>
      <c r="J48" s="334"/>
      <c r="K48" s="334"/>
    </row>
    <row r="49" spans="2:11" x14ac:dyDescent="0.25">
      <c r="B49" s="43" t="s">
        <v>96</v>
      </c>
      <c r="C49" s="192"/>
      <c r="D49" s="240">
        <f>IF(inputPrYr!H22&gt;0,inputPrYr!G28,inputPrYr!E26)</f>
        <v>0</v>
      </c>
      <c r="E49" s="194" t="s">
        <v>185</v>
      </c>
      <c r="G49" s="334"/>
      <c r="H49" s="334"/>
      <c r="I49" s="334"/>
      <c r="J49" s="334"/>
      <c r="K49" s="334"/>
    </row>
    <row r="50" spans="2:11" x14ac:dyDescent="0.25">
      <c r="B50" s="43" t="s">
        <v>333</v>
      </c>
      <c r="C50" s="192"/>
      <c r="D50" s="192"/>
      <c r="E50" s="106"/>
      <c r="G50" s="334"/>
      <c r="H50" s="334"/>
      <c r="I50" s="334"/>
      <c r="J50" s="334"/>
      <c r="K50" s="334"/>
    </row>
    <row r="51" spans="2:11" x14ac:dyDescent="0.25">
      <c r="B51" s="43" t="s">
        <v>334</v>
      </c>
      <c r="C51" s="192"/>
      <c r="D51" s="192"/>
      <c r="E51" s="157">
        <f>Mvalloc!D16</f>
        <v>0</v>
      </c>
      <c r="G51" s="775" t="str">
        <f>CONCATENATE("Desired Carryover Into ",E1+1,"")</f>
        <v>Desired Carryover Into 2026</v>
      </c>
      <c r="H51" s="776"/>
      <c r="I51" s="776"/>
      <c r="J51" s="777"/>
      <c r="K51" s="334"/>
    </row>
    <row r="52" spans="2:11" x14ac:dyDescent="0.25">
      <c r="B52" s="43" t="s">
        <v>335</v>
      </c>
      <c r="C52" s="192"/>
      <c r="D52" s="192"/>
      <c r="E52" s="157">
        <f>Mvalloc!F16</f>
        <v>0</v>
      </c>
      <c r="G52" s="365"/>
      <c r="H52" s="332"/>
      <c r="I52" s="366"/>
      <c r="J52" s="367"/>
      <c r="K52" s="334"/>
    </row>
    <row r="53" spans="2:11" x14ac:dyDescent="0.25">
      <c r="B53" s="43" t="s">
        <v>375</v>
      </c>
      <c r="C53" s="192"/>
      <c r="D53" s="192"/>
      <c r="E53" s="157">
        <f>Mvalloc!H16</f>
        <v>0</v>
      </c>
      <c r="G53" s="368" t="s">
        <v>343</v>
      </c>
      <c r="H53" s="366"/>
      <c r="I53" s="366"/>
      <c r="J53" s="369">
        <v>0</v>
      </c>
      <c r="K53" s="334"/>
    </row>
    <row r="54" spans="2:11" x14ac:dyDescent="0.25">
      <c r="B54" s="472" t="s">
        <v>336</v>
      </c>
      <c r="C54" s="192"/>
      <c r="D54" s="192"/>
      <c r="E54" s="157">
        <f>Mvalloc!J16</f>
        <v>0</v>
      </c>
      <c r="G54" s="365" t="s">
        <v>345</v>
      </c>
      <c r="H54" s="332"/>
      <c r="I54" s="332"/>
      <c r="J54" s="370" t="str">
        <f>IF(J53=0,"",ROUND((J53+E82-G66)/inputOth!E11*1000,3)-G71)</f>
        <v/>
      </c>
      <c r="K54" s="334"/>
    </row>
    <row r="55" spans="2:11" x14ac:dyDescent="0.25">
      <c r="B55" s="472" t="s">
        <v>337</v>
      </c>
      <c r="C55" s="192"/>
      <c r="D55" s="192"/>
      <c r="E55" s="157">
        <f>Mvalloc!L16</f>
        <v>0</v>
      </c>
      <c r="G55" s="371" t="str">
        <f>CONCATENATE("",E1," Tot Exp/Non-Appr Must Be:")</f>
        <v>2025 Tot Exp/Non-Appr Must Be:</v>
      </c>
      <c r="H55" s="372"/>
      <c r="I55" s="373"/>
      <c r="J55" s="374">
        <f>IF(J53&gt;0,IF(E79&lt;E64,IF(J53=G66,E79,((J53-G66)*(1-D81))+E64),E79+(J53-G66)),0)</f>
        <v>0</v>
      </c>
      <c r="K55" s="334"/>
    </row>
    <row r="56" spans="2:11" x14ac:dyDescent="0.25">
      <c r="B56" s="196"/>
      <c r="C56" s="192"/>
      <c r="D56" s="192"/>
      <c r="E56" s="106"/>
      <c r="G56" s="375" t="s">
        <v>347</v>
      </c>
      <c r="H56" s="376"/>
      <c r="I56" s="376"/>
      <c r="J56" s="377">
        <f>IF(J53&gt;0,J55-E79,0)</f>
        <v>0</v>
      </c>
      <c r="K56" s="334"/>
    </row>
    <row r="57" spans="2:11" x14ac:dyDescent="0.25">
      <c r="B57" s="196"/>
      <c r="C57" s="192"/>
      <c r="D57" s="192"/>
      <c r="E57" s="106"/>
      <c r="G57" s="334"/>
      <c r="H57" s="334"/>
      <c r="I57" s="334"/>
      <c r="J57" s="334"/>
      <c r="K57" s="334"/>
    </row>
    <row r="58" spans="2:11" x14ac:dyDescent="0.25">
      <c r="B58" s="197"/>
      <c r="C58" s="192"/>
      <c r="D58" s="192"/>
      <c r="E58" s="106"/>
      <c r="G58" s="775" t="str">
        <f>CONCATENATE("Projected Carryover Into ",E1+1,"")</f>
        <v>Projected Carryover Into 2026</v>
      </c>
      <c r="H58" s="778"/>
      <c r="I58" s="778"/>
      <c r="J58" s="779"/>
      <c r="K58" s="334"/>
    </row>
    <row r="59" spans="2:11" x14ac:dyDescent="0.25">
      <c r="B59" s="197" t="s">
        <v>339</v>
      </c>
      <c r="C59" s="192"/>
      <c r="D59" s="192"/>
      <c r="E59" s="106"/>
      <c r="G59" s="398"/>
      <c r="H59" s="332"/>
      <c r="I59" s="332"/>
      <c r="J59" s="399"/>
      <c r="K59" s="334"/>
    </row>
    <row r="60" spans="2:11" x14ac:dyDescent="0.25">
      <c r="B60" s="195" t="s">
        <v>191</v>
      </c>
      <c r="C60" s="192"/>
      <c r="D60" s="192"/>
      <c r="E60" s="157">
        <f>'NR Rebate'!E11*-1</f>
        <v>0</v>
      </c>
      <c r="G60" s="380">
        <f>D76</f>
        <v>0</v>
      </c>
      <c r="H60" s="381" t="str">
        <f>CONCATENATE("",E1-1," Ending Cash Balance (est.)")</f>
        <v>2024 Ending Cash Balance (est.)</v>
      </c>
      <c r="I60" s="382"/>
      <c r="J60" s="399"/>
      <c r="K60" s="334"/>
    </row>
    <row r="61" spans="2:11" x14ac:dyDescent="0.25">
      <c r="B61" s="198" t="s">
        <v>340</v>
      </c>
      <c r="C61" s="192"/>
      <c r="D61" s="192"/>
      <c r="E61" s="106"/>
      <c r="G61" s="380">
        <f>E63</f>
        <v>0</v>
      </c>
      <c r="H61" s="366" t="str">
        <f>CONCATENATE("",E1," Non-AV Receipts (est.)")</f>
        <v>2025 Non-AV Receipts (est.)</v>
      </c>
      <c r="I61" s="382"/>
      <c r="J61" s="399"/>
      <c r="K61" s="639" t="str">
        <f>IF(G62=E82,"","Note: Does not include Delinquent Taxes")</f>
        <v/>
      </c>
    </row>
    <row r="62" spans="2:11" x14ac:dyDescent="0.25">
      <c r="B62" s="198" t="s">
        <v>341</v>
      </c>
      <c r="C62" s="242" t="str">
        <f>IF(C63*0.1&lt;C61,"Exceed 10% Rule","")</f>
        <v/>
      </c>
      <c r="D62" s="242" t="str">
        <f>IF(D63*0.1&lt;D61,"Exceed 10% Rule","")</f>
        <v/>
      </c>
      <c r="E62" s="201" t="str">
        <f>IF((E82+E63)*0.1&lt;E61,"Exceed 10% Rule","")</f>
        <v/>
      </c>
      <c r="G62" s="386">
        <f>IF(E81&gt;0,E80,E82)</f>
        <v>0</v>
      </c>
      <c r="H62" s="366" t="str">
        <f>CONCATENATE("",E1," Ad Valorem Tax (est.)")</f>
        <v>2025 Ad Valorem Tax (est.)</v>
      </c>
      <c r="I62" s="366"/>
      <c r="J62" s="399"/>
      <c r="K62" s="334"/>
    </row>
    <row r="63" spans="2:11" x14ac:dyDescent="0.25">
      <c r="B63" s="200" t="s">
        <v>342</v>
      </c>
      <c r="C63" s="206">
        <f>SUM(C49:C61)</f>
        <v>0</v>
      </c>
      <c r="D63" s="206">
        <f>SUM(D49:D61)</f>
        <v>0</v>
      </c>
      <c r="E63" s="206">
        <f>SUM(E49:E61)</f>
        <v>0</v>
      </c>
      <c r="G63" s="400">
        <f>SUM(G60:G62)</f>
        <v>0</v>
      </c>
      <c r="H63" s="366" t="str">
        <f>CONCATENATE("Total ",E1," Resources Available")</f>
        <v>Total 2025 Resources Available</v>
      </c>
      <c r="I63" s="401"/>
      <c r="J63" s="399"/>
      <c r="K63" s="334"/>
    </row>
    <row r="64" spans="2:11" x14ac:dyDescent="0.25">
      <c r="B64" s="60" t="s">
        <v>344</v>
      </c>
      <c r="C64" s="206">
        <f>C63+C47</f>
        <v>0</v>
      </c>
      <c r="D64" s="206">
        <f>D63+D47</f>
        <v>0</v>
      </c>
      <c r="E64" s="206">
        <f>E63+E47</f>
        <v>0</v>
      </c>
      <c r="G64" s="402"/>
      <c r="H64" s="403"/>
      <c r="I64" s="332"/>
      <c r="J64" s="399"/>
      <c r="K64" s="334"/>
    </row>
    <row r="65" spans="2:11" x14ac:dyDescent="0.25">
      <c r="B65" s="43" t="s">
        <v>346</v>
      </c>
      <c r="C65" s="240"/>
      <c r="D65" s="240"/>
      <c r="E65" s="157"/>
      <c r="G65" s="386">
        <f>ROUND(C75*0.05+C75,0)</f>
        <v>0</v>
      </c>
      <c r="H65" s="366" t="str">
        <f>CONCATENATE("Less ",E1-2," Expenditures + 5%")</f>
        <v>Less 2023 Expenditures + 5%</v>
      </c>
      <c r="I65" s="401"/>
      <c r="J65" s="399"/>
      <c r="K65" s="334"/>
    </row>
    <row r="66" spans="2:11" x14ac:dyDescent="0.25">
      <c r="B66" s="197"/>
      <c r="C66" s="192"/>
      <c r="D66" s="192"/>
      <c r="E66" s="106"/>
      <c r="G66" s="390">
        <f>G63-G65</f>
        <v>0</v>
      </c>
      <c r="H66" s="391" t="str">
        <f>CONCATENATE("Projected ",E1+1," carryover (est.)")</f>
        <v>Projected 2026 carryover (est.)</v>
      </c>
      <c r="I66" s="404"/>
      <c r="J66" s="405"/>
      <c r="K66" s="334"/>
    </row>
    <row r="67" spans="2:11" x14ac:dyDescent="0.25">
      <c r="B67" s="197"/>
      <c r="C67" s="192"/>
      <c r="D67" s="192"/>
      <c r="E67" s="106"/>
      <c r="G67" s="334"/>
      <c r="H67" s="334"/>
      <c r="I67" s="334"/>
      <c r="J67" s="334"/>
      <c r="K67" s="334"/>
    </row>
    <row r="68" spans="2:11" x14ac:dyDescent="0.25">
      <c r="B68" s="197"/>
      <c r="C68" s="192"/>
      <c r="D68" s="192"/>
      <c r="E68" s="106"/>
      <c r="G68" s="757" t="s">
        <v>355</v>
      </c>
      <c r="H68" s="758"/>
      <c r="I68" s="758"/>
      <c r="J68" s="759"/>
      <c r="K68" s="334"/>
    </row>
    <row r="69" spans="2:11" x14ac:dyDescent="0.25">
      <c r="B69" s="197"/>
      <c r="C69" s="192"/>
      <c r="D69" s="192"/>
      <c r="E69" s="106"/>
      <c r="G69" s="760"/>
      <c r="H69" s="761"/>
      <c r="I69" s="761"/>
      <c r="J69" s="762"/>
      <c r="K69" s="334"/>
    </row>
    <row r="70" spans="2:11" x14ac:dyDescent="0.25">
      <c r="B70" s="197"/>
      <c r="C70" s="192"/>
      <c r="D70" s="192"/>
      <c r="E70" s="106"/>
      <c r="G70" s="587" t="str">
        <f>'Budget Hearing Notice'!H23</f>
        <v xml:space="preserve"> </v>
      </c>
      <c r="H70" s="588" t="str">
        <f>CONCATENATE("",E1," Estimated Fund Mill Rate")</f>
        <v>2025 Estimated Fund Mill Rate</v>
      </c>
      <c r="I70" s="589"/>
      <c r="J70" s="590"/>
      <c r="K70" s="334"/>
    </row>
    <row r="71" spans="2:11" x14ac:dyDescent="0.25">
      <c r="B71" s="197"/>
      <c r="C71" s="192"/>
      <c r="D71" s="192"/>
      <c r="E71" s="106"/>
      <c r="G71" s="591" t="str">
        <f>'Budget Hearing Notice'!E23</f>
        <v xml:space="preserve">  </v>
      </c>
      <c r="H71" s="588" t="str">
        <f>CONCATENATE("",E1-1," Fund Mill Rate")</f>
        <v>2024 Fund Mill Rate</v>
      </c>
      <c r="I71" s="589"/>
      <c r="J71" s="590"/>
      <c r="K71" s="334"/>
    </row>
    <row r="72" spans="2:11" x14ac:dyDescent="0.25">
      <c r="B72" s="195" t="str">
        <f>CONCATENATE("Cash Reserve (",E1," column)")</f>
        <v>Cash Reserve (2025 column)</v>
      </c>
      <c r="C72" s="192"/>
      <c r="D72" s="192"/>
      <c r="E72" s="106"/>
      <c r="G72" s="592">
        <f>inputOth!D36</f>
        <v>0</v>
      </c>
      <c r="H72" s="593" t="s">
        <v>381</v>
      </c>
      <c r="I72" s="589"/>
      <c r="J72" s="590"/>
      <c r="K72" s="334"/>
    </row>
    <row r="73" spans="2:11" x14ac:dyDescent="0.25">
      <c r="B73" s="195" t="s">
        <v>340</v>
      </c>
      <c r="C73" s="192"/>
      <c r="D73" s="192"/>
      <c r="E73" s="106"/>
      <c r="G73" s="592">
        <f>SUM('Budget Hearing Notice'!H21:H24)</f>
        <v>0</v>
      </c>
      <c r="H73" s="593" t="s">
        <v>383</v>
      </c>
      <c r="I73" s="589"/>
      <c r="J73" s="590"/>
    </row>
    <row r="74" spans="2:11" x14ac:dyDescent="0.25">
      <c r="B74" s="195" t="s">
        <v>362</v>
      </c>
      <c r="C74" s="242" t="str">
        <f>IF(C75*0.1&lt;C73,"Exceed 10% Rule","")</f>
        <v/>
      </c>
      <c r="D74" s="242" t="str">
        <f>IF(D75*0.1&lt;D73,"Exceed 10% Rule","")</f>
        <v/>
      </c>
      <c r="E74" s="201" t="str">
        <f>IF(E75*0.1&lt;E73,"Exceed 10% Rule","")</f>
        <v/>
      </c>
      <c r="G74" s="587">
        <f>'Budget Hearing Notice'!H36</f>
        <v>0</v>
      </c>
      <c r="H74" s="588" t="str">
        <f>CONCATENATE(E1," Estimated Total Mill Rate")</f>
        <v>2025 Estimated Total Mill Rate</v>
      </c>
      <c r="I74" s="589"/>
      <c r="J74" s="590"/>
    </row>
    <row r="75" spans="2:11" x14ac:dyDescent="0.25">
      <c r="B75" s="60" t="s">
        <v>363</v>
      </c>
      <c r="C75" s="206">
        <f>SUM(C66:C73)</f>
        <v>0</v>
      </c>
      <c r="D75" s="206">
        <f>SUM(D66:D73)</f>
        <v>0</v>
      </c>
      <c r="E75" s="206">
        <f>SUM(E66:E73)</f>
        <v>0</v>
      </c>
      <c r="G75" s="594">
        <f>'Budget Hearing Notice'!E36</f>
        <v>0</v>
      </c>
      <c r="H75" s="588" t="str">
        <f>CONCATENATE(E1-1," Total Mill Rate")</f>
        <v>2024 Total Mill Rate</v>
      </c>
      <c r="I75" s="589"/>
      <c r="J75" s="590"/>
    </row>
    <row r="76" spans="2:11" x14ac:dyDescent="0.25">
      <c r="B76" s="43" t="s">
        <v>364</v>
      </c>
      <c r="C76" s="157">
        <f>C64-C75</f>
        <v>0</v>
      </c>
      <c r="D76" s="157">
        <f>D64-D75</f>
        <v>0</v>
      </c>
      <c r="E76" s="194" t="s">
        <v>185</v>
      </c>
      <c r="G76" s="595"/>
      <c r="H76" s="471"/>
      <c r="I76" s="471"/>
      <c r="J76" s="596"/>
    </row>
    <row r="77" spans="2:11" x14ac:dyDescent="0.25">
      <c r="B77" s="68" t="str">
        <f>CONCATENATE("",E1-2,"/",E1-1,"/",E1," Budget Authority Amount:")</f>
        <v>2023/2024/2025 Budget Authority Amount:</v>
      </c>
      <c r="C77" s="427">
        <f>inputOth!$B96</f>
        <v>0</v>
      </c>
      <c r="D77" s="427">
        <f>inputPrYr!$D26</f>
        <v>0</v>
      </c>
      <c r="E77" s="157">
        <f>E75</f>
        <v>0</v>
      </c>
      <c r="F77" s="202"/>
      <c r="G77" s="763" t="s">
        <v>365</v>
      </c>
      <c r="H77" s="764"/>
      <c r="I77" s="764"/>
      <c r="J77" s="767" t="str">
        <f>IF(G73&gt;G72, "Yes", "No")</f>
        <v>No</v>
      </c>
    </row>
    <row r="78" spans="2:11" x14ac:dyDescent="0.25">
      <c r="B78" s="140"/>
      <c r="C78" s="748" t="s">
        <v>366</v>
      </c>
      <c r="D78" s="749"/>
      <c r="E78" s="106"/>
      <c r="F78" s="415" t="str">
        <f>IF(E75/0.95-E75&lt;E78,"Exceeds 5%","")</f>
        <v/>
      </c>
      <c r="G78" s="765"/>
      <c r="H78" s="766"/>
      <c r="I78" s="766"/>
      <c r="J78" s="768"/>
    </row>
    <row r="79" spans="2:11" x14ac:dyDescent="0.25">
      <c r="B79" s="637" t="str">
        <f>CONCATENATE(C94,"     ",D94)</f>
        <v xml:space="preserve">     </v>
      </c>
      <c r="C79" s="750" t="s">
        <v>367</v>
      </c>
      <c r="D79" s="751"/>
      <c r="E79" s="157">
        <f>E75+E78</f>
        <v>0</v>
      </c>
      <c r="G79" s="769" t="str">
        <f>IF(J77="Yes", "Follow procedure prescribed by KSA 79-2988 to exceed the Revenue Neutral Rate.", " ")</f>
        <v xml:space="preserve"> </v>
      </c>
      <c r="H79" s="769"/>
      <c r="I79" s="769"/>
      <c r="J79" s="769"/>
    </row>
    <row r="80" spans="2:11" x14ac:dyDescent="0.25">
      <c r="B80" s="637" t="str">
        <f>CONCATENATE(C95,"     ",D95)</f>
        <v xml:space="preserve">     </v>
      </c>
      <c r="C80" s="638"/>
      <c r="D80" s="250" t="s">
        <v>368</v>
      </c>
      <c r="E80" s="157">
        <f>IF(E79-E64&gt;0,E79-E64,0)</f>
        <v>0</v>
      </c>
      <c r="G80" s="770"/>
      <c r="H80" s="770"/>
      <c r="I80" s="770"/>
      <c r="J80" s="770"/>
    </row>
    <row r="81" spans="2:10" x14ac:dyDescent="0.25">
      <c r="B81" s="136"/>
      <c r="C81" s="621" t="s">
        <v>369</v>
      </c>
      <c r="D81" s="408">
        <f>inputOth!$E$85</f>
        <v>0</v>
      </c>
      <c r="E81" s="157">
        <f>ROUND(IF(D81&gt;0,(E80*D81),0),0)</f>
        <v>0</v>
      </c>
      <c r="G81" s="770"/>
      <c r="H81" s="770"/>
      <c r="I81" s="770"/>
      <c r="J81" s="770"/>
    </row>
    <row r="82" spans="2:10" x14ac:dyDescent="0.25">
      <c r="B82" s="35"/>
      <c r="C82" s="752" t="str">
        <f>CONCATENATE("Amount of  ",$E$1-1," Ad Valorem Tax")</f>
        <v>Amount of  2024 Ad Valorem Tax</v>
      </c>
      <c r="D82" s="753"/>
      <c r="E82" s="157">
        <f>E80+E81</f>
        <v>0</v>
      </c>
    </row>
    <row r="83" spans="2:10" x14ac:dyDescent="0.25">
      <c r="B83" s="35"/>
      <c r="C83" s="622"/>
      <c r="D83" s="622"/>
      <c r="E83" s="622"/>
    </row>
    <row r="84" spans="2:10" x14ac:dyDescent="0.25">
      <c r="B84" s="490" t="s">
        <v>203</v>
      </c>
      <c r="C84" s="498"/>
      <c r="D84" s="498"/>
      <c r="E84" s="499"/>
    </row>
    <row r="85" spans="2:10" x14ac:dyDescent="0.25">
      <c r="B85" s="251"/>
      <c r="C85" s="622"/>
      <c r="D85" s="622"/>
      <c r="E85" s="500"/>
    </row>
    <row r="86" spans="2:10" x14ac:dyDescent="0.25">
      <c r="B86" s="491"/>
      <c r="C86" s="501"/>
      <c r="D86" s="501"/>
      <c r="E86" s="502"/>
    </row>
    <row r="87" spans="2:10" x14ac:dyDescent="0.25">
      <c r="B87" s="35"/>
      <c r="C87" s="622"/>
      <c r="D87" s="622"/>
      <c r="E87" s="622"/>
    </row>
    <row r="88" spans="2:10" x14ac:dyDescent="0.25">
      <c r="B88" s="136" t="s">
        <v>370</v>
      </c>
      <c r="C88" s="460"/>
      <c r="D88" s="35"/>
      <c r="E88" s="35"/>
    </row>
    <row r="89" spans="2:10" x14ac:dyDescent="0.25">
      <c r="B89" s="65"/>
    </row>
    <row r="92" spans="2:10" hidden="1" x14ac:dyDescent="0.25">
      <c r="C92" s="99" t="str">
        <f>IF(C34&gt;C36,"See Tab A","")</f>
        <v/>
      </c>
      <c r="D92" s="99" t="str">
        <f>IF(D34&gt;D36,"See Tab C","")</f>
        <v/>
      </c>
    </row>
    <row r="93" spans="2:10" hidden="1" x14ac:dyDescent="0.25">
      <c r="C93" s="99" t="str">
        <f>IF(C35&lt;0,"See Tab B","")</f>
        <v/>
      </c>
      <c r="D93" s="99" t="str">
        <f>IF(D35&lt;0,"See Tab D","")</f>
        <v/>
      </c>
    </row>
    <row r="94" spans="2:10" hidden="1" x14ac:dyDescent="0.25">
      <c r="C94" s="99" t="str">
        <f>IF(C75&gt;C77,"See Tab A","")</f>
        <v/>
      </c>
      <c r="D94" s="99" t="str">
        <f>IF(D75&gt;D77,"See Tab C","")</f>
        <v/>
      </c>
    </row>
    <row r="95" spans="2:10" hidden="1" x14ac:dyDescent="0.25">
      <c r="C95" s="99" t="str">
        <f>IF(C76&lt;0,"See Tab B","")</f>
        <v/>
      </c>
      <c r="D95" s="99" t="str">
        <f>IF(D76&lt;0,"See Tab D","")</f>
        <v/>
      </c>
    </row>
  </sheetData>
  <sheetProtection sheet="1"/>
  <mergeCells count="18">
    <mergeCell ref="G9:J9"/>
    <mergeCell ref="G16:J16"/>
    <mergeCell ref="G51:J51"/>
    <mergeCell ref="G58:J58"/>
    <mergeCell ref="C37:D37"/>
    <mergeCell ref="C38:D38"/>
    <mergeCell ref="G26:J27"/>
    <mergeCell ref="G35:I36"/>
    <mergeCell ref="J35:J36"/>
    <mergeCell ref="G37:J39"/>
    <mergeCell ref="G68:J69"/>
    <mergeCell ref="C78:D78"/>
    <mergeCell ref="C79:D79"/>
    <mergeCell ref="C82:D82"/>
    <mergeCell ref="C41:D41"/>
    <mergeCell ref="G77:I78"/>
    <mergeCell ref="J77:J78"/>
    <mergeCell ref="G79:J81"/>
  </mergeCells>
  <phoneticPr fontId="0" type="noConversion"/>
  <conditionalFormatting sqref="C20">
    <cfRule type="cellIs" dxfId="144" priority="22" stopIfTrue="1" operator="greaterThan">
      <formula>$C$22*0.1</formula>
    </cfRule>
  </conditionalFormatting>
  <conditionalFormatting sqref="C32">
    <cfRule type="cellIs" dxfId="143" priority="19" stopIfTrue="1" operator="greaterThan">
      <formula>$C$34*0.1</formula>
    </cfRule>
  </conditionalFormatting>
  <conditionalFormatting sqref="C34">
    <cfRule type="expression" dxfId="142" priority="8">
      <formula>$C$34&gt;$C$36</formula>
    </cfRule>
  </conditionalFormatting>
  <conditionalFormatting sqref="C35">
    <cfRule type="expression" dxfId="141" priority="7">
      <formula>$C$35&lt;0</formula>
    </cfRule>
  </conditionalFormatting>
  <conditionalFormatting sqref="C61">
    <cfRule type="cellIs" dxfId="140" priority="15" stopIfTrue="1" operator="greaterThan">
      <formula>$C$63*0.1</formula>
    </cfRule>
  </conditionalFormatting>
  <conditionalFormatting sqref="C73">
    <cfRule type="cellIs" dxfId="139" priority="13" stopIfTrue="1" operator="greaterThan">
      <formula>$C$75*0.1</formula>
    </cfRule>
  </conditionalFormatting>
  <conditionalFormatting sqref="C75">
    <cfRule type="expression" dxfId="138" priority="4">
      <formula>$C$75&gt;$C$77</formula>
    </cfRule>
  </conditionalFormatting>
  <conditionalFormatting sqref="C76">
    <cfRule type="expression" dxfId="137" priority="3">
      <formula>$C$76&lt;0</formula>
    </cfRule>
  </conditionalFormatting>
  <conditionalFormatting sqref="D20">
    <cfRule type="cellIs" dxfId="136" priority="23" stopIfTrue="1" operator="greaterThan">
      <formula>$D$22*0.1</formula>
    </cfRule>
  </conditionalFormatting>
  <conditionalFormatting sqref="D32">
    <cfRule type="cellIs" dxfId="135" priority="20" stopIfTrue="1" operator="greaterThan">
      <formula>$D$34*0.1</formula>
    </cfRule>
  </conditionalFormatting>
  <conditionalFormatting sqref="D34">
    <cfRule type="expression" dxfId="134" priority="6">
      <formula>$D$34&gt;$D$36</formula>
    </cfRule>
  </conditionalFormatting>
  <conditionalFormatting sqref="D35">
    <cfRule type="expression" dxfId="133" priority="5">
      <formula>$D$35&lt;0</formula>
    </cfRule>
  </conditionalFormatting>
  <conditionalFormatting sqref="D61">
    <cfRule type="cellIs" dxfId="132" priority="16" stopIfTrue="1" operator="greaterThan">
      <formula>$D$63*0.1</formula>
    </cfRule>
  </conditionalFormatting>
  <conditionalFormatting sqref="D73">
    <cfRule type="cellIs" dxfId="131" priority="14" stopIfTrue="1" operator="greaterThan">
      <formula>$D$75*0.1</formula>
    </cfRule>
  </conditionalFormatting>
  <conditionalFormatting sqref="D75">
    <cfRule type="expression" dxfId="130" priority="2">
      <formula>$D$75&gt;$D$77</formula>
    </cfRule>
  </conditionalFormatting>
  <conditionalFormatting sqref="D76">
    <cfRule type="expression" dxfId="129" priority="1">
      <formula>$D$76&lt;0</formula>
    </cfRule>
  </conditionalFormatting>
  <conditionalFormatting sqref="E20">
    <cfRule type="cellIs" dxfId="128" priority="38" stopIfTrue="1" operator="greaterThan">
      <formula>$E$22*0.1+$E$41</formula>
    </cfRule>
  </conditionalFormatting>
  <conditionalFormatting sqref="E32">
    <cfRule type="cellIs" dxfId="127" priority="21" stopIfTrue="1" operator="greaterThan">
      <formula>$E$34*0.1</formula>
    </cfRule>
  </conditionalFormatting>
  <conditionalFormatting sqref="E37">
    <cfRule type="cellIs" dxfId="126" priority="24" stopIfTrue="1" operator="greaterThan">
      <formula>$E$34/0.95-$E$34</formula>
    </cfRule>
  </conditionalFormatting>
  <conditionalFormatting sqref="E61">
    <cfRule type="cellIs" dxfId="125" priority="17" stopIfTrue="1" operator="greaterThan">
      <formula>(E82+$E$63)*0.1</formula>
    </cfRule>
  </conditionalFormatting>
  <conditionalFormatting sqref="E73">
    <cfRule type="cellIs" dxfId="124" priority="31" stopIfTrue="1" operator="greaterThan">
      <formula>$E$75*0.1</formula>
    </cfRule>
  </conditionalFormatting>
  <conditionalFormatting sqref="E78">
    <cfRule type="cellIs" dxfId="123" priority="18" stopIfTrue="1" operator="greaterThan">
      <formula>$E$75/0.95-$E$75</formula>
    </cfRule>
  </conditionalFormatting>
  <conditionalFormatting sqref="J35">
    <cfRule type="containsText" dxfId="122" priority="10" operator="containsText" text="Yes">
      <formula>NOT(ISERROR(SEARCH("Yes",J35)))</formula>
    </cfRule>
  </conditionalFormatting>
  <conditionalFormatting sqref="J77">
    <cfRule type="containsText" dxfId="121" priority="9" operator="containsText" text="Yes">
      <formula>NOT(ISERROR(SEARCH("Yes",J77)))</formula>
    </cfRule>
  </conditionalFormatting>
  <pageMargins left="0.9" right="0.9" top="0.96" bottom="0.5" header="0.41" footer="0.3"/>
  <pageSetup scale="52"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00B0F0"/>
    <pageSetUpPr fitToPage="1"/>
  </sheetPr>
  <dimension ref="B1:K95"/>
  <sheetViews>
    <sheetView zoomScaleNormal="100" workbookViewId="0">
      <selection activeCell="D27" sqref="D27"/>
    </sheetView>
  </sheetViews>
  <sheetFormatPr defaultRowHeight="15.75" x14ac:dyDescent="0.25"/>
  <cols>
    <col min="1" max="1" width="2.3984375" style="99" customWidth="1"/>
    <col min="2" max="2" width="31" style="99" customWidth="1"/>
    <col min="3" max="4" width="15.69921875" style="99" customWidth="1"/>
    <col min="5" max="5" width="12.69921875" style="99" customWidth="1"/>
    <col min="6" max="6" width="7.296875" style="99" customWidth="1"/>
    <col min="7" max="7" width="9.19921875" style="99" customWidth="1"/>
    <col min="8" max="8" width="8.796875" style="99"/>
    <col min="9" max="9" width="4.5" style="99" customWidth="1"/>
    <col min="10" max="10" width="13" style="99" customWidth="1"/>
    <col min="11" max="16384" width="8.796875" style="99"/>
  </cols>
  <sheetData>
    <row r="1" spans="2:11" x14ac:dyDescent="0.25">
      <c r="B1" s="72">
        <f>inputPrYr!D4</f>
        <v>0</v>
      </c>
      <c r="C1" s="35"/>
      <c r="D1" s="35"/>
      <c r="E1" s="140">
        <f>inputPrYr!D10</f>
        <v>2025</v>
      </c>
    </row>
    <row r="2" spans="2:11" x14ac:dyDescent="0.25">
      <c r="B2" s="288" t="s">
        <v>327</v>
      </c>
      <c r="C2" s="35"/>
      <c r="D2" s="133"/>
      <c r="E2" s="207"/>
    </row>
    <row r="3" spans="2:11" x14ac:dyDescent="0.25">
      <c r="B3" s="35"/>
      <c r="C3" s="38"/>
      <c r="D3" s="38"/>
      <c r="E3" s="38"/>
    </row>
    <row r="4" spans="2:11" x14ac:dyDescent="0.25">
      <c r="B4" s="39" t="s">
        <v>328</v>
      </c>
      <c r="C4" s="238" t="s">
        <v>329</v>
      </c>
      <c r="D4" s="241" t="s">
        <v>276</v>
      </c>
      <c r="E4" s="625" t="s">
        <v>330</v>
      </c>
    </row>
    <row r="5" spans="2:11" x14ac:dyDescent="0.25">
      <c r="B5" s="246" t="str">
        <f>inputPrYr!B27</f>
        <v>Fire Protection</v>
      </c>
      <c r="C5" s="239" t="str">
        <f>General!C5</f>
        <v>Actual for 2023</v>
      </c>
      <c r="D5" s="239" t="str">
        <f>General!D5</f>
        <v>Estimate for 2024</v>
      </c>
      <c r="E5" s="626" t="str">
        <f>General!E5</f>
        <v>Year for 2025</v>
      </c>
    </row>
    <row r="6" spans="2:11" x14ac:dyDescent="0.25">
      <c r="B6" s="43" t="s">
        <v>331</v>
      </c>
      <c r="C6" s="192"/>
      <c r="D6" s="240">
        <f>C35</f>
        <v>0</v>
      </c>
      <c r="E6" s="157">
        <f>D35</f>
        <v>0</v>
      </c>
    </row>
    <row r="7" spans="2:11" x14ac:dyDescent="0.25">
      <c r="B7" s="43" t="s">
        <v>332</v>
      </c>
      <c r="C7" s="240"/>
      <c r="D7" s="240"/>
      <c r="E7" s="194"/>
    </row>
    <row r="8" spans="2:11" x14ac:dyDescent="0.25">
      <c r="B8" s="43" t="s">
        <v>96</v>
      </c>
      <c r="C8" s="192"/>
      <c r="D8" s="240">
        <f>IF(inputPrYr!H22&gt;0,inputPrYr!G29,inputPrYr!E27)</f>
        <v>0</v>
      </c>
      <c r="E8" s="194" t="s">
        <v>185</v>
      </c>
      <c r="G8" s="775" t="str">
        <f>CONCATENATE("Desired Carryover Into ",E1+1,"")</f>
        <v>Desired Carryover Into 2026</v>
      </c>
      <c r="H8" s="776"/>
      <c r="I8" s="776"/>
      <c r="J8" s="777"/>
      <c r="K8" s="334"/>
    </row>
    <row r="9" spans="2:11" x14ac:dyDescent="0.25">
      <c r="B9" s="43" t="s">
        <v>333</v>
      </c>
      <c r="C9" s="192"/>
      <c r="D9" s="192"/>
      <c r="E9" s="106"/>
      <c r="G9" s="365"/>
      <c r="H9" s="332"/>
      <c r="I9" s="366"/>
      <c r="J9" s="367"/>
      <c r="K9" s="334"/>
    </row>
    <row r="10" spans="2:11" x14ac:dyDescent="0.25">
      <c r="B10" s="43" t="s">
        <v>334</v>
      </c>
      <c r="C10" s="192"/>
      <c r="D10" s="192"/>
      <c r="E10" s="157">
        <f>Mvalloc!D17</f>
        <v>0</v>
      </c>
      <c r="G10" s="368" t="s">
        <v>343</v>
      </c>
      <c r="H10" s="366"/>
      <c r="I10" s="366"/>
      <c r="J10" s="369">
        <v>0</v>
      </c>
      <c r="K10" s="334"/>
    </row>
    <row r="11" spans="2:11" x14ac:dyDescent="0.25">
      <c r="B11" s="43" t="s">
        <v>335</v>
      </c>
      <c r="C11" s="192"/>
      <c r="D11" s="192"/>
      <c r="E11" s="157">
        <f>Mvalloc!F17</f>
        <v>0</v>
      </c>
      <c r="G11" s="365" t="s">
        <v>345</v>
      </c>
      <c r="H11" s="332"/>
      <c r="I11" s="332"/>
      <c r="J11" s="370" t="str">
        <f>IF(J10=0,"",ROUND((J10+E41-G23)/inputOth!E11*1000,3)-G28)</f>
        <v/>
      </c>
      <c r="K11" s="334"/>
    </row>
    <row r="12" spans="2:11" x14ac:dyDescent="0.25">
      <c r="B12" s="43" t="s">
        <v>375</v>
      </c>
      <c r="C12" s="192"/>
      <c r="D12" s="192"/>
      <c r="E12" s="157">
        <f>Mvalloc!H17</f>
        <v>0</v>
      </c>
      <c r="G12" s="371" t="str">
        <f>CONCATENATE("",E1," Tot Exp/Non-Appr Must Be:")</f>
        <v>2025 Tot Exp/Non-Appr Must Be:</v>
      </c>
      <c r="H12" s="372"/>
      <c r="I12" s="373"/>
      <c r="J12" s="374">
        <f>IF(J10&gt;0,IF(E38&lt;E23,IF(J10=G23,E38,((J10-G23)*(1-D40))+E23),E38+(J10-G23)),0)</f>
        <v>0</v>
      </c>
      <c r="K12" s="334"/>
    </row>
    <row r="13" spans="2:11" x14ac:dyDescent="0.25">
      <c r="B13" s="472" t="s">
        <v>336</v>
      </c>
      <c r="C13" s="192"/>
      <c r="D13" s="192"/>
      <c r="E13" s="157">
        <f>Mvalloc!J17</f>
        <v>0</v>
      </c>
      <c r="G13" s="375" t="s">
        <v>347</v>
      </c>
      <c r="H13" s="376"/>
      <c r="I13" s="376"/>
      <c r="J13" s="377">
        <f>IF(J10&gt;0,J12-E38,0)</f>
        <v>0</v>
      </c>
      <c r="K13" s="334"/>
    </row>
    <row r="14" spans="2:11" x14ac:dyDescent="0.25">
      <c r="B14" s="472" t="s">
        <v>337</v>
      </c>
      <c r="C14" s="192"/>
      <c r="D14" s="192"/>
      <c r="E14" s="157">
        <f>Mvalloc!L17</f>
        <v>0</v>
      </c>
      <c r="G14" s="334"/>
      <c r="H14" s="334"/>
      <c r="I14" s="334"/>
      <c r="J14" s="334"/>
      <c r="K14" s="334"/>
    </row>
    <row r="15" spans="2:11" x14ac:dyDescent="0.25">
      <c r="B15" s="196"/>
      <c r="C15" s="192"/>
      <c r="D15" s="192"/>
      <c r="E15" s="106"/>
      <c r="G15" s="775" t="str">
        <f>CONCATENATE("Projected Carryover Into ",E1+1,"")</f>
        <v>Projected Carryover Into 2026</v>
      </c>
      <c r="H15" s="780"/>
      <c r="I15" s="780"/>
      <c r="J15" s="779"/>
      <c r="K15" s="334"/>
    </row>
    <row r="16" spans="2:11" x14ac:dyDescent="0.25">
      <c r="B16" s="196"/>
      <c r="C16" s="192"/>
      <c r="D16" s="192"/>
      <c r="E16" s="106"/>
      <c r="G16" s="365"/>
      <c r="H16" s="366"/>
      <c r="I16" s="366"/>
      <c r="J16" s="379"/>
      <c r="K16" s="334"/>
    </row>
    <row r="17" spans="2:11" x14ac:dyDescent="0.25">
      <c r="B17" s="197"/>
      <c r="C17" s="192"/>
      <c r="D17" s="192"/>
      <c r="E17" s="106"/>
      <c r="G17" s="380">
        <f>D35</f>
        <v>0</v>
      </c>
      <c r="H17" s="381" t="str">
        <f>CONCATENATE("",E1-1," Ending Cash Balance (est.)")</f>
        <v>2024 Ending Cash Balance (est.)</v>
      </c>
      <c r="I17" s="382"/>
      <c r="J17" s="379"/>
      <c r="K17" s="334"/>
    </row>
    <row r="18" spans="2:11" x14ac:dyDescent="0.25">
      <c r="B18" s="197" t="s">
        <v>339</v>
      </c>
      <c r="C18" s="192"/>
      <c r="D18" s="192"/>
      <c r="E18" s="106"/>
      <c r="G18" s="380">
        <f>E22</f>
        <v>0</v>
      </c>
      <c r="H18" s="366" t="str">
        <f>CONCATENATE("",E1," Non-AV Receipts (est.)")</f>
        <v>2025 Non-AV Receipts (est.)</v>
      </c>
      <c r="I18" s="382"/>
      <c r="J18" s="379"/>
      <c r="K18" s="334"/>
    </row>
    <row r="19" spans="2:11" x14ac:dyDescent="0.2">
      <c r="B19" s="195" t="s">
        <v>191</v>
      </c>
      <c r="C19" s="192"/>
      <c r="D19" s="192"/>
      <c r="E19" s="157">
        <f>'NR Rebate'!E12*-1</f>
        <v>0</v>
      </c>
      <c r="G19" s="386">
        <f>IF(E40&gt;0,E39,E41)</f>
        <v>0</v>
      </c>
      <c r="H19" s="366" t="str">
        <f>CONCATENATE("",E1," Ad Valorem Tax (est.)")</f>
        <v>2025 Ad Valorem Tax (est.)</v>
      </c>
      <c r="I19" s="366"/>
      <c r="J19" s="379"/>
      <c r="K19" s="639" t="str">
        <f>IF(G19=E41,"","Note: Does not include Delinquent Taxes")</f>
        <v/>
      </c>
    </row>
    <row r="20" spans="2:11" x14ac:dyDescent="0.25">
      <c r="B20" s="198" t="s">
        <v>340</v>
      </c>
      <c r="C20" s="192"/>
      <c r="D20" s="192"/>
      <c r="E20" s="106"/>
      <c r="G20" s="380">
        <f>SUM(G17:G19)</f>
        <v>0</v>
      </c>
      <c r="H20" s="366" t="str">
        <f>CONCATENATE("Total ",E1," Resources Available")</f>
        <v>Total 2025 Resources Available</v>
      </c>
      <c r="I20" s="382"/>
      <c r="J20" s="379"/>
      <c r="K20" s="334"/>
    </row>
    <row r="21" spans="2:11" x14ac:dyDescent="0.25">
      <c r="B21" s="198" t="s">
        <v>341</v>
      </c>
      <c r="C21" s="242" t="str">
        <f>IF(C22*0.1&lt;C20,"Exceed 10% Rule","")</f>
        <v/>
      </c>
      <c r="D21" s="242" t="str">
        <f>IF(D22*0.1&lt;D20,"Exceed 10% Rule","")</f>
        <v/>
      </c>
      <c r="E21" s="201" t="str">
        <f>IF((E41+E22)*0.1&lt;E20,"Exceed 10% Rule","")</f>
        <v/>
      </c>
      <c r="G21" s="387"/>
      <c r="H21" s="366"/>
      <c r="I21" s="366"/>
      <c r="J21" s="379"/>
      <c r="K21" s="334"/>
    </row>
    <row r="22" spans="2:11" x14ac:dyDescent="0.25">
      <c r="B22" s="200" t="s">
        <v>342</v>
      </c>
      <c r="C22" s="206">
        <f>SUM(C8:C20)</f>
        <v>0</v>
      </c>
      <c r="D22" s="206">
        <f>SUM(D8:D20)</f>
        <v>0</v>
      </c>
      <c r="E22" s="206">
        <f>SUM(E8:E20)</f>
        <v>0</v>
      </c>
      <c r="G22" s="386">
        <f>C34*0.05+C34</f>
        <v>0</v>
      </c>
      <c r="H22" s="366" t="str">
        <f>CONCATENATE("Less ",E1-2," Expenditures + 5%")</f>
        <v>Less 2023 Expenditures + 5%</v>
      </c>
      <c r="I22" s="366"/>
      <c r="J22" s="379"/>
      <c r="K22" s="334"/>
    </row>
    <row r="23" spans="2:11" x14ac:dyDescent="0.25">
      <c r="B23" s="60" t="s">
        <v>344</v>
      </c>
      <c r="C23" s="206">
        <f>C22+C6</f>
        <v>0</v>
      </c>
      <c r="D23" s="206">
        <f>D22+D6</f>
        <v>0</v>
      </c>
      <c r="E23" s="206">
        <f>E22+E6</f>
        <v>0</v>
      </c>
      <c r="G23" s="390">
        <f>G20-G22</f>
        <v>0</v>
      </c>
      <c r="H23" s="391" t="str">
        <f>CONCATENATE("Projected ",E1+1," carryover (est.)")</f>
        <v>Projected 2026 carryover (est.)</v>
      </c>
      <c r="I23" s="392"/>
      <c r="J23" s="393"/>
      <c r="K23" s="334"/>
    </row>
    <row r="24" spans="2:11" x14ac:dyDescent="0.25">
      <c r="B24" s="43" t="s">
        <v>346</v>
      </c>
      <c r="C24" s="240"/>
      <c r="D24" s="240"/>
      <c r="E24" s="157"/>
      <c r="G24" s="334"/>
      <c r="H24" s="334"/>
      <c r="I24" s="334"/>
      <c r="J24" s="334"/>
      <c r="K24" s="334"/>
    </row>
    <row r="25" spans="2:11" x14ac:dyDescent="0.25">
      <c r="B25" s="197"/>
      <c r="C25" s="192"/>
      <c r="D25" s="192"/>
      <c r="E25" s="106"/>
      <c r="G25" s="757" t="s">
        <v>355</v>
      </c>
      <c r="H25" s="758"/>
      <c r="I25" s="758"/>
      <c r="J25" s="759"/>
      <c r="K25" s="334"/>
    </row>
    <row r="26" spans="2:11" x14ac:dyDescent="0.25">
      <c r="B26" s="197"/>
      <c r="C26" s="192"/>
      <c r="D26" s="192"/>
      <c r="E26" s="106"/>
      <c r="G26" s="760"/>
      <c r="H26" s="761"/>
      <c r="I26" s="761"/>
      <c r="J26" s="762"/>
      <c r="K26" s="334"/>
    </row>
    <row r="27" spans="2:11" x14ac:dyDescent="0.25">
      <c r="B27" s="197"/>
      <c r="C27" s="192"/>
      <c r="D27" s="192"/>
      <c r="E27" s="106"/>
      <c r="G27" s="587" t="str">
        <f>'Budget Hearing Notice'!H24</f>
        <v xml:space="preserve"> </v>
      </c>
      <c r="H27" s="588" t="str">
        <f>CONCATENATE("",E1," Estimated Fund Mill Rate")</f>
        <v>2025 Estimated Fund Mill Rate</v>
      </c>
      <c r="I27" s="589"/>
      <c r="J27" s="590"/>
      <c r="K27" s="334"/>
    </row>
    <row r="28" spans="2:11" x14ac:dyDescent="0.25">
      <c r="B28" s="197"/>
      <c r="C28" s="192"/>
      <c r="D28" s="192"/>
      <c r="E28" s="106"/>
      <c r="G28" s="591" t="str">
        <f>'Budget Hearing Notice'!E24</f>
        <v xml:space="preserve">  </v>
      </c>
      <c r="H28" s="588" t="str">
        <f>CONCATENATE("",E1-1," Fund Mill Rate")</f>
        <v>2024 Fund Mill Rate</v>
      </c>
      <c r="I28" s="589"/>
      <c r="J28" s="590"/>
      <c r="K28" s="334"/>
    </row>
    <row r="29" spans="2:11" x14ac:dyDescent="0.25">
      <c r="B29" s="197"/>
      <c r="C29" s="192"/>
      <c r="D29" s="192"/>
      <c r="E29" s="106"/>
      <c r="G29" s="592">
        <f>'Budget Hearing Notice'!H37</f>
        <v>0</v>
      </c>
      <c r="H29" s="593" t="s">
        <v>381</v>
      </c>
      <c r="I29" s="589"/>
      <c r="J29" s="590"/>
      <c r="K29" s="334"/>
    </row>
    <row r="30" spans="2:11" x14ac:dyDescent="0.25">
      <c r="B30" s="197"/>
      <c r="C30" s="192"/>
      <c r="D30" s="192"/>
      <c r="E30" s="106"/>
      <c r="G30" s="592">
        <f>SUM('Budget Hearing Notice'!H21:H24)</f>
        <v>0</v>
      </c>
      <c r="H30" s="593" t="s">
        <v>383</v>
      </c>
      <c r="I30" s="589"/>
      <c r="J30" s="590"/>
      <c r="K30" s="334"/>
    </row>
    <row r="31" spans="2:11" x14ac:dyDescent="0.25">
      <c r="B31" s="195" t="str">
        <f>CONCATENATE("Cash Reserve (",E1," column)")</f>
        <v>Cash Reserve (2025 column)</v>
      </c>
      <c r="C31" s="192"/>
      <c r="D31" s="192"/>
      <c r="E31" s="106"/>
      <c r="G31" s="587">
        <f>'Budget Hearing Notice'!H36</f>
        <v>0</v>
      </c>
      <c r="H31" s="588" t="str">
        <f>CONCATENATE(E1," Estimated Total Mill Rate")</f>
        <v>2025 Estimated Total Mill Rate</v>
      </c>
      <c r="I31" s="589"/>
      <c r="J31" s="590"/>
      <c r="K31" s="334"/>
    </row>
    <row r="32" spans="2:11" ht="15.75" customHeight="1" x14ac:dyDescent="0.25">
      <c r="B32" s="195" t="s">
        <v>340</v>
      </c>
      <c r="C32" s="192"/>
      <c r="D32" s="192"/>
      <c r="E32" s="106"/>
      <c r="G32" s="594">
        <f>'Budget Hearing Notice'!E36</f>
        <v>0</v>
      </c>
      <c r="H32" s="588" t="str">
        <f>CONCATENATE(E1-1," Total Mill Rate")</f>
        <v>2024 Total Mill Rate</v>
      </c>
      <c r="I32" s="589"/>
      <c r="J32" s="590"/>
    </row>
    <row r="33" spans="2:11" x14ac:dyDescent="0.25">
      <c r="B33" s="195" t="s">
        <v>362</v>
      </c>
      <c r="C33" s="242" t="str">
        <f>IF(C34*0.1&lt;C32,"Exceed 10% Rule","")</f>
        <v/>
      </c>
      <c r="D33" s="242" t="str">
        <f>IF(D34*0.1&lt;D32,"Exceed 10% Rule","")</f>
        <v/>
      </c>
      <c r="E33" s="201" t="str">
        <f>IF(E34*0.1&lt;E32,"Exceed 10% Rule","")</f>
        <v/>
      </c>
      <c r="G33" s="595"/>
      <c r="H33" s="471"/>
      <c r="I33" s="471"/>
      <c r="J33" s="596"/>
    </row>
    <row r="34" spans="2:11" x14ac:dyDescent="0.25">
      <c r="B34" s="60" t="s">
        <v>363</v>
      </c>
      <c r="C34" s="206">
        <f>SUM(C25:C32)</f>
        <v>0</v>
      </c>
      <c r="D34" s="206">
        <f>SUM(D25:D32)</f>
        <v>0</v>
      </c>
      <c r="E34" s="206">
        <f>SUM(E25:E32)</f>
        <v>0</v>
      </c>
      <c r="G34" s="763" t="s">
        <v>365</v>
      </c>
      <c r="H34" s="764"/>
      <c r="I34" s="764"/>
      <c r="J34" s="767" t="str">
        <f>IF(G30&gt;G29, "Yes", "No")</f>
        <v>No</v>
      </c>
    </row>
    <row r="35" spans="2:11" x14ac:dyDescent="0.25">
      <c r="B35" s="43" t="s">
        <v>364</v>
      </c>
      <c r="C35" s="427">
        <f>C23-C34</f>
        <v>0</v>
      </c>
      <c r="D35" s="427">
        <f>D23-D34</f>
        <v>0</v>
      </c>
      <c r="E35" s="194" t="s">
        <v>185</v>
      </c>
      <c r="G35" s="765"/>
      <c r="H35" s="766"/>
      <c r="I35" s="766"/>
      <c r="J35" s="768"/>
      <c r="K35" s="334"/>
    </row>
    <row r="36" spans="2:11" x14ac:dyDescent="0.25">
      <c r="B36" s="68" t="str">
        <f>CONCATENATE("",E1-2,"/",E1-1,"/",E1," Budget Authority Amount:")</f>
        <v>2023/2024/2025 Budget Authority Amount:</v>
      </c>
      <c r="C36" s="427">
        <f>inputOth!$B97</f>
        <v>0</v>
      </c>
      <c r="D36" s="427">
        <f>inputPrYr!$D27</f>
        <v>0</v>
      </c>
      <c r="E36" s="157">
        <f>E34</f>
        <v>0</v>
      </c>
      <c r="F36" s="202"/>
      <c r="G36" s="769" t="str">
        <f>IF(J34="Yes", "Follow procedure prescribed by KSA 79-2988 to exceed the Revenue Neutral Rate.", " ")</f>
        <v xml:space="preserve"> </v>
      </c>
      <c r="H36" s="769"/>
      <c r="I36" s="769"/>
      <c r="J36" s="769"/>
      <c r="K36" s="334"/>
    </row>
    <row r="37" spans="2:11" x14ac:dyDescent="0.25">
      <c r="B37" s="140"/>
      <c r="C37" s="748" t="s">
        <v>366</v>
      </c>
      <c r="D37" s="749"/>
      <c r="E37" s="106"/>
      <c r="F37" s="415" t="str">
        <f>IF(E34/0.95-E34&lt;E37,"Exceeds 5%","")</f>
        <v/>
      </c>
      <c r="G37" s="770"/>
      <c r="H37" s="770"/>
      <c r="I37" s="770"/>
      <c r="J37" s="770"/>
      <c r="K37" s="334"/>
    </row>
    <row r="38" spans="2:11" x14ac:dyDescent="0.25">
      <c r="B38" s="637" t="str">
        <f>CONCATENATE(C92,"     ",D92)</f>
        <v xml:space="preserve">     </v>
      </c>
      <c r="C38" s="750" t="s">
        <v>367</v>
      </c>
      <c r="D38" s="751"/>
      <c r="E38" s="157">
        <f>E34+E37</f>
        <v>0</v>
      </c>
      <c r="G38" s="770"/>
      <c r="H38" s="770"/>
      <c r="I38" s="770"/>
      <c r="J38" s="770"/>
      <c r="K38" s="334"/>
    </row>
    <row r="39" spans="2:11" x14ac:dyDescent="0.25">
      <c r="B39" s="637" t="str">
        <f>CONCATENATE(C93,"     ",D93)</f>
        <v xml:space="preserve">     </v>
      </c>
      <c r="C39" s="638"/>
      <c r="D39" s="250" t="s">
        <v>368</v>
      </c>
      <c r="E39" s="427">
        <f>IF(E38-E23&gt;0,E38-E23,0)</f>
        <v>0</v>
      </c>
      <c r="G39" s="334"/>
      <c r="H39" s="334"/>
      <c r="I39" s="334"/>
      <c r="J39" s="334"/>
      <c r="K39" s="334"/>
    </row>
    <row r="40" spans="2:11" ht="15.75" customHeight="1" x14ac:dyDescent="0.25">
      <c r="B40" s="136"/>
      <c r="C40" s="621" t="s">
        <v>369</v>
      </c>
      <c r="D40" s="408">
        <f>inputOth!$E$85</f>
        <v>0</v>
      </c>
      <c r="E40" s="157">
        <f>ROUND(IF(D40&gt;0,(E39*D40),0),0)</f>
        <v>0</v>
      </c>
      <c r="G40" s="334"/>
      <c r="H40" s="334"/>
      <c r="I40" s="334"/>
      <c r="J40" s="334"/>
      <c r="K40" s="334"/>
    </row>
    <row r="41" spans="2:11" ht="15.75" customHeight="1" x14ac:dyDescent="0.25">
      <c r="B41" s="35"/>
      <c r="C41" s="752" t="str">
        <f>CONCATENATE("Amount of  ",$E$1-1," Ad Valorem Tax")</f>
        <v>Amount of  2024 Ad Valorem Tax</v>
      </c>
      <c r="D41" s="753"/>
      <c r="E41" s="427">
        <f>E39+E40</f>
        <v>0</v>
      </c>
      <c r="G41" s="334"/>
      <c r="H41" s="334"/>
      <c r="I41" s="334"/>
      <c r="J41" s="334"/>
      <c r="K41" s="334"/>
    </row>
    <row r="42" spans="2:11" x14ac:dyDescent="0.25">
      <c r="B42" s="35"/>
      <c r="C42" s="622"/>
      <c r="D42" s="35"/>
      <c r="E42" s="35"/>
      <c r="G42" s="334"/>
      <c r="H42" s="334"/>
      <c r="I42" s="334"/>
      <c r="J42" s="334"/>
      <c r="K42" s="334"/>
    </row>
    <row r="43" spans="2:11" x14ac:dyDescent="0.25">
      <c r="B43" s="35"/>
      <c r="C43" s="622"/>
      <c r="D43" s="35"/>
      <c r="E43" s="35"/>
      <c r="G43" s="334"/>
      <c r="H43" s="334"/>
      <c r="I43" s="334"/>
      <c r="J43" s="334"/>
      <c r="K43" s="334"/>
    </row>
    <row r="44" spans="2:11" x14ac:dyDescent="0.25">
      <c r="B44" s="39" t="s">
        <v>328</v>
      </c>
      <c r="C44" s="38"/>
      <c r="D44" s="38"/>
      <c r="E44" s="38"/>
      <c r="G44" s="334"/>
      <c r="H44" s="334"/>
      <c r="I44" s="334"/>
      <c r="J44" s="334"/>
      <c r="K44" s="334"/>
    </row>
    <row r="45" spans="2:11" x14ac:dyDescent="0.25">
      <c r="B45" s="35"/>
      <c r="C45" s="238" t="s">
        <v>329</v>
      </c>
      <c r="D45" s="241" t="s">
        <v>276</v>
      </c>
      <c r="E45" s="625" t="s">
        <v>330</v>
      </c>
      <c r="G45" s="334"/>
      <c r="H45" s="334"/>
      <c r="I45" s="334"/>
      <c r="J45" s="334"/>
      <c r="K45" s="334"/>
    </row>
    <row r="46" spans="2:11" x14ac:dyDescent="0.25">
      <c r="B46" s="247">
        <f>inputPrYr!B28</f>
        <v>0</v>
      </c>
      <c r="C46" s="239" t="str">
        <f>C5</f>
        <v>Actual for 2023</v>
      </c>
      <c r="D46" s="239" t="str">
        <f>D5</f>
        <v>Estimate for 2024</v>
      </c>
      <c r="E46" s="626" t="str">
        <f>E5</f>
        <v>Year for 2025</v>
      </c>
      <c r="G46" s="334"/>
      <c r="H46" s="334"/>
      <c r="I46" s="334"/>
      <c r="J46" s="334"/>
      <c r="K46" s="334"/>
    </row>
    <row r="47" spans="2:11" x14ac:dyDescent="0.25">
      <c r="B47" s="43" t="s">
        <v>331</v>
      </c>
      <c r="C47" s="192"/>
      <c r="D47" s="240">
        <f>C76</f>
        <v>0</v>
      </c>
      <c r="E47" s="157">
        <f>D76</f>
        <v>0</v>
      </c>
      <c r="G47" s="334"/>
      <c r="H47" s="334"/>
      <c r="I47" s="334"/>
      <c r="J47" s="334"/>
      <c r="K47" s="334"/>
    </row>
    <row r="48" spans="2:11" x14ac:dyDescent="0.25">
      <c r="B48" s="43" t="s">
        <v>332</v>
      </c>
      <c r="C48" s="240"/>
      <c r="D48" s="240"/>
      <c r="E48" s="194"/>
      <c r="G48" s="334"/>
      <c r="H48" s="334"/>
      <c r="I48" s="334"/>
      <c r="J48" s="334"/>
      <c r="K48" s="334"/>
    </row>
    <row r="49" spans="2:11" x14ac:dyDescent="0.25">
      <c r="B49" s="43" t="s">
        <v>96</v>
      </c>
      <c r="C49" s="192"/>
      <c r="D49" s="240">
        <f>IF(inputPrYr!H22&gt;0,inputPrYr!G30,inputPrYr!E28)</f>
        <v>0</v>
      </c>
      <c r="E49" s="194" t="s">
        <v>185</v>
      </c>
      <c r="G49" s="334"/>
      <c r="H49" s="334"/>
      <c r="I49" s="334"/>
      <c r="J49" s="334"/>
      <c r="K49" s="334"/>
    </row>
    <row r="50" spans="2:11" x14ac:dyDescent="0.25">
      <c r="B50" s="43" t="s">
        <v>333</v>
      </c>
      <c r="C50" s="192"/>
      <c r="D50" s="192"/>
      <c r="E50" s="106"/>
      <c r="G50" s="775" t="str">
        <f>CONCATENATE("Desired Carryover Into ",E1+1,"")</f>
        <v>Desired Carryover Into 2026</v>
      </c>
      <c r="H50" s="776"/>
      <c r="I50" s="776"/>
      <c r="J50" s="777"/>
      <c r="K50" s="334"/>
    </row>
    <row r="51" spans="2:11" x14ac:dyDescent="0.25">
      <c r="B51" s="43" t="s">
        <v>334</v>
      </c>
      <c r="C51" s="192"/>
      <c r="D51" s="192"/>
      <c r="E51" s="157">
        <f>Mvalloc!D18+Mvalloc!E18</f>
        <v>0</v>
      </c>
      <c r="G51" s="365"/>
      <c r="H51" s="332"/>
      <c r="I51" s="366"/>
      <c r="J51" s="367"/>
      <c r="K51" s="334"/>
    </row>
    <row r="52" spans="2:11" x14ac:dyDescent="0.25">
      <c r="B52" s="43" t="s">
        <v>335</v>
      </c>
      <c r="C52" s="192"/>
      <c r="D52" s="192"/>
      <c r="E52" s="157">
        <f>Mvalloc!F18+Mvalloc!G18</f>
        <v>0</v>
      </c>
      <c r="G52" s="368" t="s">
        <v>343</v>
      </c>
      <c r="H52" s="366"/>
      <c r="I52" s="366"/>
      <c r="J52" s="369">
        <v>0</v>
      </c>
      <c r="K52" s="334"/>
    </row>
    <row r="53" spans="2:11" x14ac:dyDescent="0.25">
      <c r="B53" s="43" t="s">
        <v>375</v>
      </c>
      <c r="C53" s="192"/>
      <c r="D53" s="192"/>
      <c r="E53" s="157">
        <f>Mvalloc!H18+Mvalloc!I18</f>
        <v>0</v>
      </c>
      <c r="G53" s="365" t="s">
        <v>345</v>
      </c>
      <c r="H53" s="332"/>
      <c r="I53" s="332"/>
      <c r="J53" s="370" t="str">
        <f>IF(J52=0,"",ROUND((J52+E82-G65)/inputOth!E11*1000,3)-G70)</f>
        <v/>
      </c>
      <c r="K53" s="334"/>
    </row>
    <row r="54" spans="2:11" x14ac:dyDescent="0.25">
      <c r="B54" s="472" t="s">
        <v>336</v>
      </c>
      <c r="C54" s="192"/>
      <c r="D54" s="192"/>
      <c r="E54" s="157">
        <f>Mvalloc!J18+Mvalloc!K18</f>
        <v>0</v>
      </c>
      <c r="G54" s="371" t="str">
        <f>CONCATENATE("",E1," Tot Exp/Non-Appr Must Be:")</f>
        <v>2025 Tot Exp/Non-Appr Must Be:</v>
      </c>
      <c r="H54" s="372"/>
      <c r="I54" s="373"/>
      <c r="J54" s="374">
        <f>IF(J52&gt;0,IF(E79&lt;E64,IF(J52=G65,E79,((J52-G65)*(1-D81))+E64),E79+(J52-G65)),0)</f>
        <v>0</v>
      </c>
      <c r="K54" s="334"/>
    </row>
    <row r="55" spans="2:11" x14ac:dyDescent="0.25">
      <c r="B55" s="472" t="s">
        <v>337</v>
      </c>
      <c r="C55" s="192"/>
      <c r="D55" s="192"/>
      <c r="E55" s="157">
        <f>Mvalloc!L18+Mvalloc!M18</f>
        <v>0</v>
      </c>
      <c r="G55" s="375" t="s">
        <v>347</v>
      </c>
      <c r="H55" s="376"/>
      <c r="I55" s="376"/>
      <c r="J55" s="377">
        <f>IF(J52&gt;0,J54-E79,0)</f>
        <v>0</v>
      </c>
      <c r="K55" s="334"/>
    </row>
    <row r="56" spans="2:11" x14ac:dyDescent="0.25">
      <c r="B56" s="197"/>
      <c r="C56" s="192"/>
      <c r="D56" s="192"/>
      <c r="E56" s="106"/>
      <c r="G56" s="334"/>
      <c r="H56" s="334"/>
      <c r="I56" s="334"/>
      <c r="J56" s="334"/>
      <c r="K56" s="334"/>
    </row>
    <row r="57" spans="2:11" x14ac:dyDescent="0.25">
      <c r="B57" s="197"/>
      <c r="C57" s="192"/>
      <c r="D57" s="192"/>
      <c r="E57" s="106"/>
      <c r="G57" s="775" t="str">
        <f>CONCATENATE("Projected Carryover Into ",E1+1,"")</f>
        <v>Projected Carryover Into 2026</v>
      </c>
      <c r="H57" s="778"/>
      <c r="I57" s="778"/>
      <c r="J57" s="779"/>
      <c r="K57" s="334"/>
    </row>
    <row r="58" spans="2:11" x14ac:dyDescent="0.25">
      <c r="B58" s="197"/>
      <c r="C58" s="192"/>
      <c r="D58" s="192"/>
      <c r="E58" s="106"/>
      <c r="G58" s="398"/>
      <c r="H58" s="332"/>
      <c r="I58" s="332"/>
      <c r="J58" s="399"/>
      <c r="K58" s="334"/>
    </row>
    <row r="59" spans="2:11" x14ac:dyDescent="0.25">
      <c r="B59" s="197" t="s">
        <v>339</v>
      </c>
      <c r="C59" s="192"/>
      <c r="D59" s="192"/>
      <c r="E59" s="106"/>
      <c r="G59" s="380">
        <f>D76</f>
        <v>0</v>
      </c>
      <c r="H59" s="381" t="str">
        <f>CONCATENATE("",E1-1," Ending Cash Balance (est.)")</f>
        <v>2024 Ending Cash Balance (est.)</v>
      </c>
      <c r="I59" s="382"/>
      <c r="J59" s="399"/>
      <c r="K59" s="334"/>
    </row>
    <row r="60" spans="2:11" x14ac:dyDescent="0.25">
      <c r="B60" s="195" t="s">
        <v>191</v>
      </c>
      <c r="C60" s="192"/>
      <c r="D60" s="192"/>
      <c r="E60" s="427">
        <f>'NR Rebate'!E13*-1</f>
        <v>0</v>
      </c>
      <c r="G60" s="380">
        <f>E63</f>
        <v>0</v>
      </c>
      <c r="H60" s="366" t="str">
        <f>CONCATENATE("",E1," Non-AV Receipts (est.)")</f>
        <v>2025 Non-AV Receipts (est.)</v>
      </c>
      <c r="I60" s="382"/>
      <c r="J60" s="399"/>
      <c r="K60" s="639" t="str">
        <f>IF(G61=E82,"","Note: Does not include Delinquent Taxes")</f>
        <v/>
      </c>
    </row>
    <row r="61" spans="2:11" x14ac:dyDescent="0.25">
      <c r="B61" s="198" t="s">
        <v>340</v>
      </c>
      <c r="C61" s="192"/>
      <c r="D61" s="192"/>
      <c r="E61" s="106"/>
      <c r="G61" s="386">
        <f>IF(E81&gt;0,E80,E82)</f>
        <v>0</v>
      </c>
      <c r="H61" s="366" t="str">
        <f>CONCATENATE("",E1," Ad Valorem Tax (est.)")</f>
        <v>2025 Ad Valorem Tax (est.)</v>
      </c>
      <c r="I61" s="366"/>
      <c r="J61" s="399"/>
      <c r="K61" s="334"/>
    </row>
    <row r="62" spans="2:11" x14ac:dyDescent="0.25">
      <c r="B62" s="198" t="s">
        <v>341</v>
      </c>
      <c r="C62" s="242" t="str">
        <f>IF(C63*0.1&lt;C61,"Exceed 10% Rule","")</f>
        <v/>
      </c>
      <c r="D62" s="242" t="str">
        <f>IF(D63*0.1&lt;D61,"Exceed 10% Rule","")</f>
        <v/>
      </c>
      <c r="E62" s="201" t="str">
        <f>IF((E82+E63)*0.1&lt;E61,"Exceed 10% Rule","")</f>
        <v/>
      </c>
      <c r="G62" s="380">
        <f>SUM(G59:G61)</f>
        <v>0</v>
      </c>
      <c r="H62" s="366" t="str">
        <f>CONCATENATE("Total ",E1," Resources Available")</f>
        <v>Total 2025 Resources Available</v>
      </c>
      <c r="I62" s="401"/>
      <c r="J62" s="399"/>
      <c r="K62" s="334"/>
    </row>
    <row r="63" spans="2:11" x14ac:dyDescent="0.25">
      <c r="B63" s="200" t="s">
        <v>342</v>
      </c>
      <c r="C63" s="206">
        <f>SUM(C49:C61)</f>
        <v>0</v>
      </c>
      <c r="D63" s="206">
        <f>SUM(D49:D61)</f>
        <v>0</v>
      </c>
      <c r="E63" s="206">
        <f>SUM(E49:E61)</f>
        <v>0</v>
      </c>
      <c r="G63" s="402"/>
      <c r="H63" s="403"/>
      <c r="I63" s="332"/>
      <c r="J63" s="399"/>
      <c r="K63" s="334"/>
    </row>
    <row r="64" spans="2:11" x14ac:dyDescent="0.25">
      <c r="B64" s="60" t="s">
        <v>344</v>
      </c>
      <c r="C64" s="206">
        <f>C63+C47</f>
        <v>0</v>
      </c>
      <c r="D64" s="206">
        <f>D63+D47</f>
        <v>0</v>
      </c>
      <c r="E64" s="206">
        <f>E63+E47</f>
        <v>0</v>
      </c>
      <c r="G64" s="386">
        <f>ROUND(C75*0.05+C75,0)</f>
        <v>0</v>
      </c>
      <c r="H64" s="366" t="str">
        <f>CONCATENATE("Less ",E1-2," Expenditures + 5%")</f>
        <v>Less 2023 Expenditures + 5%</v>
      </c>
      <c r="I64" s="401"/>
      <c r="J64" s="399"/>
      <c r="K64" s="334"/>
    </row>
    <row r="65" spans="2:11" x14ac:dyDescent="0.25">
      <c r="B65" s="43" t="s">
        <v>346</v>
      </c>
      <c r="C65" s="240"/>
      <c r="D65" s="240"/>
      <c r="E65" s="157"/>
      <c r="G65" s="390">
        <f>G62-G64</f>
        <v>0</v>
      </c>
      <c r="H65" s="391" t="str">
        <f>CONCATENATE("Projected ",E1+1," carryover (est.)")</f>
        <v>Projected 2026 carryover (est.)</v>
      </c>
      <c r="I65" s="404"/>
      <c r="J65" s="405"/>
      <c r="K65" s="334"/>
    </row>
    <row r="66" spans="2:11" x14ac:dyDescent="0.25">
      <c r="B66" s="197"/>
      <c r="C66" s="192"/>
      <c r="D66" s="192"/>
      <c r="E66" s="106"/>
      <c r="G66" s="334"/>
      <c r="H66" s="334"/>
      <c r="I66" s="334"/>
      <c r="J66" s="334"/>
      <c r="K66" s="334"/>
    </row>
    <row r="67" spans="2:11" x14ac:dyDescent="0.25">
      <c r="B67" s="197"/>
      <c r="C67" s="192"/>
      <c r="D67" s="192"/>
      <c r="E67" s="106"/>
      <c r="G67" s="757" t="s">
        <v>355</v>
      </c>
      <c r="H67" s="758"/>
      <c r="I67" s="758"/>
      <c r="J67" s="759"/>
      <c r="K67" s="334"/>
    </row>
    <row r="68" spans="2:11" x14ac:dyDescent="0.25">
      <c r="B68" s="197"/>
      <c r="C68" s="192"/>
      <c r="D68" s="192"/>
      <c r="E68" s="106"/>
      <c r="G68" s="760"/>
      <c r="H68" s="761"/>
      <c r="I68" s="761"/>
      <c r="J68" s="762"/>
      <c r="K68" s="334"/>
    </row>
    <row r="69" spans="2:11" x14ac:dyDescent="0.25">
      <c r="B69" s="197"/>
      <c r="C69" s="192"/>
      <c r="D69" s="192"/>
      <c r="E69" s="106"/>
      <c r="G69" s="587" t="str">
        <f>'Budget Hearing Notice'!H25</f>
        <v xml:space="preserve"> </v>
      </c>
      <c r="H69" s="588" t="str">
        <f>CONCATENATE("",E1," Estimated Fund Mill Rate")</f>
        <v>2025 Estimated Fund Mill Rate</v>
      </c>
      <c r="I69" s="589"/>
      <c r="J69" s="590"/>
      <c r="K69" s="334"/>
    </row>
    <row r="70" spans="2:11" x14ac:dyDescent="0.25">
      <c r="B70" s="197"/>
      <c r="C70" s="192"/>
      <c r="D70" s="192"/>
      <c r="E70" s="106"/>
      <c r="G70" s="591" t="str">
        <f>'Budget Hearing Notice'!E25</f>
        <v xml:space="preserve">  </v>
      </c>
      <c r="H70" s="588" t="str">
        <f>CONCATENATE("",E1-1," Fund Mill Rate")</f>
        <v>2024 Fund Mill Rate</v>
      </c>
      <c r="I70" s="589"/>
      <c r="J70" s="590"/>
      <c r="K70" s="334"/>
    </row>
    <row r="71" spans="2:11" x14ac:dyDescent="0.25">
      <c r="B71" s="197"/>
      <c r="C71" s="192"/>
      <c r="D71" s="192"/>
      <c r="E71" s="106"/>
      <c r="G71" s="592">
        <f>inputOth!E36</f>
        <v>0</v>
      </c>
      <c r="H71" s="593" t="s">
        <v>359</v>
      </c>
      <c r="I71" s="589"/>
      <c r="J71" s="590"/>
      <c r="K71" s="334"/>
    </row>
    <row r="72" spans="2:11" x14ac:dyDescent="0.25">
      <c r="B72" s="195" t="str">
        <f>CONCATENATE("Cash Reserve (",E1," column)")</f>
        <v>Cash Reserve (2025 column)</v>
      </c>
      <c r="C72" s="192"/>
      <c r="D72" s="192"/>
      <c r="E72" s="106"/>
      <c r="G72" s="592">
        <f>SUM('Budget Hearing Notice'!H18:H20,'Budget Hearing Notice'!H25:H29)</f>
        <v>0</v>
      </c>
      <c r="H72" s="593" t="s">
        <v>361</v>
      </c>
      <c r="I72" s="589"/>
      <c r="J72" s="590"/>
    </row>
    <row r="73" spans="2:11" x14ac:dyDescent="0.25">
      <c r="B73" s="195" t="s">
        <v>340</v>
      </c>
      <c r="C73" s="192"/>
      <c r="D73" s="192"/>
      <c r="E73" s="106"/>
      <c r="G73" s="587">
        <f>'Budget Hearing Notice'!H36</f>
        <v>0</v>
      </c>
      <c r="H73" s="588" t="str">
        <f>CONCATENATE(E1," Estimated Total Mill Rate")</f>
        <v>2025 Estimated Total Mill Rate</v>
      </c>
      <c r="I73" s="589"/>
      <c r="J73" s="590"/>
    </row>
    <row r="74" spans="2:11" x14ac:dyDescent="0.25">
      <c r="B74" s="195" t="s">
        <v>362</v>
      </c>
      <c r="C74" s="242" t="str">
        <f>IF(C75*0.1&lt;C73,"Exceed 10% Rule","")</f>
        <v/>
      </c>
      <c r="D74" s="242" t="str">
        <f>IF(D75*0.1&lt;D73,"Exceed 10% Rule","")</f>
        <v/>
      </c>
      <c r="E74" s="201" t="str">
        <f>IF(E75*0.1&lt;E73,"Exceed 10% Rule","")</f>
        <v/>
      </c>
      <c r="G74" s="594">
        <f>'Budget Hearing Notice'!E36</f>
        <v>0</v>
      </c>
      <c r="H74" s="588" t="str">
        <f>CONCATENATE(E1-1," Total Mill Rate")</f>
        <v>2024 Total Mill Rate</v>
      </c>
      <c r="I74" s="589"/>
      <c r="J74" s="590"/>
    </row>
    <row r="75" spans="2:11" x14ac:dyDescent="0.25">
      <c r="B75" s="60" t="s">
        <v>363</v>
      </c>
      <c r="C75" s="206">
        <f>SUM(C66:C73)</f>
        <v>0</v>
      </c>
      <c r="D75" s="206">
        <f>SUM(D66:D73)</f>
        <v>0</v>
      </c>
      <c r="E75" s="206">
        <f>SUM(E66:E73)</f>
        <v>0</v>
      </c>
      <c r="G75" s="595"/>
      <c r="H75" s="471"/>
      <c r="I75" s="471"/>
      <c r="J75" s="596"/>
    </row>
    <row r="76" spans="2:11" x14ac:dyDescent="0.25">
      <c r="B76" s="43" t="s">
        <v>364</v>
      </c>
      <c r="C76" s="427">
        <f>C64-C75</f>
        <v>0</v>
      </c>
      <c r="D76" s="427">
        <f>D64-D75</f>
        <v>0</v>
      </c>
      <c r="E76" s="194" t="s">
        <v>185</v>
      </c>
      <c r="G76" s="763" t="s">
        <v>365</v>
      </c>
      <c r="H76" s="764"/>
      <c r="I76" s="764"/>
      <c r="J76" s="767" t="str">
        <f>IF(G72&gt;G71, "Yes", "No")</f>
        <v>No</v>
      </c>
    </row>
    <row r="77" spans="2:11" x14ac:dyDescent="0.25">
      <c r="B77" s="68" t="str">
        <f>CONCATENATE("",E1-2,"/",E1-1,"/",E1," Budget Authority Amount:")</f>
        <v>2023/2024/2025 Budget Authority Amount:</v>
      </c>
      <c r="C77" s="427">
        <f>inputOth!$B98</f>
        <v>0</v>
      </c>
      <c r="D77" s="308">
        <f>inputPrYr!$D28</f>
        <v>0</v>
      </c>
      <c r="E77" s="157">
        <f>E75</f>
        <v>0</v>
      </c>
      <c r="F77" s="202"/>
      <c r="G77" s="765"/>
      <c r="H77" s="766"/>
      <c r="I77" s="766"/>
      <c r="J77" s="768"/>
    </row>
    <row r="78" spans="2:11" x14ac:dyDescent="0.25">
      <c r="B78" s="140"/>
      <c r="C78" s="748" t="s">
        <v>366</v>
      </c>
      <c r="D78" s="749"/>
      <c r="E78" s="106"/>
      <c r="F78" s="415" t="str">
        <f>IF(E75/0.95-E75&lt;E78,"Exceeds 5%","")</f>
        <v/>
      </c>
      <c r="G78" s="769" t="str">
        <f>IF(J76="Yes", "Follow procedure prescribed by KSA 79-2988 to exceed the Revenue Neutral Rate.", " ")</f>
        <v xml:space="preserve"> </v>
      </c>
      <c r="H78" s="769"/>
      <c r="I78" s="769"/>
      <c r="J78" s="769"/>
    </row>
    <row r="79" spans="2:11" x14ac:dyDescent="0.25">
      <c r="B79" s="637" t="str">
        <f>CONCATENATE(C94,"     ",D94)</f>
        <v xml:space="preserve">     </v>
      </c>
      <c r="C79" s="750" t="s">
        <v>367</v>
      </c>
      <c r="D79" s="751"/>
      <c r="E79" s="157">
        <f>E75+E78</f>
        <v>0</v>
      </c>
      <c r="G79" s="770"/>
      <c r="H79" s="770"/>
      <c r="I79" s="770"/>
      <c r="J79" s="770"/>
    </row>
    <row r="80" spans="2:11" x14ac:dyDescent="0.25">
      <c r="B80" s="637" t="str">
        <f>CONCATENATE(C95,"     ",D95)</f>
        <v xml:space="preserve">     </v>
      </c>
      <c r="C80" s="638"/>
      <c r="D80" s="250" t="s">
        <v>368</v>
      </c>
      <c r="E80" s="427">
        <f>IF(E79-E64&gt;0,E79-E64,0)</f>
        <v>0</v>
      </c>
      <c r="G80" s="770"/>
      <c r="H80" s="770"/>
      <c r="I80" s="770"/>
      <c r="J80" s="770"/>
    </row>
    <row r="81" spans="2:5" x14ac:dyDescent="0.25">
      <c r="B81" s="136"/>
      <c r="C81" s="621" t="s">
        <v>369</v>
      </c>
      <c r="D81" s="408">
        <f>inputOth!$E$85</f>
        <v>0</v>
      </c>
      <c r="E81" s="157">
        <f>ROUND(IF(D81&gt;0,(E80*D81),0),0)</f>
        <v>0</v>
      </c>
    </row>
    <row r="82" spans="2:5" x14ac:dyDescent="0.25">
      <c r="B82" s="35"/>
      <c r="C82" s="752" t="str">
        <f>CONCATENATE("Amount of  ",$E$1-1," Ad Valorem Tax")</f>
        <v>Amount of  2024 Ad Valorem Tax</v>
      </c>
      <c r="D82" s="753"/>
      <c r="E82" s="427">
        <f>E80+E81</f>
        <v>0</v>
      </c>
    </row>
    <row r="83" spans="2:5" x14ac:dyDescent="0.25">
      <c r="B83" s="35"/>
      <c r="C83" s="622"/>
      <c r="D83" s="622"/>
      <c r="E83" s="622"/>
    </row>
    <row r="84" spans="2:5" x14ac:dyDescent="0.25">
      <c r="B84" s="490" t="s">
        <v>203</v>
      </c>
      <c r="C84" s="498"/>
      <c r="D84" s="498"/>
      <c r="E84" s="499"/>
    </row>
    <row r="85" spans="2:5" x14ac:dyDescent="0.25">
      <c r="B85" s="251"/>
      <c r="C85" s="622"/>
      <c r="D85" s="622"/>
      <c r="E85" s="500"/>
    </row>
    <row r="86" spans="2:5" x14ac:dyDescent="0.25">
      <c r="B86" s="491"/>
      <c r="C86" s="501"/>
      <c r="D86" s="501"/>
      <c r="E86" s="502"/>
    </row>
    <row r="87" spans="2:5" x14ac:dyDescent="0.25">
      <c r="B87" s="35"/>
      <c r="C87" s="622"/>
      <c r="D87" s="622"/>
      <c r="E87" s="622"/>
    </row>
    <row r="88" spans="2:5" x14ac:dyDescent="0.25">
      <c r="B88" s="136" t="s">
        <v>370</v>
      </c>
      <c r="C88" s="460"/>
      <c r="D88" s="35"/>
      <c r="E88" s="35"/>
    </row>
    <row r="89" spans="2:5" x14ac:dyDescent="0.25">
      <c r="B89" s="65"/>
    </row>
    <row r="92" spans="2:5" hidden="1" x14ac:dyDescent="0.25">
      <c r="C92" s="99" t="str">
        <f>IF(C34&gt;C36,"See Tab A","")</f>
        <v/>
      </c>
      <c r="D92" s="99" t="str">
        <f>IF(D34&gt;D36,"See Tab C","")</f>
        <v/>
      </c>
    </row>
    <row r="93" spans="2:5" hidden="1" x14ac:dyDescent="0.25">
      <c r="C93" s="99" t="str">
        <f>IF(C35&lt;0,"See Tab B","")</f>
        <v/>
      </c>
      <c r="D93" s="99" t="str">
        <f>IF(D35&lt;0,"See Tab D","")</f>
        <v/>
      </c>
    </row>
    <row r="94" spans="2:5" hidden="1" x14ac:dyDescent="0.25">
      <c r="C94" s="99" t="str">
        <f>IF(C75&gt;C77,"See Tab A","")</f>
        <v/>
      </c>
      <c r="D94" s="99" t="str">
        <f>IF(D75&gt;D77,"See Tab C","")</f>
        <v/>
      </c>
    </row>
    <row r="95" spans="2:5" hidden="1" x14ac:dyDescent="0.25">
      <c r="C95" s="99" t="str">
        <f>IF(C76&lt;0,"See Tab B","")</f>
        <v/>
      </c>
      <c r="D95" s="99" t="str">
        <f>IF(D76&lt;0,"See Tab D","")</f>
        <v/>
      </c>
    </row>
  </sheetData>
  <sheetProtection sheet="1"/>
  <mergeCells count="18">
    <mergeCell ref="G8:J8"/>
    <mergeCell ref="G15:J15"/>
    <mergeCell ref="G50:J50"/>
    <mergeCell ref="G57:J57"/>
    <mergeCell ref="C37:D37"/>
    <mergeCell ref="C38:D38"/>
    <mergeCell ref="G25:J26"/>
    <mergeCell ref="G34:I35"/>
    <mergeCell ref="J34:J35"/>
    <mergeCell ref="G36:J38"/>
    <mergeCell ref="G67:J68"/>
    <mergeCell ref="C78:D78"/>
    <mergeCell ref="C79:D79"/>
    <mergeCell ref="C82:D82"/>
    <mergeCell ref="C41:D41"/>
    <mergeCell ref="G76:I77"/>
    <mergeCell ref="J76:J77"/>
    <mergeCell ref="G78:J80"/>
  </mergeCells>
  <phoneticPr fontId="0" type="noConversion"/>
  <conditionalFormatting sqref="C20">
    <cfRule type="cellIs" dxfId="120" priority="22" stopIfTrue="1" operator="greaterThan">
      <formula>$C$22*0.1</formula>
    </cfRule>
  </conditionalFormatting>
  <conditionalFormatting sqref="C32">
    <cfRule type="cellIs" dxfId="119" priority="19" stopIfTrue="1" operator="greaterThan">
      <formula>$C$34*0.1</formula>
    </cfRule>
  </conditionalFormatting>
  <conditionalFormatting sqref="C34">
    <cfRule type="expression" dxfId="118" priority="8">
      <formula>$C$34&gt;$C$36</formula>
    </cfRule>
  </conditionalFormatting>
  <conditionalFormatting sqref="C35">
    <cfRule type="expression" dxfId="117" priority="7">
      <formula>$C$35&lt;0</formula>
    </cfRule>
  </conditionalFormatting>
  <conditionalFormatting sqref="C61">
    <cfRule type="cellIs" dxfId="116" priority="16" stopIfTrue="1" operator="greaterThan">
      <formula>$C$63*0.1</formula>
    </cfRule>
  </conditionalFormatting>
  <conditionalFormatting sqref="C73">
    <cfRule type="cellIs" dxfId="115" priority="13" stopIfTrue="1" operator="greaterThan">
      <formula>$C$720*0.1</formula>
    </cfRule>
  </conditionalFormatting>
  <conditionalFormatting sqref="C75">
    <cfRule type="expression" dxfId="114" priority="4">
      <formula>$C$75&gt;$C$77</formula>
    </cfRule>
  </conditionalFormatting>
  <conditionalFormatting sqref="C76">
    <cfRule type="expression" dxfId="113" priority="3">
      <formula>$C$76&lt;0</formula>
    </cfRule>
  </conditionalFormatting>
  <conditionalFormatting sqref="D20">
    <cfRule type="cellIs" dxfId="112" priority="23" stopIfTrue="1" operator="greaterThan">
      <formula>$D$22*0.1</formula>
    </cfRule>
  </conditionalFormatting>
  <conditionalFormatting sqref="D32">
    <cfRule type="cellIs" dxfId="111" priority="20" stopIfTrue="1" operator="greaterThan">
      <formula>$D$34*0.1</formula>
    </cfRule>
  </conditionalFormatting>
  <conditionalFormatting sqref="D34">
    <cfRule type="expression" dxfId="110" priority="6">
      <formula>$D$34&gt;$D$36</formula>
    </cfRule>
  </conditionalFormatting>
  <conditionalFormatting sqref="D35">
    <cfRule type="expression" dxfId="109" priority="5">
      <formula>$D$35&lt;0</formula>
    </cfRule>
  </conditionalFormatting>
  <conditionalFormatting sqref="D61">
    <cfRule type="cellIs" dxfId="108" priority="17" stopIfTrue="1" operator="greaterThan">
      <formula>$D$63*0.1</formula>
    </cfRule>
  </conditionalFormatting>
  <conditionalFormatting sqref="D73">
    <cfRule type="cellIs" dxfId="107" priority="14" stopIfTrue="1" operator="greaterThan">
      <formula>$D$720*0.1</formula>
    </cfRule>
  </conditionalFormatting>
  <conditionalFormatting sqref="D75">
    <cfRule type="expression" dxfId="106" priority="2">
      <formula>$D$75&gt;$D$77</formula>
    </cfRule>
  </conditionalFormatting>
  <conditionalFormatting sqref="D76">
    <cfRule type="expression" dxfId="105" priority="1">
      <formula>$D$76&lt;0</formula>
    </cfRule>
  </conditionalFormatting>
  <conditionalFormatting sqref="E20">
    <cfRule type="cellIs" dxfId="104" priority="39" stopIfTrue="1" operator="greaterThan">
      <formula>$E$22*0.1+$E$41</formula>
    </cfRule>
  </conditionalFormatting>
  <conditionalFormatting sqref="E32">
    <cfRule type="cellIs" dxfId="103" priority="21" stopIfTrue="1" operator="greaterThan">
      <formula>$E$34*0.1</formula>
    </cfRule>
  </conditionalFormatting>
  <conditionalFormatting sqref="E37">
    <cfRule type="cellIs" dxfId="102" priority="24" stopIfTrue="1" operator="greaterThan">
      <formula>$E$34/0.95-$E$34</formula>
    </cfRule>
  </conditionalFormatting>
  <conditionalFormatting sqref="E61">
    <cfRule type="cellIs" dxfId="101" priority="40" stopIfTrue="1" operator="greaterThan">
      <formula>$E$63*0.1+$E$82</formula>
    </cfRule>
  </conditionalFormatting>
  <conditionalFormatting sqref="E73">
    <cfRule type="cellIs" dxfId="100" priority="15" stopIfTrue="1" operator="greaterThan">
      <formula>$E$75*0.1</formula>
    </cfRule>
  </conditionalFormatting>
  <conditionalFormatting sqref="E78">
    <cfRule type="cellIs" dxfId="99" priority="18" stopIfTrue="1" operator="greaterThan">
      <formula>$E$75/0.95-$E$75</formula>
    </cfRule>
  </conditionalFormatting>
  <conditionalFormatting sqref="J34">
    <cfRule type="containsText" dxfId="98" priority="10" operator="containsText" text="Yes">
      <formula>NOT(ISERROR(SEARCH("Yes",J34)))</formula>
    </cfRule>
  </conditionalFormatting>
  <conditionalFormatting sqref="J76">
    <cfRule type="containsText" dxfId="97" priority="9" operator="containsText" text="Yes">
      <formula>NOT(ISERROR(SEARCH("Yes",J76)))</formula>
    </cfRule>
  </conditionalFormatting>
  <pageMargins left="0.9" right="0.9" top="0.96" bottom="0.5" header="0.41" footer="0.3"/>
  <pageSetup scale="53"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00B0F0"/>
    <pageSetUpPr fitToPage="1"/>
  </sheetPr>
  <dimension ref="B1:K95"/>
  <sheetViews>
    <sheetView zoomScaleNormal="100" workbookViewId="0">
      <selection activeCell="F2" sqref="F2"/>
    </sheetView>
  </sheetViews>
  <sheetFormatPr defaultRowHeight="15.75" x14ac:dyDescent="0.25"/>
  <cols>
    <col min="1" max="1" width="2.3984375" style="99" customWidth="1"/>
    <col min="2" max="2" width="31" style="99" customWidth="1"/>
    <col min="3" max="4" width="15.69921875" style="99" customWidth="1"/>
    <col min="5" max="5" width="12.69921875" style="99" customWidth="1"/>
    <col min="6" max="6" width="7.296875" style="99" customWidth="1"/>
    <col min="7" max="7" width="9.19921875" style="99" customWidth="1"/>
    <col min="8" max="8" width="8.796875" style="99"/>
    <col min="9" max="9" width="4.5" style="99" customWidth="1"/>
    <col min="10" max="10" width="11.19921875" style="99" customWidth="1"/>
    <col min="11" max="16384" width="8.796875" style="99"/>
  </cols>
  <sheetData>
    <row r="1" spans="2:11" x14ac:dyDescent="0.25">
      <c r="B1" s="72">
        <f>inputPrYr!D4</f>
        <v>0</v>
      </c>
      <c r="C1" s="35"/>
      <c r="D1" s="35"/>
      <c r="E1" s="140">
        <f>inputPrYr!D10</f>
        <v>2025</v>
      </c>
    </row>
    <row r="2" spans="2:11" x14ac:dyDescent="0.25">
      <c r="B2" s="288" t="s">
        <v>327</v>
      </c>
      <c r="C2" s="35"/>
      <c r="D2" s="133"/>
      <c r="E2" s="37"/>
    </row>
    <row r="3" spans="2:11" x14ac:dyDescent="0.25">
      <c r="B3" s="35"/>
      <c r="C3" s="38"/>
      <c r="D3" s="38"/>
      <c r="E3" s="38"/>
    </row>
    <row r="4" spans="2:11" x14ac:dyDescent="0.25">
      <c r="B4" s="39" t="s">
        <v>328</v>
      </c>
      <c r="C4" s="238" t="s">
        <v>329</v>
      </c>
      <c r="D4" s="241" t="s">
        <v>276</v>
      </c>
      <c r="E4" s="625" t="s">
        <v>330</v>
      </c>
    </row>
    <row r="5" spans="2:11" x14ac:dyDescent="0.25">
      <c r="B5" s="246">
        <f>inputPrYr!B29</f>
        <v>0</v>
      </c>
      <c r="C5" s="239" t="str">
        <f>General!C5</f>
        <v>Actual for 2023</v>
      </c>
      <c r="D5" s="239" t="str">
        <f>General!D5</f>
        <v>Estimate for 2024</v>
      </c>
      <c r="E5" s="626" t="str">
        <f>General!E5</f>
        <v>Year for 2025</v>
      </c>
    </row>
    <row r="6" spans="2:11" x14ac:dyDescent="0.25">
      <c r="B6" s="43" t="s">
        <v>331</v>
      </c>
      <c r="C6" s="192"/>
      <c r="D6" s="240">
        <f>C35</f>
        <v>0</v>
      </c>
      <c r="E6" s="157">
        <f>D35</f>
        <v>0</v>
      </c>
    </row>
    <row r="7" spans="2:11" x14ac:dyDescent="0.25">
      <c r="B7" s="43" t="s">
        <v>332</v>
      </c>
      <c r="C7" s="240"/>
      <c r="D7" s="240"/>
      <c r="E7" s="194"/>
      <c r="K7" s="334"/>
    </row>
    <row r="8" spans="2:11" x14ac:dyDescent="0.25">
      <c r="B8" s="43" t="s">
        <v>96</v>
      </c>
      <c r="C8" s="192"/>
      <c r="D8" s="240">
        <f>IF(inputPrYr!H22&gt;0,inputPrYr!G31,inputPrYr!E29)</f>
        <v>0</v>
      </c>
      <c r="E8" s="194" t="s">
        <v>185</v>
      </c>
      <c r="K8" s="334"/>
    </row>
    <row r="9" spans="2:11" x14ac:dyDescent="0.25">
      <c r="B9" s="43" t="s">
        <v>333</v>
      </c>
      <c r="C9" s="192"/>
      <c r="D9" s="192"/>
      <c r="E9" s="106"/>
      <c r="G9" s="775" t="str">
        <f>CONCATENATE("Desired Carryover Into ",E1+1,"")</f>
        <v>Desired Carryover Into 2026</v>
      </c>
      <c r="H9" s="776"/>
      <c r="I9" s="776"/>
      <c r="J9" s="777"/>
      <c r="K9" s="334"/>
    </row>
    <row r="10" spans="2:11" x14ac:dyDescent="0.25">
      <c r="B10" s="43" t="s">
        <v>334</v>
      </c>
      <c r="C10" s="192"/>
      <c r="D10" s="192"/>
      <c r="E10" s="157">
        <f>Mvalloc!D19+Mvalloc!E19</f>
        <v>0</v>
      </c>
      <c r="G10" s="365"/>
      <c r="H10" s="332"/>
      <c r="I10" s="366"/>
      <c r="J10" s="367"/>
      <c r="K10" s="334"/>
    </row>
    <row r="11" spans="2:11" x14ac:dyDescent="0.25">
      <c r="B11" s="43" t="s">
        <v>335</v>
      </c>
      <c r="C11" s="192"/>
      <c r="D11" s="192"/>
      <c r="E11" s="157">
        <f>Mvalloc!F19+Mvalloc!G19</f>
        <v>0</v>
      </c>
      <c r="G11" s="368" t="s">
        <v>343</v>
      </c>
      <c r="H11" s="366"/>
      <c r="I11" s="366"/>
      <c r="J11" s="369">
        <v>0</v>
      </c>
      <c r="K11" s="334"/>
    </row>
    <row r="12" spans="2:11" x14ac:dyDescent="0.25">
      <c r="B12" s="43" t="s">
        <v>375</v>
      </c>
      <c r="C12" s="192"/>
      <c r="D12" s="192"/>
      <c r="E12" s="157">
        <f>Mvalloc!H19+Mvalloc!I19</f>
        <v>0</v>
      </c>
      <c r="G12" s="365" t="s">
        <v>345</v>
      </c>
      <c r="H12" s="332"/>
      <c r="I12" s="332"/>
      <c r="J12" s="370" t="str">
        <f>IF(J11=0,"",ROUND((J11+E41-G24)/inputOth!E11*1000,3)-G29)</f>
        <v/>
      </c>
      <c r="K12" s="334"/>
    </row>
    <row r="13" spans="2:11" x14ac:dyDescent="0.25">
      <c r="B13" s="472" t="s">
        <v>336</v>
      </c>
      <c r="C13" s="192"/>
      <c r="D13" s="192"/>
      <c r="E13" s="157">
        <f>Mvalloc!J19+Mvalloc!K19</f>
        <v>0</v>
      </c>
      <c r="G13" s="371" t="str">
        <f>CONCATENATE("",E1," Tot Exp/Non-Appr Must Be:")</f>
        <v>2025 Tot Exp/Non-Appr Must Be:</v>
      </c>
      <c r="H13" s="372"/>
      <c r="I13" s="373"/>
      <c r="J13" s="374">
        <f>IF(J11&gt;0,IF(E38&lt;E23,IF(J11=G24,E38,((J11-G24)*(1-D40))+E23),E38+(J11-G24)),0)</f>
        <v>0</v>
      </c>
      <c r="K13" s="334"/>
    </row>
    <row r="14" spans="2:11" x14ac:dyDescent="0.25">
      <c r="B14" s="472" t="s">
        <v>337</v>
      </c>
      <c r="C14" s="192"/>
      <c r="D14" s="192"/>
      <c r="E14" s="157">
        <f>Mvalloc!L19+Mvalloc!M19</f>
        <v>0</v>
      </c>
      <c r="G14" s="375" t="s">
        <v>347</v>
      </c>
      <c r="H14" s="376"/>
      <c r="I14" s="376"/>
      <c r="J14" s="377">
        <f>IF(J11&gt;0,J13-E38,0)</f>
        <v>0</v>
      </c>
      <c r="K14" s="334"/>
    </row>
    <row r="15" spans="2:11" x14ac:dyDescent="0.25">
      <c r="B15" s="197"/>
      <c r="C15" s="192"/>
      <c r="D15" s="192"/>
      <c r="E15" s="106"/>
      <c r="G15" s="334"/>
      <c r="H15" s="334"/>
      <c r="I15" s="334"/>
      <c r="J15" s="334"/>
      <c r="K15" s="334"/>
    </row>
    <row r="16" spans="2:11" x14ac:dyDescent="0.25">
      <c r="B16" s="197"/>
      <c r="C16" s="192"/>
      <c r="D16" s="192"/>
      <c r="E16" s="106"/>
      <c r="G16" s="775" t="str">
        <f>CONCATENATE("Projected Carryover Into ",E1+1,"")</f>
        <v>Projected Carryover Into 2026</v>
      </c>
      <c r="H16" s="780"/>
      <c r="I16" s="780"/>
      <c r="J16" s="779"/>
      <c r="K16" s="334"/>
    </row>
    <row r="17" spans="2:11" x14ac:dyDescent="0.25">
      <c r="B17" s="197"/>
      <c r="C17" s="192"/>
      <c r="D17" s="192"/>
      <c r="E17" s="106"/>
      <c r="G17" s="365"/>
      <c r="H17" s="366"/>
      <c r="I17" s="366"/>
      <c r="J17" s="379"/>
      <c r="K17" s="334"/>
    </row>
    <row r="18" spans="2:11" x14ac:dyDescent="0.2">
      <c r="B18" s="197" t="s">
        <v>339</v>
      </c>
      <c r="C18" s="192"/>
      <c r="D18" s="192"/>
      <c r="E18" s="106"/>
      <c r="G18" s="380">
        <f>D35</f>
        <v>0</v>
      </c>
      <c r="H18" s="381" t="str">
        <f>CONCATENATE("",E1-1," Ending Cash Balance (est.)")</f>
        <v>2024 Ending Cash Balance (est.)</v>
      </c>
      <c r="I18" s="382"/>
      <c r="J18" s="379"/>
      <c r="K18" s="639" t="str">
        <f>IF(G20=E41,"","Note: Does not include Delinquent Taxes")</f>
        <v/>
      </c>
    </row>
    <row r="19" spans="2:11" x14ac:dyDescent="0.25">
      <c r="B19" s="195" t="s">
        <v>191</v>
      </c>
      <c r="C19" s="192"/>
      <c r="D19" s="192"/>
      <c r="E19" s="157">
        <f>'NR Rebate'!E14*-1</f>
        <v>0</v>
      </c>
      <c r="G19" s="380">
        <f>E22</f>
        <v>0</v>
      </c>
      <c r="H19" s="366" t="str">
        <f>CONCATENATE("",E1," Non-AV Receipts (est.)")</f>
        <v>2025 Non-AV Receipts (est.)</v>
      </c>
      <c r="I19" s="382"/>
      <c r="J19" s="379"/>
      <c r="K19" s="334"/>
    </row>
    <row r="20" spans="2:11" x14ac:dyDescent="0.25">
      <c r="B20" s="198" t="s">
        <v>340</v>
      </c>
      <c r="C20" s="192"/>
      <c r="D20" s="192"/>
      <c r="E20" s="106"/>
      <c r="G20" s="386">
        <f>IF(E40&gt;0,E39,E41)</f>
        <v>0</v>
      </c>
      <c r="H20" s="366" t="str">
        <f>CONCATENATE("",E1," Ad Valorem Tax (est.)")</f>
        <v>2025 Ad Valorem Tax (est.)</v>
      </c>
      <c r="I20" s="366"/>
      <c r="J20" s="379"/>
      <c r="K20" s="334"/>
    </row>
    <row r="21" spans="2:11" x14ac:dyDescent="0.25">
      <c r="B21" s="198" t="s">
        <v>341</v>
      </c>
      <c r="C21" s="242" t="str">
        <f>IF(C22*0.1&lt;C20,"Exceed 10% Rule","")</f>
        <v/>
      </c>
      <c r="D21" s="242" t="str">
        <f>IF(D22*0.1&lt;D20,"Exceed 10% Rule","")</f>
        <v/>
      </c>
      <c r="E21" s="201" t="str">
        <f>IF((E41+E22)*0.1&lt;E20,"Exceed 10% Rule","")</f>
        <v/>
      </c>
      <c r="G21" s="380">
        <f>SUM(G18:G20)</f>
        <v>0</v>
      </c>
      <c r="H21" s="366" t="str">
        <f>CONCATENATE("Total ",E1," Resources Available")</f>
        <v>Total 2025 Resources Available</v>
      </c>
      <c r="I21" s="382"/>
      <c r="J21" s="379"/>
      <c r="K21" s="334"/>
    </row>
    <row r="22" spans="2:11" x14ac:dyDescent="0.25">
      <c r="B22" s="200" t="s">
        <v>342</v>
      </c>
      <c r="C22" s="206">
        <f>SUM(C8:C20)</f>
        <v>0</v>
      </c>
      <c r="D22" s="206">
        <f>SUM(D8:D20)</f>
        <v>0</v>
      </c>
      <c r="E22" s="206">
        <f>SUM(E8:E20)</f>
        <v>0</v>
      </c>
      <c r="G22" s="387"/>
      <c r="H22" s="366"/>
      <c r="I22" s="366"/>
      <c r="J22" s="379"/>
      <c r="K22" s="334"/>
    </row>
    <row r="23" spans="2:11" x14ac:dyDescent="0.25">
      <c r="B23" s="60" t="s">
        <v>344</v>
      </c>
      <c r="C23" s="206">
        <f>C22+C6</f>
        <v>0</v>
      </c>
      <c r="D23" s="206">
        <f>D22+D6</f>
        <v>0</v>
      </c>
      <c r="E23" s="206">
        <f>E22+E6</f>
        <v>0</v>
      </c>
      <c r="G23" s="386">
        <f>C34*0.05+C34</f>
        <v>0</v>
      </c>
      <c r="H23" s="366" t="str">
        <f>CONCATENATE("Less ",E1-2," Expenditures + 5%")</f>
        <v>Less 2023 Expenditures + 5%</v>
      </c>
      <c r="I23" s="366"/>
      <c r="J23" s="379"/>
      <c r="K23" s="334"/>
    </row>
    <row r="24" spans="2:11" x14ac:dyDescent="0.25">
      <c r="B24" s="43" t="s">
        <v>346</v>
      </c>
      <c r="C24" s="240"/>
      <c r="D24" s="240"/>
      <c r="E24" s="157"/>
      <c r="G24" s="390">
        <f>G21-G23</f>
        <v>0</v>
      </c>
      <c r="H24" s="391" t="str">
        <f>CONCATENATE("Projected ",E1+1," carryover (est.)")</f>
        <v>Projected 2026 carryover (est.)</v>
      </c>
      <c r="I24" s="392"/>
      <c r="J24" s="393"/>
      <c r="K24" s="334"/>
    </row>
    <row r="25" spans="2:11" x14ac:dyDescent="0.25">
      <c r="B25" s="197"/>
      <c r="C25" s="192"/>
      <c r="D25" s="192"/>
      <c r="E25" s="106"/>
      <c r="G25" s="334"/>
      <c r="H25" s="334"/>
      <c r="I25" s="334"/>
      <c r="J25" s="334"/>
      <c r="K25" s="334"/>
    </row>
    <row r="26" spans="2:11" x14ac:dyDescent="0.25">
      <c r="B26" s="197"/>
      <c r="C26" s="192"/>
      <c r="D26" s="192"/>
      <c r="E26" s="106"/>
      <c r="G26" s="757" t="s">
        <v>355</v>
      </c>
      <c r="H26" s="758"/>
      <c r="I26" s="758"/>
      <c r="J26" s="759"/>
      <c r="K26" s="334"/>
    </row>
    <row r="27" spans="2:11" x14ac:dyDescent="0.25">
      <c r="B27" s="197"/>
      <c r="C27" s="192"/>
      <c r="D27" s="192"/>
      <c r="E27" s="106"/>
      <c r="G27" s="760"/>
      <c r="H27" s="761"/>
      <c r="I27" s="761"/>
      <c r="J27" s="762"/>
      <c r="K27" s="334"/>
    </row>
    <row r="28" spans="2:11" x14ac:dyDescent="0.25">
      <c r="B28" s="197"/>
      <c r="C28" s="192"/>
      <c r="D28" s="192"/>
      <c r="E28" s="106"/>
      <c r="G28" s="587" t="str">
        <f>'Budget Hearing Notice'!H26</f>
        <v xml:space="preserve"> </v>
      </c>
      <c r="H28" s="588" t="str">
        <f>CONCATENATE("",E1," Estimated Fund Mill Rate")</f>
        <v>2025 Estimated Fund Mill Rate</v>
      </c>
      <c r="I28" s="589"/>
      <c r="J28" s="590"/>
      <c r="K28" s="334"/>
    </row>
    <row r="29" spans="2:11" x14ac:dyDescent="0.25">
      <c r="B29" s="192"/>
      <c r="C29" s="192"/>
      <c r="D29" s="192"/>
      <c r="E29" s="106"/>
      <c r="G29" s="591" t="str">
        <f>'Budget Hearing Notice'!E26</f>
        <v xml:space="preserve">  </v>
      </c>
      <c r="H29" s="588" t="str">
        <f>CONCATENATE("",E1-1," Fund Mill Rate")</f>
        <v>2024 Fund Mill Rate</v>
      </c>
      <c r="I29" s="589"/>
      <c r="J29" s="590"/>
      <c r="K29" s="334"/>
    </row>
    <row r="30" spans="2:11" x14ac:dyDescent="0.25">
      <c r="B30" s="197"/>
      <c r="C30" s="192"/>
      <c r="D30" s="192"/>
      <c r="E30" s="106"/>
      <c r="G30" s="592">
        <f>inputOth!E36</f>
        <v>0</v>
      </c>
      <c r="H30" s="593" t="s">
        <v>359</v>
      </c>
      <c r="I30" s="589"/>
      <c r="J30" s="590"/>
      <c r="K30" s="334"/>
    </row>
    <row r="31" spans="2:11" x14ac:dyDescent="0.25">
      <c r="B31" s="195" t="str">
        <f>CONCATENATE("Cash Reserve (",E1," column)")</f>
        <v>Cash Reserve (2025 column)</v>
      </c>
      <c r="C31" s="192"/>
      <c r="D31" s="192"/>
      <c r="E31" s="106"/>
      <c r="G31" s="592">
        <f>SUM('Budget Hearing Notice'!H18:H20,'Budget Hearing Notice'!H25:H29)</f>
        <v>0</v>
      </c>
      <c r="H31" s="593" t="s">
        <v>361</v>
      </c>
      <c r="I31" s="589"/>
      <c r="J31" s="590"/>
    </row>
    <row r="32" spans="2:11" ht="15.75" customHeight="1" x14ac:dyDescent="0.25">
      <c r="B32" s="195" t="s">
        <v>340</v>
      </c>
      <c r="C32" s="192"/>
      <c r="D32" s="192"/>
      <c r="E32" s="106"/>
      <c r="G32" s="587">
        <f>'Budget Hearing Notice'!H36</f>
        <v>0</v>
      </c>
      <c r="H32" s="588" t="str">
        <f>CONCATENATE(E1," Estimated Total Mill Rate")</f>
        <v>2025 Estimated Total Mill Rate</v>
      </c>
      <c r="I32" s="589"/>
      <c r="J32" s="590"/>
    </row>
    <row r="33" spans="2:11" x14ac:dyDescent="0.25">
      <c r="B33" s="195" t="s">
        <v>362</v>
      </c>
      <c r="C33" s="242" t="str">
        <f>IF(C34*0.1&lt;C32,"Exceed 10% Rule","")</f>
        <v/>
      </c>
      <c r="D33" s="242" t="str">
        <f>IF(D34*0.1&lt;D32,"Exceed 10% Rule","")</f>
        <v/>
      </c>
      <c r="E33" s="201" t="str">
        <f>IF(E34*0.1&lt;E32,"Exceed 10% Rule","")</f>
        <v/>
      </c>
      <c r="G33" s="594">
        <f>'Budget Hearing Notice'!E36</f>
        <v>0</v>
      </c>
      <c r="H33" s="588" t="str">
        <f>CONCATENATE(E1-1," Total Mill Rate")</f>
        <v>2024 Total Mill Rate</v>
      </c>
      <c r="I33" s="589"/>
      <c r="J33" s="590"/>
    </row>
    <row r="34" spans="2:11" x14ac:dyDescent="0.25">
      <c r="B34" s="60" t="s">
        <v>363</v>
      </c>
      <c r="C34" s="206">
        <f>SUM(C25:C32)</f>
        <v>0</v>
      </c>
      <c r="D34" s="206">
        <f>SUM(D25:D32)</f>
        <v>0</v>
      </c>
      <c r="E34" s="206">
        <f>SUM(E25:E32)</f>
        <v>0</v>
      </c>
      <c r="G34" s="595"/>
      <c r="H34" s="471"/>
      <c r="I34" s="471"/>
      <c r="J34" s="596"/>
      <c r="K34" s="334"/>
    </row>
    <row r="35" spans="2:11" x14ac:dyDescent="0.25">
      <c r="B35" s="43" t="s">
        <v>364</v>
      </c>
      <c r="C35" s="157">
        <f>C23-C34</f>
        <v>0</v>
      </c>
      <c r="D35" s="157">
        <f>D23-D34</f>
        <v>0</v>
      </c>
      <c r="E35" s="194" t="s">
        <v>185</v>
      </c>
      <c r="G35" s="763" t="s">
        <v>365</v>
      </c>
      <c r="H35" s="764"/>
      <c r="I35" s="764"/>
      <c r="J35" s="767" t="str">
        <f>IF(G31&gt;G30, "Yes", "No")</f>
        <v>No</v>
      </c>
      <c r="K35" s="334"/>
    </row>
    <row r="36" spans="2:11" x14ac:dyDescent="0.25">
      <c r="B36" s="68" t="str">
        <f>CONCATENATE("",E1-2,"/",E1-1,"/",E1," Budget Authority Amount:")</f>
        <v>2023/2024/2025 Budget Authority Amount:</v>
      </c>
      <c r="C36" s="427">
        <f>inputOth!$B99</f>
        <v>0</v>
      </c>
      <c r="D36" s="427">
        <f>inputPrYr!$D29</f>
        <v>0</v>
      </c>
      <c r="E36" s="157">
        <f>E34</f>
        <v>0</v>
      </c>
      <c r="F36" s="202"/>
      <c r="G36" s="765"/>
      <c r="H36" s="766"/>
      <c r="I36" s="766"/>
      <c r="J36" s="768"/>
      <c r="K36" s="334"/>
    </row>
    <row r="37" spans="2:11" x14ac:dyDescent="0.25">
      <c r="B37" s="140"/>
      <c r="C37" s="748" t="s">
        <v>366</v>
      </c>
      <c r="D37" s="749"/>
      <c r="E37" s="106"/>
      <c r="F37" s="415" t="str">
        <f>IF(E34/0.95-E34&lt;E37,"Exceeds 5%","")</f>
        <v/>
      </c>
      <c r="G37" s="769" t="str">
        <f>IF(J35="Yes", "Follow procedure prescribed by KSA 79-2988 to exceed the Revenue Neutral Rate.", " ")</f>
        <v xml:space="preserve"> </v>
      </c>
      <c r="H37" s="769"/>
      <c r="I37" s="769"/>
      <c r="J37" s="769"/>
      <c r="K37" s="334"/>
    </row>
    <row r="38" spans="2:11" x14ac:dyDescent="0.25">
      <c r="B38" s="637" t="str">
        <f>CONCATENATE(C92,"     ",D92)</f>
        <v xml:space="preserve">     </v>
      </c>
      <c r="C38" s="750" t="s">
        <v>367</v>
      </c>
      <c r="D38" s="751"/>
      <c r="E38" s="157">
        <f>E34+E37</f>
        <v>0</v>
      </c>
      <c r="G38" s="770"/>
      <c r="H38" s="770"/>
      <c r="I38" s="770"/>
      <c r="J38" s="770"/>
      <c r="K38" s="334"/>
    </row>
    <row r="39" spans="2:11" x14ac:dyDescent="0.25">
      <c r="B39" s="637" t="str">
        <f>CONCATENATE(C93,"     ",D93)</f>
        <v xml:space="preserve">     </v>
      </c>
      <c r="C39" s="638"/>
      <c r="D39" s="250" t="s">
        <v>368</v>
      </c>
      <c r="E39" s="157">
        <f>IF(E38-E23&gt;0,E38-E23,0)</f>
        <v>0</v>
      </c>
      <c r="G39" s="770"/>
      <c r="H39" s="770"/>
      <c r="I39" s="770"/>
      <c r="J39" s="770"/>
      <c r="K39" s="334"/>
    </row>
    <row r="40" spans="2:11" ht="15.75" customHeight="1" x14ac:dyDescent="0.25">
      <c r="B40" s="136"/>
      <c r="C40" s="621" t="s">
        <v>369</v>
      </c>
      <c r="D40" s="408">
        <f>inputOth!$E$85</f>
        <v>0</v>
      </c>
      <c r="E40" s="157">
        <f>ROUND(IF(D40&gt;0,(E39*D40),0),0)</f>
        <v>0</v>
      </c>
      <c r="G40" s="334"/>
      <c r="H40" s="334"/>
      <c r="I40" s="334"/>
      <c r="J40" s="334"/>
      <c r="K40" s="334"/>
    </row>
    <row r="41" spans="2:11" ht="15.75" customHeight="1" x14ac:dyDescent="0.25">
      <c r="B41" s="35"/>
      <c r="C41" s="752" t="str">
        <f>CONCATENATE("Amount of  ",$E$1-1," Ad Valorem Tax")</f>
        <v>Amount of  2024 Ad Valorem Tax</v>
      </c>
      <c r="D41" s="753"/>
      <c r="E41" s="157">
        <f>E39+E40</f>
        <v>0</v>
      </c>
      <c r="G41" s="334"/>
      <c r="H41" s="334"/>
      <c r="I41" s="334"/>
      <c r="J41" s="334"/>
      <c r="K41" s="334"/>
    </row>
    <row r="42" spans="2:11" x14ac:dyDescent="0.25">
      <c r="B42" s="35"/>
      <c r="C42" s="622"/>
      <c r="D42" s="35"/>
      <c r="E42" s="35"/>
      <c r="G42" s="334"/>
      <c r="H42" s="334"/>
      <c r="I42" s="334"/>
      <c r="J42" s="334"/>
      <c r="K42" s="334"/>
    </row>
    <row r="43" spans="2:11" x14ac:dyDescent="0.25">
      <c r="B43" s="35"/>
      <c r="C43" s="622"/>
      <c r="D43" s="35"/>
      <c r="E43" s="35"/>
      <c r="G43" s="334"/>
      <c r="H43" s="334"/>
      <c r="I43" s="334"/>
      <c r="J43" s="334"/>
      <c r="K43" s="334"/>
    </row>
    <row r="44" spans="2:11" x14ac:dyDescent="0.25">
      <c r="B44" s="39" t="s">
        <v>328</v>
      </c>
      <c r="C44" s="38"/>
      <c r="D44" s="38"/>
      <c r="E44" s="38"/>
      <c r="G44" s="334"/>
      <c r="H44" s="334"/>
      <c r="I44" s="334"/>
      <c r="J44" s="334"/>
      <c r="K44" s="334"/>
    </row>
    <row r="45" spans="2:11" x14ac:dyDescent="0.25">
      <c r="B45" s="35"/>
      <c r="C45" s="238" t="s">
        <v>329</v>
      </c>
      <c r="D45" s="241" t="s">
        <v>276</v>
      </c>
      <c r="E45" s="625" t="s">
        <v>330</v>
      </c>
      <c r="G45" s="334"/>
      <c r="H45" s="334"/>
      <c r="I45" s="334"/>
      <c r="J45" s="334"/>
      <c r="K45" s="334"/>
    </row>
    <row r="46" spans="2:11" x14ac:dyDescent="0.25">
      <c r="B46" s="247">
        <f>inputPrYr!B30</f>
        <v>0</v>
      </c>
      <c r="C46" s="239" t="str">
        <f>C5</f>
        <v>Actual for 2023</v>
      </c>
      <c r="D46" s="239" t="str">
        <f>D5</f>
        <v>Estimate for 2024</v>
      </c>
      <c r="E46" s="626" t="str">
        <f>E5</f>
        <v>Year for 2025</v>
      </c>
      <c r="G46" s="334"/>
      <c r="H46" s="334"/>
      <c r="I46" s="334"/>
      <c r="J46" s="334"/>
      <c r="K46" s="334"/>
    </row>
    <row r="47" spans="2:11" x14ac:dyDescent="0.25">
      <c r="B47" s="43" t="s">
        <v>331</v>
      </c>
      <c r="C47" s="192"/>
      <c r="D47" s="240">
        <f>C76</f>
        <v>0</v>
      </c>
      <c r="E47" s="157">
        <f>D76</f>
        <v>0</v>
      </c>
      <c r="G47" s="334"/>
      <c r="H47" s="334"/>
      <c r="I47" s="334"/>
      <c r="J47" s="334"/>
      <c r="K47" s="334"/>
    </row>
    <row r="48" spans="2:11" x14ac:dyDescent="0.25">
      <c r="B48" s="43" t="s">
        <v>332</v>
      </c>
      <c r="C48" s="240"/>
      <c r="D48" s="240"/>
      <c r="E48" s="194"/>
      <c r="G48" s="334"/>
      <c r="H48" s="334"/>
      <c r="I48" s="334"/>
      <c r="J48" s="334"/>
      <c r="K48" s="334"/>
    </row>
    <row r="49" spans="2:11" x14ac:dyDescent="0.25">
      <c r="B49" s="43" t="s">
        <v>96</v>
      </c>
      <c r="C49" s="192"/>
      <c r="D49" s="240">
        <f>IF(inputPrYr!H22&gt;0,inputPrYr!G32,inputPrYr!E30)</f>
        <v>0</v>
      </c>
      <c r="E49" s="194" t="s">
        <v>185</v>
      </c>
      <c r="G49" s="334"/>
      <c r="H49" s="334"/>
      <c r="I49" s="334"/>
      <c r="J49" s="334"/>
      <c r="K49" s="334"/>
    </row>
    <row r="50" spans="2:11" x14ac:dyDescent="0.25">
      <c r="B50" s="43" t="s">
        <v>333</v>
      </c>
      <c r="C50" s="192"/>
      <c r="D50" s="192"/>
      <c r="E50" s="106"/>
      <c r="G50" s="334"/>
      <c r="H50" s="334"/>
      <c r="I50" s="334"/>
      <c r="J50" s="334"/>
      <c r="K50" s="334"/>
    </row>
    <row r="51" spans="2:11" x14ac:dyDescent="0.25">
      <c r="B51" s="43" t="s">
        <v>334</v>
      </c>
      <c r="C51" s="192"/>
      <c r="D51" s="192"/>
      <c r="E51" s="157">
        <f>Mvalloc!D20+Mvalloc!E20</f>
        <v>0</v>
      </c>
      <c r="G51" s="334"/>
      <c r="H51" s="334"/>
      <c r="I51" s="334"/>
      <c r="J51" s="334"/>
      <c r="K51" s="334"/>
    </row>
    <row r="52" spans="2:11" x14ac:dyDescent="0.25">
      <c r="B52" s="43" t="s">
        <v>335</v>
      </c>
      <c r="C52" s="192"/>
      <c r="D52" s="192"/>
      <c r="E52" s="157">
        <f>Mvalloc!F20+Mvalloc!G20</f>
        <v>0</v>
      </c>
      <c r="G52" s="334"/>
      <c r="H52" s="334"/>
      <c r="I52" s="334"/>
      <c r="J52" s="334"/>
      <c r="K52" s="334"/>
    </row>
    <row r="53" spans="2:11" x14ac:dyDescent="0.25">
      <c r="B53" s="43" t="s">
        <v>375</v>
      </c>
      <c r="C53" s="192"/>
      <c r="D53" s="192"/>
      <c r="E53" s="157">
        <f>Mvalloc!H20+Mvalloc!I20</f>
        <v>0</v>
      </c>
      <c r="G53" s="775" t="str">
        <f>CONCATENATE("Desired Carryover Into ",E1+1,"")</f>
        <v>Desired Carryover Into 2026</v>
      </c>
      <c r="H53" s="776"/>
      <c r="I53" s="776"/>
      <c r="J53" s="777"/>
      <c r="K53" s="334"/>
    </row>
    <row r="54" spans="2:11" x14ac:dyDescent="0.25">
      <c r="B54" s="472" t="s">
        <v>336</v>
      </c>
      <c r="C54" s="192"/>
      <c r="D54" s="192"/>
      <c r="E54" s="157">
        <f>Mvalloc!J20+Mvalloc!K20</f>
        <v>0</v>
      </c>
      <c r="G54" s="365"/>
      <c r="H54" s="332"/>
      <c r="I54" s="366"/>
      <c r="J54" s="367"/>
      <c r="K54" s="334"/>
    </row>
    <row r="55" spans="2:11" x14ac:dyDescent="0.25">
      <c r="B55" s="472" t="s">
        <v>337</v>
      </c>
      <c r="C55" s="192"/>
      <c r="D55" s="192"/>
      <c r="E55" s="157">
        <f>Mvalloc!L20+Mvalloc!M20</f>
        <v>0</v>
      </c>
      <c r="G55" s="368" t="s">
        <v>343</v>
      </c>
      <c r="H55" s="366"/>
      <c r="I55" s="366"/>
      <c r="J55" s="369">
        <v>0</v>
      </c>
      <c r="K55" s="334"/>
    </row>
    <row r="56" spans="2:11" x14ac:dyDescent="0.25">
      <c r="B56" s="196"/>
      <c r="C56" s="192"/>
      <c r="D56" s="192"/>
      <c r="E56" s="106"/>
      <c r="G56" s="365" t="s">
        <v>345</v>
      </c>
      <c r="H56" s="332"/>
      <c r="I56" s="332"/>
      <c r="J56" s="370" t="str">
        <f>IF(J55=0,"",ROUND((J55+E82-G68)/inputOth!E11*1000,3)-G73)</f>
        <v/>
      </c>
      <c r="K56" s="334"/>
    </row>
    <row r="57" spans="2:11" x14ac:dyDescent="0.25">
      <c r="B57" s="196"/>
      <c r="C57" s="192"/>
      <c r="D57" s="192"/>
      <c r="E57" s="106"/>
      <c r="G57" s="371" t="str">
        <f>CONCATENATE("",E1," Tot Exp/Non-Appr Must Be:")</f>
        <v>2025 Tot Exp/Non-Appr Must Be:</v>
      </c>
      <c r="H57" s="372"/>
      <c r="I57" s="373"/>
      <c r="J57" s="374">
        <f>IF(J55&gt;0,IF(E79&lt;E64,IF(J55=G68,E79,((J55-G68)*(1-D81))+E64),E79+(J55-G68)),0)</f>
        <v>0</v>
      </c>
      <c r="K57" s="334"/>
    </row>
    <row r="58" spans="2:11" x14ac:dyDescent="0.25">
      <c r="B58" s="197"/>
      <c r="C58" s="192"/>
      <c r="D58" s="192"/>
      <c r="E58" s="106"/>
      <c r="G58" s="375" t="s">
        <v>347</v>
      </c>
      <c r="H58" s="376"/>
      <c r="I58" s="376"/>
      <c r="J58" s="377">
        <f>IF(J55&gt;0,J57-E79,0)</f>
        <v>0</v>
      </c>
      <c r="K58" s="334"/>
    </row>
    <row r="59" spans="2:11" x14ac:dyDescent="0.25">
      <c r="B59" s="197" t="s">
        <v>339</v>
      </c>
      <c r="C59" s="192"/>
      <c r="D59" s="192"/>
      <c r="E59" s="106"/>
      <c r="G59" s="334"/>
      <c r="H59" s="334"/>
      <c r="I59" s="334"/>
      <c r="J59" s="334"/>
      <c r="K59" s="639" t="str">
        <f>IF(G64=E82,"","Note: Does not include Delinquent Taxes")</f>
        <v/>
      </c>
    </row>
    <row r="60" spans="2:11" x14ac:dyDescent="0.25">
      <c r="B60" s="195" t="s">
        <v>191</v>
      </c>
      <c r="C60" s="192"/>
      <c r="D60" s="192"/>
      <c r="E60" s="427">
        <f>'NR Rebate'!E15*-1</f>
        <v>0</v>
      </c>
      <c r="G60" s="775" t="str">
        <f>CONCATENATE("Projected Carryover Into ",E1+1,"")</f>
        <v>Projected Carryover Into 2026</v>
      </c>
      <c r="H60" s="778"/>
      <c r="I60" s="778"/>
      <c r="J60" s="779"/>
      <c r="K60" s="334"/>
    </row>
    <row r="61" spans="2:11" x14ac:dyDescent="0.25">
      <c r="B61" s="198" t="s">
        <v>340</v>
      </c>
      <c r="C61" s="192"/>
      <c r="D61" s="192"/>
      <c r="E61" s="106"/>
      <c r="G61" s="398"/>
      <c r="H61" s="332"/>
      <c r="I61" s="332"/>
      <c r="J61" s="399"/>
      <c r="K61" s="334"/>
    </row>
    <row r="62" spans="2:11" x14ac:dyDescent="0.25">
      <c r="B62" s="198" t="s">
        <v>341</v>
      </c>
      <c r="C62" s="242" t="str">
        <f>IF(C63*0.1&lt;C61,"Exceed 10% Rule","")</f>
        <v/>
      </c>
      <c r="D62" s="242" t="str">
        <f>IF(D63*0.1&lt;D61,"Exceed 10% Rule","")</f>
        <v/>
      </c>
      <c r="E62" s="201" t="str">
        <f>IF(E63*0.1+E82&lt;E61,"Exceed 10% Rule","")</f>
        <v/>
      </c>
      <c r="G62" s="380">
        <f>D76</f>
        <v>0</v>
      </c>
      <c r="H62" s="381" t="str">
        <f>CONCATENATE("",E1-1," Ending Cash Balance (est.)")</f>
        <v>2024 Ending Cash Balance (est.)</v>
      </c>
      <c r="I62" s="382"/>
      <c r="J62" s="399"/>
      <c r="K62" s="334"/>
    </row>
    <row r="63" spans="2:11" x14ac:dyDescent="0.25">
      <c r="B63" s="200" t="s">
        <v>342</v>
      </c>
      <c r="C63" s="206">
        <f>SUM(C49:C61)</f>
        <v>0</v>
      </c>
      <c r="D63" s="206">
        <f>SUM(D49:D61)</f>
        <v>0</v>
      </c>
      <c r="E63" s="206">
        <f>SUM(E49:E61)</f>
        <v>0</v>
      </c>
      <c r="G63" s="380">
        <f>E63</f>
        <v>0</v>
      </c>
      <c r="H63" s="366" t="str">
        <f>CONCATENATE("",E1," Non-AV Receipts (est.)")</f>
        <v>2025 Non-AV Receipts (est.)</v>
      </c>
      <c r="I63" s="382"/>
      <c r="J63" s="399"/>
      <c r="K63" s="334"/>
    </row>
    <row r="64" spans="2:11" x14ac:dyDescent="0.25">
      <c r="B64" s="60" t="s">
        <v>344</v>
      </c>
      <c r="C64" s="206">
        <f>C63+C47</f>
        <v>0</v>
      </c>
      <c r="D64" s="206">
        <f>D63+D47</f>
        <v>0</v>
      </c>
      <c r="E64" s="206">
        <f>E63+E47</f>
        <v>0</v>
      </c>
      <c r="G64" s="386">
        <f>IF(E81&gt;0,E80,E82)</f>
        <v>0</v>
      </c>
      <c r="H64" s="366" t="str">
        <f>CONCATENATE("",E1," Ad Valorem Tax (est.)")</f>
        <v>2025 Ad Valorem Tax (est.)</v>
      </c>
      <c r="I64" s="366"/>
      <c r="J64" s="399"/>
      <c r="K64" s="334"/>
    </row>
    <row r="65" spans="2:11" x14ac:dyDescent="0.25">
      <c r="B65" s="43" t="s">
        <v>346</v>
      </c>
      <c r="C65" s="240"/>
      <c r="D65" s="240"/>
      <c r="E65" s="157"/>
      <c r="G65" s="400">
        <f>SUM(G62:G64)</f>
        <v>0</v>
      </c>
      <c r="H65" s="366" t="str">
        <f>CONCATENATE("Total ",E1," Resources Available")</f>
        <v>Total 2025 Resources Available</v>
      </c>
      <c r="I65" s="401"/>
      <c r="J65" s="399"/>
      <c r="K65" s="334"/>
    </row>
    <row r="66" spans="2:11" x14ac:dyDescent="0.25">
      <c r="B66" s="197"/>
      <c r="C66" s="192"/>
      <c r="D66" s="192"/>
      <c r="E66" s="106"/>
      <c r="G66" s="402"/>
      <c r="H66" s="403"/>
      <c r="I66" s="332"/>
      <c r="J66" s="399"/>
      <c r="K66" s="334"/>
    </row>
    <row r="67" spans="2:11" x14ac:dyDescent="0.25">
      <c r="B67" s="197"/>
      <c r="C67" s="192"/>
      <c r="D67" s="192"/>
      <c r="E67" s="106"/>
      <c r="G67" s="386">
        <f>ROUND(C75*0.05+C75,0)</f>
        <v>0</v>
      </c>
      <c r="H67" s="366" t="str">
        <f>CONCATENATE("Less ",E1-2," Expenditures + 5%")</f>
        <v>Less 2023 Expenditures + 5%</v>
      </c>
      <c r="I67" s="401"/>
      <c r="J67" s="399"/>
      <c r="K67" s="334"/>
    </row>
    <row r="68" spans="2:11" x14ac:dyDescent="0.25">
      <c r="B68" s="197"/>
      <c r="C68" s="192"/>
      <c r="D68" s="192"/>
      <c r="E68" s="106"/>
      <c r="G68" s="390">
        <f>G65-G67</f>
        <v>0</v>
      </c>
      <c r="H68" s="391" t="str">
        <f>CONCATENATE("Projected ",E1+1," carryover (est.)")</f>
        <v>Projected 2026 carryover (est.)</v>
      </c>
      <c r="I68" s="404"/>
      <c r="J68" s="405"/>
      <c r="K68" s="334"/>
    </row>
    <row r="69" spans="2:11" x14ac:dyDescent="0.25">
      <c r="B69" s="197"/>
      <c r="C69" s="192"/>
      <c r="D69" s="192"/>
      <c r="E69" s="106"/>
      <c r="G69" s="334"/>
      <c r="H69" s="334"/>
      <c r="I69" s="334"/>
      <c r="J69" s="334"/>
      <c r="K69" s="334"/>
    </row>
    <row r="70" spans="2:11" x14ac:dyDescent="0.25">
      <c r="B70" s="197"/>
      <c r="C70" s="192"/>
      <c r="D70" s="192"/>
      <c r="E70" s="106"/>
      <c r="G70" s="757" t="s">
        <v>355</v>
      </c>
      <c r="H70" s="758"/>
      <c r="I70" s="758"/>
      <c r="J70" s="759"/>
      <c r="K70" s="334"/>
    </row>
    <row r="71" spans="2:11" x14ac:dyDescent="0.25">
      <c r="B71" s="197"/>
      <c r="C71" s="192"/>
      <c r="D71" s="192"/>
      <c r="E71" s="106"/>
      <c r="G71" s="760"/>
      <c r="H71" s="761"/>
      <c r="I71" s="761"/>
      <c r="J71" s="762"/>
    </row>
    <row r="72" spans="2:11" x14ac:dyDescent="0.25">
      <c r="B72" s="195" t="str">
        <f>CONCATENATE("Cash Reserve (",E1," column)")</f>
        <v>Cash Reserve (2025 column)</v>
      </c>
      <c r="C72" s="192"/>
      <c r="D72" s="192"/>
      <c r="E72" s="106"/>
      <c r="G72" s="587" t="str">
        <f>'Budget Hearing Notice'!H27</f>
        <v xml:space="preserve"> </v>
      </c>
      <c r="H72" s="588" t="str">
        <f>CONCATENATE("",E1," Estimated Fund Mill Rate")</f>
        <v>2025 Estimated Fund Mill Rate</v>
      </c>
      <c r="I72" s="589"/>
      <c r="J72" s="590"/>
    </row>
    <row r="73" spans="2:11" x14ac:dyDescent="0.25">
      <c r="B73" s="195" t="s">
        <v>340</v>
      </c>
      <c r="C73" s="192"/>
      <c r="D73" s="192"/>
      <c r="E73" s="106"/>
      <c r="G73" s="591" t="str">
        <f>'Budget Hearing Notice'!E27</f>
        <v xml:space="preserve">  </v>
      </c>
      <c r="H73" s="588" t="str">
        <f>CONCATENATE("",E1-1," Fund Mill Rate")</f>
        <v>2024 Fund Mill Rate</v>
      </c>
      <c r="I73" s="589"/>
      <c r="J73" s="590"/>
    </row>
    <row r="74" spans="2:11" x14ac:dyDescent="0.25">
      <c r="B74" s="195" t="s">
        <v>362</v>
      </c>
      <c r="C74" s="242" t="str">
        <f>IF(C75*0.1&lt;C73,"Exceed 10% Rule","")</f>
        <v/>
      </c>
      <c r="D74" s="242" t="str">
        <f>IF(D75*0.1&lt;D73,"Exceed 10% Rule","")</f>
        <v/>
      </c>
      <c r="E74" s="201" t="str">
        <f>IF(E75*0.1&lt;E73,"Exceed 10% Rule","")</f>
        <v/>
      </c>
      <c r="G74" s="592">
        <f>inputOth!E36</f>
        <v>0</v>
      </c>
      <c r="H74" s="593" t="s">
        <v>359</v>
      </c>
      <c r="I74" s="589"/>
      <c r="J74" s="590"/>
    </row>
    <row r="75" spans="2:11" x14ac:dyDescent="0.25">
      <c r="B75" s="60" t="s">
        <v>363</v>
      </c>
      <c r="C75" s="206">
        <f>SUM(C66:C73)</f>
        <v>0</v>
      </c>
      <c r="D75" s="206">
        <f>SUM(D66:D73)</f>
        <v>0</v>
      </c>
      <c r="E75" s="206">
        <f>SUM(E66:E73)</f>
        <v>0</v>
      </c>
      <c r="G75" s="592">
        <f>SUM('Budget Hearing Notice'!H18:H20,'Budget Hearing Notice'!H25:H29)</f>
        <v>0</v>
      </c>
      <c r="H75" s="593" t="s">
        <v>361</v>
      </c>
      <c r="I75" s="589"/>
      <c r="J75" s="590"/>
    </row>
    <row r="76" spans="2:11" x14ac:dyDescent="0.25">
      <c r="B76" s="43" t="s">
        <v>364</v>
      </c>
      <c r="C76" s="427">
        <f>C64-C75</f>
        <v>0</v>
      </c>
      <c r="D76" s="427">
        <f>D64-D75</f>
        <v>0</v>
      </c>
      <c r="E76" s="194" t="s">
        <v>185</v>
      </c>
      <c r="G76" s="587">
        <f>'Budget Hearing Notice'!H36</f>
        <v>0</v>
      </c>
      <c r="H76" s="588" t="str">
        <f>CONCATENATE(E1," Estimated Total Mill Rate")</f>
        <v>2025 Estimated Total Mill Rate</v>
      </c>
      <c r="I76" s="589"/>
      <c r="J76" s="590"/>
    </row>
    <row r="77" spans="2:11" x14ac:dyDescent="0.25">
      <c r="B77" s="68" t="str">
        <f>CONCATENATE("",E1-2,"/",E1-1,"/",E1," Budget Authority Amount:")</f>
        <v>2023/2024/2025 Budget Authority Amount:</v>
      </c>
      <c r="C77" s="427">
        <f>inputOth!$B100</f>
        <v>0</v>
      </c>
      <c r="D77" s="427">
        <f>inputPrYr!$D30</f>
        <v>0</v>
      </c>
      <c r="E77" s="157">
        <f>E75</f>
        <v>0</v>
      </c>
      <c r="F77" s="202"/>
      <c r="G77" s="594">
        <f>'Budget Hearing Notice'!E36</f>
        <v>0</v>
      </c>
      <c r="H77" s="588" t="str">
        <f>CONCATENATE(E1-1," Total Mill Rate")</f>
        <v>2024 Total Mill Rate</v>
      </c>
      <c r="I77" s="589"/>
      <c r="J77" s="590"/>
    </row>
    <row r="78" spans="2:11" x14ac:dyDescent="0.25">
      <c r="B78" s="140"/>
      <c r="C78" s="748" t="s">
        <v>366</v>
      </c>
      <c r="D78" s="749"/>
      <c r="E78" s="106"/>
      <c r="F78" s="415" t="str">
        <f>IF(E75/0.95-E75&lt;E78,"Exceeds 5%","")</f>
        <v/>
      </c>
      <c r="G78" s="595"/>
      <c r="H78" s="471"/>
      <c r="I78" s="471"/>
      <c r="J78" s="596"/>
    </row>
    <row r="79" spans="2:11" x14ac:dyDescent="0.25">
      <c r="B79" s="637" t="str">
        <f>CONCATENATE(C94,"     ",D94)</f>
        <v xml:space="preserve">     </v>
      </c>
      <c r="C79" s="750" t="s">
        <v>367</v>
      </c>
      <c r="D79" s="751"/>
      <c r="E79" s="157">
        <f>E75+E78</f>
        <v>0</v>
      </c>
      <c r="G79" s="763" t="s">
        <v>365</v>
      </c>
      <c r="H79" s="764"/>
      <c r="I79" s="764"/>
      <c r="J79" s="773" t="str">
        <f>IF(G76&gt;G74, "Yes", "No")</f>
        <v>No</v>
      </c>
    </row>
    <row r="80" spans="2:11" x14ac:dyDescent="0.25">
      <c r="B80" s="637" t="str">
        <f>CONCATENATE(C95,"     ",D95)</f>
        <v xml:space="preserve">     </v>
      </c>
      <c r="C80" s="638"/>
      <c r="D80" s="250" t="s">
        <v>368</v>
      </c>
      <c r="E80" s="427">
        <f>IF(E79-E64&gt;0,E79-E64,0)</f>
        <v>0</v>
      </c>
      <c r="G80" s="765"/>
      <c r="H80" s="766"/>
      <c r="I80" s="766"/>
      <c r="J80" s="774"/>
    </row>
    <row r="81" spans="2:10" x14ac:dyDescent="0.25">
      <c r="B81" s="136"/>
      <c r="C81" s="621" t="s">
        <v>369</v>
      </c>
      <c r="D81" s="408">
        <f>inputOth!$E$85</f>
        <v>0</v>
      </c>
      <c r="E81" s="157">
        <f>ROUND(IF(D81&gt;0,(E80*D81),0),0)</f>
        <v>0</v>
      </c>
      <c r="G81" s="769" t="str">
        <f>IF(J79="Yes", "Follow procedure prescribed by KSA 79-2988 to exceed the Revenue Neutral Rate.", " ")</f>
        <v xml:space="preserve"> </v>
      </c>
      <c r="H81" s="769"/>
      <c r="I81" s="769"/>
      <c r="J81" s="769"/>
    </row>
    <row r="82" spans="2:10" x14ac:dyDescent="0.25">
      <c r="B82" s="35"/>
      <c r="C82" s="752" t="str">
        <f>CONCATENATE("Amount of  ",$E$1-1," Ad Valorem Tax")</f>
        <v>Amount of  2024 Ad Valorem Tax</v>
      </c>
      <c r="D82" s="753"/>
      <c r="E82" s="427">
        <f>E80+E81</f>
        <v>0</v>
      </c>
      <c r="G82" s="770"/>
      <c r="H82" s="770"/>
      <c r="I82" s="770"/>
      <c r="J82" s="770"/>
    </row>
    <row r="83" spans="2:10" x14ac:dyDescent="0.25">
      <c r="B83" s="35"/>
      <c r="C83" s="622"/>
      <c r="D83" s="622"/>
      <c r="E83" s="622"/>
      <c r="G83" s="770"/>
      <c r="H83" s="770"/>
      <c r="I83" s="770"/>
      <c r="J83" s="770"/>
    </row>
    <row r="84" spans="2:10" x14ac:dyDescent="0.25">
      <c r="B84" s="490" t="s">
        <v>203</v>
      </c>
      <c r="C84" s="498"/>
      <c r="D84" s="498"/>
      <c r="E84" s="499"/>
    </row>
    <row r="85" spans="2:10" x14ac:dyDescent="0.25">
      <c r="B85" s="251"/>
      <c r="C85" s="622"/>
      <c r="D85" s="622"/>
      <c r="E85" s="500"/>
    </row>
    <row r="86" spans="2:10" x14ac:dyDescent="0.25">
      <c r="B86" s="491"/>
      <c r="C86" s="501"/>
      <c r="D86" s="501"/>
      <c r="E86" s="502"/>
    </row>
    <row r="87" spans="2:10" x14ac:dyDescent="0.25">
      <c r="B87" s="35"/>
      <c r="C87" s="622"/>
      <c r="D87" s="622"/>
      <c r="E87" s="622"/>
    </row>
    <row r="88" spans="2:10" x14ac:dyDescent="0.25">
      <c r="B88" s="136" t="s">
        <v>370</v>
      </c>
      <c r="C88" s="440"/>
      <c r="D88" s="35"/>
      <c r="E88" s="35"/>
    </row>
    <row r="89" spans="2:10" x14ac:dyDescent="0.25">
      <c r="B89" s="65"/>
    </row>
    <row r="92" spans="2:10" hidden="1" x14ac:dyDescent="0.25">
      <c r="C92" s="99" t="str">
        <f>IF(C34&gt;C36,"See Tab A","")</f>
        <v/>
      </c>
      <c r="D92" s="99" t="str">
        <f>IF(D34&gt;D36,"See Tab C","")</f>
        <v/>
      </c>
    </row>
    <row r="93" spans="2:10" hidden="1" x14ac:dyDescent="0.25">
      <c r="C93" s="99" t="str">
        <f>IF(C35&lt;0,"See Tab B","")</f>
        <v/>
      </c>
      <c r="D93" s="99" t="str">
        <f>IF(D35&lt;0,"See Tab D","")</f>
        <v/>
      </c>
    </row>
    <row r="94" spans="2:10" hidden="1" x14ac:dyDescent="0.25">
      <c r="C94" s="99" t="str">
        <f>IF(C75&gt;C77,"See Tab A","")</f>
        <v/>
      </c>
      <c r="D94" s="99" t="str">
        <f>IF(D75&gt;D77,"See Tab C","")</f>
        <v/>
      </c>
    </row>
    <row r="95" spans="2:10" hidden="1" x14ac:dyDescent="0.25">
      <c r="C95" s="99" t="str">
        <f>IF(C76&lt;0,"See Tab B","")</f>
        <v/>
      </c>
      <c r="D95" s="99" t="str">
        <f>IF(D76&lt;0,"See Tab D","")</f>
        <v/>
      </c>
    </row>
  </sheetData>
  <sheetProtection sheet="1"/>
  <mergeCells count="18">
    <mergeCell ref="G9:J9"/>
    <mergeCell ref="G16:J16"/>
    <mergeCell ref="G53:J53"/>
    <mergeCell ref="G60:J60"/>
    <mergeCell ref="C37:D37"/>
    <mergeCell ref="C38:D38"/>
    <mergeCell ref="G26:J27"/>
    <mergeCell ref="G35:I36"/>
    <mergeCell ref="J35:J36"/>
    <mergeCell ref="G37:J39"/>
    <mergeCell ref="G70:J71"/>
    <mergeCell ref="C78:D78"/>
    <mergeCell ref="C79:D79"/>
    <mergeCell ref="C82:D82"/>
    <mergeCell ref="C41:D41"/>
    <mergeCell ref="G79:I80"/>
    <mergeCell ref="J79:J80"/>
    <mergeCell ref="G81:J83"/>
  </mergeCells>
  <phoneticPr fontId="0" type="noConversion"/>
  <conditionalFormatting sqref="C20">
    <cfRule type="cellIs" dxfId="96" priority="22" stopIfTrue="1" operator="greaterThan">
      <formula>$C$22*0.1</formula>
    </cfRule>
  </conditionalFormatting>
  <conditionalFormatting sqref="C32">
    <cfRule type="cellIs" dxfId="95" priority="19" stopIfTrue="1" operator="greaterThan">
      <formula>$C$34*0.1</formula>
    </cfRule>
  </conditionalFormatting>
  <conditionalFormatting sqref="C34">
    <cfRule type="expression" dxfId="94" priority="8">
      <formula>$C$34&gt;$C$36</formula>
    </cfRule>
  </conditionalFormatting>
  <conditionalFormatting sqref="C35">
    <cfRule type="expression" dxfId="93" priority="7">
      <formula>$C$35&lt;0</formula>
    </cfRule>
  </conditionalFormatting>
  <conditionalFormatting sqref="C61">
    <cfRule type="cellIs" dxfId="92" priority="16" stopIfTrue="1" operator="greaterThan">
      <formula>$C$63*0.1</formula>
    </cfRule>
  </conditionalFormatting>
  <conditionalFormatting sqref="C73">
    <cfRule type="cellIs" dxfId="91" priority="13" stopIfTrue="1" operator="greaterThan">
      <formula>$C$75*0.1</formula>
    </cfRule>
  </conditionalFormatting>
  <conditionalFormatting sqref="C75">
    <cfRule type="expression" dxfId="90" priority="4">
      <formula>$C$75&gt;$C$77</formula>
    </cfRule>
  </conditionalFormatting>
  <conditionalFormatting sqref="C76">
    <cfRule type="expression" dxfId="89" priority="3">
      <formula>$C$76&lt;0</formula>
    </cfRule>
  </conditionalFormatting>
  <conditionalFormatting sqref="D20">
    <cfRule type="cellIs" dxfId="88" priority="23" stopIfTrue="1" operator="greaterThan">
      <formula>$D$22*0.1</formula>
    </cfRule>
  </conditionalFormatting>
  <conditionalFormatting sqref="D32">
    <cfRule type="cellIs" dxfId="87" priority="20" stopIfTrue="1" operator="greaterThan">
      <formula>$D$34*0.1</formula>
    </cfRule>
  </conditionalFormatting>
  <conditionalFormatting sqref="D34">
    <cfRule type="expression" dxfId="86" priority="6">
      <formula>$D$34&gt;$D$36</formula>
    </cfRule>
  </conditionalFormatting>
  <conditionalFormatting sqref="D35">
    <cfRule type="expression" dxfId="85" priority="5">
      <formula>$D$35&lt;0</formula>
    </cfRule>
  </conditionalFormatting>
  <conditionalFormatting sqref="D61">
    <cfRule type="cellIs" dxfId="84" priority="17" stopIfTrue="1" operator="greaterThan">
      <formula>$D$63*0.1</formula>
    </cfRule>
  </conditionalFormatting>
  <conditionalFormatting sqref="D73">
    <cfRule type="cellIs" dxfId="83" priority="14" stopIfTrue="1" operator="greaterThan">
      <formula>$D$75*0.1</formula>
    </cfRule>
  </conditionalFormatting>
  <conditionalFormatting sqref="D75">
    <cfRule type="expression" dxfId="82" priority="2">
      <formula>$D$75&gt;$D$77</formula>
    </cfRule>
  </conditionalFormatting>
  <conditionalFormatting sqref="D76">
    <cfRule type="expression" dxfId="81" priority="1">
      <formula>$D$76&lt;0</formula>
    </cfRule>
  </conditionalFormatting>
  <conditionalFormatting sqref="E20">
    <cfRule type="cellIs" dxfId="80" priority="41" stopIfTrue="1" operator="greaterThan">
      <formula>$E$22*0.1+$E$41</formula>
    </cfRule>
  </conditionalFormatting>
  <conditionalFormatting sqref="E32">
    <cfRule type="cellIs" dxfId="79" priority="21" stopIfTrue="1" operator="greaterThan">
      <formula>$E$34*0.1</formula>
    </cfRule>
  </conditionalFormatting>
  <conditionalFormatting sqref="E37">
    <cfRule type="cellIs" dxfId="78" priority="24" stopIfTrue="1" operator="greaterThan">
      <formula>$E$34/0.95-$E$34</formula>
    </cfRule>
  </conditionalFormatting>
  <conditionalFormatting sqref="E61">
    <cfRule type="cellIs" dxfId="77" priority="42" stopIfTrue="1" operator="greaterThan">
      <formula>$E$63*0.1+$E$82</formula>
    </cfRule>
  </conditionalFormatting>
  <conditionalFormatting sqref="E73">
    <cfRule type="cellIs" dxfId="76" priority="15" stopIfTrue="1" operator="greaterThan">
      <formula>$E$75*0.1</formula>
    </cfRule>
  </conditionalFormatting>
  <conditionalFormatting sqref="E78">
    <cfRule type="cellIs" dxfId="75" priority="18" stopIfTrue="1" operator="greaterThan">
      <formula>$E$75/0.95-$E$75</formula>
    </cfRule>
  </conditionalFormatting>
  <conditionalFormatting sqref="J35">
    <cfRule type="containsText" dxfId="74" priority="10" operator="containsText" text="Yes">
      <formula>NOT(ISERROR(SEARCH("Yes",J35)))</formula>
    </cfRule>
  </conditionalFormatting>
  <conditionalFormatting sqref="J79">
    <cfRule type="containsText" dxfId="73" priority="9" operator="containsText" text="Yes">
      <formula>NOT(ISERROR(SEARCH("Yes",J79)))</formula>
    </cfRule>
  </conditionalFormatting>
  <pageMargins left="0.9" right="0.9" top="0.96" bottom="0.5" header="0.41" footer="0.3"/>
  <pageSetup scale="53"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00B0F0"/>
    <pageSetUpPr fitToPage="1"/>
  </sheetPr>
  <dimension ref="B1:K96"/>
  <sheetViews>
    <sheetView zoomScaleNormal="100" workbookViewId="0">
      <selection activeCell="F1" sqref="F1"/>
    </sheetView>
  </sheetViews>
  <sheetFormatPr defaultRowHeight="15.75" x14ac:dyDescent="0.25"/>
  <cols>
    <col min="1" max="1" width="2.3984375" style="99" customWidth="1"/>
    <col min="2" max="2" width="31" style="99" customWidth="1"/>
    <col min="3" max="4" width="15.69921875" style="99" customWidth="1"/>
    <col min="5" max="5" width="12.69921875" style="99" customWidth="1"/>
    <col min="6" max="6" width="7.296875" style="99" customWidth="1"/>
    <col min="7" max="7" width="9.19921875" style="99" customWidth="1"/>
    <col min="8" max="8" width="8.796875" style="99"/>
    <col min="9" max="9" width="4.5" style="99" customWidth="1"/>
    <col min="10" max="10" width="12.59765625" style="99" customWidth="1"/>
    <col min="11" max="16384" width="8.796875" style="99"/>
  </cols>
  <sheetData>
    <row r="1" spans="2:11" x14ac:dyDescent="0.25">
      <c r="B1" s="72">
        <f>inputPrYr!D4</f>
        <v>0</v>
      </c>
      <c r="C1" s="35"/>
      <c r="D1" s="35"/>
      <c r="E1" s="140">
        <f>inputPrYr!D10</f>
        <v>2025</v>
      </c>
    </row>
    <row r="2" spans="2:11" x14ac:dyDescent="0.25">
      <c r="B2" s="288" t="s">
        <v>327</v>
      </c>
      <c r="C2" s="35"/>
      <c r="D2" s="133"/>
      <c r="E2" s="37"/>
    </row>
    <row r="3" spans="2:11" x14ac:dyDescent="0.25">
      <c r="B3" s="35"/>
      <c r="C3" s="38"/>
      <c r="D3" s="38"/>
      <c r="E3" s="38"/>
    </row>
    <row r="4" spans="2:11" x14ac:dyDescent="0.25">
      <c r="B4" s="39" t="s">
        <v>328</v>
      </c>
      <c r="C4" s="238" t="s">
        <v>329</v>
      </c>
      <c r="D4" s="241" t="s">
        <v>276</v>
      </c>
      <c r="E4" s="625" t="s">
        <v>330</v>
      </c>
    </row>
    <row r="5" spans="2:11" x14ac:dyDescent="0.25">
      <c r="B5" s="246">
        <f>inputPrYr!B31</f>
        <v>0</v>
      </c>
      <c r="C5" s="239" t="str">
        <f>General!C5</f>
        <v>Actual for 2023</v>
      </c>
      <c r="D5" s="239" t="str">
        <f>General!D5</f>
        <v>Estimate for 2024</v>
      </c>
      <c r="E5" s="626" t="str">
        <f>General!E5</f>
        <v>Year for 2025</v>
      </c>
    </row>
    <row r="6" spans="2:11" x14ac:dyDescent="0.25">
      <c r="B6" s="43" t="s">
        <v>331</v>
      </c>
      <c r="C6" s="192"/>
      <c r="D6" s="240">
        <f>C35</f>
        <v>0</v>
      </c>
      <c r="E6" s="157">
        <f>D35</f>
        <v>0</v>
      </c>
    </row>
    <row r="7" spans="2:11" x14ac:dyDescent="0.25">
      <c r="B7" s="43" t="s">
        <v>332</v>
      </c>
      <c r="C7" s="240"/>
      <c r="D7" s="240"/>
      <c r="E7" s="194"/>
    </row>
    <row r="8" spans="2:11" x14ac:dyDescent="0.25">
      <c r="B8" s="43" t="s">
        <v>96</v>
      </c>
      <c r="C8" s="192"/>
      <c r="D8" s="240">
        <f>IF(inputPrYr!H22&gt;0,inputPrYr!G33,inputPrYr!E31)</f>
        <v>0</v>
      </c>
      <c r="E8" s="194" t="s">
        <v>185</v>
      </c>
    </row>
    <row r="9" spans="2:11" x14ac:dyDescent="0.25">
      <c r="B9" s="43" t="s">
        <v>333</v>
      </c>
      <c r="C9" s="192"/>
      <c r="D9" s="192"/>
      <c r="E9" s="106"/>
    </row>
    <row r="10" spans="2:11" x14ac:dyDescent="0.25">
      <c r="B10" s="43" t="s">
        <v>334</v>
      </c>
      <c r="C10" s="192"/>
      <c r="D10" s="192"/>
      <c r="E10" s="157">
        <f>Mvalloc!D21+Mvalloc!E21</f>
        <v>0</v>
      </c>
      <c r="G10" s="775" t="str">
        <f>CONCATENATE("Desired Carryover Into ",E1+1,"")</f>
        <v>Desired Carryover Into 2026</v>
      </c>
      <c r="H10" s="776"/>
      <c r="I10" s="776"/>
      <c r="J10" s="777"/>
      <c r="K10" s="334"/>
    </row>
    <row r="11" spans="2:11" x14ac:dyDescent="0.25">
      <c r="B11" s="43" t="s">
        <v>335</v>
      </c>
      <c r="C11" s="192"/>
      <c r="D11" s="192"/>
      <c r="E11" s="157">
        <f>Mvalloc!F21+Mvalloc!G21</f>
        <v>0</v>
      </c>
      <c r="G11" s="365"/>
      <c r="H11" s="332"/>
      <c r="I11" s="366"/>
      <c r="J11" s="367"/>
      <c r="K11" s="334"/>
    </row>
    <row r="12" spans="2:11" x14ac:dyDescent="0.25">
      <c r="B12" s="43" t="s">
        <v>375</v>
      </c>
      <c r="C12" s="192"/>
      <c r="D12" s="192"/>
      <c r="E12" s="157">
        <f>Mvalloc!H21+Mvalloc!I21</f>
        <v>0</v>
      </c>
      <c r="G12" s="368" t="s">
        <v>343</v>
      </c>
      <c r="H12" s="366"/>
      <c r="I12" s="366"/>
      <c r="J12" s="369">
        <v>0</v>
      </c>
      <c r="K12" s="334"/>
    </row>
    <row r="13" spans="2:11" x14ac:dyDescent="0.25">
      <c r="B13" s="472" t="s">
        <v>336</v>
      </c>
      <c r="C13" s="192"/>
      <c r="D13" s="192"/>
      <c r="E13" s="157">
        <f>Mvalloc!J21+Mvalloc!K21</f>
        <v>0</v>
      </c>
      <c r="G13" s="365" t="s">
        <v>345</v>
      </c>
      <c r="H13" s="332"/>
      <c r="I13" s="332"/>
      <c r="J13" s="370" t="str">
        <f>IF(J12=0,"",ROUND((J12+E41-G25)/inputOth!E11*1000,3)-G30)</f>
        <v/>
      </c>
      <c r="K13" s="334"/>
    </row>
    <row r="14" spans="2:11" x14ac:dyDescent="0.25">
      <c r="B14" s="472" t="s">
        <v>337</v>
      </c>
      <c r="C14" s="192"/>
      <c r="D14" s="192"/>
      <c r="E14" s="157">
        <f>Mvalloc!L21+Mvalloc!M21</f>
        <v>0</v>
      </c>
      <c r="G14" s="371" t="str">
        <f>CONCATENATE("",E1," Tot Exp/Non-Appr Must Be:")</f>
        <v>2025 Tot Exp/Non-Appr Must Be:</v>
      </c>
      <c r="H14" s="372"/>
      <c r="I14" s="373"/>
      <c r="J14" s="374">
        <f>IF(J12&gt;0,IF(E38&lt;E23,IF(J12=G25,E38,((J12-G25)*(1-D40))+E23),E38+(J12-G25)),0)</f>
        <v>0</v>
      </c>
      <c r="K14" s="334"/>
    </row>
    <row r="15" spans="2:11" x14ac:dyDescent="0.25">
      <c r="B15" s="196"/>
      <c r="C15" s="192"/>
      <c r="D15" s="192"/>
      <c r="E15" s="106"/>
      <c r="G15" s="375" t="s">
        <v>347</v>
      </c>
      <c r="H15" s="376"/>
      <c r="I15" s="376"/>
      <c r="J15" s="377">
        <f>IF(J12&gt;0,J14-E38,0)</f>
        <v>0</v>
      </c>
      <c r="K15" s="334"/>
    </row>
    <row r="16" spans="2:11" x14ac:dyDescent="0.25">
      <c r="B16" s="196"/>
      <c r="C16" s="192"/>
      <c r="D16" s="192"/>
      <c r="E16" s="106"/>
      <c r="G16" s="334"/>
      <c r="H16" s="334"/>
      <c r="I16" s="334"/>
      <c r="J16" s="334"/>
      <c r="K16" s="334"/>
    </row>
    <row r="17" spans="2:11" x14ac:dyDescent="0.25">
      <c r="B17" s="197"/>
      <c r="C17" s="192"/>
      <c r="D17" s="192"/>
      <c r="E17" s="106"/>
      <c r="G17" s="775" t="str">
        <f>CONCATENATE("Projected Carryover Into ",E1+1,"")</f>
        <v>Projected Carryover Into 2026</v>
      </c>
      <c r="H17" s="780"/>
      <c r="I17" s="780"/>
      <c r="J17" s="779"/>
      <c r="K17" s="334"/>
    </row>
    <row r="18" spans="2:11" x14ac:dyDescent="0.25">
      <c r="B18" s="197" t="s">
        <v>339</v>
      </c>
      <c r="C18" s="192"/>
      <c r="D18" s="192"/>
      <c r="E18" s="106"/>
      <c r="G18" s="365"/>
      <c r="H18" s="366"/>
      <c r="I18" s="366"/>
      <c r="J18" s="379"/>
      <c r="K18" s="334"/>
    </row>
    <row r="19" spans="2:11" x14ac:dyDescent="0.25">
      <c r="B19" s="195" t="s">
        <v>191</v>
      </c>
      <c r="C19" s="192"/>
      <c r="D19" s="192"/>
      <c r="E19" s="157">
        <f>'NR Rebate'!E16*-1</f>
        <v>0</v>
      </c>
      <c r="G19" s="380">
        <f>D35</f>
        <v>0</v>
      </c>
      <c r="H19" s="381" t="str">
        <f>CONCATENATE("",E1-1," Ending Cash Balance (est.)")</f>
        <v>2024 Ending Cash Balance (est.)</v>
      </c>
      <c r="I19" s="382"/>
      <c r="J19" s="379"/>
      <c r="K19" s="334"/>
    </row>
    <row r="20" spans="2:11" x14ac:dyDescent="0.25">
      <c r="B20" s="198" t="s">
        <v>340</v>
      </c>
      <c r="C20" s="192"/>
      <c r="D20" s="192"/>
      <c r="E20" s="106"/>
      <c r="G20" s="380">
        <f>E22</f>
        <v>0</v>
      </c>
      <c r="H20" s="366" t="str">
        <f>CONCATENATE("",E1," Non-AV Receipts (est.)")</f>
        <v>2025 Non-AV Receipts (est.)</v>
      </c>
      <c r="I20" s="382"/>
      <c r="J20" s="379"/>
      <c r="K20" s="334"/>
    </row>
    <row r="21" spans="2:11" x14ac:dyDescent="0.2">
      <c r="B21" s="198" t="s">
        <v>341</v>
      </c>
      <c r="C21" s="242" t="str">
        <f>IF(C22*0.1&lt;C20,"Exceed 10% Rule","")</f>
        <v/>
      </c>
      <c r="D21" s="242" t="str">
        <f>IF(D22*0.1&lt;D20,"Exceed 10% Rule","")</f>
        <v/>
      </c>
      <c r="E21" s="201" t="str">
        <f>IF((E41+E22)*0.1&lt;E20,"Exceed 10% Rule","")</f>
        <v/>
      </c>
      <c r="G21" s="386">
        <f>IF(E40&gt;0,E39,E41)</f>
        <v>0</v>
      </c>
      <c r="H21" s="366" t="str">
        <f>CONCATENATE("",E1," Ad Valorem Tax (est.)")</f>
        <v>2025 Ad Valorem Tax (est.)</v>
      </c>
      <c r="I21" s="366"/>
      <c r="J21" s="379"/>
      <c r="K21" s="639" t="str">
        <f>IF(G21=E41,"","Note: Does not include Delinquent Taxes")</f>
        <v/>
      </c>
    </row>
    <row r="22" spans="2:11" x14ac:dyDescent="0.25">
      <c r="B22" s="200" t="s">
        <v>342</v>
      </c>
      <c r="C22" s="206">
        <f>SUM(C8:C20)</f>
        <v>0</v>
      </c>
      <c r="D22" s="206">
        <f>SUM(D8:D20)</f>
        <v>0</v>
      </c>
      <c r="E22" s="206">
        <f>SUM(E8:E20)</f>
        <v>0</v>
      </c>
      <c r="G22" s="380">
        <f>SUM(G19:G21)</f>
        <v>0</v>
      </c>
      <c r="H22" s="366" t="str">
        <f>CONCATENATE("Total ",E1," Resources Available")</f>
        <v>Total 2025 Resources Available</v>
      </c>
      <c r="I22" s="382"/>
      <c r="J22" s="379"/>
      <c r="K22" s="334"/>
    </row>
    <row r="23" spans="2:11" x14ac:dyDescent="0.25">
      <c r="B23" s="60" t="s">
        <v>344</v>
      </c>
      <c r="C23" s="206">
        <f>C22+C6</f>
        <v>0</v>
      </c>
      <c r="D23" s="206">
        <f>D22+D6</f>
        <v>0</v>
      </c>
      <c r="E23" s="206">
        <f>E22+E6</f>
        <v>0</v>
      </c>
      <c r="G23" s="387"/>
      <c r="H23" s="366"/>
      <c r="I23" s="366"/>
      <c r="J23" s="379"/>
      <c r="K23" s="334"/>
    </row>
    <row r="24" spans="2:11" x14ac:dyDescent="0.25">
      <c r="B24" s="43" t="s">
        <v>346</v>
      </c>
      <c r="C24" s="240"/>
      <c r="D24" s="240"/>
      <c r="E24" s="157"/>
      <c r="G24" s="386">
        <f>ROUND(C34*0.05+C34,0)</f>
        <v>0</v>
      </c>
      <c r="H24" s="366" t="str">
        <f>CONCATENATE("Less ",E1-2," Expenditures + 5%")</f>
        <v>Less 2023 Expenditures + 5%</v>
      </c>
      <c r="I24" s="366"/>
      <c r="J24" s="379"/>
      <c r="K24" s="334"/>
    </row>
    <row r="25" spans="2:11" x14ac:dyDescent="0.25">
      <c r="B25" s="197"/>
      <c r="C25" s="192"/>
      <c r="D25" s="192"/>
      <c r="E25" s="106"/>
      <c r="G25" s="390">
        <f>G22-G24</f>
        <v>0</v>
      </c>
      <c r="H25" s="391" t="str">
        <f>CONCATENATE("Projected ",E1+1," carryover (est.)")</f>
        <v>Projected 2026 carryover (est.)</v>
      </c>
      <c r="I25" s="392"/>
      <c r="J25" s="393"/>
      <c r="K25" s="334"/>
    </row>
    <row r="26" spans="2:11" x14ac:dyDescent="0.25">
      <c r="B26" s="197"/>
      <c r="C26" s="192"/>
      <c r="D26" s="192"/>
      <c r="E26" s="106"/>
      <c r="G26" s="334"/>
      <c r="H26" s="334"/>
      <c r="I26" s="334"/>
      <c r="J26" s="334"/>
      <c r="K26" s="334"/>
    </row>
    <row r="27" spans="2:11" x14ac:dyDescent="0.25">
      <c r="B27" s="197"/>
      <c r="C27" s="192"/>
      <c r="D27" s="192"/>
      <c r="E27" s="106"/>
      <c r="G27" s="757" t="s">
        <v>355</v>
      </c>
      <c r="H27" s="758"/>
      <c r="I27" s="758"/>
      <c r="J27" s="759"/>
      <c r="K27" s="334"/>
    </row>
    <row r="28" spans="2:11" x14ac:dyDescent="0.25">
      <c r="B28" s="197"/>
      <c r="C28" s="192"/>
      <c r="D28" s="192"/>
      <c r="E28" s="106"/>
      <c r="G28" s="760"/>
      <c r="H28" s="761"/>
      <c r="I28" s="761"/>
      <c r="J28" s="762"/>
      <c r="K28" s="334"/>
    </row>
    <row r="29" spans="2:11" x14ac:dyDescent="0.25">
      <c r="B29" s="192"/>
      <c r="C29" s="192"/>
      <c r="D29" s="192"/>
      <c r="E29" s="106"/>
      <c r="G29" s="587" t="str">
        <f>'Budget Hearing Notice'!H28</f>
        <v xml:space="preserve"> </v>
      </c>
      <c r="H29" s="588" t="str">
        <f>CONCATENATE("",E1," Estimated Fund Mill Rate")</f>
        <v>2025 Estimated Fund Mill Rate</v>
      </c>
      <c r="I29" s="589"/>
      <c r="J29" s="590"/>
      <c r="K29" s="334"/>
    </row>
    <row r="30" spans="2:11" x14ac:dyDescent="0.25">
      <c r="B30" s="197"/>
      <c r="C30" s="192"/>
      <c r="D30" s="192"/>
      <c r="E30" s="106"/>
      <c r="G30" s="591" t="str">
        <f>'Budget Hearing Notice'!E28</f>
        <v xml:space="preserve">  </v>
      </c>
      <c r="H30" s="588" t="str">
        <f>CONCATENATE("",E1-1," Fund Mill Rate")</f>
        <v>2024 Fund Mill Rate</v>
      </c>
      <c r="I30" s="589"/>
      <c r="J30" s="590"/>
      <c r="K30" s="334"/>
    </row>
    <row r="31" spans="2:11" x14ac:dyDescent="0.25">
      <c r="B31" s="195" t="str">
        <f>CONCATENATE("Cash Reserve (",E1," column)")</f>
        <v>Cash Reserve (2025 column)</v>
      </c>
      <c r="C31" s="192"/>
      <c r="D31" s="192"/>
      <c r="E31" s="106"/>
      <c r="G31" s="592">
        <f>'Budget Hearing Notice'!H38</f>
        <v>0</v>
      </c>
      <c r="H31" s="593" t="s">
        <v>359</v>
      </c>
      <c r="I31" s="589"/>
      <c r="J31" s="590"/>
      <c r="K31" s="334"/>
    </row>
    <row r="32" spans="2:11" x14ac:dyDescent="0.25">
      <c r="B32" s="195" t="s">
        <v>340</v>
      </c>
      <c r="C32" s="192"/>
      <c r="D32" s="192"/>
      <c r="E32" s="106"/>
      <c r="G32" s="592">
        <f>SUM('Budget Hearing Notice'!H18:H20,'Budget Hearing Notice'!H25:H29)</f>
        <v>0</v>
      </c>
      <c r="H32" s="593" t="s">
        <v>361</v>
      </c>
      <c r="I32" s="589"/>
      <c r="J32" s="590"/>
      <c r="K32" s="334"/>
    </row>
    <row r="33" spans="2:11" x14ac:dyDescent="0.25">
      <c r="B33" s="195" t="s">
        <v>362</v>
      </c>
      <c r="C33" s="242" t="str">
        <f>IF(C34*0.1&lt;C32,"Exceed 10% Rule","")</f>
        <v/>
      </c>
      <c r="D33" s="242" t="str">
        <f>IF(D34*0.1&lt;D32,"Exceed 10% Rule","")</f>
        <v/>
      </c>
      <c r="E33" s="201" t="str">
        <f>IF(E34*0.1&lt;E32,"Exceed 10% Rule","")</f>
        <v/>
      </c>
      <c r="G33" s="587">
        <f>'Budget Hearing Notice'!H36</f>
        <v>0</v>
      </c>
      <c r="H33" s="588" t="str">
        <f>CONCATENATE(E1," Estimated Total Mill Rate")</f>
        <v>2025 Estimated Total Mill Rate</v>
      </c>
      <c r="I33" s="589"/>
      <c r="J33" s="590"/>
      <c r="K33" s="334"/>
    </row>
    <row r="34" spans="2:11" x14ac:dyDescent="0.25">
      <c r="B34" s="60" t="s">
        <v>363</v>
      </c>
      <c r="C34" s="206">
        <f>SUM(C25:C32)</f>
        <v>0</v>
      </c>
      <c r="D34" s="206">
        <f>SUM(D25:D32)</f>
        <v>0</v>
      </c>
      <c r="E34" s="206">
        <f>SUM(E25:E32)</f>
        <v>0</v>
      </c>
      <c r="G34" s="594">
        <f>'Budget Hearing Notice'!E36</f>
        <v>0</v>
      </c>
      <c r="H34" s="588" t="str">
        <f>CONCATENATE(E1-1," Total Mill Rate")</f>
        <v>2024 Total Mill Rate</v>
      </c>
      <c r="I34" s="589"/>
      <c r="J34" s="590"/>
    </row>
    <row r="35" spans="2:11" x14ac:dyDescent="0.25">
      <c r="B35" s="43" t="s">
        <v>364</v>
      </c>
      <c r="C35" s="157">
        <f>C23-C34</f>
        <v>0</v>
      </c>
      <c r="D35" s="157">
        <f>D23-D34</f>
        <v>0</v>
      </c>
      <c r="E35" s="194" t="s">
        <v>185</v>
      </c>
      <c r="G35" s="595"/>
      <c r="H35" s="471"/>
      <c r="I35" s="471"/>
      <c r="J35" s="596"/>
    </row>
    <row r="36" spans="2:11" x14ac:dyDescent="0.25">
      <c r="B36" s="68" t="str">
        <f>CONCATENATE("",E1-2,"/",E1-1,"/",E1," Budget Authority Amount:")</f>
        <v>2023/2024/2025 Budget Authority Amount:</v>
      </c>
      <c r="C36" s="427">
        <f>inputOth!$B101</f>
        <v>0</v>
      </c>
      <c r="D36" s="427">
        <f>inputPrYr!$D31</f>
        <v>0</v>
      </c>
      <c r="E36" s="157">
        <f>E34</f>
        <v>0</v>
      </c>
      <c r="F36" s="202"/>
      <c r="G36" s="763" t="s">
        <v>365</v>
      </c>
      <c r="H36" s="764"/>
      <c r="I36" s="764"/>
      <c r="J36" s="773" t="str">
        <f>IF(G33&gt;G31, "Yes", "No")</f>
        <v>No</v>
      </c>
    </row>
    <row r="37" spans="2:11" x14ac:dyDescent="0.25">
      <c r="B37" s="140"/>
      <c r="C37" s="748" t="s">
        <v>366</v>
      </c>
      <c r="D37" s="749"/>
      <c r="E37" s="106"/>
      <c r="F37" s="415" t="str">
        <f>IF(E34/0.95-E34&lt;E37,"Exceeds 5%","")</f>
        <v/>
      </c>
      <c r="G37" s="765"/>
      <c r="H37" s="766"/>
      <c r="I37" s="766"/>
      <c r="J37" s="774"/>
      <c r="K37" s="334"/>
    </row>
    <row r="38" spans="2:11" x14ac:dyDescent="0.25">
      <c r="B38" s="637" t="str">
        <f>CONCATENATE(C93,"     ",D93)</f>
        <v xml:space="preserve">     </v>
      </c>
      <c r="C38" s="750" t="s">
        <v>367</v>
      </c>
      <c r="D38" s="751"/>
      <c r="E38" s="157">
        <f>E34+E37</f>
        <v>0</v>
      </c>
      <c r="G38" s="769" t="str">
        <f>IF(J36="Yes", "Follow procedure prescribed by KSA 79-2988 to exceed the Revenue Neutral Rate.", " ")</f>
        <v xml:space="preserve"> </v>
      </c>
      <c r="H38" s="769"/>
      <c r="I38" s="769"/>
      <c r="J38" s="769"/>
      <c r="K38" s="334"/>
    </row>
    <row r="39" spans="2:11" x14ac:dyDescent="0.25">
      <c r="B39" s="637" t="str">
        <f>CONCATENATE(C94,"     ",D94)</f>
        <v xml:space="preserve">     </v>
      </c>
      <c r="C39" s="638"/>
      <c r="D39" s="250" t="s">
        <v>368</v>
      </c>
      <c r="E39" s="157">
        <f>IF(E38-E23&gt;0,E38-E23,0)</f>
        <v>0</v>
      </c>
      <c r="G39" s="770"/>
      <c r="H39" s="770"/>
      <c r="I39" s="770"/>
      <c r="J39" s="770"/>
      <c r="K39" s="334"/>
    </row>
    <row r="40" spans="2:11" x14ac:dyDescent="0.25">
      <c r="B40" s="136"/>
      <c r="C40" s="621" t="s">
        <v>369</v>
      </c>
      <c r="D40" s="408">
        <f>inputOth!$E$85</f>
        <v>0</v>
      </c>
      <c r="E40" s="157">
        <f>ROUND(IF(D40&gt;0,(E39*D40),0),0)</f>
        <v>0</v>
      </c>
      <c r="G40" s="770"/>
      <c r="H40" s="770"/>
      <c r="I40" s="770"/>
      <c r="J40" s="770"/>
      <c r="K40" s="334"/>
    </row>
    <row r="41" spans="2:11" x14ac:dyDescent="0.25">
      <c r="B41" s="35"/>
      <c r="C41" s="752" t="str">
        <f>CONCATENATE("Amount of  ",$E$1-1," Ad Valorem Tax")</f>
        <v>Amount of  2024 Ad Valorem Tax</v>
      </c>
      <c r="D41" s="753"/>
      <c r="E41" s="157">
        <f>E39+E40</f>
        <v>0</v>
      </c>
      <c r="G41" s="334"/>
      <c r="H41" s="334"/>
      <c r="I41" s="334"/>
      <c r="J41" s="334"/>
      <c r="K41" s="334"/>
    </row>
    <row r="42" spans="2:11" x14ac:dyDescent="0.25">
      <c r="B42" s="35"/>
      <c r="C42" s="622"/>
      <c r="D42" s="35"/>
      <c r="E42" s="35"/>
      <c r="G42" s="334"/>
      <c r="H42" s="334"/>
      <c r="I42" s="334"/>
      <c r="J42" s="334"/>
      <c r="K42" s="334"/>
    </row>
    <row r="43" spans="2:11" x14ac:dyDescent="0.25">
      <c r="B43" s="35"/>
      <c r="C43" s="622"/>
      <c r="D43" s="35"/>
      <c r="E43" s="35"/>
      <c r="G43" s="334"/>
      <c r="H43" s="334"/>
      <c r="I43" s="334"/>
      <c r="J43" s="334"/>
      <c r="K43" s="334"/>
    </row>
    <row r="44" spans="2:11" x14ac:dyDescent="0.25">
      <c r="B44" s="39" t="s">
        <v>328</v>
      </c>
      <c r="C44" s="38"/>
      <c r="D44" s="38"/>
      <c r="E44" s="38"/>
      <c r="G44" s="334"/>
      <c r="H44" s="334"/>
      <c r="I44" s="334"/>
      <c r="J44" s="334"/>
      <c r="K44" s="334"/>
    </row>
    <row r="45" spans="2:11" x14ac:dyDescent="0.25">
      <c r="B45" s="35"/>
      <c r="C45" s="238" t="s">
        <v>329</v>
      </c>
      <c r="D45" s="241" t="s">
        <v>276</v>
      </c>
      <c r="E45" s="625" t="s">
        <v>330</v>
      </c>
      <c r="G45" s="334"/>
      <c r="H45" s="334"/>
      <c r="I45" s="334"/>
      <c r="J45" s="334"/>
      <c r="K45" s="334"/>
    </row>
    <row r="46" spans="2:11" x14ac:dyDescent="0.25">
      <c r="B46" s="247">
        <f>inputPrYr!B32</f>
        <v>0</v>
      </c>
      <c r="C46" s="239" t="str">
        <f>C5</f>
        <v>Actual for 2023</v>
      </c>
      <c r="D46" s="239" t="str">
        <f>D5</f>
        <v>Estimate for 2024</v>
      </c>
      <c r="E46" s="626" t="str">
        <f>E5</f>
        <v>Year for 2025</v>
      </c>
      <c r="G46" s="334"/>
      <c r="H46" s="334"/>
      <c r="I46" s="334"/>
      <c r="J46" s="334"/>
      <c r="K46" s="334"/>
    </row>
    <row r="47" spans="2:11" x14ac:dyDescent="0.25">
      <c r="B47" s="43" t="s">
        <v>331</v>
      </c>
      <c r="C47" s="192"/>
      <c r="D47" s="240">
        <f>C76</f>
        <v>0</v>
      </c>
      <c r="E47" s="157">
        <f>D76</f>
        <v>0</v>
      </c>
      <c r="G47" s="334"/>
      <c r="H47" s="334"/>
      <c r="I47" s="334"/>
      <c r="J47" s="334"/>
      <c r="K47" s="334"/>
    </row>
    <row r="48" spans="2:11" x14ac:dyDescent="0.25">
      <c r="B48" s="43" t="s">
        <v>332</v>
      </c>
      <c r="C48" s="240"/>
      <c r="D48" s="240"/>
      <c r="E48" s="194"/>
      <c r="G48" s="334"/>
      <c r="H48" s="334"/>
      <c r="I48" s="334"/>
      <c r="J48" s="334"/>
      <c r="K48" s="334"/>
    </row>
    <row r="49" spans="2:11" x14ac:dyDescent="0.25">
      <c r="B49" s="43" t="s">
        <v>96</v>
      </c>
      <c r="C49" s="192"/>
      <c r="D49" s="240">
        <f>IF(inputPrYr!H22&gt;0,inputPrYr!G34,inputPrYr!E32)</f>
        <v>0</v>
      </c>
      <c r="E49" s="194" t="s">
        <v>185</v>
      </c>
      <c r="G49" s="334"/>
      <c r="H49" s="334"/>
      <c r="I49" s="334"/>
      <c r="J49" s="334"/>
      <c r="K49" s="334"/>
    </row>
    <row r="50" spans="2:11" x14ac:dyDescent="0.25">
      <c r="B50" s="43" t="s">
        <v>333</v>
      </c>
      <c r="C50" s="192"/>
      <c r="D50" s="192"/>
      <c r="E50" s="106"/>
      <c r="G50" s="334"/>
      <c r="H50" s="334"/>
      <c r="I50" s="334"/>
      <c r="J50" s="334"/>
      <c r="K50" s="334"/>
    </row>
    <row r="51" spans="2:11" x14ac:dyDescent="0.25">
      <c r="B51" s="43" t="s">
        <v>334</v>
      </c>
      <c r="C51" s="192"/>
      <c r="D51" s="192"/>
      <c r="E51" s="157">
        <f>Mvalloc!D22+Mvalloc!E22</f>
        <v>0</v>
      </c>
      <c r="G51" s="334"/>
      <c r="H51" s="334"/>
      <c r="I51" s="334"/>
      <c r="J51" s="334"/>
      <c r="K51" s="334"/>
    </row>
    <row r="52" spans="2:11" x14ac:dyDescent="0.25">
      <c r="B52" s="43" t="s">
        <v>335</v>
      </c>
      <c r="C52" s="192"/>
      <c r="D52" s="192"/>
      <c r="E52" s="157">
        <f>Mvalloc!F22+Mvalloc!G22</f>
        <v>0</v>
      </c>
      <c r="G52" s="775" t="str">
        <f>CONCATENATE("Desired Carryover Into ",E1+1,"")</f>
        <v>Desired Carryover Into 2026</v>
      </c>
      <c r="H52" s="776"/>
      <c r="I52" s="776"/>
      <c r="J52" s="777"/>
      <c r="K52" s="334"/>
    </row>
    <row r="53" spans="2:11" x14ac:dyDescent="0.25">
      <c r="B53" s="43" t="s">
        <v>375</v>
      </c>
      <c r="C53" s="192"/>
      <c r="D53" s="192"/>
      <c r="E53" s="157">
        <f>Mvalloc!H22+Mvalloc!I22</f>
        <v>0</v>
      </c>
      <c r="G53" s="365"/>
      <c r="H53" s="332"/>
      <c r="I53" s="366"/>
      <c r="J53" s="367"/>
      <c r="K53" s="334"/>
    </row>
    <row r="54" spans="2:11" x14ac:dyDescent="0.25">
      <c r="B54" s="472" t="s">
        <v>336</v>
      </c>
      <c r="C54" s="192"/>
      <c r="D54" s="192"/>
      <c r="E54" s="157">
        <f>Mvalloc!J22+Mvalloc!K22</f>
        <v>0</v>
      </c>
      <c r="G54" s="368" t="s">
        <v>343</v>
      </c>
      <c r="H54" s="366"/>
      <c r="I54" s="366"/>
      <c r="J54" s="369">
        <v>0</v>
      </c>
      <c r="K54" s="334"/>
    </row>
    <row r="55" spans="2:11" x14ac:dyDescent="0.25">
      <c r="B55" s="472" t="s">
        <v>337</v>
      </c>
      <c r="C55" s="192"/>
      <c r="D55" s="192"/>
      <c r="E55" s="157">
        <f>Mvalloc!L22+Mvalloc!M22</f>
        <v>0</v>
      </c>
      <c r="G55" s="365" t="s">
        <v>345</v>
      </c>
      <c r="H55" s="332"/>
      <c r="I55" s="332"/>
      <c r="J55" s="370" t="str">
        <f>IF(J54=0,"",ROUND((J54+E82-G67)/inputOth!E11*1000,3)-G72)</f>
        <v/>
      </c>
      <c r="K55" s="334"/>
    </row>
    <row r="56" spans="2:11" x14ac:dyDescent="0.25">
      <c r="B56" s="196"/>
      <c r="C56" s="192"/>
      <c r="D56" s="192"/>
      <c r="E56" s="106"/>
      <c r="G56" s="371" t="str">
        <f>CONCATENATE("",E1," Tot Exp/Non-Appr Must Be:")</f>
        <v>2025 Tot Exp/Non-Appr Must Be:</v>
      </c>
      <c r="H56" s="372"/>
      <c r="I56" s="373"/>
      <c r="J56" s="374">
        <f>IF(J54&gt;0,IF(E79&lt;E64,IF(J54=G67,E79,((J54-G67)*(1-D81))+E64),E79+(J54-G67)),0)</f>
        <v>0</v>
      </c>
      <c r="K56" s="334"/>
    </row>
    <row r="57" spans="2:11" x14ac:dyDescent="0.25">
      <c r="B57" s="196"/>
      <c r="C57" s="192"/>
      <c r="D57" s="192"/>
      <c r="E57" s="106"/>
      <c r="G57" s="375" t="s">
        <v>347</v>
      </c>
      <c r="H57" s="376"/>
      <c r="I57" s="376"/>
      <c r="J57" s="377">
        <f>IF(J54&gt;0,J56-E79,0)</f>
        <v>0</v>
      </c>
      <c r="K57" s="334"/>
    </row>
    <row r="58" spans="2:11" x14ac:dyDescent="0.25">
      <c r="B58" s="197"/>
      <c r="C58" s="192"/>
      <c r="D58" s="192"/>
      <c r="E58" s="106"/>
      <c r="G58" s="334"/>
      <c r="H58" s="334"/>
      <c r="I58" s="334"/>
      <c r="J58" s="334"/>
      <c r="K58" s="334"/>
    </row>
    <row r="59" spans="2:11" x14ac:dyDescent="0.25">
      <c r="B59" s="197" t="s">
        <v>339</v>
      </c>
      <c r="C59" s="192"/>
      <c r="D59" s="192"/>
      <c r="E59" s="106"/>
      <c r="G59" s="775" t="str">
        <f>CONCATENATE("Projected Carryover Into ",E1+1,"")</f>
        <v>Projected Carryover Into 2026</v>
      </c>
      <c r="H59" s="778"/>
      <c r="I59" s="778"/>
      <c r="J59" s="779"/>
      <c r="K59" s="334"/>
    </row>
    <row r="60" spans="2:11" x14ac:dyDescent="0.25">
      <c r="B60" s="195" t="s">
        <v>191</v>
      </c>
      <c r="C60" s="192"/>
      <c r="D60" s="192"/>
      <c r="E60" s="157">
        <f>'NR Rebate'!E17*-1</f>
        <v>0</v>
      </c>
      <c r="G60" s="398"/>
      <c r="H60" s="332"/>
      <c r="I60" s="332"/>
      <c r="J60" s="399"/>
      <c r="K60" s="334"/>
    </row>
    <row r="61" spans="2:11" x14ac:dyDescent="0.25">
      <c r="B61" s="198" t="s">
        <v>340</v>
      </c>
      <c r="C61" s="192"/>
      <c r="D61" s="192"/>
      <c r="E61" s="106"/>
      <c r="G61" s="380">
        <f>D76</f>
        <v>0</v>
      </c>
      <c r="H61" s="381" t="str">
        <f>CONCATENATE("",E1-1," Ending Cash Balance (est.)")</f>
        <v>2024 Ending Cash Balance (est.)</v>
      </c>
      <c r="I61" s="382"/>
      <c r="J61" s="399"/>
      <c r="K61" s="334"/>
    </row>
    <row r="62" spans="2:11" x14ac:dyDescent="0.25">
      <c r="B62" s="198" t="s">
        <v>341</v>
      </c>
      <c r="C62" s="242" t="str">
        <f>IF(C63*0.1&lt;C61,"Exceed 10% Rule","")</f>
        <v/>
      </c>
      <c r="D62" s="242" t="str">
        <f>IF(D63*0.1&lt;D61,"Exceed 10% Rule","")</f>
        <v/>
      </c>
      <c r="E62" s="201" t="str">
        <f>IF((E82+E63)*0.1&lt;E61,"Exceed 10% Rule","")</f>
        <v/>
      </c>
      <c r="G62" s="380">
        <f>E63</f>
        <v>0</v>
      </c>
      <c r="H62" s="366" t="str">
        <f>CONCATENATE("",E1," Non-AV Receipts (est.)")</f>
        <v>2025 Non-AV Receipts (est.)</v>
      </c>
      <c r="I62" s="382"/>
      <c r="J62" s="399"/>
      <c r="K62" s="639" t="str">
        <f>IF(G63=E82,"","Note: Does not include Delinquent Taxes")</f>
        <v/>
      </c>
    </row>
    <row r="63" spans="2:11" x14ac:dyDescent="0.25">
      <c r="B63" s="200" t="s">
        <v>342</v>
      </c>
      <c r="C63" s="206">
        <f>SUM(C49:C61)</f>
        <v>0</v>
      </c>
      <c r="D63" s="206">
        <f>SUM(D49:D61)</f>
        <v>0</v>
      </c>
      <c r="E63" s="206">
        <f>SUM(E49:E61)</f>
        <v>0</v>
      </c>
      <c r="G63" s="386">
        <f>IF(E81&gt;0,E80,E82)</f>
        <v>0</v>
      </c>
      <c r="H63" s="366" t="str">
        <f>CONCATENATE("",E1," Ad Valorem Tax (est.)")</f>
        <v>2025 Ad Valorem Tax (est.)</v>
      </c>
      <c r="I63" s="366"/>
      <c r="J63" s="399"/>
      <c r="K63" s="334"/>
    </row>
    <row r="64" spans="2:11" x14ac:dyDescent="0.25">
      <c r="B64" s="60" t="s">
        <v>344</v>
      </c>
      <c r="C64" s="206">
        <f>C63+C47</f>
        <v>0</v>
      </c>
      <c r="D64" s="206">
        <f>D63+D47</f>
        <v>0</v>
      </c>
      <c r="E64" s="206">
        <f>E63+E47</f>
        <v>0</v>
      </c>
      <c r="G64" s="400">
        <f>SUM(G61:G63)</f>
        <v>0</v>
      </c>
      <c r="H64" s="366" t="str">
        <f>CONCATENATE("Total ",E1," Resources Available")</f>
        <v>Total 2025 Resources Available</v>
      </c>
      <c r="I64" s="401"/>
      <c r="J64" s="399"/>
      <c r="K64" s="334"/>
    </row>
    <row r="65" spans="2:11" x14ac:dyDescent="0.25">
      <c r="B65" s="43" t="s">
        <v>346</v>
      </c>
      <c r="C65" s="240"/>
      <c r="D65" s="240"/>
      <c r="E65" s="157"/>
      <c r="G65" s="402"/>
      <c r="H65" s="403"/>
      <c r="I65" s="332"/>
      <c r="J65" s="399"/>
      <c r="K65" s="334"/>
    </row>
    <row r="66" spans="2:11" x14ac:dyDescent="0.25">
      <c r="B66" s="197"/>
      <c r="C66" s="192"/>
      <c r="D66" s="192"/>
      <c r="E66" s="106"/>
      <c r="G66" s="386">
        <f>ROUND(C75*0.05+C75,0)</f>
        <v>0</v>
      </c>
      <c r="H66" s="366" t="str">
        <f>CONCATENATE("Less ",E1-2," Expenditures + 5%")</f>
        <v>Less 2023 Expenditures + 5%</v>
      </c>
      <c r="I66" s="401"/>
      <c r="J66" s="399"/>
      <c r="K66" s="334"/>
    </row>
    <row r="67" spans="2:11" x14ac:dyDescent="0.25">
      <c r="B67" s="197"/>
      <c r="C67" s="192"/>
      <c r="D67" s="192"/>
      <c r="E67" s="106"/>
      <c r="G67" s="390">
        <f>G64-G66</f>
        <v>0</v>
      </c>
      <c r="H67" s="391" t="str">
        <f>CONCATENATE("Projected ",E1+1," carryover (est.)")</f>
        <v>Projected 2026 carryover (est.)</v>
      </c>
      <c r="I67" s="404"/>
      <c r="J67" s="405"/>
      <c r="K67" s="334"/>
    </row>
    <row r="68" spans="2:11" x14ac:dyDescent="0.25">
      <c r="B68" s="197"/>
      <c r="C68" s="192"/>
      <c r="D68" s="192"/>
      <c r="E68" s="106"/>
      <c r="G68" s="334"/>
      <c r="H68" s="334"/>
      <c r="I68" s="334"/>
      <c r="J68" s="334"/>
      <c r="K68" s="334"/>
    </row>
    <row r="69" spans="2:11" x14ac:dyDescent="0.25">
      <c r="B69" s="197"/>
      <c r="C69" s="192"/>
      <c r="D69" s="192"/>
      <c r="E69" s="106"/>
      <c r="G69" s="757" t="s">
        <v>355</v>
      </c>
      <c r="H69" s="758"/>
      <c r="I69" s="758"/>
      <c r="J69" s="759"/>
      <c r="K69" s="334"/>
    </row>
    <row r="70" spans="2:11" x14ac:dyDescent="0.25">
      <c r="B70" s="197"/>
      <c r="C70" s="192"/>
      <c r="D70" s="192"/>
      <c r="E70" s="106"/>
      <c r="G70" s="760"/>
      <c r="H70" s="761"/>
      <c r="I70" s="761"/>
      <c r="J70" s="762"/>
      <c r="K70" s="334"/>
    </row>
    <row r="71" spans="2:11" x14ac:dyDescent="0.25">
      <c r="B71" s="197"/>
      <c r="C71" s="192"/>
      <c r="D71" s="192"/>
      <c r="E71" s="106"/>
      <c r="G71" s="587" t="str">
        <f>'Budget Hearing Notice'!H29</f>
        <v xml:space="preserve"> </v>
      </c>
      <c r="H71" s="588" t="str">
        <f>CONCATENATE("",E1," Estimated Fund Mill Rate")</f>
        <v>2025 Estimated Fund Mill Rate</v>
      </c>
      <c r="I71" s="589"/>
      <c r="J71" s="590"/>
      <c r="K71" s="334"/>
    </row>
    <row r="72" spans="2:11" x14ac:dyDescent="0.25">
      <c r="B72" s="195" t="str">
        <f>CONCATENATE("Cash Reserve (",E1," column)")</f>
        <v>Cash Reserve (2025 column)</v>
      </c>
      <c r="C72" s="192"/>
      <c r="D72" s="192"/>
      <c r="E72" s="106"/>
      <c r="G72" s="591" t="str">
        <f>'Budget Hearing Notice'!E29</f>
        <v xml:space="preserve">  </v>
      </c>
      <c r="H72" s="588" t="str">
        <f>CONCATENATE("",E1-1," Fund Mill Rate")</f>
        <v>2024 Fund Mill Rate</v>
      </c>
      <c r="I72" s="589"/>
      <c r="J72" s="590"/>
      <c r="K72" s="334"/>
    </row>
    <row r="73" spans="2:11" x14ac:dyDescent="0.25">
      <c r="B73" s="195" t="s">
        <v>340</v>
      </c>
      <c r="C73" s="192"/>
      <c r="D73" s="192"/>
      <c r="E73" s="106"/>
      <c r="G73" s="592">
        <f>'Budget Hearing Notice'!H38</f>
        <v>0</v>
      </c>
      <c r="H73" s="593" t="s">
        <v>359</v>
      </c>
      <c r="I73" s="589"/>
      <c r="J73" s="590"/>
      <c r="K73" s="334"/>
    </row>
    <row r="74" spans="2:11" x14ac:dyDescent="0.25">
      <c r="B74" s="195" t="s">
        <v>362</v>
      </c>
      <c r="C74" s="242" t="str">
        <f>IF(C75*0.1&lt;C73,"Exceed 10% Rule","")</f>
        <v/>
      </c>
      <c r="D74" s="242" t="str">
        <f>IF(D75*0.1&lt;D73,"Exceed 10% Rule","")</f>
        <v/>
      </c>
      <c r="E74" s="201" t="str">
        <f>IF(E75*0.1&lt;E73,"Exceed 10% Rule","")</f>
        <v/>
      </c>
      <c r="G74" s="592">
        <f>SUM('Budget Hearing Notice'!H18:H20,'Budget Hearing Notice'!H25:H29)</f>
        <v>0</v>
      </c>
      <c r="H74" s="593" t="s">
        <v>361</v>
      </c>
      <c r="I74" s="589"/>
      <c r="J74" s="590"/>
    </row>
    <row r="75" spans="2:11" x14ac:dyDescent="0.25">
      <c r="B75" s="60" t="s">
        <v>363</v>
      </c>
      <c r="C75" s="206">
        <f>SUM(C66:C73)</f>
        <v>0</v>
      </c>
      <c r="D75" s="206">
        <f>SUM(D66:D73)</f>
        <v>0</v>
      </c>
      <c r="E75" s="206">
        <f>SUM(E66:E73)</f>
        <v>0</v>
      </c>
      <c r="G75" s="587">
        <f>'Budget Hearing Notice'!H36</f>
        <v>0</v>
      </c>
      <c r="H75" s="588" t="str">
        <f>CONCATENATE(E1," Estimated Total Mill Rate")</f>
        <v>2025 Estimated Total Mill Rate</v>
      </c>
      <c r="I75" s="589"/>
      <c r="J75" s="590"/>
    </row>
    <row r="76" spans="2:11" x14ac:dyDescent="0.25">
      <c r="B76" s="43" t="s">
        <v>364</v>
      </c>
      <c r="C76" s="157">
        <f>C64-C75</f>
        <v>0</v>
      </c>
      <c r="D76" s="157">
        <f>D64-D75</f>
        <v>0</v>
      </c>
      <c r="E76" s="194" t="s">
        <v>185</v>
      </c>
      <c r="G76" s="594">
        <f>'Budget Hearing Notice'!E36</f>
        <v>0</v>
      </c>
      <c r="H76" s="588" t="str">
        <f>CONCATENATE(E1-1," Total Mill Rate")</f>
        <v>2024 Total Mill Rate</v>
      </c>
      <c r="I76" s="589"/>
      <c r="J76" s="590"/>
    </row>
    <row r="77" spans="2:11" x14ac:dyDescent="0.25">
      <c r="B77" s="68" t="str">
        <f>CONCATENATE("",E1-2,"/",E1-1,"/",E1," Budget Authority Amount:")</f>
        <v>2023/2024/2025 Budget Authority Amount:</v>
      </c>
      <c r="C77" s="427">
        <f>inputOth!$B102</f>
        <v>0</v>
      </c>
      <c r="D77" s="427">
        <f>inputPrYr!$D32</f>
        <v>0</v>
      </c>
      <c r="E77" s="157">
        <f>E75</f>
        <v>0</v>
      </c>
      <c r="F77" s="202"/>
      <c r="G77" s="595"/>
      <c r="H77" s="471"/>
      <c r="I77" s="471"/>
      <c r="J77" s="596"/>
    </row>
    <row r="78" spans="2:11" x14ac:dyDescent="0.25">
      <c r="B78" s="140"/>
      <c r="C78" s="748" t="s">
        <v>366</v>
      </c>
      <c r="D78" s="749"/>
      <c r="E78" s="106"/>
      <c r="F78" s="415" t="str">
        <f>IF(E75/0.95-E75&lt;E78,"Exceeds 5%","")</f>
        <v/>
      </c>
      <c r="G78" s="763" t="s">
        <v>365</v>
      </c>
      <c r="H78" s="764"/>
      <c r="I78" s="764"/>
      <c r="J78" s="773" t="str">
        <f>IF(G75&gt;G73, "Yes", "No")</f>
        <v>No</v>
      </c>
    </row>
    <row r="79" spans="2:11" x14ac:dyDescent="0.25">
      <c r="B79" s="637" t="str">
        <f>CONCATENATE(C95,"     ",D95)</f>
        <v xml:space="preserve">     </v>
      </c>
      <c r="C79" s="750" t="s">
        <v>367</v>
      </c>
      <c r="D79" s="751"/>
      <c r="E79" s="157">
        <f>E75+E78</f>
        <v>0</v>
      </c>
      <c r="G79" s="765"/>
      <c r="H79" s="766"/>
      <c r="I79" s="766"/>
      <c r="J79" s="774"/>
    </row>
    <row r="80" spans="2:11" x14ac:dyDescent="0.25">
      <c r="B80" s="637" t="str">
        <f>CONCATENATE(C96,"     ",D96)</f>
        <v xml:space="preserve">     </v>
      </c>
      <c r="C80" s="638"/>
      <c r="D80" s="250" t="s">
        <v>368</v>
      </c>
      <c r="E80" s="157">
        <f>IF(E79-E64&gt;0,E79-E64,0)</f>
        <v>0</v>
      </c>
      <c r="G80" s="769" t="str">
        <f>IF(J78="Yes", "Follow procedure prescribed by KSA 79-2988 to exceed the Revenue Neutral Rate.", " ")</f>
        <v xml:space="preserve"> </v>
      </c>
      <c r="H80" s="769"/>
      <c r="I80" s="769"/>
      <c r="J80" s="769"/>
    </row>
    <row r="81" spans="2:10" x14ac:dyDescent="0.25">
      <c r="B81" s="136"/>
      <c r="C81" s="621" t="s">
        <v>369</v>
      </c>
      <c r="D81" s="408">
        <f>inputOth!$E$85</f>
        <v>0</v>
      </c>
      <c r="E81" s="157">
        <f>ROUND(IF(D81&gt;0,(E80*D81),0),0)</f>
        <v>0</v>
      </c>
      <c r="G81" s="770"/>
      <c r="H81" s="770"/>
      <c r="I81" s="770"/>
      <c r="J81" s="770"/>
    </row>
    <row r="82" spans="2:10" x14ac:dyDescent="0.25">
      <c r="B82" s="35"/>
      <c r="C82" s="752" t="str">
        <f>CONCATENATE("Amount of  ",$E$1-1," Ad Valorem Tax")</f>
        <v>Amount of  2024 Ad Valorem Tax</v>
      </c>
      <c r="D82" s="753"/>
      <c r="E82" s="157">
        <f>E80+E81</f>
        <v>0</v>
      </c>
      <c r="G82" s="770"/>
      <c r="H82" s="770"/>
      <c r="I82" s="770"/>
      <c r="J82" s="770"/>
    </row>
    <row r="83" spans="2:10" x14ac:dyDescent="0.25">
      <c r="B83" s="35"/>
      <c r="C83" s="622"/>
      <c r="D83" s="622"/>
      <c r="E83" s="622"/>
      <c r="G83" s="503"/>
      <c r="H83" s="504"/>
      <c r="I83" s="504"/>
      <c r="J83" s="505"/>
    </row>
    <row r="84" spans="2:10" x14ac:dyDescent="0.25">
      <c r="B84" s="35"/>
      <c r="C84" s="622"/>
      <c r="D84" s="622"/>
      <c r="E84" s="622"/>
      <c r="G84" s="503"/>
      <c r="H84" s="504"/>
      <c r="I84" s="504"/>
      <c r="J84" s="505"/>
    </row>
    <row r="85" spans="2:10" x14ac:dyDescent="0.25">
      <c r="B85" s="490" t="s">
        <v>203</v>
      </c>
      <c r="C85" s="498"/>
      <c r="D85" s="498"/>
      <c r="E85" s="499"/>
      <c r="G85" s="503"/>
      <c r="H85" s="504"/>
      <c r="I85" s="504"/>
      <c r="J85" s="505"/>
    </row>
    <row r="86" spans="2:10" x14ac:dyDescent="0.25">
      <c r="B86" s="251"/>
      <c r="C86" s="622"/>
      <c r="D86" s="622"/>
      <c r="E86" s="500"/>
    </row>
    <row r="87" spans="2:10" x14ac:dyDescent="0.25">
      <c r="B87" s="491"/>
      <c r="C87" s="501"/>
      <c r="D87" s="501"/>
      <c r="E87" s="502"/>
    </row>
    <row r="88" spans="2:10" x14ac:dyDescent="0.25">
      <c r="B88" s="35"/>
      <c r="C88" s="622"/>
      <c r="D88" s="622"/>
      <c r="E88" s="622"/>
    </row>
    <row r="89" spans="2:10" x14ac:dyDescent="0.25">
      <c r="B89" s="136" t="s">
        <v>370</v>
      </c>
      <c r="C89" s="440"/>
      <c r="D89" s="35"/>
      <c r="E89" s="35"/>
    </row>
    <row r="90" spans="2:10" x14ac:dyDescent="0.25">
      <c r="B90" s="65"/>
    </row>
    <row r="93" spans="2:10" hidden="1" x14ac:dyDescent="0.25">
      <c r="C93" s="99" t="str">
        <f>IF(C34&gt;C36,"See Tab A","")</f>
        <v/>
      </c>
      <c r="D93" s="99" t="str">
        <f>IF(D34&gt;D36,"See Tab C","")</f>
        <v/>
      </c>
    </row>
    <row r="94" spans="2:10" hidden="1" x14ac:dyDescent="0.25">
      <c r="C94" s="99" t="str">
        <f>IF(C35&lt;0,"See Tab B","")</f>
        <v/>
      </c>
      <c r="D94" s="99" t="str">
        <f>IF(D35&lt;0,"See Tab D","")</f>
        <v/>
      </c>
    </row>
    <row r="95" spans="2:10" hidden="1" x14ac:dyDescent="0.25">
      <c r="C95" s="99" t="str">
        <f>IF(C75&gt;C77,"See Tab A","")</f>
        <v/>
      </c>
      <c r="D95" s="99" t="str">
        <f>IF(D75&gt;D77,"See Tab C","")</f>
        <v/>
      </c>
    </row>
    <row r="96" spans="2:10" hidden="1" x14ac:dyDescent="0.25">
      <c r="C96" s="99" t="str">
        <f>IF(C76&lt;0,"See Tab B","")</f>
        <v/>
      </c>
      <c r="D96" s="99" t="str">
        <f>IF(D76&lt;0,"See Tab D","")</f>
        <v/>
      </c>
    </row>
  </sheetData>
  <sheetProtection sheet="1"/>
  <mergeCells count="18">
    <mergeCell ref="G10:J10"/>
    <mergeCell ref="G17:J17"/>
    <mergeCell ref="G52:J52"/>
    <mergeCell ref="G59:J59"/>
    <mergeCell ref="C37:D37"/>
    <mergeCell ref="C38:D38"/>
    <mergeCell ref="G27:J28"/>
    <mergeCell ref="G36:I37"/>
    <mergeCell ref="J36:J37"/>
    <mergeCell ref="G38:J40"/>
    <mergeCell ref="G69:J70"/>
    <mergeCell ref="C78:D78"/>
    <mergeCell ref="C79:D79"/>
    <mergeCell ref="C82:D82"/>
    <mergeCell ref="C41:D41"/>
    <mergeCell ref="G78:I79"/>
    <mergeCell ref="J78:J79"/>
    <mergeCell ref="G80:J82"/>
  </mergeCells>
  <phoneticPr fontId="0" type="noConversion"/>
  <conditionalFormatting sqref="C20">
    <cfRule type="cellIs" dxfId="72" priority="22" stopIfTrue="1" operator="greaterThan">
      <formula>$C$22*0.1</formula>
    </cfRule>
  </conditionalFormatting>
  <conditionalFormatting sqref="C32">
    <cfRule type="cellIs" dxfId="71" priority="19" stopIfTrue="1" operator="greaterThan">
      <formula>$C$34*0.1</formula>
    </cfRule>
  </conditionalFormatting>
  <conditionalFormatting sqref="C34">
    <cfRule type="expression" dxfId="70" priority="8">
      <formula>$C$34&gt;$C$36</formula>
    </cfRule>
  </conditionalFormatting>
  <conditionalFormatting sqref="C35">
    <cfRule type="expression" dxfId="69" priority="7">
      <formula>$C$35&lt;0</formula>
    </cfRule>
  </conditionalFormatting>
  <conditionalFormatting sqref="C61">
    <cfRule type="cellIs" dxfId="68" priority="16" stopIfTrue="1" operator="greaterThan">
      <formula>$C$63*0.1</formula>
    </cfRule>
  </conditionalFormatting>
  <conditionalFormatting sqref="C73">
    <cfRule type="cellIs" dxfId="67" priority="13" stopIfTrue="1" operator="greaterThan">
      <formula>$C$75*0.1</formula>
    </cfRule>
  </conditionalFormatting>
  <conditionalFormatting sqref="C75">
    <cfRule type="expression" dxfId="66" priority="4">
      <formula>$C$75&gt;$C$77</formula>
    </cfRule>
  </conditionalFormatting>
  <conditionalFormatting sqref="C76">
    <cfRule type="expression" dxfId="65" priority="3">
      <formula>$C$76&lt;0</formula>
    </cfRule>
  </conditionalFormatting>
  <conditionalFormatting sqref="D20">
    <cfRule type="cellIs" dxfId="64" priority="23" stopIfTrue="1" operator="greaterThan">
      <formula>$D$22*0.1</formula>
    </cfRule>
  </conditionalFormatting>
  <conditionalFormatting sqref="D32">
    <cfRule type="cellIs" dxfId="63" priority="20" stopIfTrue="1" operator="greaterThan">
      <formula>$D$34*0.1</formula>
    </cfRule>
  </conditionalFormatting>
  <conditionalFormatting sqref="D34">
    <cfRule type="expression" dxfId="62" priority="6">
      <formula>$D$34&gt;$D$36</formula>
    </cfRule>
  </conditionalFormatting>
  <conditionalFormatting sqref="D35">
    <cfRule type="expression" dxfId="61" priority="5">
      <formula>$D$35&lt;0</formula>
    </cfRule>
  </conditionalFormatting>
  <conditionalFormatting sqref="D61">
    <cfRule type="cellIs" dxfId="60" priority="17" stopIfTrue="1" operator="greaterThan">
      <formula>$D$63*0.1</formula>
    </cfRule>
  </conditionalFormatting>
  <conditionalFormatting sqref="D73">
    <cfRule type="cellIs" dxfId="59" priority="14" stopIfTrue="1" operator="greaterThan">
      <formula>$D$75*0.1</formula>
    </cfRule>
  </conditionalFormatting>
  <conditionalFormatting sqref="D75">
    <cfRule type="expression" dxfId="58" priority="2">
      <formula>$D$75&gt;$D$77</formula>
    </cfRule>
  </conditionalFormatting>
  <conditionalFormatting sqref="D76">
    <cfRule type="expression" dxfId="57" priority="1">
      <formula>$D$76&lt;0</formula>
    </cfRule>
  </conditionalFormatting>
  <conditionalFormatting sqref="E20">
    <cfRule type="cellIs" dxfId="56" priority="43" stopIfTrue="1" operator="greaterThan">
      <formula>$E$22*0.1+$E$41</formula>
    </cfRule>
  </conditionalFormatting>
  <conditionalFormatting sqref="E32">
    <cfRule type="cellIs" dxfId="55" priority="21" stopIfTrue="1" operator="greaterThan">
      <formula>$E$34*0.1</formula>
    </cfRule>
  </conditionalFormatting>
  <conditionalFormatting sqref="E37">
    <cfRule type="cellIs" dxfId="54" priority="24" stopIfTrue="1" operator="greaterThan">
      <formula>$E$34/0.95-$E$34</formula>
    </cfRule>
  </conditionalFormatting>
  <conditionalFormatting sqref="E61">
    <cfRule type="cellIs" dxfId="53" priority="44" stopIfTrue="1" operator="greaterThan">
      <formula>$E$63*0.1+$E$82</formula>
    </cfRule>
  </conditionalFormatting>
  <conditionalFormatting sqref="E73">
    <cfRule type="cellIs" dxfId="52" priority="15" stopIfTrue="1" operator="greaterThan">
      <formula>$E$75*0.1</formula>
    </cfRule>
  </conditionalFormatting>
  <conditionalFormatting sqref="E78">
    <cfRule type="cellIs" dxfId="51" priority="18" stopIfTrue="1" operator="greaterThan">
      <formula>$E$75/0.95-$E$75</formula>
    </cfRule>
  </conditionalFormatting>
  <conditionalFormatting sqref="J36">
    <cfRule type="containsText" dxfId="50" priority="10" operator="containsText" text="Yes">
      <formula>NOT(ISERROR(SEARCH("Yes",J36)))</formula>
    </cfRule>
  </conditionalFormatting>
  <conditionalFormatting sqref="J78">
    <cfRule type="containsText" dxfId="49" priority="9" operator="containsText" text="Yes">
      <formula>NOT(ISERROR(SEARCH("Yes",J78)))</formula>
    </cfRule>
  </conditionalFormatting>
  <pageMargins left="0.9" right="0.9" top="0.96" bottom="0.5" header="0.41" footer="0.3"/>
  <pageSetup scale="52"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rgb="FF00B0F0"/>
    <pageSetUpPr fitToPage="1"/>
  </sheetPr>
  <dimension ref="B1:E65"/>
  <sheetViews>
    <sheetView workbookViewId="0"/>
  </sheetViews>
  <sheetFormatPr defaultRowHeight="15.75" x14ac:dyDescent="0.25"/>
  <cols>
    <col min="1" max="1" width="2.3984375" style="65" customWidth="1"/>
    <col min="2" max="2" width="31" style="65" customWidth="1"/>
    <col min="3" max="5" width="14.19921875" style="65" customWidth="1"/>
    <col min="6" max="16384" width="8.796875" style="65"/>
  </cols>
  <sheetData>
    <row r="1" spans="2:5" x14ac:dyDescent="0.25">
      <c r="B1" s="72">
        <f>inputPrYr!D4</f>
        <v>0</v>
      </c>
      <c r="C1" s="35"/>
      <c r="D1" s="35"/>
      <c r="E1" s="140">
        <f>inputPrYr!D10</f>
        <v>2025</v>
      </c>
    </row>
    <row r="2" spans="2:5" x14ac:dyDescent="0.25">
      <c r="B2" s="35"/>
      <c r="C2" s="35"/>
      <c r="D2" s="35"/>
      <c r="E2" s="136"/>
    </row>
    <row r="3" spans="2:5" x14ac:dyDescent="0.25">
      <c r="B3" s="101" t="s">
        <v>393</v>
      </c>
      <c r="C3" s="38"/>
      <c r="D3" s="38"/>
      <c r="E3" s="38"/>
    </row>
    <row r="4" spans="2:5" x14ac:dyDescent="0.25">
      <c r="B4" s="39" t="s">
        <v>328</v>
      </c>
      <c r="C4" s="130" t="s">
        <v>329</v>
      </c>
      <c r="D4" s="625" t="s">
        <v>276</v>
      </c>
      <c r="E4" s="625" t="s">
        <v>330</v>
      </c>
    </row>
    <row r="5" spans="2:5" x14ac:dyDescent="0.25">
      <c r="B5" s="246">
        <f>inputPrYr!B36</f>
        <v>0</v>
      </c>
      <c r="C5" s="626" t="str">
        <f>General!C5</f>
        <v>Actual for 2023</v>
      </c>
      <c r="D5" s="626" t="str">
        <f>General!D5</f>
        <v>Estimate for 2024</v>
      </c>
      <c r="E5" s="626" t="str">
        <f>General!E5</f>
        <v>Year for 2025</v>
      </c>
    </row>
    <row r="6" spans="2:5" x14ac:dyDescent="0.25">
      <c r="B6" s="208" t="s">
        <v>374</v>
      </c>
      <c r="C6" s="106"/>
      <c r="D6" s="157">
        <f>C28</f>
        <v>0</v>
      </c>
      <c r="E6" s="157">
        <f>D28</f>
        <v>0</v>
      </c>
    </row>
    <row r="7" spans="2:5" s="99" customFormat="1" x14ac:dyDescent="0.25">
      <c r="B7" s="209" t="s">
        <v>332</v>
      </c>
      <c r="C7" s="53"/>
      <c r="D7" s="53"/>
      <c r="E7" s="53"/>
    </row>
    <row r="8" spans="2:5" x14ac:dyDescent="0.25">
      <c r="B8" s="196"/>
      <c r="C8" s="106"/>
      <c r="D8" s="106"/>
      <c r="E8" s="106"/>
    </row>
    <row r="9" spans="2:5" x14ac:dyDescent="0.25">
      <c r="B9" s="196"/>
      <c r="C9" s="106"/>
      <c r="D9" s="106"/>
      <c r="E9" s="106"/>
    </row>
    <row r="10" spans="2:5" x14ac:dyDescent="0.25">
      <c r="B10" s="196"/>
      <c r="C10" s="106"/>
      <c r="D10" s="106"/>
      <c r="E10" s="106"/>
    </row>
    <row r="11" spans="2:5" x14ac:dyDescent="0.25">
      <c r="B11" s="196"/>
      <c r="C11" s="106"/>
      <c r="D11" s="106"/>
      <c r="E11" s="106"/>
    </row>
    <row r="12" spans="2:5" x14ac:dyDescent="0.25">
      <c r="B12" s="210" t="s">
        <v>339</v>
      </c>
      <c r="C12" s="106"/>
      <c r="D12" s="106"/>
      <c r="E12" s="106"/>
    </row>
    <row r="13" spans="2:5" x14ac:dyDescent="0.25">
      <c r="B13" s="198" t="s">
        <v>340</v>
      </c>
      <c r="C13" s="106"/>
      <c r="D13" s="193"/>
      <c r="E13" s="193"/>
    </row>
    <row r="14" spans="2:5" x14ac:dyDescent="0.25">
      <c r="B14" s="198" t="s">
        <v>341</v>
      </c>
      <c r="C14" s="201" t="str">
        <f>IF(C15*0.1&lt;C13,"Exceed 10% Rule","")</f>
        <v/>
      </c>
      <c r="D14" s="199" t="str">
        <f>IF(D15*0.1&lt;D13,"Exceed 10% Rule","")</f>
        <v/>
      </c>
      <c r="E14" s="199" t="str">
        <f>IF(E15*0.1&lt;E13,"Exceed 10% Rule","")</f>
        <v/>
      </c>
    </row>
    <row r="15" spans="2:5" x14ac:dyDescent="0.25">
      <c r="B15" s="60" t="s">
        <v>342</v>
      </c>
      <c r="C15" s="598">
        <f>SUM(C8:C13)</f>
        <v>0</v>
      </c>
      <c r="D15" s="598">
        <f>SUM(D8:D13)</f>
        <v>0</v>
      </c>
      <c r="E15" s="598">
        <f>SUM(E8:E13)</f>
        <v>0</v>
      </c>
    </row>
    <row r="16" spans="2:5" x14ac:dyDescent="0.25">
      <c r="B16" s="60" t="s">
        <v>344</v>
      </c>
      <c r="C16" s="206">
        <f>C6+C15</f>
        <v>0</v>
      </c>
      <c r="D16" s="206">
        <f>D6+D15</f>
        <v>0</v>
      </c>
      <c r="E16" s="206">
        <f>E6+E15</f>
        <v>0</v>
      </c>
    </row>
    <row r="17" spans="2:5" x14ac:dyDescent="0.25">
      <c r="B17" s="43" t="s">
        <v>346</v>
      </c>
      <c r="C17" s="157"/>
      <c r="D17" s="157"/>
      <c r="E17" s="157"/>
    </row>
    <row r="18" spans="2:5" x14ac:dyDescent="0.25">
      <c r="B18" s="196"/>
      <c r="C18" s="106"/>
      <c r="D18" s="106"/>
      <c r="E18" s="106"/>
    </row>
    <row r="19" spans="2:5" x14ac:dyDescent="0.25">
      <c r="B19" s="196"/>
      <c r="C19" s="106"/>
      <c r="D19" s="106"/>
      <c r="E19" s="106"/>
    </row>
    <row r="20" spans="2:5" x14ac:dyDescent="0.25">
      <c r="B20" s="196"/>
      <c r="C20" s="106"/>
      <c r="D20" s="106"/>
      <c r="E20" s="106"/>
    </row>
    <row r="21" spans="2:5" x14ac:dyDescent="0.25">
      <c r="B21" s="196"/>
      <c r="C21" s="106"/>
      <c r="D21" s="106"/>
      <c r="E21" s="106"/>
    </row>
    <row r="22" spans="2:5" x14ac:dyDescent="0.25">
      <c r="B22" s="196"/>
      <c r="C22" s="106"/>
      <c r="D22" s="106"/>
      <c r="E22" s="106"/>
    </row>
    <row r="23" spans="2:5" x14ac:dyDescent="0.25">
      <c r="B23" s="196"/>
      <c r="C23" s="106"/>
      <c r="D23" s="106"/>
      <c r="E23" s="106"/>
    </row>
    <row r="24" spans="2:5" x14ac:dyDescent="0.25">
      <c r="B24" s="195" t="str">
        <f>CONCATENATE("Cash Forward (",E1," column)")</f>
        <v>Cash Forward (2025 column)</v>
      </c>
      <c r="C24" s="106"/>
      <c r="D24" s="106"/>
      <c r="E24" s="106"/>
    </row>
    <row r="25" spans="2:5" x14ac:dyDescent="0.25">
      <c r="B25" s="195" t="s">
        <v>340</v>
      </c>
      <c r="C25" s="106"/>
      <c r="D25" s="193"/>
      <c r="E25" s="193"/>
    </row>
    <row r="26" spans="2:5" x14ac:dyDescent="0.25">
      <c r="B26" s="195" t="s">
        <v>362</v>
      </c>
      <c r="C26" s="201" t="str">
        <f>IF(C27*0.1&lt;C25,"Exceed 10% Rule","")</f>
        <v/>
      </c>
      <c r="D26" s="199" t="str">
        <f>IF(D27*0.1&lt;D25,"Exceed 10% Rule","")</f>
        <v/>
      </c>
      <c r="E26" s="199" t="str">
        <f>IF(E27*0.1&lt;E25,"Exceed 10% Rule","")</f>
        <v/>
      </c>
    </row>
    <row r="27" spans="2:5" x14ac:dyDescent="0.25">
      <c r="B27" s="60" t="s">
        <v>363</v>
      </c>
      <c r="C27" s="598">
        <f>SUM(C18:C25)</f>
        <v>0</v>
      </c>
      <c r="D27" s="598">
        <f>SUM(D18:D25)</f>
        <v>0</v>
      </c>
      <c r="E27" s="598">
        <f>SUM(E18:E25)</f>
        <v>0</v>
      </c>
    </row>
    <row r="28" spans="2:5" x14ac:dyDescent="0.25">
      <c r="B28" s="43" t="s">
        <v>364</v>
      </c>
      <c r="C28" s="431">
        <f>C16-C27</f>
        <v>0</v>
      </c>
      <c r="D28" s="431">
        <f>D16-D27</f>
        <v>0</v>
      </c>
      <c r="E28" s="431">
        <f>E16-E27</f>
        <v>0</v>
      </c>
    </row>
    <row r="29" spans="2:5" x14ac:dyDescent="0.25">
      <c r="B29" s="68" t="str">
        <f>CONCATENATE("",E1-2,"/",E1-1,"/",E1," Budget Authority Amount:")</f>
        <v>2023/2024/2025 Budget Authority Amount:</v>
      </c>
      <c r="C29" s="427">
        <f>inputOth!B103</f>
        <v>0</v>
      </c>
      <c r="D29" s="427">
        <f>inputPrYr!D36</f>
        <v>0</v>
      </c>
      <c r="E29" s="431">
        <f>E27</f>
        <v>0</v>
      </c>
    </row>
    <row r="30" spans="2:5" x14ac:dyDescent="0.25">
      <c r="B30" s="140"/>
      <c r="C30" s="203" t="str">
        <f>IF(C27&gt;C29,"See Tab A","")</f>
        <v/>
      </c>
      <c r="D30" s="203" t="str">
        <f>IF(D27&gt;D29,"See Tab C","")</f>
        <v/>
      </c>
      <c r="E30" s="432" t="str">
        <f>IF(E28&lt;0,"See Tab E","")</f>
        <v/>
      </c>
    </row>
    <row r="31" spans="2:5" x14ac:dyDescent="0.25">
      <c r="B31" s="140"/>
      <c r="C31" s="203" t="str">
        <f>IF(C28&lt;0,"See Tab B","")</f>
        <v/>
      </c>
      <c r="D31" s="97"/>
      <c r="E31" s="97"/>
    </row>
    <row r="32" spans="2:5" x14ac:dyDescent="0.25">
      <c r="B32" s="35"/>
      <c r="C32" s="97"/>
      <c r="D32" s="97"/>
      <c r="E32" s="97"/>
    </row>
    <row r="33" spans="2:5" x14ac:dyDescent="0.25">
      <c r="B33" s="39" t="s">
        <v>328</v>
      </c>
      <c r="C33" s="38"/>
      <c r="D33" s="38"/>
      <c r="E33" s="38"/>
    </row>
    <row r="34" spans="2:5" x14ac:dyDescent="0.25">
      <c r="B34" s="35"/>
      <c r="C34" s="130" t="s">
        <v>329</v>
      </c>
      <c r="D34" s="625" t="s">
        <v>276</v>
      </c>
      <c r="E34" s="625" t="s">
        <v>330</v>
      </c>
    </row>
    <row r="35" spans="2:5" x14ac:dyDescent="0.25">
      <c r="B35" s="247">
        <f>inputPrYr!B37</f>
        <v>0</v>
      </c>
      <c r="C35" s="626" t="str">
        <f>C5</f>
        <v>Actual for 2023</v>
      </c>
      <c r="D35" s="626" t="str">
        <f>D5</f>
        <v>Estimate for 2024</v>
      </c>
      <c r="E35" s="626" t="str">
        <f>E5</f>
        <v>Year for 2025</v>
      </c>
    </row>
    <row r="36" spans="2:5" x14ac:dyDescent="0.25">
      <c r="B36" s="208" t="s">
        <v>374</v>
      </c>
      <c r="C36" s="106"/>
      <c r="D36" s="157">
        <f>C58</f>
        <v>0</v>
      </c>
      <c r="E36" s="157">
        <f>D58</f>
        <v>0</v>
      </c>
    </row>
    <row r="37" spans="2:5" s="99" customFormat="1" x14ac:dyDescent="0.25">
      <c r="B37" s="208" t="s">
        <v>332</v>
      </c>
      <c r="C37" s="53"/>
      <c r="D37" s="53"/>
      <c r="E37" s="53"/>
    </row>
    <row r="38" spans="2:5" x14ac:dyDescent="0.25">
      <c r="B38" s="196"/>
      <c r="C38" s="106"/>
      <c r="D38" s="106"/>
      <c r="E38" s="106"/>
    </row>
    <row r="39" spans="2:5" x14ac:dyDescent="0.25">
      <c r="B39" s="196"/>
      <c r="C39" s="106"/>
      <c r="D39" s="106"/>
      <c r="E39" s="106"/>
    </row>
    <row r="40" spans="2:5" x14ac:dyDescent="0.25">
      <c r="B40" s="196"/>
      <c r="C40" s="106"/>
      <c r="D40" s="106"/>
      <c r="E40" s="106"/>
    </row>
    <row r="41" spans="2:5" x14ac:dyDescent="0.25">
      <c r="B41" s="196"/>
      <c r="C41" s="106"/>
      <c r="D41" s="106"/>
      <c r="E41" s="106"/>
    </row>
    <row r="42" spans="2:5" x14ac:dyDescent="0.25">
      <c r="B42" s="210" t="s">
        <v>339</v>
      </c>
      <c r="C42" s="106"/>
      <c r="D42" s="106"/>
      <c r="E42" s="106"/>
    </row>
    <row r="43" spans="2:5" x14ac:dyDescent="0.25">
      <c r="B43" s="198" t="s">
        <v>340</v>
      </c>
      <c r="C43" s="106"/>
      <c r="D43" s="193"/>
      <c r="E43" s="193"/>
    </row>
    <row r="44" spans="2:5" x14ac:dyDescent="0.25">
      <c r="B44" s="198" t="s">
        <v>341</v>
      </c>
      <c r="C44" s="201" t="str">
        <f>IF(C45*0.1&lt;C43,"Exceed 10% Rule","")</f>
        <v/>
      </c>
      <c r="D44" s="199" t="str">
        <f>IF(D45*0.1&lt;D43,"Exceed 10% Rule","")</f>
        <v/>
      </c>
      <c r="E44" s="199" t="str">
        <f>IF(E45*0.1&lt;E43,"Exceed 10% Rule","")</f>
        <v/>
      </c>
    </row>
    <row r="45" spans="2:5" x14ac:dyDescent="0.25">
      <c r="B45" s="60" t="s">
        <v>342</v>
      </c>
      <c r="C45" s="598">
        <f>SUM(C38:C43)</f>
        <v>0</v>
      </c>
      <c r="D45" s="598">
        <f>SUM(D38:D43)</f>
        <v>0</v>
      </c>
      <c r="E45" s="598">
        <f>SUM(E38:E43)</f>
        <v>0</v>
      </c>
    </row>
    <row r="46" spans="2:5" x14ac:dyDescent="0.25">
      <c r="B46" s="60" t="s">
        <v>344</v>
      </c>
      <c r="C46" s="598">
        <f>C36+C45</f>
        <v>0</v>
      </c>
      <c r="D46" s="598">
        <f>D36+D45</f>
        <v>0</v>
      </c>
      <c r="E46" s="598">
        <f>E36+E45</f>
        <v>0</v>
      </c>
    </row>
    <row r="47" spans="2:5" x14ac:dyDescent="0.25">
      <c r="B47" s="43" t="s">
        <v>346</v>
      </c>
      <c r="C47" s="157"/>
      <c r="D47" s="157"/>
      <c r="E47" s="157"/>
    </row>
    <row r="48" spans="2:5" x14ac:dyDescent="0.25">
      <c r="B48" s="196"/>
      <c r="C48" s="106"/>
      <c r="D48" s="106"/>
      <c r="E48" s="106"/>
    </row>
    <row r="49" spans="2:5" x14ac:dyDescent="0.25">
      <c r="B49" s="196"/>
      <c r="C49" s="106"/>
      <c r="D49" s="106"/>
      <c r="E49" s="106"/>
    </row>
    <row r="50" spans="2:5" x14ac:dyDescent="0.25">
      <c r="B50" s="196"/>
      <c r="C50" s="106"/>
      <c r="D50" s="106"/>
      <c r="E50" s="106"/>
    </row>
    <row r="51" spans="2:5" x14ac:dyDescent="0.25">
      <c r="B51" s="196"/>
      <c r="C51" s="106"/>
      <c r="D51" s="106"/>
      <c r="E51" s="106"/>
    </row>
    <row r="52" spans="2:5" x14ac:dyDescent="0.25">
      <c r="B52" s="196"/>
      <c r="C52" s="106"/>
      <c r="D52" s="106"/>
      <c r="E52" s="106"/>
    </row>
    <row r="53" spans="2:5" x14ac:dyDescent="0.25">
      <c r="B53" s="196"/>
      <c r="C53" s="106"/>
      <c r="D53" s="106"/>
      <c r="E53" s="106"/>
    </row>
    <row r="54" spans="2:5" x14ac:dyDescent="0.25">
      <c r="B54" s="195" t="str">
        <f>CONCATENATE("Cash Forward (",E1," column)")</f>
        <v>Cash Forward (2025 column)</v>
      </c>
      <c r="C54" s="106"/>
      <c r="D54" s="106"/>
      <c r="E54" s="106"/>
    </row>
    <row r="55" spans="2:5" x14ac:dyDescent="0.25">
      <c r="B55" s="195" t="s">
        <v>340</v>
      </c>
      <c r="C55" s="106"/>
      <c r="D55" s="193"/>
      <c r="E55" s="193"/>
    </row>
    <row r="56" spans="2:5" x14ac:dyDescent="0.25">
      <c r="B56" s="195" t="s">
        <v>362</v>
      </c>
      <c r="C56" s="201" t="str">
        <f>IF(C57*0.1&lt;C55,"Exceed 10% Rule","")</f>
        <v/>
      </c>
      <c r="D56" s="199" t="str">
        <f>IF(D57*0.1&lt;D55,"Exceed 10% Rule","")</f>
        <v/>
      </c>
      <c r="E56" s="199" t="str">
        <f>IF(E57*0.1&lt;E55,"Exceed 10% Rule","")</f>
        <v/>
      </c>
    </row>
    <row r="57" spans="2:5" x14ac:dyDescent="0.25">
      <c r="B57" s="60" t="s">
        <v>363</v>
      </c>
      <c r="C57" s="598">
        <f>SUM(C48:C55)</f>
        <v>0</v>
      </c>
      <c r="D57" s="598">
        <f>SUM(D48:D55)</f>
        <v>0</v>
      </c>
      <c r="E57" s="598">
        <f>SUM(E48:E55)</f>
        <v>0</v>
      </c>
    </row>
    <row r="58" spans="2:5" x14ac:dyDescent="0.25">
      <c r="B58" s="43" t="s">
        <v>364</v>
      </c>
      <c r="C58" s="431">
        <f>C46-C57</f>
        <v>0</v>
      </c>
      <c r="D58" s="431">
        <f>D46-D57</f>
        <v>0</v>
      </c>
      <c r="E58" s="431">
        <f>E46-E57</f>
        <v>0</v>
      </c>
    </row>
    <row r="59" spans="2:5" x14ac:dyDescent="0.25">
      <c r="B59" s="68" t="str">
        <f>CONCATENATE("",E1-2,"/",E1-1,"/",E1," Budget Authority Amount:")</f>
        <v>2023/2024/2025 Budget Authority Amount:</v>
      </c>
      <c r="C59" s="427">
        <f>inputOth!B104</f>
        <v>0</v>
      </c>
      <c r="D59" s="427">
        <f>inputPrYr!D37</f>
        <v>0</v>
      </c>
      <c r="E59" s="431">
        <f>E57</f>
        <v>0</v>
      </c>
    </row>
    <row r="60" spans="2:5" x14ac:dyDescent="0.25">
      <c r="B60" s="140"/>
      <c r="C60" s="203" t="str">
        <f>IF(C57&gt;C59,"See Tab A","")</f>
        <v/>
      </c>
      <c r="D60" s="203" t="str">
        <f>IF(D57&gt;D59,"See Tab C","")</f>
        <v/>
      </c>
      <c r="E60" s="433" t="str">
        <f>IF(E58&lt;0,"See Tab E","")</f>
        <v/>
      </c>
    </row>
    <row r="61" spans="2:5" x14ac:dyDescent="0.25">
      <c r="B61" s="511" t="s">
        <v>203</v>
      </c>
      <c r="C61" s="433"/>
      <c r="D61" s="433"/>
      <c r="E61" s="506"/>
    </row>
    <row r="62" spans="2:5" x14ac:dyDescent="0.25">
      <c r="B62" s="507"/>
      <c r="C62" s="203"/>
      <c r="D62" s="203"/>
      <c r="E62" s="508"/>
    </row>
    <row r="63" spans="2:5" x14ac:dyDescent="0.25">
      <c r="B63" s="509"/>
      <c r="C63" s="510" t="str">
        <f>IF(C58&lt;0,"See Tab B","")</f>
        <v/>
      </c>
      <c r="D63" s="646" t="str">
        <f>IF(D58&lt;0,"See Tab D","")</f>
        <v/>
      </c>
      <c r="E63" s="52"/>
    </row>
    <row r="64" spans="2:5" x14ac:dyDescent="0.25">
      <c r="B64" s="35"/>
      <c r="C64" s="35"/>
      <c r="D64" s="35"/>
      <c r="E64" s="35"/>
    </row>
    <row r="65" spans="2:5" x14ac:dyDescent="0.25">
      <c r="B65" s="136" t="s">
        <v>370</v>
      </c>
      <c r="C65" s="442"/>
      <c r="D65" s="35"/>
      <c r="E65" s="35"/>
    </row>
  </sheetData>
  <sheetProtection sheet="1"/>
  <phoneticPr fontId="10" type="noConversion"/>
  <conditionalFormatting sqref="C13">
    <cfRule type="cellIs" dxfId="48" priority="21" stopIfTrue="1" operator="greaterThan">
      <formula>$C$15*0.1</formula>
    </cfRule>
  </conditionalFormatting>
  <conditionalFormatting sqref="C25">
    <cfRule type="cellIs" dxfId="47" priority="24" stopIfTrue="1" operator="greaterThan">
      <formula>$C$27*0.1</formula>
    </cfRule>
  </conditionalFormatting>
  <conditionalFormatting sqref="C27">
    <cfRule type="expression" dxfId="46" priority="10">
      <formula>$C$27&gt;$C$29</formula>
    </cfRule>
  </conditionalFormatting>
  <conditionalFormatting sqref="C28">
    <cfRule type="expression" dxfId="45" priority="9">
      <formula>$C$28&lt;0</formula>
    </cfRule>
  </conditionalFormatting>
  <conditionalFormatting sqref="C43">
    <cfRule type="cellIs" dxfId="44" priority="30" stopIfTrue="1" operator="greaterThan">
      <formula>$C$45*0.1</formula>
    </cfRule>
  </conditionalFormatting>
  <conditionalFormatting sqref="C55">
    <cfRule type="cellIs" dxfId="43" priority="27" stopIfTrue="1" operator="greaterThan">
      <formula>$C$57*0.1</formula>
    </cfRule>
  </conditionalFormatting>
  <conditionalFormatting sqref="C57">
    <cfRule type="expression" dxfId="42" priority="5">
      <formula>$C$57&gt;$C$59</formula>
    </cfRule>
  </conditionalFormatting>
  <conditionalFormatting sqref="C58">
    <cfRule type="expression" dxfId="41" priority="4">
      <formula>$C$58&lt;0</formula>
    </cfRule>
  </conditionalFormatting>
  <conditionalFormatting sqref="D13">
    <cfRule type="cellIs" dxfId="40" priority="22" stopIfTrue="1" operator="greaterThan">
      <formula>$D$15*0.1</formula>
    </cfRule>
  </conditionalFormatting>
  <conditionalFormatting sqref="D25">
    <cfRule type="cellIs" dxfId="39" priority="25" stopIfTrue="1" operator="greaterThan">
      <formula>$D$27*0.1</formula>
    </cfRule>
  </conditionalFormatting>
  <conditionalFormatting sqref="D27">
    <cfRule type="expression" dxfId="38" priority="8">
      <formula>$D$27&gt;$D$29</formula>
    </cfRule>
  </conditionalFormatting>
  <conditionalFormatting sqref="D28">
    <cfRule type="expression" dxfId="37" priority="7">
      <formula>$D$28&lt;0</formula>
    </cfRule>
  </conditionalFormatting>
  <conditionalFormatting sqref="D43">
    <cfRule type="cellIs" dxfId="36" priority="31" stopIfTrue="1" operator="greaterThan">
      <formula>$D$45*0.1</formula>
    </cfRule>
  </conditionalFormatting>
  <conditionalFormatting sqref="D55">
    <cfRule type="cellIs" dxfId="35" priority="28" stopIfTrue="1" operator="greaterThan">
      <formula>$D$57*0.1</formula>
    </cfRule>
  </conditionalFormatting>
  <conditionalFormatting sqref="D57">
    <cfRule type="expression" dxfId="34" priority="3">
      <formula>$D$57&gt;$D$59</formula>
    </cfRule>
  </conditionalFormatting>
  <conditionalFormatting sqref="D58">
    <cfRule type="expression" dxfId="33" priority="2">
      <formula>$D$58&lt;0</formula>
    </cfRule>
  </conditionalFormatting>
  <conditionalFormatting sqref="E13">
    <cfRule type="cellIs" dxfId="32" priority="23" stopIfTrue="1" operator="greaterThan">
      <formula>$E$15*0.1</formula>
    </cfRule>
  </conditionalFormatting>
  <conditionalFormatting sqref="E25">
    <cfRule type="cellIs" dxfId="31" priority="26" stopIfTrue="1" operator="greaterThan">
      <formula>$E$27*0.1</formula>
    </cfRule>
  </conditionalFormatting>
  <conditionalFormatting sqref="E28">
    <cfRule type="expression" dxfId="30" priority="6">
      <formula>$E$28&lt;0</formula>
    </cfRule>
  </conditionalFormatting>
  <conditionalFormatting sqref="E43">
    <cfRule type="cellIs" dxfId="29" priority="32" stopIfTrue="1" operator="greaterThan">
      <formula>$E$45*0.1</formula>
    </cfRule>
  </conditionalFormatting>
  <conditionalFormatting sqref="E55">
    <cfRule type="cellIs" dxfId="28" priority="29" stopIfTrue="1" operator="greaterThan">
      <formula>$E$57*0.1</formula>
    </cfRule>
  </conditionalFormatting>
  <conditionalFormatting sqref="E58">
    <cfRule type="expression" dxfId="27" priority="1">
      <formula>$E$58&lt;0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95"/>
  <sheetViews>
    <sheetView topLeftCell="A16" workbookViewId="0">
      <selection activeCell="D10" sqref="D10"/>
    </sheetView>
  </sheetViews>
  <sheetFormatPr defaultRowHeight="15.75" x14ac:dyDescent="0.25"/>
  <cols>
    <col min="1" max="1" width="10.69921875" style="99" customWidth="1"/>
    <col min="2" max="2" width="21.19921875" style="99" customWidth="1"/>
    <col min="3" max="3" width="11.69921875" style="99" customWidth="1"/>
    <col min="4" max="4" width="15" style="99" customWidth="1"/>
    <col min="5" max="5" width="14.09765625" style="99" customWidth="1"/>
    <col min="6" max="6" width="2.69921875" style="99" customWidth="1"/>
    <col min="7" max="7" width="18.59765625" style="99" customWidth="1"/>
    <col min="8" max="16384" width="8.796875" style="99"/>
  </cols>
  <sheetData>
    <row r="1" spans="1:8" x14ac:dyDescent="0.25">
      <c r="A1" s="676" t="s">
        <v>81</v>
      </c>
      <c r="B1" s="677"/>
      <c r="C1" s="677"/>
      <c r="D1" s="677"/>
      <c r="E1" s="677"/>
    </row>
    <row r="2" spans="1:8" x14ac:dyDescent="0.25">
      <c r="A2" s="35"/>
      <c r="B2" s="35"/>
      <c r="C2" s="35"/>
      <c r="D2" s="35"/>
      <c r="E2" s="35"/>
    </row>
    <row r="3" spans="1:8" x14ac:dyDescent="0.25">
      <c r="A3" s="100" t="s">
        <v>82</v>
      </c>
      <c r="B3" s="35"/>
      <c r="C3" s="35"/>
      <c r="D3" s="35"/>
      <c r="E3" s="35"/>
    </row>
    <row r="4" spans="1:8" x14ac:dyDescent="0.25">
      <c r="A4" s="100" t="s">
        <v>83</v>
      </c>
      <c r="B4" s="35"/>
      <c r="C4" s="35"/>
      <c r="D4" s="421"/>
      <c r="E4" s="35"/>
    </row>
    <row r="5" spans="1:8" x14ac:dyDescent="0.25">
      <c r="A5" s="100" t="s">
        <v>84</v>
      </c>
      <c r="B5" s="35"/>
      <c r="C5" s="35"/>
      <c r="D5" s="421"/>
      <c r="E5" s="35"/>
    </row>
    <row r="6" spans="1:8" x14ac:dyDescent="0.25">
      <c r="A6" s="35"/>
      <c r="B6" s="35"/>
      <c r="C6" s="35"/>
      <c r="D6" s="35"/>
      <c r="E6" s="35"/>
    </row>
    <row r="7" spans="1:8" x14ac:dyDescent="0.25">
      <c r="A7" s="101" t="s">
        <v>85</v>
      </c>
      <c r="B7" s="35"/>
      <c r="C7" s="35"/>
      <c r="D7" s="114"/>
      <c r="E7" s="35"/>
    </row>
    <row r="8" spans="1:8" x14ac:dyDescent="0.25">
      <c r="A8" s="101" t="s">
        <v>86</v>
      </c>
      <c r="B8" s="35"/>
      <c r="C8" s="35"/>
      <c r="D8" s="114"/>
      <c r="E8" s="35"/>
    </row>
    <row r="9" spans="1:8" x14ac:dyDescent="0.25">
      <c r="A9" s="35"/>
      <c r="B9" s="35"/>
      <c r="C9" s="35"/>
      <c r="D9" s="35"/>
      <c r="E9" s="35"/>
    </row>
    <row r="10" spans="1:8" x14ac:dyDescent="0.25">
      <c r="A10" s="101" t="s">
        <v>87</v>
      </c>
      <c r="B10" s="35"/>
      <c r="C10" s="35"/>
      <c r="D10" s="102">
        <v>2025</v>
      </c>
      <c r="E10" s="35"/>
    </row>
    <row r="11" spans="1:8" x14ac:dyDescent="0.25">
      <c r="A11" s="101"/>
      <c r="B11" s="35"/>
      <c r="C11" s="35"/>
      <c r="D11" s="35"/>
      <c r="E11" s="35"/>
    </row>
    <row r="12" spans="1:8" x14ac:dyDescent="0.25">
      <c r="A12" s="678" t="s">
        <v>88</v>
      </c>
      <c r="B12" s="678"/>
      <c r="C12" s="678"/>
      <c r="D12" s="678"/>
      <c r="E12" s="678"/>
    </row>
    <row r="13" spans="1:8" x14ac:dyDescent="0.25">
      <c r="A13" s="678"/>
      <c r="B13" s="678"/>
      <c r="C13" s="678"/>
      <c r="D13" s="678"/>
      <c r="E13" s="678"/>
    </row>
    <row r="14" spans="1:8" ht="15.75" customHeight="1" x14ac:dyDescent="0.25">
      <c r="A14" s="678"/>
      <c r="B14" s="678"/>
      <c r="C14" s="678"/>
      <c r="D14" s="678"/>
      <c r="E14" s="678"/>
      <c r="F14" s="35"/>
      <c r="G14" s="679" t="s">
        <v>89</v>
      </c>
      <c r="H14" s="680"/>
    </row>
    <row r="15" spans="1:8" x14ac:dyDescent="0.25">
      <c r="A15" s="674" t="s">
        <v>90</v>
      </c>
      <c r="B15" s="675"/>
      <c r="C15" s="675"/>
      <c r="D15" s="675"/>
      <c r="E15" s="675"/>
      <c r="F15" s="35"/>
      <c r="G15" s="681"/>
      <c r="H15" s="682"/>
    </row>
    <row r="16" spans="1:8" x14ac:dyDescent="0.25">
      <c r="A16" s="100"/>
      <c r="B16" s="35"/>
      <c r="C16" s="35"/>
      <c r="D16" s="35"/>
      <c r="E16" s="35"/>
      <c r="F16" s="35"/>
      <c r="G16" s="681"/>
      <c r="H16" s="682"/>
    </row>
    <row r="17" spans="1:8" x14ac:dyDescent="0.25">
      <c r="A17" s="459" t="s">
        <v>91</v>
      </c>
      <c r="B17" s="458"/>
      <c r="C17" s="35"/>
      <c r="D17" s="574"/>
      <c r="E17" s="69"/>
      <c r="F17" s="35"/>
      <c r="G17" s="681"/>
      <c r="H17" s="682"/>
    </row>
    <row r="18" spans="1:8" x14ac:dyDescent="0.25">
      <c r="A18" s="457" t="str">
        <f>CONCATENATE("the ",D10-1," Budget, Certificate Page:")</f>
        <v>the 2024 Budget, Certificate Page:</v>
      </c>
      <c r="B18" s="456"/>
      <c r="C18" s="574"/>
      <c r="D18" s="35"/>
      <c r="E18" s="35"/>
      <c r="F18" s="35"/>
      <c r="G18" s="681"/>
      <c r="H18" s="682"/>
    </row>
    <row r="19" spans="1:8" x14ac:dyDescent="0.25">
      <c r="A19" s="455" t="s">
        <v>92</v>
      </c>
      <c r="B19" s="454"/>
      <c r="C19" s="574"/>
      <c r="D19" s="103">
        <f>D10-1</f>
        <v>2024</v>
      </c>
      <c r="E19" s="103">
        <f>D10-2</f>
        <v>2023</v>
      </c>
      <c r="F19" s="35"/>
      <c r="G19" s="681"/>
      <c r="H19" s="682"/>
    </row>
    <row r="20" spans="1:8" x14ac:dyDescent="0.25">
      <c r="A20" s="39" t="s">
        <v>93</v>
      </c>
      <c r="B20" s="35"/>
      <c r="C20" s="104" t="s">
        <v>94</v>
      </c>
      <c r="D20" s="105" t="s">
        <v>95</v>
      </c>
      <c r="E20" s="105" t="s">
        <v>96</v>
      </c>
      <c r="F20" s="35"/>
      <c r="G20" s="683"/>
      <c r="H20" s="684"/>
    </row>
    <row r="21" spans="1:8" x14ac:dyDescent="0.25">
      <c r="A21" s="35"/>
      <c r="B21" s="61" t="s">
        <v>97</v>
      </c>
      <c r="C21" s="46" t="s">
        <v>98</v>
      </c>
      <c r="D21" s="106"/>
      <c r="E21" s="467"/>
      <c r="F21" s="437"/>
      <c r="G21" s="142" t="s">
        <v>99</v>
      </c>
      <c r="H21" s="51" t="s">
        <v>100</v>
      </c>
    </row>
    <row r="22" spans="1:8" x14ac:dyDescent="0.25">
      <c r="A22" s="35"/>
      <c r="B22" s="61" t="s">
        <v>101</v>
      </c>
      <c r="C22" s="46" t="s">
        <v>102</v>
      </c>
      <c r="D22" s="106"/>
      <c r="E22" s="467"/>
      <c r="F22" s="437"/>
      <c r="G22" s="620" t="str">
        <f>CONCATENATE("",E19," Ad Valorem Tax")</f>
        <v>2023 Ad Valorem Tax</v>
      </c>
      <c r="H22" s="311">
        <v>0</v>
      </c>
    </row>
    <row r="23" spans="1:8" x14ac:dyDescent="0.25">
      <c r="A23" s="35"/>
      <c r="B23" s="61" t="s">
        <v>103</v>
      </c>
      <c r="C23" s="46" t="s">
        <v>104</v>
      </c>
      <c r="D23" s="106"/>
      <c r="E23" s="467"/>
      <c r="F23" s="437"/>
      <c r="G23" s="157">
        <f>IF(H22&gt;0,ROUND(E21-(E21*H22),0),0)</f>
        <v>0</v>
      </c>
    </row>
    <row r="24" spans="1:8" x14ac:dyDescent="0.25">
      <c r="A24" s="35"/>
      <c r="B24" s="61" t="s">
        <v>105</v>
      </c>
      <c r="C24" s="107" t="s">
        <v>106</v>
      </c>
      <c r="D24" s="106"/>
      <c r="E24" s="467"/>
      <c r="F24" s="437"/>
      <c r="G24" s="157">
        <f>IF(H22&gt;0,ROUND(E22-(E22*H22),0),0)</f>
        <v>0</v>
      </c>
    </row>
    <row r="25" spans="1:8" x14ac:dyDescent="0.25">
      <c r="A25" s="35"/>
      <c r="B25" s="61" t="s">
        <v>107</v>
      </c>
      <c r="C25" s="51" t="s">
        <v>108</v>
      </c>
      <c r="D25" s="106"/>
      <c r="E25" s="467"/>
      <c r="F25" s="437"/>
      <c r="G25" s="157">
        <f>IF(H22&gt;0,ROUND(E23-(E23*H22),0),0)</f>
        <v>0</v>
      </c>
    </row>
    <row r="26" spans="1:8" x14ac:dyDescent="0.25">
      <c r="A26" s="35"/>
      <c r="B26" s="61" t="s">
        <v>109</v>
      </c>
      <c r="C26" s="51" t="s">
        <v>110</v>
      </c>
      <c r="D26" s="106"/>
      <c r="E26" s="467"/>
      <c r="F26" s="437"/>
      <c r="G26" s="157">
        <f>IF(H22&gt;0,ROUND(E24-(E24*H22),0),0)</f>
        <v>0</v>
      </c>
    </row>
    <row r="27" spans="1:8" x14ac:dyDescent="0.25">
      <c r="A27" s="35"/>
      <c r="B27" s="132" t="s">
        <v>111</v>
      </c>
      <c r="C27" s="51" t="s">
        <v>112</v>
      </c>
      <c r="D27" s="106"/>
      <c r="E27" s="467"/>
      <c r="F27" s="437"/>
      <c r="G27" s="157">
        <f>IF(H22&gt;0,ROUND(E25-(E25*H22),0),0)</f>
        <v>0</v>
      </c>
    </row>
    <row r="28" spans="1:8" x14ac:dyDescent="0.25">
      <c r="A28" s="35"/>
      <c r="B28" s="468"/>
      <c r="C28" s="245"/>
      <c r="D28" s="106"/>
      <c r="E28" s="467"/>
      <c r="F28" s="437"/>
      <c r="G28" s="157">
        <f>IF(H22&gt;0,ROUND(E26-(E26*H22),0),0)</f>
        <v>0</v>
      </c>
    </row>
    <row r="29" spans="1:8" x14ac:dyDescent="0.25">
      <c r="A29" s="35"/>
      <c r="B29" s="467"/>
      <c r="C29" s="245"/>
      <c r="D29" s="106"/>
      <c r="E29" s="467"/>
      <c r="F29" s="437"/>
      <c r="G29" s="157">
        <f>IF(H22&gt;0,ROUND(E27-(E27*H22),0),0)</f>
        <v>0</v>
      </c>
    </row>
    <row r="30" spans="1:8" x14ac:dyDescent="0.25">
      <c r="A30" s="35"/>
      <c r="B30" s="468"/>
      <c r="C30" s="245"/>
      <c r="D30" s="106"/>
      <c r="E30" s="467"/>
      <c r="F30" s="437"/>
      <c r="G30" s="157">
        <f>IF(H22&gt;0,ROUND(E28-(E28*H22),0),0)</f>
        <v>0</v>
      </c>
    </row>
    <row r="31" spans="1:8" x14ac:dyDescent="0.25">
      <c r="A31" s="35"/>
      <c r="B31" s="467"/>
      <c r="C31" s="245"/>
      <c r="D31" s="106"/>
      <c r="E31" s="106"/>
      <c r="F31" s="437"/>
      <c r="G31" s="157">
        <f>IF(H22&gt;0,ROUND(E29-(E29*H22),0),0)</f>
        <v>0</v>
      </c>
    </row>
    <row r="32" spans="1:8" x14ac:dyDescent="0.25">
      <c r="A32" s="35"/>
      <c r="B32" s="468"/>
      <c r="C32" s="245"/>
      <c r="D32" s="106"/>
      <c r="E32" s="106"/>
      <c r="F32" s="437"/>
      <c r="G32" s="157">
        <f>IF(H22&gt;0,ROUND(E30-(E30*H22),0),0)</f>
        <v>0</v>
      </c>
    </row>
    <row r="33" spans="1:8" x14ac:dyDescent="0.25">
      <c r="A33" s="109" t="str">
        <f>CONCATENATE("Total Ad Valorem Tax for ",D10-1,"")</f>
        <v>Total Ad Valorem Tax for 2024</v>
      </c>
      <c r="B33" s="42"/>
      <c r="C33" s="110"/>
      <c r="D33" s="111"/>
      <c r="E33" s="112">
        <f>SUM(E21:E32)</f>
        <v>0</v>
      </c>
      <c r="F33" s="437"/>
      <c r="G33" s="157">
        <f>IF(H22&gt;0,ROUND(E31-(E31*H22),0),0)</f>
        <v>0</v>
      </c>
      <c r="H33" s="312"/>
    </row>
    <row r="34" spans="1:8" x14ac:dyDescent="0.25">
      <c r="A34" s="35"/>
      <c r="B34" s="35"/>
      <c r="C34" s="35"/>
      <c r="D34" s="72"/>
      <c r="E34" s="113"/>
      <c r="F34" s="437"/>
      <c r="G34" s="157">
        <f>IF(H22&gt;0,ROUND(E32-(E32*H22),0),0)</f>
        <v>0</v>
      </c>
      <c r="H34" s="312"/>
    </row>
    <row r="35" spans="1:8" x14ac:dyDescent="0.25">
      <c r="A35" s="35" t="s">
        <v>113</v>
      </c>
      <c r="B35" s="35"/>
      <c r="C35" s="35"/>
      <c r="D35" s="35"/>
      <c r="E35" s="35"/>
    </row>
    <row r="36" spans="1:8" x14ac:dyDescent="0.25">
      <c r="A36" s="35"/>
      <c r="B36" s="114"/>
      <c r="C36" s="35"/>
      <c r="D36" s="115"/>
      <c r="E36" s="35"/>
    </row>
    <row r="37" spans="1:8" x14ac:dyDescent="0.25">
      <c r="A37" s="35"/>
      <c r="B37" s="114"/>
      <c r="C37" s="35"/>
      <c r="D37" s="115"/>
      <c r="E37" s="35"/>
    </row>
    <row r="38" spans="1:8" x14ac:dyDescent="0.25">
      <c r="A38" s="35"/>
      <c r="B38" s="114"/>
      <c r="C38" s="35"/>
      <c r="D38" s="115"/>
      <c r="E38" s="35"/>
    </row>
    <row r="39" spans="1:8" x14ac:dyDescent="0.25">
      <c r="A39" s="35"/>
      <c r="B39" s="114"/>
      <c r="C39" s="35"/>
      <c r="D39" s="115"/>
      <c r="E39" s="35"/>
    </row>
    <row r="40" spans="1:8" x14ac:dyDescent="0.25">
      <c r="A40" s="42" t="str">
        <f>CONCATENATE("Total Expenditures for ",D10-1,"")</f>
        <v>Total Expenditures for 2024</v>
      </c>
      <c r="B40" s="42"/>
      <c r="C40" s="42"/>
      <c r="D40" s="116">
        <f>SUM(D21:D32,D36:D39)</f>
        <v>0</v>
      </c>
      <c r="E40" s="35"/>
    </row>
    <row r="41" spans="1:8" x14ac:dyDescent="0.25">
      <c r="A41" s="39" t="s">
        <v>114</v>
      </c>
      <c r="B41" s="35"/>
      <c r="C41" s="35"/>
      <c r="D41" s="35"/>
      <c r="E41" s="35"/>
    </row>
    <row r="42" spans="1:8" x14ac:dyDescent="0.25">
      <c r="A42" s="136">
        <v>1</v>
      </c>
      <c r="B42" s="114"/>
      <c r="C42" s="35"/>
      <c r="D42" s="35"/>
      <c r="E42" s="35"/>
    </row>
    <row r="43" spans="1:8" x14ac:dyDescent="0.25">
      <c r="A43" s="136">
        <v>2</v>
      </c>
      <c r="B43" s="114"/>
      <c r="C43" s="35"/>
      <c r="D43" s="35"/>
      <c r="E43" s="35"/>
    </row>
    <row r="44" spans="1:8" x14ac:dyDescent="0.25">
      <c r="A44" s="136">
        <v>3</v>
      </c>
      <c r="B44" s="114"/>
      <c r="C44" s="35"/>
      <c r="D44" s="35"/>
      <c r="E44" s="35"/>
    </row>
    <row r="45" spans="1:8" x14ac:dyDescent="0.25">
      <c r="A45" s="136">
        <v>4</v>
      </c>
      <c r="B45" s="114"/>
      <c r="C45" s="35"/>
      <c r="D45" s="35"/>
      <c r="E45" s="35"/>
    </row>
    <row r="46" spans="1:8" x14ac:dyDescent="0.25">
      <c r="A46" s="136">
        <v>5</v>
      </c>
      <c r="B46" s="114"/>
      <c r="C46" s="35"/>
      <c r="D46" s="35"/>
      <c r="E46" s="35"/>
    </row>
    <row r="47" spans="1:8" x14ac:dyDescent="0.25">
      <c r="A47" s="35"/>
      <c r="B47" s="35"/>
      <c r="C47" s="35"/>
      <c r="D47" s="35"/>
      <c r="E47" s="35"/>
    </row>
    <row r="48" spans="1:8" x14ac:dyDescent="0.25">
      <c r="A48" s="459" t="s">
        <v>91</v>
      </c>
      <c r="B48" s="458"/>
      <c r="C48" s="35"/>
      <c r="D48" s="672" t="str">
        <f>CONCATENATE("",D10-3," Tax Rate         (",D10-2," Column)")</f>
        <v>2022 Tax Rate         (2023 Column)</v>
      </c>
      <c r="E48" s="35"/>
    </row>
    <row r="49" spans="1:5" x14ac:dyDescent="0.25">
      <c r="A49" s="567" t="str">
        <f>CONCATENATE("the ",D10-1," Budget, Budget Summary Page:")</f>
        <v>the 2024 Budget, Budget Summary Page:</v>
      </c>
      <c r="B49" s="453"/>
      <c r="C49" s="35"/>
      <c r="D49" s="673"/>
      <c r="E49" s="35"/>
    </row>
    <row r="50" spans="1:5" ht="15.75" customHeight="1" x14ac:dyDescent="0.25">
      <c r="A50" s="35"/>
      <c r="B50" s="143" t="str">
        <f>B21</f>
        <v>General</v>
      </c>
      <c r="C50" s="35"/>
      <c r="D50" s="425"/>
      <c r="E50" s="35"/>
    </row>
    <row r="51" spans="1:5" x14ac:dyDescent="0.25">
      <c r="A51" s="35"/>
      <c r="B51" s="53" t="str">
        <f>B22</f>
        <v>Debt Service</v>
      </c>
      <c r="C51" s="35"/>
      <c r="D51" s="425"/>
      <c r="E51" s="35"/>
    </row>
    <row r="52" spans="1:5" x14ac:dyDescent="0.25">
      <c r="A52" s="35"/>
      <c r="B52" s="53" t="str">
        <f>B23</f>
        <v>Library</v>
      </c>
      <c r="C52" s="35"/>
      <c r="D52" s="425"/>
      <c r="E52" s="35"/>
    </row>
    <row r="53" spans="1:5" x14ac:dyDescent="0.25">
      <c r="A53" s="35"/>
      <c r="B53" s="53" t="str">
        <f t="shared" ref="B53:B60" si="0">B24</f>
        <v>Road</v>
      </c>
      <c r="C53" s="35"/>
      <c r="D53" s="425"/>
      <c r="E53" s="35"/>
    </row>
    <row r="54" spans="1:5" x14ac:dyDescent="0.25">
      <c r="A54" s="35"/>
      <c r="B54" s="61" t="str">
        <f t="shared" si="0"/>
        <v>Special Road</v>
      </c>
      <c r="C54" s="35"/>
      <c r="D54" s="425"/>
      <c r="E54" s="35"/>
    </row>
    <row r="55" spans="1:5" x14ac:dyDescent="0.25">
      <c r="A55" s="35"/>
      <c r="B55" s="61" t="str">
        <f t="shared" si="0"/>
        <v>Noxious Weed</v>
      </c>
      <c r="C55" s="35"/>
      <c r="D55" s="425"/>
      <c r="E55" s="35"/>
    </row>
    <row r="56" spans="1:5" x14ac:dyDescent="0.25">
      <c r="A56" s="35"/>
      <c r="B56" s="61" t="str">
        <f t="shared" si="0"/>
        <v>Fire Protection</v>
      </c>
      <c r="C56" s="35"/>
      <c r="D56" s="426"/>
      <c r="E56" s="35"/>
    </row>
    <row r="57" spans="1:5" x14ac:dyDescent="0.25">
      <c r="A57" s="35"/>
      <c r="B57" s="61">
        <f t="shared" si="0"/>
        <v>0</v>
      </c>
      <c r="C57" s="35"/>
      <c r="D57" s="426"/>
      <c r="E57" s="35"/>
    </row>
    <row r="58" spans="1:5" x14ac:dyDescent="0.25">
      <c r="A58" s="35"/>
      <c r="B58" s="61">
        <f t="shared" si="0"/>
        <v>0</v>
      </c>
      <c r="C58" s="35"/>
      <c r="D58" s="426"/>
      <c r="E58" s="35"/>
    </row>
    <row r="59" spans="1:5" x14ac:dyDescent="0.25">
      <c r="A59" s="35"/>
      <c r="B59" s="61">
        <f t="shared" si="0"/>
        <v>0</v>
      </c>
      <c r="C59" s="35"/>
      <c r="D59" s="426"/>
      <c r="E59" s="35"/>
    </row>
    <row r="60" spans="1:5" x14ac:dyDescent="0.25">
      <c r="A60" s="35"/>
      <c r="B60" s="61">
        <f t="shared" si="0"/>
        <v>0</v>
      </c>
      <c r="C60" s="35"/>
      <c r="D60" s="426"/>
      <c r="E60" s="35"/>
    </row>
    <row r="61" spans="1:5" x14ac:dyDescent="0.25">
      <c r="A61" s="35"/>
      <c r="B61" s="61">
        <f>B32</f>
        <v>0</v>
      </c>
      <c r="C61" s="35"/>
      <c r="D61" s="425"/>
      <c r="E61" s="35"/>
    </row>
    <row r="62" spans="1:5" ht="16.5" thickBot="1" x14ac:dyDescent="0.3">
      <c r="A62" s="41" t="str">
        <f>CONCATENATE("Total ",D10-3," Tax Levy Rate")</f>
        <v>Total 2022 Tax Levy Rate</v>
      </c>
      <c r="B62" s="117"/>
      <c r="C62" s="52"/>
      <c r="D62" s="118">
        <f>SUM(D50:D61)</f>
        <v>0</v>
      </c>
      <c r="E62" s="35"/>
    </row>
    <row r="63" spans="1:5" ht="16.5" thickTop="1" x14ac:dyDescent="0.25">
      <c r="A63" s="35"/>
      <c r="B63" s="35"/>
      <c r="C63" s="35"/>
      <c r="D63" s="35"/>
      <c r="E63" s="35"/>
    </row>
    <row r="64" spans="1:5" x14ac:dyDescent="0.25">
      <c r="A64" s="452" t="str">
        <f>CONCATENATE("Total Tax Levy (",D10-2," budget column)")</f>
        <v>Total Tax Levy (2023 budget column)</v>
      </c>
      <c r="B64" s="458"/>
      <c r="C64" s="35"/>
      <c r="D64" s="35"/>
      <c r="E64" s="173"/>
    </row>
    <row r="65" spans="1:5" x14ac:dyDescent="0.25">
      <c r="A65" s="451" t="str">
        <f>CONCATENATE("Assessed Valuation (",D10-2," budget column):")</f>
        <v>Assessed Valuation (2023 budget column):</v>
      </c>
      <c r="B65" s="450"/>
      <c r="C65" s="35"/>
      <c r="D65" s="35"/>
      <c r="E65" s="422"/>
    </row>
    <row r="66" spans="1:5" x14ac:dyDescent="0.25">
      <c r="A66" s="35"/>
      <c r="B66" s="35"/>
      <c r="C66" s="35"/>
      <c r="D66" s="35"/>
      <c r="E66" s="97"/>
    </row>
    <row r="67" spans="1:5" x14ac:dyDescent="0.25">
      <c r="A67" s="449" t="s">
        <v>115</v>
      </c>
      <c r="B67" s="448"/>
      <c r="C67" s="119"/>
      <c r="D67" s="120">
        <f>D10-3</f>
        <v>2022</v>
      </c>
      <c r="E67" s="120">
        <f>D10-2</f>
        <v>2023</v>
      </c>
    </row>
    <row r="68" spans="1:5" x14ac:dyDescent="0.25">
      <c r="A68" s="447" t="s">
        <v>116</v>
      </c>
      <c r="B68" s="450"/>
      <c r="C68" s="121"/>
      <c r="D68" s="115"/>
      <c r="E68" s="115"/>
    </row>
    <row r="69" spans="1:5" x14ac:dyDescent="0.25">
      <c r="A69" s="449" t="s">
        <v>117</v>
      </c>
      <c r="B69" s="448"/>
      <c r="C69" s="122"/>
      <c r="D69" s="115"/>
      <c r="E69" s="115"/>
    </row>
    <row r="70" spans="1:5" x14ac:dyDescent="0.25">
      <c r="A70" s="449" t="s">
        <v>118</v>
      </c>
      <c r="B70" s="448"/>
      <c r="C70" s="122"/>
      <c r="D70" s="115"/>
      <c r="E70" s="115"/>
    </row>
    <row r="71" spans="1:5" x14ac:dyDescent="0.25">
      <c r="A71" s="449"/>
      <c r="B71" s="448"/>
      <c r="C71" s="123"/>
      <c r="D71" s="115"/>
      <c r="E71" s="115"/>
    </row>
    <row r="72" spans="1:5" x14ac:dyDescent="0.25">
      <c r="A72" s="62"/>
      <c r="B72" s="62"/>
      <c r="C72" s="62"/>
      <c r="D72" s="62"/>
      <c r="E72" s="62"/>
    </row>
    <row r="73" spans="1:5" x14ac:dyDescent="0.25">
      <c r="A73" s="62"/>
      <c r="B73" s="62"/>
      <c r="C73" s="62"/>
      <c r="D73" s="62"/>
      <c r="E73" s="62"/>
    </row>
    <row r="74" spans="1:5" x14ac:dyDescent="0.25">
      <c r="A74" s="62"/>
      <c r="B74" s="62"/>
      <c r="C74" s="62"/>
      <c r="D74" s="62"/>
      <c r="E74" s="62"/>
    </row>
    <row r="75" spans="1:5" x14ac:dyDescent="0.25">
      <c r="A75" s="62"/>
      <c r="B75" s="62"/>
      <c r="C75" s="62"/>
      <c r="D75" s="62"/>
      <c r="E75" s="62"/>
    </row>
    <row r="76" spans="1:5" x14ac:dyDescent="0.25">
      <c r="A76" s="62"/>
      <c r="B76" s="62"/>
      <c r="C76" s="62"/>
      <c r="D76" s="62"/>
      <c r="E76" s="62"/>
    </row>
    <row r="77" spans="1:5" x14ac:dyDescent="0.25">
      <c r="A77" s="62"/>
      <c r="B77" s="62"/>
      <c r="C77" s="62"/>
      <c r="D77" s="62"/>
      <c r="E77" s="62"/>
    </row>
    <row r="78" spans="1:5" x14ac:dyDescent="0.25">
      <c r="A78" s="62"/>
      <c r="B78" s="62"/>
      <c r="C78" s="62"/>
      <c r="D78" s="62"/>
      <c r="E78" s="62"/>
    </row>
    <row r="79" spans="1:5" x14ac:dyDescent="0.25">
      <c r="A79" s="62"/>
      <c r="B79" s="62"/>
      <c r="C79" s="62"/>
      <c r="D79" s="62"/>
      <c r="E79" s="62"/>
    </row>
    <row r="80" spans="1:5" x14ac:dyDescent="0.25">
      <c r="A80" s="62"/>
      <c r="B80" s="62"/>
      <c r="C80" s="62"/>
      <c r="D80" s="62"/>
      <c r="E80" s="62"/>
    </row>
    <row r="81" spans="1:7" x14ac:dyDescent="0.25">
      <c r="A81" s="62"/>
      <c r="B81" s="62"/>
      <c r="C81" s="62"/>
      <c r="D81" s="62"/>
      <c r="E81" s="62"/>
    </row>
    <row r="82" spans="1:7" x14ac:dyDescent="0.25">
      <c r="A82" s="62"/>
      <c r="B82" s="62"/>
      <c r="C82" s="62"/>
      <c r="D82" s="62"/>
      <c r="E82" s="62"/>
    </row>
    <row r="83" spans="1:7" x14ac:dyDescent="0.25">
      <c r="A83" s="62"/>
      <c r="B83" s="62"/>
      <c r="C83" s="62"/>
      <c r="D83" s="62"/>
      <c r="E83" s="62"/>
    </row>
    <row r="84" spans="1:7" s="124" customFormat="1" x14ac:dyDescent="0.25">
      <c r="A84" s="62"/>
      <c r="B84" s="62"/>
      <c r="C84" s="62"/>
      <c r="D84" s="62"/>
      <c r="E84" s="62"/>
    </row>
    <row r="85" spans="1:7" x14ac:dyDescent="0.25">
      <c r="A85" s="62"/>
      <c r="B85" s="62"/>
      <c r="C85" s="62"/>
      <c r="D85" s="62"/>
      <c r="E85" s="62"/>
    </row>
    <row r="86" spans="1:7" x14ac:dyDescent="0.25">
      <c r="A86" s="62"/>
      <c r="B86" s="62"/>
      <c r="C86" s="62"/>
      <c r="D86" s="62"/>
      <c r="E86" s="62"/>
    </row>
    <row r="87" spans="1:7" x14ac:dyDescent="0.25">
      <c r="A87" s="62"/>
      <c r="B87" s="62"/>
      <c r="C87" s="62"/>
      <c r="D87" s="62"/>
      <c r="E87" s="62"/>
    </row>
    <row r="88" spans="1:7" x14ac:dyDescent="0.25">
      <c r="A88" s="62"/>
      <c r="B88" s="62"/>
      <c r="C88" s="62"/>
      <c r="D88" s="62"/>
      <c r="E88" s="62"/>
    </row>
    <row r="89" spans="1:7" x14ac:dyDescent="0.25">
      <c r="A89" s="62"/>
      <c r="B89" s="62"/>
      <c r="C89" s="62"/>
      <c r="D89" s="62"/>
      <c r="E89" s="62"/>
    </row>
    <row r="90" spans="1:7" x14ac:dyDescent="0.25">
      <c r="A90" s="62"/>
      <c r="B90" s="62"/>
      <c r="C90" s="62"/>
      <c r="D90" s="62"/>
      <c r="E90" s="62"/>
    </row>
    <row r="91" spans="1:7" x14ac:dyDescent="0.25">
      <c r="A91" s="62"/>
      <c r="B91" s="62"/>
      <c r="C91" s="62"/>
      <c r="D91" s="62"/>
      <c r="E91" s="62"/>
    </row>
    <row r="92" spans="1:7" x14ac:dyDescent="0.25">
      <c r="A92" s="62"/>
      <c r="B92" s="62"/>
      <c r="C92" s="62"/>
      <c r="D92" s="62"/>
      <c r="E92" s="62"/>
    </row>
    <row r="93" spans="1:7" x14ac:dyDescent="0.25">
      <c r="A93" s="62"/>
      <c r="B93" s="62"/>
      <c r="C93" s="62"/>
      <c r="D93" s="62"/>
      <c r="E93" s="62"/>
    </row>
    <row r="94" spans="1:7" s="65" customFormat="1" x14ac:dyDescent="0.25">
      <c r="A94" s="62"/>
      <c r="B94" s="62"/>
      <c r="C94" s="62"/>
      <c r="D94" s="62"/>
      <c r="E94" s="62"/>
      <c r="G94" s="99"/>
    </row>
    <row r="95" spans="1:7" s="65" customFormat="1" x14ac:dyDescent="0.25">
      <c r="A95" s="99"/>
      <c r="B95" s="99"/>
      <c r="C95" s="99"/>
      <c r="D95" s="99"/>
      <c r="E95" s="99"/>
      <c r="G95" s="99"/>
    </row>
  </sheetData>
  <sheetProtection sheet="1"/>
  <mergeCells count="5">
    <mergeCell ref="D48:D49"/>
    <mergeCell ref="A15:E15"/>
    <mergeCell ref="A1:E1"/>
    <mergeCell ref="A12:E14"/>
    <mergeCell ref="G14:H20"/>
  </mergeCells>
  <phoneticPr fontId="0" type="noConversion"/>
  <pageMargins left="0.3" right="0.3" top="0.5" bottom="0.5" header="0.3" footer="0.3"/>
  <pageSetup fitToHeight="2" orientation="portrait" blackAndWhite="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tabColor rgb="FF00B0F0"/>
    <pageSetUpPr fitToPage="1"/>
  </sheetPr>
  <dimension ref="B1:E65"/>
  <sheetViews>
    <sheetView workbookViewId="0">
      <selection activeCell="F1" sqref="F1"/>
    </sheetView>
  </sheetViews>
  <sheetFormatPr defaultRowHeight="15.75" x14ac:dyDescent="0.25"/>
  <cols>
    <col min="1" max="1" width="2.3984375" style="65" customWidth="1"/>
    <col min="2" max="2" width="31" style="65" customWidth="1"/>
    <col min="3" max="5" width="14.19921875" style="65" customWidth="1"/>
    <col min="6" max="16384" width="8.796875" style="65"/>
  </cols>
  <sheetData>
    <row r="1" spans="2:5" x14ac:dyDescent="0.25">
      <c r="B1" s="72">
        <f>inputPrYr!D4</f>
        <v>0</v>
      </c>
      <c r="C1" s="35"/>
      <c r="D1" s="35"/>
      <c r="E1" s="140">
        <f>inputPrYr!D10</f>
        <v>2025</v>
      </c>
    </row>
    <row r="2" spans="2:5" x14ac:dyDescent="0.25">
      <c r="B2" s="35"/>
      <c r="C2" s="35"/>
      <c r="D2" s="35"/>
      <c r="E2" s="136"/>
    </row>
    <row r="3" spans="2:5" x14ac:dyDescent="0.25">
      <c r="B3" s="101" t="s">
        <v>393</v>
      </c>
      <c r="C3" s="38"/>
      <c r="D3" s="38"/>
      <c r="E3" s="38"/>
    </row>
    <row r="4" spans="2:5" x14ac:dyDescent="0.25">
      <c r="B4" s="39" t="s">
        <v>328</v>
      </c>
      <c r="C4" s="130" t="s">
        <v>329</v>
      </c>
      <c r="D4" s="625" t="s">
        <v>276</v>
      </c>
      <c r="E4" s="625" t="s">
        <v>330</v>
      </c>
    </row>
    <row r="5" spans="2:5" x14ac:dyDescent="0.25">
      <c r="B5" s="72">
        <f>inputPrYr!B38</f>
        <v>0</v>
      </c>
      <c r="C5" s="626" t="str">
        <f>General!C5</f>
        <v>Actual for 2023</v>
      </c>
      <c r="D5" s="626" t="str">
        <f>General!D5</f>
        <v>Estimate for 2024</v>
      </c>
      <c r="E5" s="626" t="str">
        <f>General!E5</f>
        <v>Year for 2025</v>
      </c>
    </row>
    <row r="6" spans="2:5" x14ac:dyDescent="0.25">
      <c r="B6" s="208" t="s">
        <v>374</v>
      </c>
      <c r="C6" s="106"/>
      <c r="D6" s="157">
        <f>C28</f>
        <v>0</v>
      </c>
      <c r="E6" s="157">
        <f>D28</f>
        <v>0</v>
      </c>
    </row>
    <row r="7" spans="2:5" s="99" customFormat="1" x14ac:dyDescent="0.25">
      <c r="B7" s="209" t="s">
        <v>332</v>
      </c>
      <c r="C7" s="53"/>
      <c r="D7" s="53"/>
      <c r="E7" s="53"/>
    </row>
    <row r="8" spans="2:5" x14ac:dyDescent="0.25">
      <c r="B8" s="196"/>
      <c r="C8" s="106"/>
      <c r="D8" s="106"/>
      <c r="E8" s="106"/>
    </row>
    <row r="9" spans="2:5" x14ac:dyDescent="0.25">
      <c r="B9" s="196"/>
      <c r="C9" s="106"/>
      <c r="D9" s="106"/>
      <c r="E9" s="106"/>
    </row>
    <row r="10" spans="2:5" x14ac:dyDescent="0.25">
      <c r="B10" s="196"/>
      <c r="C10" s="106"/>
      <c r="D10" s="106"/>
      <c r="E10" s="106"/>
    </row>
    <row r="11" spans="2:5" x14ac:dyDescent="0.25">
      <c r="B11" s="196"/>
      <c r="C11" s="106"/>
      <c r="D11" s="106"/>
      <c r="E11" s="106"/>
    </row>
    <row r="12" spans="2:5" x14ac:dyDescent="0.25">
      <c r="B12" s="210" t="s">
        <v>339</v>
      </c>
      <c r="C12" s="106"/>
      <c r="D12" s="106"/>
      <c r="E12" s="106"/>
    </row>
    <row r="13" spans="2:5" x14ac:dyDescent="0.25">
      <c r="B13" s="198" t="s">
        <v>340</v>
      </c>
      <c r="C13" s="106"/>
      <c r="D13" s="193"/>
      <c r="E13" s="193"/>
    </row>
    <row r="14" spans="2:5" x14ac:dyDescent="0.25">
      <c r="B14" s="198" t="s">
        <v>341</v>
      </c>
      <c r="C14" s="201" t="str">
        <f>IF(C15*0.1&lt;C13,"Exceed 10% Rule","")</f>
        <v/>
      </c>
      <c r="D14" s="199" t="str">
        <f>IF(D15*0.1&lt;D13,"Exceed 10% Rule","")</f>
        <v/>
      </c>
      <c r="E14" s="199" t="str">
        <f>IF(E15*0.1&lt;E13,"Exceed 10% Rule","")</f>
        <v/>
      </c>
    </row>
    <row r="15" spans="2:5" x14ac:dyDescent="0.25">
      <c r="B15" s="60" t="s">
        <v>342</v>
      </c>
      <c r="C15" s="598">
        <f>SUM(C8:C13)</f>
        <v>0</v>
      </c>
      <c r="D15" s="598">
        <f>SUM(D8:D13)</f>
        <v>0</v>
      </c>
      <c r="E15" s="598">
        <f>SUM(E8:E13)</f>
        <v>0</v>
      </c>
    </row>
    <row r="16" spans="2:5" x14ac:dyDescent="0.25">
      <c r="B16" s="60" t="s">
        <v>344</v>
      </c>
      <c r="C16" s="598">
        <f>C6+C15</f>
        <v>0</v>
      </c>
      <c r="D16" s="598">
        <f>D6+D15</f>
        <v>0</v>
      </c>
      <c r="E16" s="598">
        <f>E6+E15</f>
        <v>0</v>
      </c>
    </row>
    <row r="17" spans="2:5" x14ac:dyDescent="0.25">
      <c r="B17" s="43" t="s">
        <v>346</v>
      </c>
      <c r="C17" s="157"/>
      <c r="D17" s="157"/>
      <c r="E17" s="157"/>
    </row>
    <row r="18" spans="2:5" x14ac:dyDescent="0.25">
      <c r="B18" s="196"/>
      <c r="C18" s="106"/>
      <c r="D18" s="106"/>
      <c r="E18" s="106"/>
    </row>
    <row r="19" spans="2:5" x14ac:dyDescent="0.25">
      <c r="B19" s="196"/>
      <c r="C19" s="106"/>
      <c r="D19" s="106"/>
      <c r="E19" s="106"/>
    </row>
    <row r="20" spans="2:5" x14ac:dyDescent="0.25">
      <c r="B20" s="196"/>
      <c r="C20" s="106"/>
      <c r="D20" s="106"/>
      <c r="E20" s="106"/>
    </row>
    <row r="21" spans="2:5" x14ac:dyDescent="0.25">
      <c r="B21" s="196"/>
      <c r="C21" s="106"/>
      <c r="D21" s="106"/>
      <c r="E21" s="106"/>
    </row>
    <row r="22" spans="2:5" x14ac:dyDescent="0.25">
      <c r="B22" s="196"/>
      <c r="C22" s="106"/>
      <c r="D22" s="106"/>
      <c r="E22" s="106"/>
    </row>
    <row r="23" spans="2:5" x14ac:dyDescent="0.25">
      <c r="B23" s="196"/>
      <c r="C23" s="106"/>
      <c r="D23" s="106"/>
      <c r="E23" s="106"/>
    </row>
    <row r="24" spans="2:5" x14ac:dyDescent="0.25">
      <c r="B24" s="195" t="str">
        <f>CONCATENATE("Cash Reserve (",E1," column)")</f>
        <v>Cash Reserve (2025 column)</v>
      </c>
      <c r="C24" s="106"/>
      <c r="D24" s="106"/>
      <c r="E24" s="106"/>
    </row>
    <row r="25" spans="2:5" x14ac:dyDescent="0.25">
      <c r="B25" s="195" t="s">
        <v>340</v>
      </c>
      <c r="C25" s="106"/>
      <c r="D25" s="193"/>
      <c r="E25" s="193"/>
    </row>
    <row r="26" spans="2:5" x14ac:dyDescent="0.25">
      <c r="B26" s="195" t="s">
        <v>362</v>
      </c>
      <c r="C26" s="201" t="str">
        <f>IF(C27*0.1&lt;C25,"Exceed 10% Rule","")</f>
        <v/>
      </c>
      <c r="D26" s="199" t="str">
        <f>IF(D27*0.1&lt;D25,"Exceed 10% Rule","")</f>
        <v/>
      </c>
      <c r="E26" s="199" t="str">
        <f>IF(E27*0.1&lt;E25,"Exceed 10% Rule","")</f>
        <v/>
      </c>
    </row>
    <row r="27" spans="2:5" x14ac:dyDescent="0.25">
      <c r="B27" s="60" t="s">
        <v>363</v>
      </c>
      <c r="C27" s="598">
        <f>SUM(C18:C25)</f>
        <v>0</v>
      </c>
      <c r="D27" s="598">
        <f>SUM(D18:D25)</f>
        <v>0</v>
      </c>
      <c r="E27" s="598">
        <f>SUM(E18:E25)</f>
        <v>0</v>
      </c>
    </row>
    <row r="28" spans="2:5" x14ac:dyDescent="0.25">
      <c r="B28" s="43" t="s">
        <v>364</v>
      </c>
      <c r="C28" s="431">
        <f>C16-C27</f>
        <v>0</v>
      </c>
      <c r="D28" s="431">
        <f>D16-D27</f>
        <v>0</v>
      </c>
      <c r="E28" s="431">
        <f>E16-E27</f>
        <v>0</v>
      </c>
    </row>
    <row r="29" spans="2:5" x14ac:dyDescent="0.25">
      <c r="B29" s="68" t="str">
        <f>CONCATENATE("",E1-2,"/",E1-1,"/",E1," Budget Authority Amount:")</f>
        <v>2023/2024/2025 Budget Authority Amount:</v>
      </c>
      <c r="C29" s="427">
        <f>inputOth!B105</f>
        <v>0</v>
      </c>
      <c r="D29" s="427">
        <f>inputPrYr!D38</f>
        <v>0</v>
      </c>
      <c r="E29" s="431">
        <f>E27</f>
        <v>0</v>
      </c>
    </row>
    <row r="30" spans="2:5" x14ac:dyDescent="0.25">
      <c r="B30" s="140"/>
      <c r="C30" s="203" t="str">
        <f>IF(C27&gt;C29,"See Tab A","")</f>
        <v/>
      </c>
      <c r="D30" s="203" t="str">
        <f>IF(D27&gt;D29,"See Tab C","")</f>
        <v/>
      </c>
      <c r="E30" s="432" t="str">
        <f>IF(E28&lt;0,"See Tab E","")</f>
        <v/>
      </c>
    </row>
    <row r="31" spans="2:5" x14ac:dyDescent="0.25">
      <c r="B31" s="140"/>
      <c r="C31" s="203" t="str">
        <f>IF(C28&lt;0,"See Tab B","")</f>
        <v/>
      </c>
      <c r="D31" s="97"/>
      <c r="E31" s="97"/>
    </row>
    <row r="32" spans="2:5" x14ac:dyDescent="0.25">
      <c r="B32" s="35"/>
      <c r="C32" s="97"/>
      <c r="D32" s="97"/>
      <c r="E32" s="97"/>
    </row>
    <row r="33" spans="2:5" x14ac:dyDescent="0.25">
      <c r="B33" s="39" t="s">
        <v>328</v>
      </c>
      <c r="C33" s="38"/>
      <c r="D33" s="38"/>
      <c r="E33" s="38"/>
    </row>
    <row r="34" spans="2:5" x14ac:dyDescent="0.25">
      <c r="B34" s="35"/>
      <c r="C34" s="130" t="s">
        <v>329</v>
      </c>
      <c r="D34" s="625" t="s">
        <v>276</v>
      </c>
      <c r="E34" s="625" t="s">
        <v>330</v>
      </c>
    </row>
    <row r="35" spans="2:5" x14ac:dyDescent="0.25">
      <c r="B35" s="144">
        <f>inputPrYr!B39</f>
        <v>0</v>
      </c>
      <c r="C35" s="626" t="str">
        <f>C5</f>
        <v>Actual for 2023</v>
      </c>
      <c r="D35" s="626" t="str">
        <f>D5</f>
        <v>Estimate for 2024</v>
      </c>
      <c r="E35" s="626" t="str">
        <f>E5</f>
        <v>Year for 2025</v>
      </c>
    </row>
    <row r="36" spans="2:5" x14ac:dyDescent="0.25">
      <c r="B36" s="208" t="s">
        <v>374</v>
      </c>
      <c r="C36" s="106"/>
      <c r="D36" s="157">
        <f>C58</f>
        <v>0</v>
      </c>
      <c r="E36" s="157">
        <f>D58</f>
        <v>0</v>
      </c>
    </row>
    <row r="37" spans="2:5" s="99" customFormat="1" x14ac:dyDescent="0.25">
      <c r="B37" s="208" t="s">
        <v>332</v>
      </c>
      <c r="C37" s="53"/>
      <c r="D37" s="53"/>
      <c r="E37" s="53"/>
    </row>
    <row r="38" spans="2:5" x14ac:dyDescent="0.25">
      <c r="B38" s="196"/>
      <c r="C38" s="106"/>
      <c r="D38" s="106"/>
      <c r="E38" s="106"/>
    </row>
    <row r="39" spans="2:5" x14ac:dyDescent="0.25">
      <c r="B39" s="196"/>
      <c r="C39" s="106"/>
      <c r="D39" s="106"/>
      <c r="E39" s="106"/>
    </row>
    <row r="40" spans="2:5" x14ac:dyDescent="0.25">
      <c r="B40" s="196"/>
      <c r="C40" s="106"/>
      <c r="D40" s="106"/>
      <c r="E40" s="106"/>
    </row>
    <row r="41" spans="2:5" x14ac:dyDescent="0.25">
      <c r="B41" s="196"/>
      <c r="C41" s="106"/>
      <c r="D41" s="106"/>
      <c r="E41" s="106"/>
    </row>
    <row r="42" spans="2:5" x14ac:dyDescent="0.25">
      <c r="B42" s="210" t="s">
        <v>339</v>
      </c>
      <c r="C42" s="106"/>
      <c r="D42" s="106"/>
      <c r="E42" s="106"/>
    </row>
    <row r="43" spans="2:5" x14ac:dyDescent="0.25">
      <c r="B43" s="198" t="s">
        <v>340</v>
      </c>
      <c r="C43" s="106"/>
      <c r="D43" s="193"/>
      <c r="E43" s="193"/>
    </row>
    <row r="44" spans="2:5" x14ac:dyDescent="0.25">
      <c r="B44" s="198" t="s">
        <v>341</v>
      </c>
      <c r="C44" s="201" t="str">
        <f>IF(C45*0.1&lt;C43,"Exceed 10% Rule","")</f>
        <v/>
      </c>
      <c r="D44" s="199" t="str">
        <f>IF(D45*0.1&lt;D43,"Exceed 10% Rule","")</f>
        <v/>
      </c>
      <c r="E44" s="199" t="str">
        <f>IF(E45*0.1&lt;E43,"Exceed 10% Rule","")</f>
        <v/>
      </c>
    </row>
    <row r="45" spans="2:5" x14ac:dyDescent="0.25">
      <c r="B45" s="60" t="s">
        <v>342</v>
      </c>
      <c r="C45" s="598">
        <f>SUM(C38:C43)</f>
        <v>0</v>
      </c>
      <c r="D45" s="598">
        <f>SUM(D38:D43)</f>
        <v>0</v>
      </c>
      <c r="E45" s="598">
        <f>SUM(E38:E43)</f>
        <v>0</v>
      </c>
    </row>
    <row r="46" spans="2:5" x14ac:dyDescent="0.25">
      <c r="B46" s="60" t="s">
        <v>344</v>
      </c>
      <c r="C46" s="598">
        <f>C36+C45</f>
        <v>0</v>
      </c>
      <c r="D46" s="598">
        <f>D36+D45</f>
        <v>0</v>
      </c>
      <c r="E46" s="598">
        <f>E36+E45</f>
        <v>0</v>
      </c>
    </row>
    <row r="47" spans="2:5" x14ac:dyDescent="0.25">
      <c r="B47" s="43" t="s">
        <v>346</v>
      </c>
      <c r="C47" s="157"/>
      <c r="D47" s="157"/>
      <c r="E47" s="157"/>
    </row>
    <row r="48" spans="2:5" x14ac:dyDescent="0.25">
      <c r="B48" s="196"/>
      <c r="C48" s="106"/>
      <c r="D48" s="106"/>
      <c r="E48" s="106"/>
    </row>
    <row r="49" spans="2:5" x14ac:dyDescent="0.25">
      <c r="B49" s="196"/>
      <c r="C49" s="106"/>
      <c r="D49" s="106"/>
      <c r="E49" s="106"/>
    </row>
    <row r="50" spans="2:5" x14ac:dyDescent="0.25">
      <c r="B50" s="196"/>
      <c r="C50" s="106"/>
      <c r="D50" s="106"/>
      <c r="E50" s="106"/>
    </row>
    <row r="51" spans="2:5" x14ac:dyDescent="0.25">
      <c r="B51" s="196"/>
      <c r="C51" s="106"/>
      <c r="D51" s="106"/>
      <c r="E51" s="106"/>
    </row>
    <row r="52" spans="2:5" x14ac:dyDescent="0.25">
      <c r="B52" s="196"/>
      <c r="C52" s="106"/>
      <c r="D52" s="106"/>
      <c r="E52" s="106"/>
    </row>
    <row r="53" spans="2:5" x14ac:dyDescent="0.25">
      <c r="B53" s="196"/>
      <c r="C53" s="106"/>
      <c r="D53" s="106"/>
      <c r="E53" s="106"/>
    </row>
    <row r="54" spans="2:5" x14ac:dyDescent="0.25">
      <c r="B54" s="195" t="str">
        <f>CONCATENATE("Cash Reserve (",E1," column)")</f>
        <v>Cash Reserve (2025 column)</v>
      </c>
      <c r="C54" s="106"/>
      <c r="D54" s="106"/>
      <c r="E54" s="106"/>
    </row>
    <row r="55" spans="2:5" x14ac:dyDescent="0.25">
      <c r="B55" s="195" t="s">
        <v>340</v>
      </c>
      <c r="C55" s="106"/>
      <c r="D55" s="193"/>
      <c r="E55" s="193"/>
    </row>
    <row r="56" spans="2:5" x14ac:dyDescent="0.25">
      <c r="B56" s="195" t="s">
        <v>362</v>
      </c>
      <c r="C56" s="201" t="str">
        <f>IF(C57*0.1&lt;C55,"Exceed 10% Rule","")</f>
        <v/>
      </c>
      <c r="D56" s="199" t="str">
        <f>IF(D57*0.1&lt;D55,"Exceed 10% Rule","")</f>
        <v/>
      </c>
      <c r="E56" s="199" t="str">
        <f>IF(E57*0.1&lt;E55,"Exceed 10% Rule","")</f>
        <v/>
      </c>
    </row>
    <row r="57" spans="2:5" x14ac:dyDescent="0.25">
      <c r="B57" s="60" t="s">
        <v>363</v>
      </c>
      <c r="C57" s="598">
        <f>SUM(C48:C55)</f>
        <v>0</v>
      </c>
      <c r="D57" s="598">
        <f>SUM(D48:D55)</f>
        <v>0</v>
      </c>
      <c r="E57" s="598">
        <f>SUM(E48:E55)</f>
        <v>0</v>
      </c>
    </row>
    <row r="58" spans="2:5" x14ac:dyDescent="0.25">
      <c r="B58" s="43" t="s">
        <v>364</v>
      </c>
      <c r="C58" s="431">
        <f>C46-C57</f>
        <v>0</v>
      </c>
      <c r="D58" s="431">
        <f>D46-D57</f>
        <v>0</v>
      </c>
      <c r="E58" s="431">
        <f>E46-E57</f>
        <v>0</v>
      </c>
    </row>
    <row r="59" spans="2:5" x14ac:dyDescent="0.25">
      <c r="B59" s="68" t="str">
        <f>CONCATENATE("",E1-2,"/",E1-1,"/",E1," Budget Authority Amount:")</f>
        <v>2023/2024/2025 Budget Authority Amount:</v>
      </c>
      <c r="C59" s="427">
        <f>inputOth!B106</f>
        <v>0</v>
      </c>
      <c r="D59" s="427">
        <f>inputPrYr!D39</f>
        <v>0</v>
      </c>
      <c r="E59" s="431">
        <f>E57</f>
        <v>0</v>
      </c>
    </row>
    <row r="60" spans="2:5" x14ac:dyDescent="0.25">
      <c r="B60" s="140"/>
      <c r="C60" s="203" t="str">
        <f>IF(C57&gt;C59,"See Tab A","")</f>
        <v/>
      </c>
      <c r="D60" s="203" t="str">
        <f>IF(D57&gt;D59,"See Tab C","")</f>
        <v/>
      </c>
      <c r="E60" s="433" t="str">
        <f>IF(E58&lt;0,"See Tab E","")</f>
        <v/>
      </c>
    </row>
    <row r="61" spans="2:5" x14ac:dyDescent="0.25">
      <c r="B61" s="511" t="s">
        <v>203</v>
      </c>
      <c r="C61" s="433"/>
      <c r="D61" s="433"/>
      <c r="E61" s="506"/>
    </row>
    <row r="62" spans="2:5" x14ac:dyDescent="0.25">
      <c r="B62" s="507"/>
      <c r="C62" s="203"/>
      <c r="D62" s="203"/>
      <c r="E62" s="508"/>
    </row>
    <row r="63" spans="2:5" x14ac:dyDescent="0.25">
      <c r="B63" s="509"/>
      <c r="C63" s="510" t="str">
        <f>IF(C58&lt;0,"See Tab B","")</f>
        <v/>
      </c>
      <c r="D63" s="646" t="str">
        <f>IF(D58&lt;0,"See Tab D","")</f>
        <v/>
      </c>
      <c r="E63" s="52"/>
    </row>
    <row r="64" spans="2:5" x14ac:dyDescent="0.25">
      <c r="B64" s="35"/>
      <c r="C64" s="35"/>
      <c r="D64" s="35"/>
      <c r="E64" s="35"/>
    </row>
    <row r="65" spans="2:5" x14ac:dyDescent="0.25">
      <c r="B65" s="136" t="s">
        <v>394</v>
      </c>
      <c r="C65" s="442"/>
      <c r="D65" s="35"/>
      <c r="E65" s="35"/>
    </row>
  </sheetData>
  <sheetProtection sheet="1"/>
  <phoneticPr fontId="10" type="noConversion"/>
  <conditionalFormatting sqref="C13">
    <cfRule type="cellIs" dxfId="26" priority="30" stopIfTrue="1" operator="greaterThan">
      <formula>$C$15*0.1</formula>
    </cfRule>
  </conditionalFormatting>
  <conditionalFormatting sqref="C25">
    <cfRule type="cellIs" dxfId="25" priority="21" stopIfTrue="1" operator="greaterThan">
      <formula>$C$27*0.1</formula>
    </cfRule>
  </conditionalFormatting>
  <conditionalFormatting sqref="C27">
    <cfRule type="expression" dxfId="24" priority="10">
      <formula>$C$27&gt;$C$29</formula>
    </cfRule>
  </conditionalFormatting>
  <conditionalFormatting sqref="C28">
    <cfRule type="expression" dxfId="23" priority="9">
      <formula>$C$28&lt;0</formula>
    </cfRule>
  </conditionalFormatting>
  <conditionalFormatting sqref="C43">
    <cfRule type="cellIs" dxfId="22" priority="27" stopIfTrue="1" operator="greaterThan">
      <formula>$C$45*0.1</formula>
    </cfRule>
  </conditionalFormatting>
  <conditionalFormatting sqref="C55">
    <cfRule type="cellIs" dxfId="21" priority="24" stopIfTrue="1" operator="greaterThan">
      <formula>$C$57*0.1</formula>
    </cfRule>
  </conditionalFormatting>
  <conditionalFormatting sqref="C57">
    <cfRule type="expression" dxfId="20" priority="5">
      <formula>$C$57&gt;$C$59</formula>
    </cfRule>
  </conditionalFormatting>
  <conditionalFormatting sqref="C58">
    <cfRule type="expression" dxfId="19" priority="4">
      <formula>$C$58&lt;0</formula>
    </cfRule>
  </conditionalFormatting>
  <conditionalFormatting sqref="D13">
    <cfRule type="cellIs" dxfId="18" priority="31" stopIfTrue="1" operator="greaterThan">
      <formula>$D$15*0.1</formula>
    </cfRule>
  </conditionalFormatting>
  <conditionalFormatting sqref="D25">
    <cfRule type="cellIs" dxfId="17" priority="22" stopIfTrue="1" operator="greaterThan">
      <formula>$D$27*0.1</formula>
    </cfRule>
  </conditionalFormatting>
  <conditionalFormatting sqref="D27">
    <cfRule type="expression" dxfId="16" priority="8">
      <formula>$D$27&gt;$D$29</formula>
    </cfRule>
  </conditionalFormatting>
  <conditionalFormatting sqref="D28">
    <cfRule type="expression" dxfId="15" priority="7">
      <formula>$D$28&lt;0</formula>
    </cfRule>
  </conditionalFormatting>
  <conditionalFormatting sqref="D43">
    <cfRule type="cellIs" dxfId="14" priority="28" stopIfTrue="1" operator="greaterThan">
      <formula>$D$45*0.1</formula>
    </cfRule>
  </conditionalFormatting>
  <conditionalFormatting sqref="D55">
    <cfRule type="cellIs" dxfId="13" priority="25" stopIfTrue="1" operator="greaterThan">
      <formula>$D$57*0.1</formula>
    </cfRule>
  </conditionalFormatting>
  <conditionalFormatting sqref="D57">
    <cfRule type="expression" dxfId="12" priority="3">
      <formula>$D$57&gt;$D$59</formula>
    </cfRule>
  </conditionalFormatting>
  <conditionalFormatting sqref="D58">
    <cfRule type="expression" dxfId="11" priority="2">
      <formula>$D$58&lt;0</formula>
    </cfRule>
  </conditionalFormatting>
  <conditionalFormatting sqref="E13">
    <cfRule type="cellIs" dxfId="10" priority="32" stopIfTrue="1" operator="greaterThan">
      <formula>$E$15*0.1</formula>
    </cfRule>
  </conditionalFormatting>
  <conditionalFormatting sqref="E25">
    <cfRule type="cellIs" dxfId="9" priority="23" stopIfTrue="1" operator="greaterThan">
      <formula>$E$27*0.1</formula>
    </cfRule>
  </conditionalFormatting>
  <conditionalFormatting sqref="E28">
    <cfRule type="expression" dxfId="8" priority="6">
      <formula>$E$28&lt;0</formula>
    </cfRule>
  </conditionalFormatting>
  <conditionalFormatting sqref="E43">
    <cfRule type="cellIs" dxfId="7" priority="29" stopIfTrue="1" operator="greaterThan">
      <formula>$E$45*0.1</formula>
    </cfRule>
  </conditionalFormatting>
  <conditionalFormatting sqref="E55">
    <cfRule type="cellIs" dxfId="6" priority="26" stopIfTrue="1" operator="greaterThan">
      <formula>$E$57*0.1</formula>
    </cfRule>
  </conditionalFormatting>
  <conditionalFormatting sqref="E58">
    <cfRule type="expression" dxfId="5" priority="1">
      <formula>$E$58&lt;0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tabColor rgb="FF00B0F0"/>
    <pageSetUpPr fitToPage="1"/>
  </sheetPr>
  <dimension ref="A1:L45"/>
  <sheetViews>
    <sheetView workbookViewId="0">
      <selection activeCell="L1" sqref="L1"/>
    </sheetView>
  </sheetViews>
  <sheetFormatPr defaultRowHeight="15.75" x14ac:dyDescent="0.25"/>
  <cols>
    <col min="1" max="1" width="10.3984375" style="65" customWidth="1"/>
    <col min="2" max="2" width="6.69921875" style="65" customWidth="1"/>
    <col min="3" max="3" width="10.3984375" style="65" customWidth="1"/>
    <col min="4" max="4" width="6.69921875" style="65" customWidth="1"/>
    <col min="5" max="5" width="10.3984375" style="65" customWidth="1"/>
    <col min="6" max="6" width="6.69921875" style="65" customWidth="1"/>
    <col min="7" max="7" width="10.3984375" style="65" customWidth="1"/>
    <col min="8" max="8" width="6.69921875" style="65" customWidth="1"/>
    <col min="9" max="9" width="10.3984375" style="65" customWidth="1"/>
    <col min="10" max="16384" width="8.796875" style="65"/>
  </cols>
  <sheetData>
    <row r="1" spans="1:11" x14ac:dyDescent="0.25">
      <c r="A1" s="72">
        <f>inputPrYr!$D$4</f>
        <v>0</v>
      </c>
      <c r="B1" s="69"/>
      <c r="C1" s="35"/>
      <c r="D1" s="35"/>
      <c r="E1" s="35"/>
      <c r="F1" s="70" t="s">
        <v>395</v>
      </c>
      <c r="G1" s="35"/>
      <c r="H1" s="35"/>
      <c r="I1" s="35"/>
      <c r="J1" s="35"/>
      <c r="K1" s="35">
        <f>inputPrYr!$D$10</f>
        <v>2025</v>
      </c>
    </row>
    <row r="2" spans="1:11" x14ac:dyDescent="0.25">
      <c r="A2" s="35"/>
      <c r="B2" s="35"/>
      <c r="C2" s="35"/>
      <c r="D2" s="35"/>
      <c r="E2" s="35"/>
      <c r="F2" s="71" t="str">
        <f>CONCATENATE("(Only the actual budget year for ",K1-2," is reported)")</f>
        <v>(Only the actual budget year for 2023 is reported)</v>
      </c>
      <c r="G2" s="35"/>
      <c r="H2" s="35"/>
      <c r="I2" s="35"/>
      <c r="J2" s="35"/>
      <c r="K2" s="35"/>
    </row>
    <row r="3" spans="1:11" x14ac:dyDescent="0.25">
      <c r="A3" s="35" t="s">
        <v>396</v>
      </c>
      <c r="B3" s="35"/>
      <c r="C3" s="35"/>
      <c r="D3" s="35"/>
      <c r="E3" s="35"/>
      <c r="F3" s="69"/>
      <c r="G3" s="35"/>
      <c r="H3" s="35"/>
      <c r="I3" s="35"/>
      <c r="J3" s="35"/>
      <c r="K3" s="35"/>
    </row>
    <row r="4" spans="1:11" x14ac:dyDescent="0.25">
      <c r="A4" s="35" t="s">
        <v>397</v>
      </c>
      <c r="B4" s="35"/>
      <c r="C4" s="35" t="s">
        <v>398</v>
      </c>
      <c r="D4" s="35"/>
      <c r="E4" s="35" t="s">
        <v>399</v>
      </c>
      <c r="F4" s="69"/>
      <c r="G4" s="35" t="s">
        <v>400</v>
      </c>
      <c r="H4" s="35"/>
      <c r="I4" s="35" t="s">
        <v>401</v>
      </c>
      <c r="J4" s="35"/>
      <c r="K4" s="35"/>
    </row>
    <row r="5" spans="1:11" x14ac:dyDescent="0.25">
      <c r="A5" s="784">
        <f>inputPrYr!B42</f>
        <v>0</v>
      </c>
      <c r="B5" s="785"/>
      <c r="C5" s="784">
        <f>inputPrYr!B43</f>
        <v>0</v>
      </c>
      <c r="D5" s="785"/>
      <c r="E5" s="784">
        <f>inputPrYr!B44</f>
        <v>0</v>
      </c>
      <c r="F5" s="785"/>
      <c r="G5" s="786">
        <f>inputPrYr!B45</f>
        <v>0</v>
      </c>
      <c r="H5" s="785"/>
      <c r="I5" s="786">
        <f>inputPrYr!B46</f>
        <v>0</v>
      </c>
      <c r="J5" s="785"/>
      <c r="K5" s="42"/>
    </row>
    <row r="6" spans="1:11" x14ac:dyDescent="0.25">
      <c r="A6" s="73" t="s">
        <v>402</v>
      </c>
      <c r="B6" s="74"/>
      <c r="C6" s="75" t="s">
        <v>402</v>
      </c>
      <c r="D6" s="76"/>
      <c r="E6" s="75" t="s">
        <v>402</v>
      </c>
      <c r="F6" s="77"/>
      <c r="G6" s="75" t="s">
        <v>402</v>
      </c>
      <c r="H6" s="44"/>
      <c r="I6" s="75" t="s">
        <v>402</v>
      </c>
      <c r="J6" s="35"/>
      <c r="K6" s="51" t="s">
        <v>126</v>
      </c>
    </row>
    <row r="7" spans="1:11" x14ac:dyDescent="0.25">
      <c r="A7" s="78" t="s">
        <v>403</v>
      </c>
      <c r="B7" s="79"/>
      <c r="C7" s="80" t="s">
        <v>403</v>
      </c>
      <c r="D7" s="79"/>
      <c r="E7" s="80" t="s">
        <v>403</v>
      </c>
      <c r="F7" s="79"/>
      <c r="G7" s="80" t="s">
        <v>403</v>
      </c>
      <c r="H7" s="79"/>
      <c r="I7" s="80" t="s">
        <v>403</v>
      </c>
      <c r="J7" s="79"/>
      <c r="K7" s="81">
        <f>SUM(B7+D7+F7+H7+J7)</f>
        <v>0</v>
      </c>
    </row>
    <row r="8" spans="1:11" x14ac:dyDescent="0.25">
      <c r="A8" s="82" t="s">
        <v>332</v>
      </c>
      <c r="B8" s="83"/>
      <c r="C8" s="82" t="s">
        <v>332</v>
      </c>
      <c r="D8" s="84"/>
      <c r="E8" s="82" t="s">
        <v>332</v>
      </c>
      <c r="F8" s="69"/>
      <c r="G8" s="82" t="s">
        <v>332</v>
      </c>
      <c r="H8" s="35"/>
      <c r="I8" s="82" t="s">
        <v>332</v>
      </c>
      <c r="J8" s="35"/>
      <c r="K8" s="69"/>
    </row>
    <row r="9" spans="1:11" x14ac:dyDescent="0.25">
      <c r="A9" s="85"/>
      <c r="B9" s="79"/>
      <c r="C9" s="85"/>
      <c r="D9" s="79"/>
      <c r="E9" s="85"/>
      <c r="F9" s="79"/>
      <c r="G9" s="85"/>
      <c r="H9" s="79"/>
      <c r="I9" s="85"/>
      <c r="J9" s="79"/>
      <c r="K9" s="69"/>
    </row>
    <row r="10" spans="1:11" x14ac:dyDescent="0.25">
      <c r="A10" s="85"/>
      <c r="B10" s="79"/>
      <c r="C10" s="85"/>
      <c r="D10" s="79"/>
      <c r="E10" s="85"/>
      <c r="F10" s="79"/>
      <c r="G10" s="85"/>
      <c r="H10" s="79"/>
      <c r="I10" s="85"/>
      <c r="J10" s="79"/>
      <c r="K10" s="69"/>
    </row>
    <row r="11" spans="1:11" x14ac:dyDescent="0.25">
      <c r="A11" s="85"/>
      <c r="B11" s="79"/>
      <c r="C11" s="86"/>
      <c r="D11" s="87"/>
      <c r="E11" s="86"/>
      <c r="F11" s="79"/>
      <c r="G11" s="86"/>
      <c r="H11" s="79"/>
      <c r="I11" s="88"/>
      <c r="J11" s="79"/>
      <c r="K11" s="69"/>
    </row>
    <row r="12" spans="1:11" x14ac:dyDescent="0.25">
      <c r="A12" s="85"/>
      <c r="B12" s="89"/>
      <c r="C12" s="85"/>
      <c r="D12" s="90"/>
      <c r="E12" s="91"/>
      <c r="F12" s="79"/>
      <c r="G12" s="91"/>
      <c r="H12" s="79"/>
      <c r="I12" s="91"/>
      <c r="J12" s="79"/>
      <c r="K12" s="69"/>
    </row>
    <row r="13" spans="1:11" x14ac:dyDescent="0.25">
      <c r="A13" s="92"/>
      <c r="B13" s="93"/>
      <c r="C13" s="94"/>
      <c r="D13" s="90"/>
      <c r="E13" s="94"/>
      <c r="F13" s="79"/>
      <c r="G13" s="94"/>
      <c r="H13" s="79"/>
      <c r="I13" s="88"/>
      <c r="J13" s="79"/>
      <c r="K13" s="69"/>
    </row>
    <row r="14" spans="1:11" x14ac:dyDescent="0.25">
      <c r="A14" s="85"/>
      <c r="B14" s="79"/>
      <c r="C14" s="91"/>
      <c r="D14" s="90"/>
      <c r="E14" s="91"/>
      <c r="F14" s="79"/>
      <c r="G14" s="91"/>
      <c r="H14" s="79"/>
      <c r="I14" s="91"/>
      <c r="J14" s="79"/>
      <c r="K14" s="69"/>
    </row>
    <row r="15" spans="1:11" x14ac:dyDescent="0.25">
      <c r="A15" s="85"/>
      <c r="B15" s="79"/>
      <c r="C15" s="91"/>
      <c r="D15" s="90"/>
      <c r="E15" s="91"/>
      <c r="F15" s="79"/>
      <c r="G15" s="91"/>
      <c r="H15" s="79"/>
      <c r="I15" s="91"/>
      <c r="J15" s="79"/>
      <c r="K15" s="69"/>
    </row>
    <row r="16" spans="1:11" x14ac:dyDescent="0.25">
      <c r="A16" s="85"/>
      <c r="B16" s="93"/>
      <c r="C16" s="85"/>
      <c r="D16" s="90"/>
      <c r="E16" s="85"/>
      <c r="F16" s="79"/>
      <c r="G16" s="91"/>
      <c r="H16" s="79"/>
      <c r="I16" s="85"/>
      <c r="J16" s="79"/>
      <c r="K16" s="69"/>
    </row>
    <row r="17" spans="1:12" x14ac:dyDescent="0.25">
      <c r="A17" s="82" t="s">
        <v>342</v>
      </c>
      <c r="B17" s="81">
        <f>SUM(B9:B16)</f>
        <v>0</v>
      </c>
      <c r="C17" s="82" t="s">
        <v>342</v>
      </c>
      <c r="D17" s="81">
        <f>SUM(D9:D16)</f>
        <v>0</v>
      </c>
      <c r="E17" s="82" t="s">
        <v>342</v>
      </c>
      <c r="F17" s="95">
        <f>SUM(F9:F16)</f>
        <v>0</v>
      </c>
      <c r="G17" s="82" t="s">
        <v>342</v>
      </c>
      <c r="H17" s="81">
        <f>SUM(H9:H16)</f>
        <v>0</v>
      </c>
      <c r="I17" s="82" t="s">
        <v>342</v>
      </c>
      <c r="J17" s="81">
        <f>SUM(J9:J16)</f>
        <v>0</v>
      </c>
      <c r="K17" s="81">
        <f>SUM(B17+D17+F17+H17+J17)</f>
        <v>0</v>
      </c>
    </row>
    <row r="18" spans="1:12" x14ac:dyDescent="0.25">
      <c r="A18" s="82" t="s">
        <v>344</v>
      </c>
      <c r="B18" s="81">
        <f>SUM(B7+B17)</f>
        <v>0</v>
      </c>
      <c r="C18" s="82" t="s">
        <v>344</v>
      </c>
      <c r="D18" s="81">
        <f>SUM(D7+D17)</f>
        <v>0</v>
      </c>
      <c r="E18" s="82" t="s">
        <v>344</v>
      </c>
      <c r="F18" s="81">
        <f>SUM(F7+F17)</f>
        <v>0</v>
      </c>
      <c r="G18" s="82" t="s">
        <v>344</v>
      </c>
      <c r="H18" s="81">
        <f>SUM(H7+H17)</f>
        <v>0</v>
      </c>
      <c r="I18" s="82" t="s">
        <v>344</v>
      </c>
      <c r="J18" s="81">
        <f>SUM(J7+J17)</f>
        <v>0</v>
      </c>
      <c r="K18" s="81">
        <f>SUM(B18+D18+F18+H18+J18)</f>
        <v>0</v>
      </c>
    </row>
    <row r="19" spans="1:12" x14ac:dyDescent="0.25">
      <c r="A19" s="82" t="s">
        <v>346</v>
      </c>
      <c r="B19" s="83"/>
      <c r="C19" s="82" t="s">
        <v>346</v>
      </c>
      <c r="D19" s="84"/>
      <c r="E19" s="82" t="s">
        <v>346</v>
      </c>
      <c r="F19" s="69"/>
      <c r="G19" s="82" t="s">
        <v>346</v>
      </c>
      <c r="H19" s="35"/>
      <c r="I19" s="82" t="s">
        <v>346</v>
      </c>
      <c r="J19" s="35"/>
      <c r="K19" s="69"/>
    </row>
    <row r="20" spans="1:12" x14ac:dyDescent="0.25">
      <c r="A20" s="85"/>
      <c r="B20" s="79"/>
      <c r="C20" s="91"/>
      <c r="D20" s="79"/>
      <c r="E20" s="91"/>
      <c r="F20" s="79"/>
      <c r="G20" s="91"/>
      <c r="H20" s="79"/>
      <c r="I20" s="91"/>
      <c r="J20" s="79"/>
      <c r="K20" s="69"/>
    </row>
    <row r="21" spans="1:12" x14ac:dyDescent="0.25">
      <c r="A21" s="85"/>
      <c r="B21" s="79"/>
      <c r="C21" s="91"/>
      <c r="D21" s="79"/>
      <c r="E21" s="91"/>
      <c r="F21" s="79"/>
      <c r="G21" s="91"/>
      <c r="H21" s="79"/>
      <c r="I21" s="91"/>
      <c r="J21" s="79"/>
      <c r="K21" s="69"/>
    </row>
    <row r="22" spans="1:12" x14ac:dyDescent="0.25">
      <c r="A22" s="85"/>
      <c r="B22" s="79"/>
      <c r="C22" s="94"/>
      <c r="D22" s="79"/>
      <c r="E22" s="94"/>
      <c r="F22" s="79"/>
      <c r="G22" s="94"/>
      <c r="H22" s="79"/>
      <c r="I22" s="88"/>
      <c r="J22" s="79"/>
      <c r="K22" s="69"/>
    </row>
    <row r="23" spans="1:12" x14ac:dyDescent="0.25">
      <c r="A23" s="85"/>
      <c r="B23" s="79"/>
      <c r="C23" s="91"/>
      <c r="D23" s="79"/>
      <c r="E23" s="91"/>
      <c r="F23" s="79"/>
      <c r="G23" s="91"/>
      <c r="H23" s="79"/>
      <c r="I23" s="91"/>
      <c r="J23" s="79"/>
      <c r="K23" s="69"/>
    </row>
    <row r="24" spans="1:12" x14ac:dyDescent="0.25">
      <c r="A24" s="85"/>
      <c r="B24" s="79"/>
      <c r="C24" s="94"/>
      <c r="D24" s="79"/>
      <c r="E24" s="94"/>
      <c r="F24" s="79"/>
      <c r="G24" s="94"/>
      <c r="H24" s="79"/>
      <c r="I24" s="88"/>
      <c r="J24" s="79"/>
      <c r="K24" s="69"/>
    </row>
    <row r="25" spans="1:12" x14ac:dyDescent="0.25">
      <c r="A25" s="85"/>
      <c r="B25" s="79"/>
      <c r="C25" s="91"/>
      <c r="D25" s="79"/>
      <c r="E25" s="91"/>
      <c r="F25" s="79"/>
      <c r="G25" s="91"/>
      <c r="H25" s="79"/>
      <c r="I25" s="91"/>
      <c r="J25" s="79"/>
      <c r="K25" s="69"/>
    </row>
    <row r="26" spans="1:12" x14ac:dyDescent="0.25">
      <c r="A26" s="85"/>
      <c r="B26" s="79"/>
      <c r="C26" s="91"/>
      <c r="D26" s="79"/>
      <c r="E26" s="91"/>
      <c r="F26" s="79"/>
      <c r="G26" s="91"/>
      <c r="H26" s="79"/>
      <c r="I26" s="91"/>
      <c r="J26" s="79"/>
      <c r="K26" s="69"/>
    </row>
    <row r="27" spans="1:12" x14ac:dyDescent="0.25">
      <c r="A27" s="85"/>
      <c r="B27" s="79"/>
      <c r="C27" s="85"/>
      <c r="D27" s="79"/>
      <c r="E27" s="85"/>
      <c r="F27" s="79"/>
      <c r="G27" s="91"/>
      <c r="H27" s="79"/>
      <c r="I27" s="91"/>
      <c r="J27" s="79"/>
      <c r="K27" s="69"/>
    </row>
    <row r="28" spans="1:12" x14ac:dyDescent="0.25">
      <c r="A28" s="82" t="s">
        <v>363</v>
      </c>
      <c r="B28" s="81">
        <f>SUM(B20:B27)</f>
        <v>0</v>
      </c>
      <c r="C28" s="82" t="s">
        <v>363</v>
      </c>
      <c r="D28" s="81">
        <f>SUM(D20:D27)</f>
        <v>0</v>
      </c>
      <c r="E28" s="82" t="s">
        <v>363</v>
      </c>
      <c r="F28" s="95">
        <f>SUM(F20:F27)</f>
        <v>0</v>
      </c>
      <c r="G28" s="82" t="s">
        <v>363</v>
      </c>
      <c r="H28" s="95">
        <f>SUM(H20:H27)</f>
        <v>0</v>
      </c>
      <c r="I28" s="82" t="s">
        <v>363</v>
      </c>
      <c r="J28" s="81">
        <f>SUM(J20:J27)</f>
        <v>0</v>
      </c>
      <c r="K28" s="81">
        <f>SUM(B28+D28+F28+H28+J28)</f>
        <v>0</v>
      </c>
    </row>
    <row r="29" spans="1:12" x14ac:dyDescent="0.25">
      <c r="A29" s="82" t="s">
        <v>404</v>
      </c>
      <c r="B29" s="81">
        <f>SUM(B18-B28)</f>
        <v>0</v>
      </c>
      <c r="C29" s="82" t="s">
        <v>404</v>
      </c>
      <c r="D29" s="81">
        <f>SUM(D18-D28)</f>
        <v>0</v>
      </c>
      <c r="E29" s="82" t="s">
        <v>404</v>
      </c>
      <c r="F29" s="81">
        <f>SUM(F18-F28)</f>
        <v>0</v>
      </c>
      <c r="G29" s="82" t="s">
        <v>404</v>
      </c>
      <c r="H29" s="81">
        <f>SUM(H18-H28)</f>
        <v>0</v>
      </c>
      <c r="I29" s="82" t="s">
        <v>404</v>
      </c>
      <c r="J29" s="81">
        <f>SUM(J18-J28)</f>
        <v>0</v>
      </c>
      <c r="K29" s="96">
        <f>SUM(B29+D29+F29+H29+J29)</f>
        <v>0</v>
      </c>
      <c r="L29" s="65" t="s">
        <v>405</v>
      </c>
    </row>
    <row r="30" spans="1:12" x14ac:dyDescent="0.25">
      <c r="A30" s="82"/>
      <c r="B30" s="225" t="str">
        <f>IF(B29&lt;0,"See Tab B","")</f>
        <v/>
      </c>
      <c r="C30" s="82"/>
      <c r="D30" s="225" t="str">
        <f>IF(D29&lt;0,"See Tab B","")</f>
        <v/>
      </c>
      <c r="E30" s="82"/>
      <c r="F30" s="225" t="str">
        <f>IF(F29&lt;0,"See Tab B","")</f>
        <v/>
      </c>
      <c r="G30" s="35"/>
      <c r="H30" s="225" t="str">
        <f>IF(H29&lt;0,"See Tab B","")</f>
        <v/>
      </c>
      <c r="I30" s="35"/>
      <c r="J30" s="225" t="str">
        <f>IF(J29&lt;0,"See Tab B","")</f>
        <v/>
      </c>
      <c r="K30" s="96">
        <f>SUM(K7+K17-K28)</f>
        <v>0</v>
      </c>
      <c r="L30" s="65" t="s">
        <v>405</v>
      </c>
    </row>
    <row r="31" spans="1:12" x14ac:dyDescent="0.25">
      <c r="A31" s="35"/>
      <c r="B31" s="97"/>
      <c r="C31" s="35"/>
      <c r="D31" s="69"/>
      <c r="E31" s="35"/>
      <c r="F31" s="35"/>
      <c r="G31" s="35"/>
      <c r="H31" s="783" t="s">
        <v>406</v>
      </c>
      <c r="I31" s="783"/>
      <c r="J31" s="783"/>
      <c r="K31" s="783"/>
    </row>
    <row r="32" spans="1:12" x14ac:dyDescent="0.25">
      <c r="A32" s="35"/>
      <c r="B32" s="97"/>
      <c r="C32" s="35"/>
      <c r="D32" s="35"/>
      <c r="E32" s="35"/>
      <c r="F32" s="35"/>
      <c r="G32" s="35"/>
      <c r="H32" s="35"/>
      <c r="I32" s="35"/>
      <c r="J32" s="35"/>
      <c r="K32" s="35"/>
    </row>
    <row r="33" spans="1:11" x14ac:dyDescent="0.25">
      <c r="A33" s="490" t="s">
        <v>203</v>
      </c>
      <c r="B33" s="512"/>
      <c r="C33" s="436"/>
      <c r="D33" s="436"/>
      <c r="E33" s="436"/>
      <c r="F33" s="436"/>
      <c r="G33" s="436"/>
      <c r="H33" s="436"/>
      <c r="I33" s="436"/>
      <c r="J33" s="436"/>
      <c r="K33" s="45"/>
    </row>
    <row r="34" spans="1:11" x14ac:dyDescent="0.25">
      <c r="A34" s="251"/>
      <c r="B34" s="97"/>
      <c r="C34" s="35"/>
      <c r="D34" s="35"/>
      <c r="E34" s="35"/>
      <c r="F34" s="35"/>
      <c r="G34" s="35"/>
      <c r="H34" s="35"/>
      <c r="I34" s="35"/>
      <c r="J34" s="35"/>
      <c r="K34" s="47"/>
    </row>
    <row r="35" spans="1:11" x14ac:dyDescent="0.25">
      <c r="A35" s="491"/>
      <c r="B35" s="435"/>
      <c r="C35" s="42"/>
      <c r="D35" s="42"/>
      <c r="E35" s="42"/>
      <c r="F35" s="42"/>
      <c r="G35" s="42"/>
      <c r="H35" s="42"/>
      <c r="I35" s="42"/>
      <c r="J35" s="42"/>
      <c r="K35" s="52"/>
    </row>
    <row r="36" spans="1:11" x14ac:dyDescent="0.25">
      <c r="A36" s="35"/>
      <c r="B36" s="97"/>
      <c r="C36" s="35"/>
      <c r="D36" s="35"/>
      <c r="E36" s="35"/>
      <c r="F36" s="35"/>
      <c r="G36" s="35"/>
      <c r="H36" s="35"/>
      <c r="I36" s="35"/>
      <c r="J36" s="35"/>
      <c r="K36" s="35"/>
    </row>
    <row r="37" spans="1:11" x14ac:dyDescent="0.25">
      <c r="A37" s="35"/>
      <c r="B37" s="97"/>
      <c r="C37" s="35"/>
      <c r="D37" s="35"/>
      <c r="E37" s="140" t="s">
        <v>370</v>
      </c>
      <c r="F37" s="442"/>
      <c r="G37" s="35"/>
      <c r="H37" s="35"/>
      <c r="I37" s="35"/>
      <c r="J37" s="35"/>
      <c r="K37" s="35"/>
    </row>
    <row r="38" spans="1:11" x14ac:dyDescent="0.25">
      <c r="B38" s="98"/>
    </row>
    <row r="39" spans="1:11" x14ac:dyDescent="0.25">
      <c r="B39" s="98"/>
    </row>
    <row r="40" spans="1:11" x14ac:dyDescent="0.25">
      <c r="B40" s="98"/>
    </row>
    <row r="41" spans="1:11" x14ac:dyDescent="0.25">
      <c r="B41" s="98"/>
    </row>
    <row r="42" spans="1:11" x14ac:dyDescent="0.25">
      <c r="B42" s="98"/>
    </row>
    <row r="43" spans="1:11" x14ac:dyDescent="0.25">
      <c r="B43" s="98"/>
    </row>
    <row r="44" spans="1:11" x14ac:dyDescent="0.25">
      <c r="B44" s="98"/>
    </row>
    <row r="45" spans="1:11" x14ac:dyDescent="0.25">
      <c r="B45" s="98"/>
    </row>
  </sheetData>
  <sheetProtection sheet="1"/>
  <mergeCells count="6">
    <mergeCell ref="H31:K31"/>
    <mergeCell ref="A5:B5"/>
    <mergeCell ref="C5:D5"/>
    <mergeCell ref="E5:F5"/>
    <mergeCell ref="G5:H5"/>
    <mergeCell ref="I5:J5"/>
  </mergeCells>
  <pageMargins left="0.7" right="0.7" top="0.75" bottom="0.75" header="0.3" footer="0.3"/>
  <pageSetup scale="67" orientation="portrait" blackAndWhite="1"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dimension ref="A1:A22"/>
  <sheetViews>
    <sheetView workbookViewId="0">
      <selection activeCell="M69" sqref="M69"/>
    </sheetView>
  </sheetViews>
  <sheetFormatPr defaultRowHeight="15.75" x14ac:dyDescent="0.25"/>
  <cols>
    <col min="1" max="1" width="62.3984375" style="62" customWidth="1"/>
    <col min="2" max="16384" width="8.796875" style="62"/>
  </cols>
  <sheetData>
    <row r="1" spans="1:1" ht="20.25" x14ac:dyDescent="0.25">
      <c r="A1" s="226" t="s">
        <v>407</v>
      </c>
    </row>
    <row r="2" spans="1:1" ht="53.25" customHeight="1" x14ac:dyDescent="0.25">
      <c r="A2" s="138" t="s">
        <v>408</v>
      </c>
    </row>
    <row r="3" spans="1:1" x14ac:dyDescent="0.25">
      <c r="A3" s="629"/>
    </row>
    <row r="4" spans="1:1" ht="58.5" customHeight="1" x14ac:dyDescent="0.25">
      <c r="A4" s="138" t="s">
        <v>409</v>
      </c>
    </row>
    <row r="5" spans="1:1" x14ac:dyDescent="0.25">
      <c r="A5" s="65"/>
    </row>
    <row r="6" spans="1:1" ht="55.5" customHeight="1" x14ac:dyDescent="0.25">
      <c r="A6" s="138" t="s">
        <v>410</v>
      </c>
    </row>
    <row r="7" spans="1:1" x14ac:dyDescent="0.25">
      <c r="A7" s="629"/>
    </row>
    <row r="8" spans="1:1" ht="42.75" customHeight="1" x14ac:dyDescent="0.25">
      <c r="A8" s="138" t="s">
        <v>411</v>
      </c>
    </row>
    <row r="9" spans="1:1" x14ac:dyDescent="0.25">
      <c r="A9" s="65"/>
    </row>
    <row r="10" spans="1:1" ht="31.5" x14ac:dyDescent="0.25">
      <c r="A10" s="138" t="s">
        <v>412</v>
      </c>
    </row>
    <row r="11" spans="1:1" x14ac:dyDescent="0.25">
      <c r="A11" s="629"/>
    </row>
    <row r="12" spans="1:1" ht="69.75" customHeight="1" x14ac:dyDescent="0.25">
      <c r="A12" s="138" t="s">
        <v>413</v>
      </c>
    </row>
    <row r="13" spans="1:1" x14ac:dyDescent="0.25">
      <c r="A13" s="629"/>
    </row>
    <row r="14" spans="1:1" ht="40.5" customHeight="1" x14ac:dyDescent="0.25">
      <c r="A14" s="138" t="s">
        <v>414</v>
      </c>
    </row>
    <row r="15" spans="1:1" x14ac:dyDescent="0.25">
      <c r="A15" s="65"/>
    </row>
    <row r="16" spans="1:1" ht="56.25" customHeight="1" x14ac:dyDescent="0.25">
      <c r="A16" s="138" t="s">
        <v>415</v>
      </c>
    </row>
    <row r="17" spans="1:1" x14ac:dyDescent="0.25">
      <c r="A17" s="629"/>
    </row>
    <row r="18" spans="1:1" ht="54.75" customHeight="1" x14ac:dyDescent="0.25">
      <c r="A18" s="138" t="s">
        <v>416</v>
      </c>
    </row>
    <row r="19" spans="1:1" x14ac:dyDescent="0.25">
      <c r="A19" s="629"/>
    </row>
    <row r="20" spans="1:1" ht="55.5" customHeight="1" x14ac:dyDescent="0.25">
      <c r="A20" s="138" t="s">
        <v>417</v>
      </c>
    </row>
    <row r="21" spans="1:1" x14ac:dyDescent="0.25">
      <c r="A21" s="629"/>
    </row>
    <row r="22" spans="1:1" ht="76.5" customHeight="1" x14ac:dyDescent="0.25">
      <c r="A22" s="138" t="s">
        <v>418</v>
      </c>
    </row>
  </sheetData>
  <sheetProtection sheet="1"/>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tabColor rgb="FF00B0F0"/>
    <pageSetUpPr fitToPage="1"/>
  </sheetPr>
  <dimension ref="A1:N116"/>
  <sheetViews>
    <sheetView zoomScaleNormal="100" workbookViewId="0">
      <selection activeCell="I1" sqref="I1"/>
    </sheetView>
  </sheetViews>
  <sheetFormatPr defaultRowHeight="15.75" x14ac:dyDescent="0.25"/>
  <cols>
    <col min="1" max="1" width="20.69921875" style="99" customWidth="1"/>
    <col min="2" max="2" width="12.69921875" style="99" customWidth="1"/>
    <col min="3" max="3" width="9.69921875" style="99" customWidth="1"/>
    <col min="4" max="4" width="12.69921875" style="99" customWidth="1"/>
    <col min="5" max="5" width="9.69921875" style="99" customWidth="1"/>
    <col min="6" max="6" width="12.69921875" style="99" customWidth="1"/>
    <col min="7" max="7" width="10.69921875" style="99" customWidth="1"/>
    <col min="8" max="8" width="9.69921875" style="99" customWidth="1"/>
    <col min="9" max="11" width="8.796875" style="99"/>
    <col min="12" max="12" width="10.69921875" style="99" customWidth="1"/>
    <col min="13" max="13" width="8.5" style="99" customWidth="1"/>
    <col min="14" max="16384" width="8.796875" style="99"/>
  </cols>
  <sheetData>
    <row r="1" spans="1:13" x14ac:dyDescent="0.25">
      <c r="A1" s="35"/>
      <c r="B1" s="35"/>
      <c r="C1" s="35"/>
      <c r="D1" s="35"/>
      <c r="E1" s="35"/>
      <c r="F1" s="35"/>
      <c r="G1" s="35"/>
      <c r="H1" s="36">
        <f>inputPrYr!D10</f>
        <v>2025</v>
      </c>
    </row>
    <row r="2" spans="1:13" x14ac:dyDescent="0.25">
      <c r="A2" s="804" t="s">
        <v>419</v>
      </c>
      <c r="B2" s="728"/>
      <c r="C2" s="728"/>
      <c r="D2" s="728"/>
      <c r="E2" s="728"/>
      <c r="F2" s="728"/>
      <c r="G2" s="728"/>
      <c r="H2" s="728"/>
      <c r="J2" s="787" t="str">
        <f>CONCATENATE("Estimated Value Of One Mill For ",H1,"")</f>
        <v>Estimated Value Of One Mill For 2025</v>
      </c>
      <c r="K2" s="788"/>
      <c r="L2" s="788"/>
      <c r="M2" s="789"/>
    </row>
    <row r="3" spans="1:13" x14ac:dyDescent="0.25">
      <c r="A3" s="35"/>
      <c r="B3" s="35"/>
      <c r="C3" s="35"/>
      <c r="D3" s="35"/>
      <c r="E3" s="35"/>
      <c r="F3" s="39" t="s">
        <v>420</v>
      </c>
      <c r="G3" s="39" t="s">
        <v>421</v>
      </c>
      <c r="H3" s="35"/>
      <c r="J3" s="267"/>
      <c r="K3" s="4"/>
      <c r="L3" s="4"/>
      <c r="M3" s="266"/>
    </row>
    <row r="4" spans="1:13" x14ac:dyDescent="0.25">
      <c r="A4" s="729" t="s">
        <v>422</v>
      </c>
      <c r="B4" s="729"/>
      <c r="C4" s="729"/>
      <c r="D4" s="729"/>
      <c r="E4" s="729"/>
      <c r="F4" s="729"/>
      <c r="G4" s="729"/>
      <c r="H4" s="729"/>
      <c r="J4" s="251" t="s">
        <v>423</v>
      </c>
      <c r="K4" s="35"/>
      <c r="L4" s="35"/>
      <c r="M4" s="439">
        <f>ROUND(F42/1000,0)</f>
        <v>0</v>
      </c>
    </row>
    <row r="5" spans="1:13" x14ac:dyDescent="0.25">
      <c r="A5" s="676">
        <f>inputPrYr!D4</f>
        <v>0</v>
      </c>
      <c r="B5" s="676"/>
      <c r="C5" s="676"/>
      <c r="D5" s="676"/>
      <c r="E5" s="676"/>
      <c r="F5" s="676"/>
      <c r="G5" s="676"/>
      <c r="H5" s="676"/>
      <c r="J5" s="265" t="s">
        <v>424</v>
      </c>
      <c r="K5" s="11"/>
      <c r="L5" s="11"/>
      <c r="M5" s="439">
        <f>ROUND(F43/1000,0)</f>
        <v>0</v>
      </c>
    </row>
    <row r="6" spans="1:13" x14ac:dyDescent="0.25">
      <c r="A6" s="676">
        <f>inputPrYr!D5</f>
        <v>0</v>
      </c>
      <c r="B6" s="676"/>
      <c r="C6" s="676"/>
      <c r="D6" s="676"/>
      <c r="E6" s="676"/>
      <c r="F6" s="676"/>
      <c r="G6" s="676"/>
      <c r="H6" s="676"/>
    </row>
    <row r="7" spans="1:13" x14ac:dyDescent="0.25">
      <c r="A7" s="727" t="str">
        <f>CONCATENATE("will meet on ",inputHearing!B18," at ",inputHearing!B20," at ",inputHearing!B22," for the purpose of hearing and")</f>
        <v>will meet on  at  at  for the purpose of hearing and</v>
      </c>
      <c r="B7" s="727"/>
      <c r="C7" s="727"/>
      <c r="D7" s="727"/>
      <c r="E7" s="727"/>
      <c r="F7" s="727"/>
      <c r="G7" s="727"/>
      <c r="H7" s="727"/>
      <c r="J7" s="787" t="str">
        <f>CONCATENATE("Want The Mill Rate The Same As For ",H1-1,"?")</f>
        <v>Want The Mill Rate The Same As For 2024?</v>
      </c>
      <c r="K7" s="788"/>
      <c r="L7" s="788"/>
      <c r="M7" s="789"/>
    </row>
    <row r="8" spans="1:13" x14ac:dyDescent="0.25">
      <c r="A8" s="729" t="s">
        <v>425</v>
      </c>
      <c r="B8" s="677"/>
      <c r="C8" s="677"/>
      <c r="D8" s="677"/>
      <c r="E8" s="677"/>
      <c r="F8" s="677"/>
      <c r="G8" s="677"/>
      <c r="H8" s="677"/>
      <c r="J8" s="264"/>
      <c r="K8" s="4"/>
      <c r="L8" s="4"/>
      <c r="M8" s="263"/>
    </row>
    <row r="9" spans="1:13" x14ac:dyDescent="0.25">
      <c r="A9" s="727" t="str">
        <f>CONCATENATE("Detailed budget information is available at ",inputHearing!B24," and will be available at this hearing.")</f>
        <v>Detailed budget information is available at  and will be available at this hearing.</v>
      </c>
      <c r="B9" s="728"/>
      <c r="C9" s="728"/>
      <c r="D9" s="728"/>
      <c r="E9" s="728"/>
      <c r="F9" s="728"/>
      <c r="G9" s="728"/>
      <c r="H9" s="728"/>
      <c r="J9" s="264" t="str">
        <f>CONCATENATE("",H1-1," Mill Rate Was:")</f>
        <v>2024 Mill Rate Was:</v>
      </c>
      <c r="K9" s="4"/>
      <c r="L9" s="4"/>
      <c r="M9" s="262">
        <f>E36</f>
        <v>0</v>
      </c>
    </row>
    <row r="10" spans="1:13" x14ac:dyDescent="0.25">
      <c r="A10" s="804" t="s">
        <v>426</v>
      </c>
      <c r="B10" s="677"/>
      <c r="C10" s="677"/>
      <c r="D10" s="677"/>
      <c r="E10" s="677"/>
      <c r="F10" s="677"/>
      <c r="G10" s="677"/>
      <c r="H10" s="677"/>
      <c r="J10" s="261" t="str">
        <f>CONCATENATE("",H1," Tax Levy Fund Expenditures Must Be")</f>
        <v>2025 Tax Levy Fund Expenditures Must Be</v>
      </c>
      <c r="K10" s="260"/>
      <c r="L10" s="260"/>
      <c r="M10" s="263"/>
    </row>
    <row r="11" spans="1:13" x14ac:dyDescent="0.25">
      <c r="A11" s="729" t="str">
        <f>CONCATENATE("Proposed Budget ",H1," Expenditures and Amount of ",H1-1," Ad Valorem Tax establish the maximum limits")</f>
        <v>Proposed Budget 2025 Expenditures and Amount of 2024 Ad Valorem Tax establish the maximum limits</v>
      </c>
      <c r="B11" s="677"/>
      <c r="C11" s="677"/>
      <c r="D11" s="677"/>
      <c r="E11" s="677"/>
      <c r="F11" s="677"/>
      <c r="G11" s="677"/>
      <c r="H11" s="677"/>
      <c r="J11" s="284" t="s">
        <v>427</v>
      </c>
      <c r="K11" s="260"/>
      <c r="L11" s="260"/>
      <c r="M11" s="259">
        <f>M23*-1</f>
        <v>0</v>
      </c>
    </row>
    <row r="12" spans="1:13" x14ac:dyDescent="0.25">
      <c r="A12" s="729" t="str">
        <f>CONCATENATE("of the ",H1," budget.  Estimated Tax Rate is subject to change depending on the final assessed valuation.")</f>
        <v>of the 2025 budget.  Estimated Tax Rate is subject to change depending on the final assessed valuation.</v>
      </c>
      <c r="B12" s="677"/>
      <c r="C12" s="677"/>
      <c r="D12" s="677"/>
      <c r="E12" s="677"/>
      <c r="F12" s="677"/>
      <c r="G12" s="677"/>
      <c r="H12" s="677"/>
      <c r="J12" s="258" t="s">
        <v>428</v>
      </c>
      <c r="K12" s="256"/>
      <c r="L12" s="256"/>
      <c r="M12" s="257">
        <f>M24*-1</f>
        <v>0</v>
      </c>
    </row>
    <row r="13" spans="1:13" x14ac:dyDescent="0.25">
      <c r="A13" s="39"/>
      <c r="B13" s="35"/>
      <c r="C13" s="35"/>
      <c r="D13" s="35"/>
      <c r="E13" s="35"/>
      <c r="F13" s="35"/>
      <c r="G13" s="35"/>
      <c r="H13" s="35"/>
      <c r="J13" s="1"/>
      <c r="K13" s="1"/>
      <c r="L13" s="1"/>
      <c r="M13" s="1"/>
    </row>
    <row r="14" spans="1:13" x14ac:dyDescent="0.25">
      <c r="A14" s="131"/>
      <c r="B14" s="125" t="str">
        <f>CONCATENATE("Prior Year Actual ",H1-2,"")</f>
        <v>Prior Year Actual 2023</v>
      </c>
      <c r="C14" s="126"/>
      <c r="D14" s="125" t="str">
        <f>CONCATENATE("Current Year Estimate ",H1-1,"")</f>
        <v>Current Year Estimate 2024</v>
      </c>
      <c r="E14" s="127"/>
      <c r="F14" s="128" t="str">
        <f>CONCATENATE("Proposed Budget ",H1,"")</f>
        <v>Proposed Budget 2025</v>
      </c>
      <c r="G14" s="129"/>
      <c r="H14" s="127"/>
      <c r="J14" s="787" t="str">
        <f>CONCATENATE("Impact On Keeping The Same Mill Rate As For ",H1-1,"")</f>
        <v>Impact On Keeping The Same Mill Rate As For 2024</v>
      </c>
      <c r="K14" s="805"/>
      <c r="L14" s="805"/>
      <c r="M14" s="806"/>
    </row>
    <row r="15" spans="1:13" ht="22.5" customHeight="1" x14ac:dyDescent="0.25">
      <c r="A15" s="40"/>
      <c r="B15" s="792" t="s">
        <v>429</v>
      </c>
      <c r="C15" s="721" t="s">
        <v>430</v>
      </c>
      <c r="D15" s="792" t="s">
        <v>429</v>
      </c>
      <c r="E15" s="721" t="s">
        <v>430</v>
      </c>
      <c r="F15" s="795" t="s">
        <v>431</v>
      </c>
      <c r="G15" s="721" t="str">
        <f>CONCATENATE("Amount of ",H1-1," Ad Valorem Tax")</f>
        <v>Amount of 2024 Ad Valorem Tax</v>
      </c>
      <c r="H15" s="721" t="s">
        <v>432</v>
      </c>
      <c r="J15" s="264"/>
      <c r="K15" s="4"/>
      <c r="L15" s="4"/>
      <c r="M15" s="263"/>
    </row>
    <row r="16" spans="1:13" x14ac:dyDescent="0.25">
      <c r="A16" s="40"/>
      <c r="B16" s="793"/>
      <c r="C16" s="730"/>
      <c r="D16" s="793"/>
      <c r="E16" s="730"/>
      <c r="F16" s="796"/>
      <c r="G16" s="798"/>
      <c r="H16" s="730"/>
      <c r="J16" s="264" t="str">
        <f>CONCATENATE("",H1," Ad Valorem Tax Rev(Township Only):")</f>
        <v>2025 Ad Valorem Tax Rev(Township Only):</v>
      </c>
      <c r="K16" s="4"/>
      <c r="L16" s="4"/>
      <c r="M16" s="266">
        <f>SUM(G21:G24)</f>
        <v>0</v>
      </c>
    </row>
    <row r="17" spans="1:13" x14ac:dyDescent="0.25">
      <c r="A17" s="626" t="s">
        <v>124</v>
      </c>
      <c r="B17" s="794"/>
      <c r="C17" s="731"/>
      <c r="D17" s="794"/>
      <c r="E17" s="731"/>
      <c r="F17" s="797"/>
      <c r="G17" s="799"/>
      <c r="H17" s="731"/>
      <c r="J17" s="264" t="str">
        <f>CONCATENATE("",H1," Ad Valorem Tax Rev(Township Tot):")</f>
        <v>2025 Ad Valorem Tax Rev(Township Tot):</v>
      </c>
      <c r="K17" s="4"/>
      <c r="L17" s="4"/>
      <c r="M17" s="279">
        <f>SUM(G18,G19,G20,G25,G26,G27,G28,G29)</f>
        <v>0</v>
      </c>
    </row>
    <row r="18" spans="1:13" x14ac:dyDescent="0.25">
      <c r="A18" s="53" t="str">
        <f>inputPrYr!B21</f>
        <v>General</v>
      </c>
      <c r="B18" s="53" t="str">
        <f>IF(General!$C$49&lt;&gt;0,General!$C$49,"  ")</f>
        <v xml:space="preserve">  </v>
      </c>
      <c r="C18" s="55" t="str">
        <f>IF(inputPrYr!D50&gt;0,inputPrYr!D50,"  ")</f>
        <v xml:space="preserve">  </v>
      </c>
      <c r="D18" s="53" t="str">
        <f>IF(General!$D$49&lt;&gt;0,General!$D$49,"  ")</f>
        <v xml:space="preserve">  </v>
      </c>
      <c r="E18" s="55" t="str">
        <f>IF(inputOth!D40&gt;0,inputOth!D40,"  ")</f>
        <v xml:space="preserve">  </v>
      </c>
      <c r="F18" s="53" t="str">
        <f>IF(General!$E$49&lt;&gt;0,General!$E$49,"  ")</f>
        <v xml:space="preserve">  </v>
      </c>
      <c r="G18" s="53" t="str">
        <f>IF(General!$E$56&lt;&gt;0,General!$E$56,"")</f>
        <v/>
      </c>
      <c r="H18" s="55" t="str">
        <f>IF(General!E56&gt;0,ROUND(G18/F42*1000,3)," ")</f>
        <v xml:space="preserve"> </v>
      </c>
      <c r="J18" s="264" t="str">
        <f>CONCATENATE("Total ",H1," Ad Valorem Tax Revenue:")</f>
        <v>Total 2025 Ad Valorem Tax Revenue:</v>
      </c>
      <c r="K18" s="35"/>
      <c r="L18" s="35"/>
      <c r="M18" s="280">
        <f>M16+M17</f>
        <v>0</v>
      </c>
    </row>
    <row r="19" spans="1:13" x14ac:dyDescent="0.25">
      <c r="A19" s="53" t="s">
        <v>101</v>
      </c>
      <c r="B19" s="53" t="str">
        <f>IF('DebtSvs-Library'!C34&lt;&gt;0,'DebtSvs-Library'!C34,"  ")</f>
        <v xml:space="preserve">  </v>
      </c>
      <c r="C19" s="55" t="str">
        <f>IF(inputPrYr!D51&gt;0,inputPrYr!D51,"  ")</f>
        <v xml:space="preserve">  </v>
      </c>
      <c r="D19" s="53" t="str">
        <f>IF('DebtSvs-Library'!D34&lt;&gt;0,'DebtSvs-Library'!D34,"  ")</f>
        <v xml:space="preserve">  </v>
      </c>
      <c r="E19" s="55" t="str">
        <f>IF(inputOth!D41&gt;0,inputOth!D41,"  ")</f>
        <v xml:space="preserve">  </v>
      </c>
      <c r="F19" s="53" t="str">
        <f>IF('DebtSvs-Library'!E34&lt;&gt;0,'DebtSvs-Library'!E34,"  ")</f>
        <v xml:space="preserve">  </v>
      </c>
      <c r="G19" s="53" t="str">
        <f>IF('DebtSvs-Library'!E41&lt;&gt;0,'DebtSvs-Library'!E41," ")</f>
        <v xml:space="preserve"> </v>
      </c>
      <c r="H19" s="55" t="str">
        <f>IF('DebtSvs-Library'!E41&gt;0,ROUND(G19/F42*1000,3)," ")</f>
        <v xml:space="preserve"> </v>
      </c>
      <c r="J19" s="264" t="str">
        <f>CONCATENATE("",H1-1," Ad Valorem Tax Rev(Township Only):")</f>
        <v>2024 Ad Valorem Tax Rev(Township Only):</v>
      </c>
      <c r="K19" s="4"/>
      <c r="L19" s="4"/>
      <c r="M19" s="281">
        <f>ROUND(SUM(E21:E24)*F43/1000,0)</f>
        <v>0</v>
      </c>
    </row>
    <row r="20" spans="1:13" x14ac:dyDescent="0.25">
      <c r="A20" s="53" t="str">
        <f>IF(inputPrYr!$B23&gt;"  ",inputPrYr!$B23,"  ")</f>
        <v>Library</v>
      </c>
      <c r="B20" s="53" t="str">
        <f>IF('DebtSvs-Library'!C75&lt;&gt;0,'DebtSvs-Library'!C75,"  ")</f>
        <v xml:space="preserve">  </v>
      </c>
      <c r="C20" s="55" t="str">
        <f>IF(inputPrYr!D52&gt;0,inputPrYr!D52,"  ")</f>
        <v xml:space="preserve">  </v>
      </c>
      <c r="D20" s="53" t="str">
        <f>IF('DebtSvs-Library'!D75&lt;&gt;0,'DebtSvs-Library'!D75,"  ")</f>
        <v xml:space="preserve">  </v>
      </c>
      <c r="E20" s="55" t="str">
        <f>IF(inputOth!D42&gt;0,inputOth!D42,"  ")</f>
        <v xml:space="preserve">  </v>
      </c>
      <c r="F20" s="53" t="str">
        <f>IF('DebtSvs-Library'!E75&lt;&gt;0,'DebtSvs-Library'!E75,"  ")</f>
        <v xml:space="preserve">  </v>
      </c>
      <c r="G20" s="53" t="str">
        <f>IF('DebtSvs-Library'!E82&lt;&gt;0,'DebtSvs-Library'!E82," ")</f>
        <v xml:space="preserve"> </v>
      </c>
      <c r="H20" s="55" t="str">
        <f>IF('DebtSvs-Library'!E82&gt;0,ROUND(G20/F42*1000,3)," ")</f>
        <v xml:space="preserve"> </v>
      </c>
      <c r="J20" s="264" t="str">
        <f>CONCATENATE("",H1-1," Ad Valorem Tax Rev(Township Tot):")</f>
        <v>2024 Ad Valorem Tax Rev(Township Tot):</v>
      </c>
      <c r="K20" s="35"/>
      <c r="L20" s="35"/>
      <c r="M20" s="282">
        <f>ROUND(SUM(E18,E19,E20,(E25,E26,E27,E28,E29))*F42/1000,0)</f>
        <v>0</v>
      </c>
    </row>
    <row r="21" spans="1:13" x14ac:dyDescent="0.25">
      <c r="A21" s="53" t="str">
        <f>IF(inputPrYr!$B24&gt;"  ",inputPrYr!$B24,"  ")</f>
        <v>Road</v>
      </c>
      <c r="B21" s="53" t="str">
        <f>IF(Road!$C$43&lt;&gt;0,Road!$C$43,"  ")</f>
        <v xml:space="preserve">  </v>
      </c>
      <c r="C21" s="55" t="str">
        <f>IF(inputPrYr!D53&gt;0,inputPrYr!D53,"  ")</f>
        <v xml:space="preserve">  </v>
      </c>
      <c r="D21" s="53" t="str">
        <f>IF(Road!$D$43&lt;&gt;0,Road!$D$43,"  ")</f>
        <v xml:space="preserve">  </v>
      </c>
      <c r="E21" s="55" t="str">
        <f>IF(inputOth!D43&gt;0,inputOth!D43,"  ")</f>
        <v xml:space="preserve">  </v>
      </c>
      <c r="F21" s="53" t="str">
        <f>IF(Road!$E$43&lt;&gt;0,Road!$E$43,"  ")</f>
        <v xml:space="preserve">  </v>
      </c>
      <c r="G21" s="53" t="str">
        <f>IF(Road!$E$50&lt;&gt;0,Road!$E$50,"  ")</f>
        <v xml:space="preserve">  </v>
      </c>
      <c r="H21" s="55" t="str">
        <f>IF(Road!E50&gt;0,ROUND(G21/F43*1000,3)," ")</f>
        <v xml:space="preserve"> </v>
      </c>
      <c r="J21" s="251" t="str">
        <f>CONCATENATE("Total ",H1-1," Ad Valorem Tax Revenue:")</f>
        <v>Total 2024 Ad Valorem Tax Revenue:</v>
      </c>
      <c r="K21" s="35"/>
      <c r="L21" s="35"/>
      <c r="M21" s="283">
        <f>M19+M20</f>
        <v>0</v>
      </c>
    </row>
    <row r="22" spans="1:13" x14ac:dyDescent="0.25">
      <c r="A22" s="53" t="str">
        <f>IF(inputPrYr!$B25&gt;"  ",inputPrYr!$B25,"  ")</f>
        <v>Special Road</v>
      </c>
      <c r="B22" s="53" t="str">
        <f>IF('Spec Road &amp; Noxious Weed'!$C$34&lt;&gt;0,'Spec Road &amp; Noxious Weed'!$C$34,"  ")</f>
        <v xml:space="preserve">  </v>
      </c>
      <c r="C22" s="55" t="str">
        <f>IF(inputPrYr!D54&gt;0,inputPrYr!D54,"  ")</f>
        <v xml:space="preserve">  </v>
      </c>
      <c r="D22" s="53" t="str">
        <f>IF('Spec Road &amp; Noxious Weed'!$D$34&lt;&gt;0,'Spec Road &amp; Noxious Weed'!$D$34,"  ")</f>
        <v xml:space="preserve">  </v>
      </c>
      <c r="E22" s="55" t="str">
        <f>IF(inputOth!D44&gt;0,inputOth!D44,"  ")</f>
        <v xml:space="preserve">  </v>
      </c>
      <c r="F22" s="53" t="str">
        <f>IF('Spec Road &amp; Noxious Weed'!$E$34&lt;&gt;0,'Spec Road &amp; Noxious Weed'!$E$34,"  ")</f>
        <v xml:space="preserve">  </v>
      </c>
      <c r="G22" s="53" t="str">
        <f>IF('Spec Road &amp; Noxious Weed'!$E$41&lt;&gt;0,'Spec Road &amp; Noxious Weed'!$E$41,"  ")</f>
        <v xml:space="preserve">  </v>
      </c>
      <c r="H22" s="55" t="str">
        <f>IF('Spec Road &amp; Noxious Weed'!E41&gt;0,ROUND(G22/F43*1000,3)," ")</f>
        <v xml:space="preserve"> </v>
      </c>
      <c r="J22" s="261" t="s">
        <v>433</v>
      </c>
      <c r="K22" s="260"/>
      <c r="L22" s="260"/>
      <c r="M22" s="259">
        <f>M18-M21</f>
        <v>0</v>
      </c>
    </row>
    <row r="23" spans="1:13" x14ac:dyDescent="0.25">
      <c r="A23" s="53" t="str">
        <f>IF(inputPrYr!$B26&gt;"  ",inputPrYr!$B26,"  ")</f>
        <v>Noxious Weed</v>
      </c>
      <c r="B23" s="53" t="str">
        <f>IF('Spec Road &amp; Noxious Weed'!$C$75&lt;&gt;0,'Spec Road &amp; Noxious Weed'!$C$75,"  ")</f>
        <v xml:space="preserve">  </v>
      </c>
      <c r="C23" s="55" t="str">
        <f>IF(inputPrYr!D55&gt;0,inputPrYr!D55,"  ")</f>
        <v xml:space="preserve">  </v>
      </c>
      <c r="D23" s="53" t="str">
        <f>IF('Spec Road &amp; Noxious Weed'!$D$75&lt;&gt;0,'Spec Road &amp; Noxious Weed'!$D$75,"  ")</f>
        <v xml:space="preserve">  </v>
      </c>
      <c r="E23" s="55" t="str">
        <f>IF(inputOth!D45&gt;0,inputOth!D45,"  ")</f>
        <v xml:space="preserve">  </v>
      </c>
      <c r="F23" s="53" t="str">
        <f>IF('Spec Road &amp; Noxious Weed'!$E$75&lt;&gt;0,'Spec Road &amp; Noxious Weed'!$E$75,"  ")</f>
        <v xml:space="preserve">  </v>
      </c>
      <c r="G23" s="53" t="str">
        <f>IF('Spec Road &amp; Noxious Weed'!$E$82&lt;&gt;0,'Spec Road &amp; Noxious Weed'!$E$82,"  ")</f>
        <v xml:space="preserve">  </v>
      </c>
      <c r="H23" s="55" t="str">
        <f>IF('Spec Road &amp; Noxious Weed'!E82&gt;0,ROUND(G23/F43*1000,3)," ")</f>
        <v xml:space="preserve"> </v>
      </c>
      <c r="J23" s="284" t="s">
        <v>434</v>
      </c>
      <c r="K23" s="285"/>
      <c r="L23" s="285"/>
      <c r="M23" s="280">
        <f>M16-M19</f>
        <v>0</v>
      </c>
    </row>
    <row r="24" spans="1:13" x14ac:dyDescent="0.25">
      <c r="A24" s="53" t="str">
        <f>IF(inputPrYr!$B27&gt;"  ",inputPrYr!$B27,"  ")</f>
        <v>Fire Protection</v>
      </c>
      <c r="B24" s="53" t="str">
        <f>IF('Levy Page 10'!$C$34&lt;&gt;0,'Levy Page 10'!$C$34,"  ")</f>
        <v xml:space="preserve">  </v>
      </c>
      <c r="C24" s="55" t="str">
        <f>IF(inputPrYr!D56&gt;0,inputPrYr!D56,"  ")</f>
        <v xml:space="preserve">  </v>
      </c>
      <c r="D24" s="53" t="str">
        <f>IF('Levy Page 10'!$D$34&lt;&gt;0,'Levy Page 10'!$D$34,"  ")</f>
        <v xml:space="preserve">  </v>
      </c>
      <c r="E24" s="55" t="str">
        <f>IF(inputOth!D46&gt;0,inputOth!D46,"  ")</f>
        <v xml:space="preserve">  </v>
      </c>
      <c r="F24" s="53" t="str">
        <f>IF('Levy Page 10'!$E$34&lt;&gt;0,'Levy Page 10'!$E$34,"  ")</f>
        <v xml:space="preserve">  </v>
      </c>
      <c r="G24" s="53" t="str">
        <f>IF('Levy Page 10'!$E$41&lt;&gt;0,'Levy Page 10'!$E$41,"  ")</f>
        <v xml:space="preserve">  </v>
      </c>
      <c r="H24" s="55" t="str">
        <f>IF('Levy Page 10'!E41&gt;0,ROUND(G24/F43*1000,3)," ")</f>
        <v xml:space="preserve"> </v>
      </c>
      <c r="J24" s="258" t="s">
        <v>435</v>
      </c>
      <c r="K24" s="256"/>
      <c r="L24" s="256"/>
      <c r="M24" s="257">
        <f>M17-M20</f>
        <v>0</v>
      </c>
    </row>
    <row r="25" spans="1:13" x14ac:dyDescent="0.25">
      <c r="A25" s="53" t="str">
        <f>IF(inputPrYr!$B28&gt;"  ",inputPrYr!$B28,"  ")</f>
        <v xml:space="preserve">  </v>
      </c>
      <c r="B25" s="53" t="str">
        <f>IF('Levy Page 10'!$C$75&lt;&gt;0,'Levy Page 10'!$C$75,"  ")</f>
        <v xml:space="preserve">  </v>
      </c>
      <c r="C25" s="55" t="str">
        <f>IF(inputPrYr!D57&gt;0,inputPrYr!D57,"  ")</f>
        <v xml:space="preserve">  </v>
      </c>
      <c r="D25" s="53" t="str">
        <f>IF('Levy Page 10'!$D$75&lt;&gt;0,'Levy Page 10'!$D$75,"  ")</f>
        <v xml:space="preserve">  </v>
      </c>
      <c r="E25" s="55" t="str">
        <f>IF(inputOth!D47&gt;0,inputOth!D47,"  ")</f>
        <v xml:space="preserve">  </v>
      </c>
      <c r="F25" s="53" t="str">
        <f>IF('Levy Page 10'!$E$75&lt;&gt;0,'Levy Page 10'!$E$75,"  ")</f>
        <v xml:space="preserve">  </v>
      </c>
      <c r="G25" s="53" t="str">
        <f>IF('Levy Page 10'!$E$82&lt;&gt;0,'Levy Page 10'!$E$82,"  ")</f>
        <v xml:space="preserve">  </v>
      </c>
      <c r="H25" s="55" t="str">
        <f>IF('Levy Page 10'!E82&gt;0,ROUND(G25/F42*1000,3)," ")</f>
        <v xml:space="preserve"> </v>
      </c>
    </row>
    <row r="26" spans="1:13" x14ac:dyDescent="0.25">
      <c r="A26" s="53" t="str">
        <f>IF(inputPrYr!$B29&gt;"  ",inputPrYr!$B29,"  ")</f>
        <v xml:space="preserve">  </v>
      </c>
      <c r="B26" s="53" t="str">
        <f>IF('Levy Page 11'!$C$34&lt;&gt;0,'Levy Page 11'!$C$34,"  ")</f>
        <v xml:space="preserve">  </v>
      </c>
      <c r="C26" s="55" t="str">
        <f>IF(inputPrYr!D58&gt;0,inputPrYr!D58,"  ")</f>
        <v xml:space="preserve">  </v>
      </c>
      <c r="D26" s="53" t="str">
        <f>IF('Levy Page 11'!$D$34&lt;&gt;0,'Levy Page 11'!$D$34,"  ")</f>
        <v xml:space="preserve">  </v>
      </c>
      <c r="E26" s="55" t="str">
        <f>IF(inputOth!D48&gt;0,inputOth!D48,"  ")</f>
        <v xml:space="preserve">  </v>
      </c>
      <c r="F26" s="53" t="str">
        <f>IF('Levy Page 11'!$E$34&lt;&gt;0,'Levy Page 11'!$E$34,"  ")</f>
        <v xml:space="preserve">  </v>
      </c>
      <c r="G26" s="53" t="str">
        <f>IF('Levy Page 11'!$E$41&lt;&gt;0,'Levy Page 11'!$E$41,"  ")</f>
        <v xml:space="preserve">  </v>
      </c>
      <c r="H26" s="55" t="str">
        <f>IF('Levy Page 11'!E41&gt;0,ROUND(G26/F42*1000,3)," ")</f>
        <v xml:space="preserve"> </v>
      </c>
      <c r="J26" s="787" t="s">
        <v>436</v>
      </c>
      <c r="K26" s="788"/>
      <c r="L26" s="788"/>
      <c r="M26" s="789"/>
    </row>
    <row r="27" spans="1:13" x14ac:dyDescent="0.25">
      <c r="A27" s="53" t="str">
        <f>IF(inputPrYr!$B30&gt;"  ",inputPrYr!$B30,"  ")</f>
        <v xml:space="preserve">  </v>
      </c>
      <c r="B27" s="53" t="str">
        <f>IF('Levy Page 11'!$C$75&lt;&gt;0,'Levy Page 11'!$C$75,"  ")</f>
        <v xml:space="preserve">  </v>
      </c>
      <c r="C27" s="55" t="str">
        <f>IF(inputPrYr!D59&gt;0,inputPrYr!D59,"  ")</f>
        <v xml:space="preserve">  </v>
      </c>
      <c r="D27" s="53" t="str">
        <f>IF('Levy Page 11'!$D$75&lt;&gt;0,'Levy Page 11'!$D$75,"  ")</f>
        <v xml:space="preserve">  </v>
      </c>
      <c r="E27" s="55" t="str">
        <f>IF(inputOth!D49&gt;0,inputOth!D49,"  ")</f>
        <v xml:space="preserve">  </v>
      </c>
      <c r="F27" s="53" t="str">
        <f>IF('Levy Page 11'!$E$75&lt;&gt;0,'Levy Page 11'!$E$75,"  ")</f>
        <v xml:space="preserve">  </v>
      </c>
      <c r="G27" s="53" t="str">
        <f>IF('Levy Page 11'!$E$82&lt;&gt;0,'Levy Page 11'!$E$82,"  ")</f>
        <v xml:space="preserve">  </v>
      </c>
      <c r="H27" s="55" t="str">
        <f>IF('Levy Page 11'!E82&gt;0,ROUND(G27/F42*1000,3)," ")</f>
        <v xml:space="preserve"> </v>
      </c>
      <c r="J27" s="264"/>
      <c r="K27" s="4"/>
      <c r="L27" s="4"/>
      <c r="M27" s="263"/>
    </row>
    <row r="28" spans="1:13" x14ac:dyDescent="0.25">
      <c r="A28" s="53" t="str">
        <f>IF(inputPrYr!$B31&gt;"  ",inputPrYr!$B31,"  ")</f>
        <v xml:space="preserve">  </v>
      </c>
      <c r="B28" s="53" t="str">
        <f>IF('Levy Page 12'!$C$34&lt;&gt;0,'Levy Page 12'!$C$34,"  ")</f>
        <v xml:space="preserve">  </v>
      </c>
      <c r="C28" s="55" t="str">
        <f>IF(inputPrYr!D60&gt;0,inputPrYr!D60,"  ")</f>
        <v xml:space="preserve">  </v>
      </c>
      <c r="D28" s="53" t="str">
        <f>IF('Levy Page 12'!$D$34&lt;&gt;0,'Levy Page 12'!$D$34,"  ")</f>
        <v xml:space="preserve">  </v>
      </c>
      <c r="E28" s="55" t="str">
        <f>IF(inputOth!D50&gt;0,inputOth!D50,"  ")</f>
        <v xml:space="preserve">  </v>
      </c>
      <c r="F28" s="53" t="str">
        <f>IF('Levy Page 12'!$E$34&lt;&gt;0,'Levy Page 12'!$E$34,"  ")</f>
        <v xml:space="preserve">  </v>
      </c>
      <c r="G28" s="53" t="str">
        <f>IF('Levy Page 12'!$E$41&lt;&gt;0,'Levy Page 12'!$E$41,"  ")</f>
        <v xml:space="preserve">  </v>
      </c>
      <c r="H28" s="55" t="str">
        <f>IF('Levy Page 12'!E41&gt;0,ROUND(G28/F42*1000,3)," ")</f>
        <v xml:space="preserve"> </v>
      </c>
      <c r="J28" s="270" t="str">
        <f>CONCATENATE("Enter Desired ",$H$1," Mill Rate:")</f>
        <v>Enter Desired 2025 Mill Rate:</v>
      </c>
      <c r="K28" s="271"/>
      <c r="L28" s="272"/>
      <c r="M28" s="269"/>
    </row>
    <row r="29" spans="1:13" x14ac:dyDescent="0.25">
      <c r="A29" s="53" t="str">
        <f>IF(inputPrYr!$B32&gt;"  ",inputPrYr!$B32,"  ")</f>
        <v xml:space="preserve">  </v>
      </c>
      <c r="B29" s="53" t="str">
        <f>IF('Levy Page 12'!$C$75&lt;&gt;0,'Levy Page 12'!$C$75,"  ")</f>
        <v xml:space="preserve">  </v>
      </c>
      <c r="C29" s="55" t="str">
        <f>IF(inputPrYr!D61&gt;0,inputPrYr!D61,"  ")</f>
        <v xml:space="preserve">  </v>
      </c>
      <c r="D29" s="53" t="str">
        <f>IF('Levy Page 12'!$D$75&lt;&gt;0,'Levy Page 12'!$D$75,"  ")</f>
        <v xml:space="preserve">  </v>
      </c>
      <c r="E29" s="55" t="str">
        <f>IF(inputOth!D51&gt;0,inputOth!D51,"  ")</f>
        <v xml:space="preserve">  </v>
      </c>
      <c r="F29" s="53" t="str">
        <f>IF('Levy Page 12'!$E$75&lt;&gt;0,'Levy Page 12'!$E$75,"  ")</f>
        <v xml:space="preserve">  </v>
      </c>
      <c r="G29" s="53" t="str">
        <f>IF('Levy Page 12'!$E$82&lt;&gt;0,'Levy Page 12'!$E$82,"  ")</f>
        <v xml:space="preserve">  </v>
      </c>
      <c r="H29" s="55" t="str">
        <f>IF('Levy Page 12'!E82&gt;0,ROUND(G29/F42*1000,3)," ")</f>
        <v xml:space="preserve"> </v>
      </c>
      <c r="I29" s="268"/>
      <c r="J29" s="583" t="s">
        <v>437</v>
      </c>
      <c r="K29" s="584"/>
      <c r="L29" s="584"/>
      <c r="M29" s="585">
        <f>H37</f>
        <v>0</v>
      </c>
    </row>
    <row r="30" spans="1:13" x14ac:dyDescent="0.25">
      <c r="A30" s="53" t="str">
        <f>IF(inputPrYr!$B36&gt;"  ",inputPrYr!$B36,"  ")</f>
        <v xml:space="preserve">  </v>
      </c>
      <c r="B30" s="53" t="str">
        <f>IF('No Levy Page 13'!$C$27&lt;&gt;0,'No Levy Page 13'!$C$27,"  ")</f>
        <v xml:space="preserve">  </v>
      </c>
      <c r="C30" s="55"/>
      <c r="D30" s="53" t="str">
        <f>IF('No Levy Page 13'!$D$27&lt;&gt;0,'No Levy Page 13'!$D$27,"  ")</f>
        <v xml:space="preserve">  </v>
      </c>
      <c r="E30" s="55"/>
      <c r="F30" s="53" t="str">
        <f>IF('No Levy Page 13'!$E$27&lt;&gt;0,'No Levy Page 13'!$E$27,"  ")</f>
        <v xml:space="preserve">  </v>
      </c>
      <c r="G30" s="53"/>
      <c r="H30" s="55"/>
      <c r="J30" s="583" t="s">
        <v>438</v>
      </c>
      <c r="K30" s="584"/>
      <c r="L30" s="584"/>
      <c r="M30" s="585">
        <f>H38</f>
        <v>0</v>
      </c>
    </row>
    <row r="31" spans="1:13" x14ac:dyDescent="0.25">
      <c r="A31" s="53" t="str">
        <f>IF(inputPrYr!$B37&gt;"  ",inputPrYr!$B37,"  ")</f>
        <v xml:space="preserve">  </v>
      </c>
      <c r="B31" s="53" t="str">
        <f>IF('No Levy Page 13'!$C$57&lt;&gt;0,'No Levy Page 13'!$C$57,"  ")</f>
        <v xml:space="preserve">  </v>
      </c>
      <c r="C31" s="55"/>
      <c r="D31" s="53" t="str">
        <f>IF('No Levy Page 13'!$D$57&lt;&gt;0,'No Levy Page 13'!$D$57,"  ")</f>
        <v xml:space="preserve">  </v>
      </c>
      <c r="E31" s="55"/>
      <c r="F31" s="53" t="str">
        <f>IF('No Levy Page 13'!$E$57&lt;&gt;0,'No Levy Page 13'!$E$57,"  ")</f>
        <v xml:space="preserve">  </v>
      </c>
      <c r="G31" s="53"/>
      <c r="H31" s="55"/>
      <c r="J31" s="264" t="s">
        <v>439</v>
      </c>
      <c r="K31" s="4"/>
      <c r="L31" s="4"/>
      <c r="M31" s="276">
        <f>SUM(H21:H24)</f>
        <v>0</v>
      </c>
    </row>
    <row r="32" spans="1:13" x14ac:dyDescent="0.25">
      <c r="A32" s="53" t="str">
        <f>IF(inputPrYr!$B38&gt;"  ",inputPrYr!$B38,"  ")</f>
        <v xml:space="preserve">  </v>
      </c>
      <c r="B32" s="53" t="str">
        <f>IF('No Levy Page 14'!$C$27&lt;&gt;0,'No Levy Page 14'!$C$27,"  ")</f>
        <v xml:space="preserve">  </v>
      </c>
      <c r="C32" s="55"/>
      <c r="D32" s="53" t="str">
        <f>IF('No Levy Page 14'!$D$27&lt;&gt;0,'No Levy Page 14'!$D$27,"  ")</f>
        <v xml:space="preserve">  </v>
      </c>
      <c r="E32" s="55"/>
      <c r="F32" s="53" t="str">
        <f>IF('No Levy Page 14'!$E$27&lt;&gt;0,'No Levy Page 14'!$E$27,"  ")</f>
        <v xml:space="preserve">  </v>
      </c>
      <c r="G32" s="53"/>
      <c r="H32" s="55"/>
      <c r="J32" s="264" t="s">
        <v>440</v>
      </c>
      <c r="K32" s="4"/>
      <c r="L32" s="4"/>
      <c r="M32" s="585">
        <f>SUM(H18:H20,H25:H29)</f>
        <v>0</v>
      </c>
    </row>
    <row r="33" spans="1:14" x14ac:dyDescent="0.25">
      <c r="A33" s="53" t="str">
        <f>IF(inputPrYr!$B39&gt;"  ",inputPrYr!$B39,"  ")</f>
        <v xml:space="preserve">  </v>
      </c>
      <c r="B33" s="53" t="str">
        <f>IF('No Levy Page 14'!$C$57&lt;&gt;0,'No Levy Page 14'!$C$57,"  ")</f>
        <v xml:space="preserve">  </v>
      </c>
      <c r="C33" s="55"/>
      <c r="D33" s="53" t="str">
        <f>IF('No Levy Page 14'!$D$57&lt;&gt;0,'No Levy Page 14'!$D$57,"  ")</f>
        <v xml:space="preserve">  </v>
      </c>
      <c r="E33" s="55"/>
      <c r="F33" s="53" t="str">
        <f>IF('No Levy Page 14'!$E$57&lt;&gt;0,'No Levy Page 14'!$E$57,"  ")</f>
        <v xml:space="preserve">  </v>
      </c>
      <c r="G33" s="53"/>
      <c r="H33" s="55"/>
      <c r="J33" s="264" t="str">
        <f>CONCATENATE("TOTAL Current ",$H$1," Estimated Mill Rate:")</f>
        <v>TOTAL Current 2025 Estimated Mill Rate:</v>
      </c>
      <c r="K33" s="4"/>
      <c r="L33" s="4"/>
      <c r="M33" s="276">
        <f>H36</f>
        <v>0</v>
      </c>
    </row>
    <row r="34" spans="1:14" x14ac:dyDescent="0.25">
      <c r="A34" s="53" t="str">
        <f>IF((inputPrYr!$B42&gt;"  "),('Non-Budgeted Funds'!$A3),"  ")</f>
        <v xml:space="preserve">  </v>
      </c>
      <c r="B34" s="416" t="str">
        <f>IF(('Non-Budgeted Funds'!$K$28)&lt;&gt;0,('Non-Budgeted Funds'!$K$28),"  ")</f>
        <v xml:space="preserve">  </v>
      </c>
      <c r="C34" s="211"/>
      <c r="D34" s="53"/>
      <c r="E34" s="55"/>
      <c r="F34" s="53"/>
      <c r="G34" s="53"/>
      <c r="H34" s="55"/>
      <c r="J34" s="264" t="s">
        <v>441</v>
      </c>
      <c r="K34" s="4"/>
      <c r="L34" s="4"/>
      <c r="M34" s="277">
        <f>M28-M33</f>
        <v>0</v>
      </c>
    </row>
    <row r="35" spans="1:14" x14ac:dyDescent="0.25">
      <c r="A35" s="61" t="s">
        <v>183</v>
      </c>
      <c r="B35" s="53" t="str">
        <f>IF(Road!C64&lt;&gt;0,Road!C64,"  ")</f>
        <v xml:space="preserve">  </v>
      </c>
      <c r="C35" s="132"/>
      <c r="D35" s="132"/>
      <c r="E35" s="132"/>
      <c r="F35" s="132"/>
      <c r="G35" s="132"/>
      <c r="H35" s="132"/>
      <c r="J35" s="251" t="s">
        <v>442</v>
      </c>
      <c r="K35" s="35"/>
      <c r="L35" s="35"/>
      <c r="M35" s="274">
        <f>IF(M28=0,0,ROUND(SUM(H21:H24)/M33,2))</f>
        <v>0</v>
      </c>
    </row>
    <row r="36" spans="1:14" ht="16.5" thickBot="1" x14ac:dyDescent="0.3">
      <c r="A36" s="529" t="s">
        <v>184</v>
      </c>
      <c r="B36" s="605">
        <f t="shared" ref="B36:H36" si="0">SUM(B18:B35)</f>
        <v>0</v>
      </c>
      <c r="C36" s="606">
        <f t="shared" si="0"/>
        <v>0</v>
      </c>
      <c r="D36" s="605">
        <f t="shared" si="0"/>
        <v>0</v>
      </c>
      <c r="E36" s="606">
        <f t="shared" si="0"/>
        <v>0</v>
      </c>
      <c r="F36" s="605">
        <f t="shared" si="0"/>
        <v>0</v>
      </c>
      <c r="G36" s="605">
        <f t="shared" si="0"/>
        <v>0</v>
      </c>
      <c r="H36" s="606">
        <f t="shared" si="0"/>
        <v>0</v>
      </c>
      <c r="J36" s="251" t="s">
        <v>443</v>
      </c>
      <c r="K36" s="35"/>
      <c r="L36" s="35"/>
      <c r="M36" s="274">
        <f>IF(M28=0,0,ROUND(SUM(H18+H19+H20+H25+H26+H27+H28+H29)/M33,2))</f>
        <v>0</v>
      </c>
    </row>
    <row r="37" spans="1:14" ht="16.5" thickTop="1" x14ac:dyDescent="0.25">
      <c r="A37" s="800" t="s">
        <v>444</v>
      </c>
      <c r="B37" s="801"/>
      <c r="C37" s="801"/>
      <c r="D37" s="801"/>
      <c r="E37" s="801"/>
      <c r="F37" s="801"/>
      <c r="G37" s="802"/>
      <c r="H37" s="528">
        <f>inputOth!D36</f>
        <v>0</v>
      </c>
      <c r="J37" s="261" t="str">
        <f>CONCATENATE("",$H$1," Tax Levy Fund Total Exp. Changed By:")</f>
        <v>2025 Tax Levy Fund Total Exp. Changed By:</v>
      </c>
      <c r="K37" s="260"/>
      <c r="L37" s="260"/>
      <c r="M37" s="266"/>
    </row>
    <row r="38" spans="1:14" x14ac:dyDescent="0.25">
      <c r="A38" s="814" t="s">
        <v>445</v>
      </c>
      <c r="B38" s="815"/>
      <c r="C38" s="815"/>
      <c r="D38" s="815"/>
      <c r="E38" s="815"/>
      <c r="F38" s="815"/>
      <c r="G38" s="816"/>
      <c r="H38" s="524">
        <f>inputOth!E36</f>
        <v>0</v>
      </c>
      <c r="J38" s="284" t="s">
        <v>427</v>
      </c>
      <c r="K38" s="285"/>
      <c r="L38" s="285"/>
      <c r="M38" s="280">
        <f>ROUND(F43*M34*M35/1000,0)</f>
        <v>0</v>
      </c>
    </row>
    <row r="39" spans="1:14" x14ac:dyDescent="0.25">
      <c r="A39" s="527" t="s">
        <v>446</v>
      </c>
      <c r="B39" s="143">
        <f>Transfers!C26</f>
        <v>0</v>
      </c>
      <c r="C39" s="35"/>
      <c r="D39" s="143">
        <f>Transfers!D26</f>
        <v>0</v>
      </c>
      <c r="E39" s="133"/>
      <c r="F39" s="143">
        <f>Transfers!E26</f>
        <v>0</v>
      </c>
      <c r="G39" s="35"/>
      <c r="H39" s="35"/>
      <c r="J39" s="258" t="s">
        <v>428</v>
      </c>
      <c r="K39" s="256"/>
      <c r="L39" s="256"/>
      <c r="M39" s="257">
        <f>ROUND(F42*M34*M36/1000,0)</f>
        <v>0</v>
      </c>
    </row>
    <row r="40" spans="1:14" ht="16.5" thickBot="1" x14ac:dyDescent="0.3">
      <c r="A40" s="61" t="s">
        <v>447</v>
      </c>
      <c r="B40" s="605">
        <f>B36-B39</f>
        <v>0</v>
      </c>
      <c r="C40" s="35"/>
      <c r="D40" s="605">
        <f>D36-D39</f>
        <v>0</v>
      </c>
      <c r="E40" s="35"/>
      <c r="F40" s="605">
        <f>F36-F39</f>
        <v>0</v>
      </c>
      <c r="G40" s="35"/>
      <c r="H40" s="35"/>
      <c r="M40" s="278"/>
    </row>
    <row r="41" spans="1:14" ht="16.5" thickTop="1" x14ac:dyDescent="0.25">
      <c r="A41" s="61" t="s">
        <v>448</v>
      </c>
      <c r="B41" s="143">
        <f>inputPrYr!E64</f>
        <v>0</v>
      </c>
      <c r="C41" s="133"/>
      <c r="D41" s="143">
        <f>inputPrYr!E33</f>
        <v>0</v>
      </c>
      <c r="E41" s="35"/>
      <c r="F41" s="243" t="s">
        <v>185</v>
      </c>
      <c r="G41" s="35"/>
      <c r="H41" s="35"/>
      <c r="J41" s="803" t="s">
        <v>449</v>
      </c>
      <c r="K41" s="803"/>
      <c r="L41" s="803"/>
      <c r="M41" s="803"/>
      <c r="N41" s="273"/>
    </row>
    <row r="42" spans="1:14" x14ac:dyDescent="0.25">
      <c r="A42" s="61" t="s">
        <v>450</v>
      </c>
      <c r="B42" s="53">
        <f>inputPrYr!E65</f>
        <v>0</v>
      </c>
      <c r="C42" s="133"/>
      <c r="D42" s="53">
        <f>inputOth!E58</f>
        <v>0</v>
      </c>
      <c r="E42" s="133"/>
      <c r="F42" s="53">
        <f>inputOth!E11</f>
        <v>0</v>
      </c>
      <c r="G42" s="35"/>
      <c r="H42" s="35"/>
      <c r="J42" s="807" t="s">
        <v>451</v>
      </c>
      <c r="K42" s="808"/>
      <c r="L42" s="808"/>
      <c r="M42" s="811" t="str">
        <f>IF(M31&gt;M29, "Yes", "No")</f>
        <v>No</v>
      </c>
      <c r="N42" s="273"/>
    </row>
    <row r="43" spans="1:14" x14ac:dyDescent="0.25">
      <c r="A43" s="43" t="s">
        <v>452</v>
      </c>
      <c r="B43" s="134"/>
      <c r="C43" s="35"/>
      <c r="D43" s="72"/>
      <c r="E43" s="35"/>
      <c r="F43" s="53">
        <f>inputOth!E8</f>
        <v>0</v>
      </c>
      <c r="G43" s="35"/>
      <c r="H43" s="35"/>
      <c r="J43" s="809"/>
      <c r="K43" s="810"/>
      <c r="L43" s="810"/>
      <c r="M43" s="812"/>
    </row>
    <row r="44" spans="1:14" x14ac:dyDescent="0.25">
      <c r="A44" s="39"/>
      <c r="B44" s="72"/>
      <c r="C44" s="35"/>
      <c r="D44" s="72"/>
      <c r="E44" s="35"/>
      <c r="F44" s="72"/>
      <c r="G44" s="35"/>
      <c r="H44" s="35"/>
      <c r="J44" s="769" t="str">
        <f>IF(M42="Yes", "Follow procedure prescirbed by KSA 79-2988 to exceed the Revenue Neutral Rate.", " ")</f>
        <v xml:space="preserve"> </v>
      </c>
      <c r="K44" s="769"/>
      <c r="L44" s="769"/>
      <c r="M44" s="769"/>
    </row>
    <row r="45" spans="1:14" x14ac:dyDescent="0.25">
      <c r="A45" s="39" t="s">
        <v>453</v>
      </c>
      <c r="B45" s="35"/>
      <c r="C45" s="35"/>
      <c r="D45" s="35"/>
      <c r="E45" s="35"/>
      <c r="F45" s="35"/>
      <c r="G45" s="35"/>
      <c r="H45" s="35"/>
      <c r="J45" s="770"/>
      <c r="K45" s="770"/>
      <c r="L45" s="770"/>
      <c r="M45" s="770"/>
    </row>
    <row r="46" spans="1:14" x14ac:dyDescent="0.25">
      <c r="A46" s="39" t="s">
        <v>454</v>
      </c>
      <c r="B46" s="135">
        <f>H1-3</f>
        <v>2022</v>
      </c>
      <c r="C46" s="35"/>
      <c r="D46" s="135">
        <f>H1-2</f>
        <v>2023</v>
      </c>
      <c r="E46" s="35"/>
      <c r="F46" s="135">
        <f>H1-1</f>
        <v>2024</v>
      </c>
      <c r="G46" s="35"/>
      <c r="H46" s="35"/>
      <c r="J46" s="770"/>
      <c r="K46" s="770"/>
      <c r="L46" s="770"/>
      <c r="M46" s="770"/>
    </row>
    <row r="47" spans="1:14" x14ac:dyDescent="0.25">
      <c r="A47" s="39" t="s">
        <v>254</v>
      </c>
      <c r="B47" s="46">
        <f>inputPrYr!D68</f>
        <v>0</v>
      </c>
      <c r="C47" s="69"/>
      <c r="D47" s="46">
        <f>inputPrYr!E68</f>
        <v>0</v>
      </c>
      <c r="E47" s="69"/>
      <c r="F47" s="46">
        <f>'Debt-LP Form'!F11</f>
        <v>0</v>
      </c>
      <c r="G47" s="35"/>
      <c r="H47" s="35"/>
    </row>
    <row r="48" spans="1:14" x14ac:dyDescent="0.25">
      <c r="A48" s="39" t="s">
        <v>256</v>
      </c>
      <c r="B48" s="46">
        <f>inputPrYr!D69</f>
        <v>0</v>
      </c>
      <c r="C48" s="69"/>
      <c r="D48" s="46">
        <f>inputPrYr!E69</f>
        <v>0</v>
      </c>
      <c r="E48" s="69"/>
      <c r="F48" s="46">
        <f>'Debt-LP Form'!F15</f>
        <v>0</v>
      </c>
      <c r="G48" s="35"/>
      <c r="H48" s="35"/>
      <c r="J48" s="803" t="s">
        <v>455</v>
      </c>
      <c r="K48" s="803"/>
      <c r="L48" s="803"/>
      <c r="M48" s="803"/>
    </row>
    <row r="49" spans="1:13" x14ac:dyDescent="0.25">
      <c r="A49" s="39" t="s">
        <v>456</v>
      </c>
      <c r="B49" s="46">
        <f>inputPrYr!D70</f>
        <v>0</v>
      </c>
      <c r="C49" s="69"/>
      <c r="D49" s="46">
        <f>inputPrYr!E70</f>
        <v>0</v>
      </c>
      <c r="E49" s="69"/>
      <c r="F49" s="46">
        <f>'Debt-LP Form'!G36</f>
        <v>0</v>
      </c>
      <c r="G49" s="35"/>
      <c r="H49" s="35"/>
      <c r="J49" s="807" t="s">
        <v>451</v>
      </c>
      <c r="K49" s="808"/>
      <c r="L49" s="808"/>
      <c r="M49" s="811" t="str">
        <f>IF(M32&gt;M30, "Yes", "No")</f>
        <v>No</v>
      </c>
    </row>
    <row r="50" spans="1:13" ht="16.5" thickBot="1" x14ac:dyDescent="0.3">
      <c r="A50" s="39" t="s">
        <v>457</v>
      </c>
      <c r="B50" s="607">
        <f>SUM(B47:B49)</f>
        <v>0</v>
      </c>
      <c r="C50" s="69"/>
      <c r="D50" s="607">
        <f>SUM(D47:D49)</f>
        <v>0</v>
      </c>
      <c r="E50" s="69"/>
      <c r="F50" s="607">
        <f>SUM(F47:F49)</f>
        <v>0</v>
      </c>
      <c r="G50" s="35"/>
      <c r="H50" s="35"/>
      <c r="J50" s="809"/>
      <c r="K50" s="810"/>
      <c r="L50" s="810"/>
      <c r="M50" s="812"/>
    </row>
    <row r="51" spans="1:13" ht="16.5" thickTop="1" x14ac:dyDescent="0.25">
      <c r="A51" s="39" t="s">
        <v>458</v>
      </c>
      <c r="B51" s="35"/>
      <c r="C51" s="35"/>
      <c r="D51" s="35"/>
      <c r="E51" s="35"/>
      <c r="F51" s="35"/>
      <c r="G51" s="35"/>
      <c r="H51" s="35"/>
      <c r="J51" s="769" t="str">
        <f>IF(M49="Yes", "Follow procedure prescirbed by KSA 79-2988 to exceed the Revenue Neutral Rate.", " ")</f>
        <v xml:space="preserve"> </v>
      </c>
      <c r="K51" s="769"/>
      <c r="L51" s="769"/>
      <c r="M51" s="769"/>
    </row>
    <row r="52" spans="1:13" x14ac:dyDescent="0.25">
      <c r="A52" s="525" t="s">
        <v>459</v>
      </c>
      <c r="B52" s="35"/>
      <c r="C52" s="35"/>
      <c r="D52" s="35"/>
      <c r="E52" s="35"/>
      <c r="F52" s="35"/>
      <c r="G52" s="35"/>
      <c r="H52" s="35"/>
      <c r="J52" s="770"/>
      <c r="K52" s="770"/>
      <c r="L52" s="770"/>
      <c r="M52" s="770"/>
    </row>
    <row r="53" spans="1:13" x14ac:dyDescent="0.25">
      <c r="A53" s="35"/>
      <c r="B53" s="35"/>
      <c r="C53" s="35"/>
      <c r="D53" s="35"/>
      <c r="E53" s="35"/>
      <c r="F53" s="35"/>
      <c r="G53" s="35"/>
      <c r="H53" s="35"/>
      <c r="J53" s="770"/>
      <c r="K53" s="770"/>
      <c r="L53" s="770"/>
      <c r="M53" s="770"/>
    </row>
    <row r="54" spans="1:13" x14ac:dyDescent="0.25">
      <c r="A54" s="813">
        <f>inputHearing!B14</f>
        <v>0</v>
      </c>
      <c r="B54" s="813"/>
      <c r="C54" s="35"/>
      <c r="D54" s="35"/>
      <c r="E54" s="35"/>
      <c r="F54" s="35"/>
      <c r="G54" s="35"/>
      <c r="H54" s="35"/>
    </row>
    <row r="55" spans="1:13" x14ac:dyDescent="0.25">
      <c r="A55" s="790">
        <f>inputHearing!B16</f>
        <v>0</v>
      </c>
      <c r="B55" s="791"/>
      <c r="C55" s="35"/>
      <c r="D55" s="35"/>
      <c r="E55" s="35"/>
      <c r="F55" s="35"/>
      <c r="G55" s="35"/>
      <c r="H55" s="35"/>
    </row>
    <row r="56" spans="1:13" x14ac:dyDescent="0.25">
      <c r="A56" s="35"/>
      <c r="B56" s="35"/>
      <c r="C56" s="35"/>
      <c r="D56" s="35"/>
      <c r="E56" s="35"/>
      <c r="F56" s="35"/>
      <c r="G56" s="35"/>
      <c r="H56" s="35"/>
    </row>
    <row r="57" spans="1:13" x14ac:dyDescent="0.25">
      <c r="A57" s="35"/>
      <c r="B57" s="136" t="s">
        <v>370</v>
      </c>
      <c r="C57" s="440"/>
      <c r="D57" s="35"/>
      <c r="E57" s="35"/>
      <c r="F57" s="35"/>
      <c r="G57" s="35"/>
      <c r="H57" s="35"/>
    </row>
    <row r="58" spans="1:13" x14ac:dyDescent="0.25">
      <c r="A58" s="65"/>
      <c r="B58" s="65"/>
      <c r="C58" s="65"/>
      <c r="H58" s="275"/>
    </row>
    <row r="60" spans="1:13" x14ac:dyDescent="0.25">
      <c r="A60" s="65"/>
      <c r="B60" s="65"/>
      <c r="C60" s="65"/>
      <c r="D60" s="65"/>
      <c r="E60" s="65"/>
      <c r="F60" s="65"/>
      <c r="G60" s="65"/>
    </row>
    <row r="61" spans="1:13" x14ac:dyDescent="0.25">
      <c r="H61" s="65"/>
    </row>
    <row r="82" spans="1:8" x14ac:dyDescent="0.25">
      <c r="A82" s="65"/>
      <c r="B82" s="65"/>
      <c r="C82" s="65"/>
      <c r="D82" s="65"/>
      <c r="E82" s="65"/>
      <c r="F82" s="65"/>
    </row>
    <row r="89" spans="1:8" x14ac:dyDescent="0.25">
      <c r="A89" s="65"/>
      <c r="B89" s="65"/>
      <c r="C89" s="65"/>
      <c r="D89" s="65"/>
      <c r="E89" s="65"/>
      <c r="F89" s="65"/>
      <c r="G89" s="65"/>
    </row>
    <row r="90" spans="1:8" x14ac:dyDescent="0.25">
      <c r="H90" s="65"/>
    </row>
    <row r="95" spans="1:8" x14ac:dyDescent="0.25">
      <c r="A95" s="65"/>
      <c r="B95" s="65"/>
      <c r="C95" s="65"/>
      <c r="D95" s="65"/>
      <c r="E95" s="65"/>
      <c r="F95" s="65"/>
      <c r="G95" s="65"/>
    </row>
    <row r="96" spans="1:8" x14ac:dyDescent="0.25">
      <c r="H96" s="65"/>
    </row>
    <row r="116" spans="1:7" x14ac:dyDescent="0.25">
      <c r="A116" s="65"/>
      <c r="B116" s="65"/>
      <c r="C116" s="65"/>
      <c r="D116" s="65"/>
      <c r="E116" s="65"/>
      <c r="F116" s="65"/>
      <c r="G116" s="65"/>
    </row>
  </sheetData>
  <sheetProtection sheet="1" objects="1" scenarios="1"/>
  <mergeCells count="33">
    <mergeCell ref="J51:M53"/>
    <mergeCell ref="A54:B54"/>
    <mergeCell ref="A38:G38"/>
    <mergeCell ref="J42:L43"/>
    <mergeCell ref="M42:M43"/>
    <mergeCell ref="J44:M46"/>
    <mergeCell ref="A6:H6"/>
    <mergeCell ref="A5:H5"/>
    <mergeCell ref="J14:M14"/>
    <mergeCell ref="J7:M7"/>
    <mergeCell ref="J49:L50"/>
    <mergeCell ref="M49:M50"/>
    <mergeCell ref="A8:H8"/>
    <mergeCell ref="A10:H10"/>
    <mergeCell ref="A11:H11"/>
    <mergeCell ref="A12:H12"/>
    <mergeCell ref="J26:M26"/>
    <mergeCell ref="J2:M2"/>
    <mergeCell ref="A55:B55"/>
    <mergeCell ref="A9:H9"/>
    <mergeCell ref="B15:B17"/>
    <mergeCell ref="C15:C17"/>
    <mergeCell ref="D15:D17"/>
    <mergeCell ref="E15:E17"/>
    <mergeCell ref="F15:F17"/>
    <mergeCell ref="H15:H17"/>
    <mergeCell ref="G15:G17"/>
    <mergeCell ref="A37:G37"/>
    <mergeCell ref="J41:M41"/>
    <mergeCell ref="J48:M48"/>
    <mergeCell ref="A2:H2"/>
    <mergeCell ref="A4:H4"/>
    <mergeCell ref="A7:H7"/>
  </mergeCells>
  <phoneticPr fontId="0" type="noConversion"/>
  <conditionalFormatting sqref="M42:M43">
    <cfRule type="containsText" dxfId="4" priority="2" operator="containsText" text="Yes">
      <formula>NOT(ISERROR(SEARCH("Yes",M42)))</formula>
    </cfRule>
  </conditionalFormatting>
  <conditionalFormatting sqref="M49:M50">
    <cfRule type="containsText" dxfId="3" priority="1" operator="containsText" text="Yes">
      <formula>NOT(ISERROR(SEARCH("Yes",M49)))</formula>
    </cfRule>
  </conditionalFormatting>
  <pageMargins left="0.9" right="0.9" top="0.96" bottom="0.5" header="0.41" footer="0.3"/>
  <pageSetup scale="67" orientation="portrait" blackAndWhite="1" r:id="rId1"/>
  <headerFooter alignWithMargins="0">
    <oddHeader xml:space="preserve">&amp;RState of Kansas
Township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40AEF-2323-4C1E-ADA2-39FDE8B401C8}">
  <sheetPr>
    <tabColor rgb="FF00B0F0"/>
    <pageSetUpPr fitToPage="1"/>
  </sheetPr>
  <dimension ref="A1:M116"/>
  <sheetViews>
    <sheetView zoomScaleNormal="100" workbookViewId="0">
      <selection activeCell="I1" sqref="I1"/>
    </sheetView>
  </sheetViews>
  <sheetFormatPr defaultRowHeight="15.75" x14ac:dyDescent="0.25"/>
  <cols>
    <col min="1" max="1" width="20.69921875" style="99" customWidth="1"/>
    <col min="2" max="2" width="12.69921875" style="99" customWidth="1"/>
    <col min="3" max="3" width="9.69921875" style="99" customWidth="1"/>
    <col min="4" max="4" width="12.69921875" style="99" customWidth="1"/>
    <col min="5" max="5" width="9.69921875" style="99" customWidth="1"/>
    <col min="6" max="6" width="12.69921875" style="99" customWidth="1"/>
    <col min="7" max="7" width="10.69921875" style="99" customWidth="1"/>
    <col min="8" max="8" width="9.69921875" style="99" customWidth="1"/>
    <col min="9" max="11" width="8.796875" style="99"/>
    <col min="12" max="12" width="10.69921875" style="99" customWidth="1"/>
    <col min="13" max="13" width="8.5" style="99" customWidth="1"/>
    <col min="14" max="16384" width="8.796875" style="99"/>
  </cols>
  <sheetData>
    <row r="1" spans="1:13" x14ac:dyDescent="0.25">
      <c r="A1" s="35"/>
      <c r="B1" s="35"/>
      <c r="C1" s="35"/>
      <c r="D1" s="35"/>
      <c r="E1" s="35"/>
      <c r="F1" s="35"/>
      <c r="G1" s="35"/>
      <c r="H1" s="36">
        <f>inputPrYr!D10</f>
        <v>2025</v>
      </c>
    </row>
    <row r="2" spans="1:13" x14ac:dyDescent="0.25">
      <c r="A2" s="804" t="s">
        <v>460</v>
      </c>
      <c r="B2" s="728"/>
      <c r="C2" s="728"/>
      <c r="D2" s="728"/>
      <c r="E2" s="728"/>
      <c r="F2" s="728"/>
      <c r="G2" s="728"/>
      <c r="H2" s="728"/>
    </row>
    <row r="3" spans="1:13" x14ac:dyDescent="0.25">
      <c r="A3" s="35"/>
      <c r="B3" s="35"/>
      <c r="C3" s="35"/>
      <c r="D3" s="35"/>
      <c r="E3" s="35"/>
      <c r="F3" s="39" t="s">
        <v>420</v>
      </c>
      <c r="G3" s="39" t="s">
        <v>421</v>
      </c>
      <c r="H3" s="35"/>
      <c r="J3" s="787" t="str">
        <f>CONCATENATE("Estimated Value Of One Mill For ",H1,"")</f>
        <v>Estimated Value Of One Mill For 2025</v>
      </c>
      <c r="K3" s="788"/>
      <c r="L3" s="788"/>
      <c r="M3" s="789"/>
    </row>
    <row r="4" spans="1:13" x14ac:dyDescent="0.25">
      <c r="A4" s="729" t="s">
        <v>422</v>
      </c>
      <c r="B4" s="729"/>
      <c r="C4" s="729"/>
      <c r="D4" s="729"/>
      <c r="E4" s="729"/>
      <c r="F4" s="729"/>
      <c r="G4" s="729"/>
      <c r="H4" s="729"/>
      <c r="J4" s="267"/>
      <c r="K4" s="4"/>
      <c r="L4" s="4"/>
      <c r="M4" s="266"/>
    </row>
    <row r="5" spans="1:13" x14ac:dyDescent="0.25">
      <c r="A5" s="676">
        <f>inputPrYr!D4</f>
        <v>0</v>
      </c>
      <c r="B5" s="676"/>
      <c r="C5" s="676"/>
      <c r="D5" s="676"/>
      <c r="E5" s="676"/>
      <c r="F5" s="676"/>
      <c r="G5" s="676"/>
      <c r="H5" s="676"/>
      <c r="J5" s="251" t="s">
        <v>423</v>
      </c>
      <c r="K5" s="35"/>
      <c r="L5" s="35"/>
      <c r="M5" s="439">
        <f>ROUND(F42/1000,0)</f>
        <v>0</v>
      </c>
    </row>
    <row r="6" spans="1:13" x14ac:dyDescent="0.25">
      <c r="A6" s="676">
        <f>inputPrYr!D5</f>
        <v>0</v>
      </c>
      <c r="B6" s="676"/>
      <c r="C6" s="676"/>
      <c r="D6" s="676"/>
      <c r="E6" s="676"/>
      <c r="F6" s="676"/>
      <c r="G6" s="676"/>
      <c r="H6" s="676"/>
      <c r="J6" s="265" t="s">
        <v>424</v>
      </c>
      <c r="K6" s="11"/>
      <c r="L6" s="11"/>
      <c r="M6" s="439">
        <f>ROUND(F43/1000,0)</f>
        <v>0</v>
      </c>
    </row>
    <row r="7" spans="1:13" x14ac:dyDescent="0.25">
      <c r="A7" s="727" t="str">
        <f>CONCATENATE("will meet on ",inputHearing!B32," at ",inputHearing!B34," at ",inputHearing!B36," for the purpose of hearing and")</f>
        <v>will meet on  at  at  for the purpose of hearing and</v>
      </c>
      <c r="B7" s="727"/>
      <c r="C7" s="727"/>
      <c r="D7" s="727"/>
      <c r="E7" s="727"/>
      <c r="F7" s="727"/>
      <c r="G7" s="727"/>
      <c r="H7" s="727"/>
    </row>
    <row r="8" spans="1:13" x14ac:dyDescent="0.25">
      <c r="A8" s="729" t="s">
        <v>425</v>
      </c>
      <c r="B8" s="677"/>
      <c r="C8" s="677"/>
      <c r="D8" s="677"/>
      <c r="E8" s="677"/>
      <c r="F8" s="677"/>
      <c r="G8" s="677"/>
      <c r="H8" s="677"/>
      <c r="J8" s="787" t="str">
        <f>CONCATENATE("Want The Mill Rate The Same As For ",H1-1,"?")</f>
        <v>Want The Mill Rate The Same As For 2024?</v>
      </c>
      <c r="K8" s="788"/>
      <c r="L8" s="788"/>
      <c r="M8" s="789"/>
    </row>
    <row r="9" spans="1:13" x14ac:dyDescent="0.25">
      <c r="A9" s="727" t="str">
        <f>CONCATENATE("Detailed budget information is available at ",inputHearing!B38," and will be available at this hearing.")</f>
        <v>Detailed budget information is available at  and will be available at this hearing.</v>
      </c>
      <c r="B9" s="728"/>
      <c r="C9" s="728"/>
      <c r="D9" s="728"/>
      <c r="E9" s="728"/>
      <c r="F9" s="728"/>
      <c r="G9" s="728"/>
      <c r="H9" s="728"/>
      <c r="J9" s="264"/>
      <c r="K9" s="4"/>
      <c r="L9" s="4"/>
      <c r="M9" s="263"/>
    </row>
    <row r="10" spans="1:13" x14ac:dyDescent="0.25">
      <c r="A10" s="804" t="s">
        <v>426</v>
      </c>
      <c r="B10" s="677"/>
      <c r="C10" s="677"/>
      <c r="D10" s="677"/>
      <c r="E10" s="677"/>
      <c r="F10" s="677"/>
      <c r="G10" s="677"/>
      <c r="H10" s="677"/>
      <c r="J10" s="264" t="str">
        <f>CONCATENATE("",H1-1," Mill Rate Was:")</f>
        <v>2024 Mill Rate Was:</v>
      </c>
      <c r="K10" s="4"/>
      <c r="L10" s="4"/>
      <c r="M10" s="262">
        <f>E36</f>
        <v>0</v>
      </c>
    </row>
    <row r="11" spans="1:13" x14ac:dyDescent="0.25">
      <c r="A11" s="729" t="str">
        <f>CONCATENATE("Proposed Budget ",H1," Expenditures and Amount of ",H1-1," Ad Valorem Tax establish the maximum limits")</f>
        <v>Proposed Budget 2025 Expenditures and Amount of 2024 Ad Valorem Tax establish the maximum limits</v>
      </c>
      <c r="B11" s="677"/>
      <c r="C11" s="677"/>
      <c r="D11" s="677"/>
      <c r="E11" s="677"/>
      <c r="F11" s="677"/>
      <c r="G11" s="677"/>
      <c r="H11" s="677"/>
      <c r="J11" s="261" t="str">
        <f>CONCATENATE("",H1," Tax Levy Fund Expenditures Must Be")</f>
        <v>2025 Tax Levy Fund Expenditures Must Be</v>
      </c>
      <c r="K11" s="260"/>
      <c r="L11" s="260"/>
      <c r="M11" s="263"/>
    </row>
    <row r="12" spans="1:13" x14ac:dyDescent="0.25">
      <c r="A12" s="729" t="str">
        <f>CONCATENATE("of the ",H1," budget.  Estimated Tax Rate is subject to change depending on the final assessed valuation.")</f>
        <v>of the 2025 budget.  Estimated Tax Rate is subject to change depending on the final assessed valuation.</v>
      </c>
      <c r="B12" s="677"/>
      <c r="C12" s="677"/>
      <c r="D12" s="677"/>
      <c r="E12" s="677"/>
      <c r="F12" s="677"/>
      <c r="G12" s="677"/>
      <c r="H12" s="677"/>
      <c r="J12" s="284" t="s">
        <v>427</v>
      </c>
      <c r="K12" s="260"/>
      <c r="L12" s="260"/>
      <c r="M12" s="259">
        <f>M24*-1</f>
        <v>0</v>
      </c>
    </row>
    <row r="13" spans="1:13" x14ac:dyDescent="0.25">
      <c r="A13" s="39"/>
      <c r="B13" s="35"/>
      <c r="C13" s="35"/>
      <c r="D13" s="35"/>
      <c r="E13" s="35"/>
      <c r="F13" s="35"/>
      <c r="G13" s="35"/>
      <c r="H13" s="35"/>
      <c r="J13" s="258" t="s">
        <v>428</v>
      </c>
      <c r="K13" s="256"/>
      <c r="L13" s="256"/>
      <c r="M13" s="257">
        <f>M25*-1</f>
        <v>0</v>
      </c>
    </row>
    <row r="14" spans="1:13" x14ac:dyDescent="0.25">
      <c r="A14" s="131"/>
      <c r="B14" s="125" t="str">
        <f>CONCATENATE("Prior Year Actual ",H1-2,"")</f>
        <v>Prior Year Actual 2023</v>
      </c>
      <c r="C14" s="126"/>
      <c r="D14" s="125" t="str">
        <f>CONCATENATE("Current Year Estimate ",H1-1,"")</f>
        <v>Current Year Estimate 2024</v>
      </c>
      <c r="E14" s="127"/>
      <c r="F14" s="128" t="str">
        <f>CONCATENATE("Proposed Budget ",H1,"")</f>
        <v>Proposed Budget 2025</v>
      </c>
      <c r="G14" s="129"/>
      <c r="H14" s="127"/>
      <c r="J14" s="1"/>
      <c r="K14" s="1"/>
      <c r="L14" s="1"/>
      <c r="M14" s="1"/>
    </row>
    <row r="15" spans="1:13" ht="22.5" customHeight="1" x14ac:dyDescent="0.25">
      <c r="A15" s="40"/>
      <c r="B15" s="792" t="s">
        <v>429</v>
      </c>
      <c r="C15" s="721" t="s">
        <v>430</v>
      </c>
      <c r="D15" s="792" t="s">
        <v>429</v>
      </c>
      <c r="E15" s="721" t="s">
        <v>430</v>
      </c>
      <c r="F15" s="795" t="s">
        <v>431</v>
      </c>
      <c r="G15" s="721" t="str">
        <f>CONCATENATE("Amount of ",H1-1," Ad Valorem Tax")</f>
        <v>Amount of 2024 Ad Valorem Tax</v>
      </c>
      <c r="H15" s="721" t="s">
        <v>432</v>
      </c>
      <c r="J15" s="787" t="str">
        <f>CONCATENATE("Impact On Keeping The Same Mill Rate As For ",H1-1,"")</f>
        <v>Impact On Keeping The Same Mill Rate As For 2024</v>
      </c>
      <c r="K15" s="805"/>
      <c r="L15" s="805"/>
      <c r="M15" s="806"/>
    </row>
    <row r="16" spans="1:13" x14ac:dyDescent="0.25">
      <c r="A16" s="40"/>
      <c r="B16" s="793"/>
      <c r="C16" s="730"/>
      <c r="D16" s="793"/>
      <c r="E16" s="730"/>
      <c r="F16" s="796"/>
      <c r="G16" s="798"/>
      <c r="H16" s="730"/>
      <c r="J16" s="264"/>
      <c r="K16" s="4"/>
      <c r="L16" s="4"/>
      <c r="M16" s="263"/>
    </row>
    <row r="17" spans="1:13" x14ac:dyDescent="0.25">
      <c r="A17" s="626" t="s">
        <v>124</v>
      </c>
      <c r="B17" s="794"/>
      <c r="C17" s="731"/>
      <c r="D17" s="794"/>
      <c r="E17" s="731"/>
      <c r="F17" s="797"/>
      <c r="G17" s="799"/>
      <c r="H17" s="731"/>
      <c r="J17" s="264" t="str">
        <f>CONCATENATE("",H1," Ad Valorem Tax Rev(Township Only):")</f>
        <v>2025 Ad Valorem Tax Rev(Township Only):</v>
      </c>
      <c r="K17" s="4"/>
      <c r="L17" s="4"/>
      <c r="M17" s="266">
        <f>SUM(G21:G24)</f>
        <v>0</v>
      </c>
    </row>
    <row r="18" spans="1:13" x14ac:dyDescent="0.25">
      <c r="A18" s="53" t="str">
        <f>inputPrYr!B21</f>
        <v>General</v>
      </c>
      <c r="B18" s="53" t="str">
        <f>IF(General!$C$49&lt;&gt;0,General!$C$49,"  ")</f>
        <v xml:space="preserve">  </v>
      </c>
      <c r="C18" s="55" t="str">
        <f>IF(inputPrYr!D50&gt;0,inputPrYr!D50,"  ")</f>
        <v xml:space="preserve">  </v>
      </c>
      <c r="D18" s="53" t="str">
        <f>IF(General!$D$49&lt;&gt;0,General!$D$49,"  ")</f>
        <v xml:space="preserve">  </v>
      </c>
      <c r="E18" s="55" t="str">
        <f>IF(inputOth!D40&gt;0,inputOth!D40,"  ")</f>
        <v xml:space="preserve">  </v>
      </c>
      <c r="F18" s="53" t="str">
        <f>IF(General!$E$49&lt;&gt;0,General!$E$49,"  ")</f>
        <v xml:space="preserve">  </v>
      </c>
      <c r="G18" s="53" t="str">
        <f>IF(General!$E$56&lt;&gt;0,General!$E$56,"")</f>
        <v/>
      </c>
      <c r="H18" s="55" t="str">
        <f>IF(General!E56&gt;0,ROUND(G18/F42*1000,3)," ")</f>
        <v xml:space="preserve"> </v>
      </c>
      <c r="J18" s="264" t="str">
        <f>CONCATENATE("",H1," Ad Valorem Tax Rev(Township Tot):")</f>
        <v>2025 Ad Valorem Tax Rev(Township Tot):</v>
      </c>
      <c r="K18" s="4"/>
      <c r="L18" s="4"/>
      <c r="M18" s="279">
        <f>SUM(G18,G19,G20,G25,G26,G27,G28,G29)</f>
        <v>0</v>
      </c>
    </row>
    <row r="19" spans="1:13" x14ac:dyDescent="0.25">
      <c r="A19" s="53" t="s">
        <v>101</v>
      </c>
      <c r="B19" s="53" t="str">
        <f>IF('DebtSvs-Library'!C34&lt;&gt;0,'DebtSvs-Library'!C34,"  ")</f>
        <v xml:space="preserve">  </v>
      </c>
      <c r="C19" s="55" t="str">
        <f>IF(inputPrYr!D51&gt;0,inputPrYr!D51,"  ")</f>
        <v xml:space="preserve">  </v>
      </c>
      <c r="D19" s="53" t="str">
        <f>IF('DebtSvs-Library'!D34&lt;&gt;0,'DebtSvs-Library'!D34,"  ")</f>
        <v xml:space="preserve">  </v>
      </c>
      <c r="E19" s="55" t="str">
        <f>IF(inputOth!D41&gt;0,inputOth!D41,"  ")</f>
        <v xml:space="preserve">  </v>
      </c>
      <c r="F19" s="53" t="str">
        <f>IF('DebtSvs-Library'!E34&lt;&gt;0,'DebtSvs-Library'!E34,"  ")</f>
        <v xml:space="preserve">  </v>
      </c>
      <c r="G19" s="53" t="str">
        <f>IF('DebtSvs-Library'!E41&lt;&gt;0,'DebtSvs-Library'!E41," ")</f>
        <v xml:space="preserve"> </v>
      </c>
      <c r="H19" s="55" t="str">
        <f>IF('DebtSvs-Library'!E41&gt;0,ROUND(G19/F42*1000,3)," ")</f>
        <v xml:space="preserve"> </v>
      </c>
      <c r="J19" s="264" t="str">
        <f>CONCATENATE("Total ",H1," Ad Valorem Tax Revenue:")</f>
        <v>Total 2025 Ad Valorem Tax Revenue:</v>
      </c>
      <c r="K19" s="35"/>
      <c r="L19" s="35"/>
      <c r="M19" s="280">
        <f>M17+M18</f>
        <v>0</v>
      </c>
    </row>
    <row r="20" spans="1:13" x14ac:dyDescent="0.25">
      <c r="A20" s="53" t="str">
        <f>IF(inputPrYr!$B23&gt;"  ",inputPrYr!$B23,"  ")</f>
        <v>Library</v>
      </c>
      <c r="B20" s="53" t="str">
        <f>IF('DebtSvs-Library'!C75&lt;&gt;0,'DebtSvs-Library'!C75,"  ")</f>
        <v xml:space="preserve">  </v>
      </c>
      <c r="C20" s="55" t="str">
        <f>IF(inputPrYr!D52&gt;0,inputPrYr!D52,"  ")</f>
        <v xml:space="preserve">  </v>
      </c>
      <c r="D20" s="53" t="str">
        <f>IF('DebtSvs-Library'!D75&lt;&gt;0,'DebtSvs-Library'!D75,"  ")</f>
        <v xml:space="preserve">  </v>
      </c>
      <c r="E20" s="55" t="str">
        <f>IF(inputOth!D42&gt;0,inputOth!D42,"  ")</f>
        <v xml:space="preserve">  </v>
      </c>
      <c r="F20" s="53" t="str">
        <f>IF('DebtSvs-Library'!E75&lt;&gt;0,'DebtSvs-Library'!E75,"  ")</f>
        <v xml:space="preserve">  </v>
      </c>
      <c r="G20" s="53" t="str">
        <f>IF('DebtSvs-Library'!E82&lt;&gt;0,'DebtSvs-Library'!E82," ")</f>
        <v xml:space="preserve"> </v>
      </c>
      <c r="H20" s="55" t="str">
        <f>IF('DebtSvs-Library'!E82&gt;0,ROUND(G20/F42*1000,3)," ")</f>
        <v xml:space="preserve"> </v>
      </c>
      <c r="J20" s="264" t="str">
        <f>CONCATENATE("",H1-1," Ad Valorem Tax Rev(Township Only):")</f>
        <v>2024 Ad Valorem Tax Rev(Township Only):</v>
      </c>
      <c r="K20" s="4"/>
      <c r="L20" s="4"/>
      <c r="M20" s="281">
        <f>ROUND(SUM(E21:E24)*F43/1000,0)</f>
        <v>0</v>
      </c>
    </row>
    <row r="21" spans="1:13" x14ac:dyDescent="0.25">
      <c r="A21" s="53" t="str">
        <f>IF(inputPrYr!$B24&gt;"  ",inputPrYr!$B24,"  ")</f>
        <v>Road</v>
      </c>
      <c r="B21" s="53" t="str">
        <f>IF(Road!$C$43&lt;&gt;0,Road!$C$43,"  ")</f>
        <v xml:space="preserve">  </v>
      </c>
      <c r="C21" s="55" t="str">
        <f>IF(inputPrYr!D53&gt;0,inputPrYr!D53,"  ")</f>
        <v xml:space="preserve">  </v>
      </c>
      <c r="D21" s="53" t="str">
        <f>IF(Road!$D$43&lt;&gt;0,Road!$D$43,"  ")</f>
        <v xml:space="preserve">  </v>
      </c>
      <c r="E21" s="55" t="str">
        <f>IF(inputOth!D43&gt;0,inputOth!D43,"  ")</f>
        <v xml:space="preserve">  </v>
      </c>
      <c r="F21" s="53" t="str">
        <f>IF(Road!$E$43&lt;&gt;0,Road!$E$43,"  ")</f>
        <v xml:space="preserve">  </v>
      </c>
      <c r="G21" s="53" t="str">
        <f>IF(Road!$E$50&lt;&gt;0,Road!$E$50,"  ")</f>
        <v xml:space="preserve">  </v>
      </c>
      <c r="H21" s="55" t="str">
        <f>IF(Road!E50&gt;0,ROUND(G21/F43*1000,3)," ")</f>
        <v xml:space="preserve"> </v>
      </c>
      <c r="J21" s="264" t="str">
        <f>CONCATENATE("",H1-1," Ad Valorem Tax Rev(Township Tot):")</f>
        <v>2024 Ad Valorem Tax Rev(Township Tot):</v>
      </c>
      <c r="K21" s="35"/>
      <c r="L21" s="35"/>
      <c r="M21" s="282">
        <f>ROUND(SUM(E18,E19,E20,(E25,E26,E27,E28,E29))*F42/1000,0)</f>
        <v>0</v>
      </c>
    </row>
    <row r="22" spans="1:13" x14ac:dyDescent="0.25">
      <c r="A22" s="53" t="str">
        <f>IF(inputPrYr!$B25&gt;"  ",inputPrYr!$B25,"  ")</f>
        <v>Special Road</v>
      </c>
      <c r="B22" s="53" t="str">
        <f>IF('Spec Road &amp; Noxious Weed'!$C$34&lt;&gt;0,'Spec Road &amp; Noxious Weed'!$C$34,"  ")</f>
        <v xml:space="preserve">  </v>
      </c>
      <c r="C22" s="55" t="str">
        <f>IF(inputPrYr!D54&gt;0,inputPrYr!D54,"  ")</f>
        <v xml:space="preserve">  </v>
      </c>
      <c r="D22" s="53" t="str">
        <f>IF('Spec Road &amp; Noxious Weed'!$D$34&lt;&gt;0,'Spec Road &amp; Noxious Weed'!$D$34,"  ")</f>
        <v xml:space="preserve">  </v>
      </c>
      <c r="E22" s="55" t="str">
        <f>IF(inputOth!D44&gt;0,inputOth!D44,"  ")</f>
        <v xml:space="preserve">  </v>
      </c>
      <c r="F22" s="53" t="str">
        <f>IF('Spec Road &amp; Noxious Weed'!$E$34&lt;&gt;0,'Spec Road &amp; Noxious Weed'!$E$34,"  ")</f>
        <v xml:space="preserve">  </v>
      </c>
      <c r="G22" s="53" t="str">
        <f>IF('Spec Road &amp; Noxious Weed'!$E$41&lt;&gt;0,'Spec Road &amp; Noxious Weed'!$E$41,"  ")</f>
        <v xml:space="preserve">  </v>
      </c>
      <c r="H22" s="55" t="str">
        <f>IF('Spec Road &amp; Noxious Weed'!E41&gt;0,ROUND(G22/F43*1000,3)," ")</f>
        <v xml:space="preserve"> </v>
      </c>
      <c r="J22" s="251" t="str">
        <f>CONCATENATE("Total ",H1-1," Ad Valorem Tax Revenue:")</f>
        <v>Total 2024 Ad Valorem Tax Revenue:</v>
      </c>
      <c r="K22" s="35"/>
      <c r="L22" s="35"/>
      <c r="M22" s="283">
        <f>M20+M21</f>
        <v>0</v>
      </c>
    </row>
    <row r="23" spans="1:13" x14ac:dyDescent="0.25">
      <c r="A23" s="53" t="str">
        <f>IF(inputPrYr!$B26&gt;"  ",inputPrYr!$B26,"  ")</f>
        <v>Noxious Weed</v>
      </c>
      <c r="B23" s="53" t="str">
        <f>IF('Spec Road &amp; Noxious Weed'!$C$75&lt;&gt;0,'Spec Road &amp; Noxious Weed'!$C$75,"  ")</f>
        <v xml:space="preserve">  </v>
      </c>
      <c r="C23" s="55" t="str">
        <f>IF(inputPrYr!D55&gt;0,inputPrYr!D55,"  ")</f>
        <v xml:space="preserve">  </v>
      </c>
      <c r="D23" s="53" t="str">
        <f>IF('Spec Road &amp; Noxious Weed'!$D$75&lt;&gt;0,'Spec Road &amp; Noxious Weed'!$D$75,"  ")</f>
        <v xml:space="preserve">  </v>
      </c>
      <c r="E23" s="55" t="str">
        <f>IF(inputOth!D45&gt;0,inputOth!D45,"  ")</f>
        <v xml:space="preserve">  </v>
      </c>
      <c r="F23" s="53" t="str">
        <f>IF('Spec Road &amp; Noxious Weed'!$E$75&lt;&gt;0,'Spec Road &amp; Noxious Weed'!$E$75,"  ")</f>
        <v xml:space="preserve">  </v>
      </c>
      <c r="G23" s="53" t="str">
        <f>IF('Spec Road &amp; Noxious Weed'!$E$82&lt;&gt;0,'Spec Road &amp; Noxious Weed'!$E$82,"  ")</f>
        <v xml:space="preserve">  </v>
      </c>
      <c r="H23" s="55" t="str">
        <f>IF('Spec Road &amp; Noxious Weed'!E82&gt;0,ROUND(G23/F43*1000,3)," ")</f>
        <v xml:space="preserve"> </v>
      </c>
      <c r="J23" s="261" t="s">
        <v>433</v>
      </c>
      <c r="K23" s="260"/>
      <c r="L23" s="260"/>
      <c r="M23" s="259">
        <f>M19-M22</f>
        <v>0</v>
      </c>
    </row>
    <row r="24" spans="1:13" x14ac:dyDescent="0.25">
      <c r="A24" s="53" t="str">
        <f>IF(inputPrYr!$B27&gt;"  ",inputPrYr!$B27,"  ")</f>
        <v>Fire Protection</v>
      </c>
      <c r="B24" s="53" t="str">
        <f>IF('Levy Page 10'!$C$34&lt;&gt;0,'Levy Page 10'!$C$34,"  ")</f>
        <v xml:space="preserve">  </v>
      </c>
      <c r="C24" s="55" t="str">
        <f>IF(inputPrYr!D56&gt;0,inputPrYr!D56,"  ")</f>
        <v xml:space="preserve">  </v>
      </c>
      <c r="D24" s="53" t="str">
        <f>IF('Levy Page 10'!$D$34&lt;&gt;0,'Levy Page 10'!$D$34,"  ")</f>
        <v xml:space="preserve">  </v>
      </c>
      <c r="E24" s="55" t="str">
        <f>IF(inputOth!D46&gt;0,inputOth!D46,"  ")</f>
        <v xml:space="preserve">  </v>
      </c>
      <c r="F24" s="53" t="str">
        <f>IF('Levy Page 10'!$E$34&lt;&gt;0,'Levy Page 10'!$E$34,"  ")</f>
        <v xml:space="preserve">  </v>
      </c>
      <c r="G24" s="53" t="str">
        <f>IF('Levy Page 10'!$E$41&lt;&gt;0,'Levy Page 10'!$E$41,"  ")</f>
        <v xml:space="preserve">  </v>
      </c>
      <c r="H24" s="55" t="str">
        <f>IF('Levy Page 10'!E41&gt;0,ROUND(G24/F43*1000,3)," ")</f>
        <v xml:space="preserve"> </v>
      </c>
      <c r="J24" s="284" t="s">
        <v>434</v>
      </c>
      <c r="K24" s="285"/>
      <c r="L24" s="285"/>
      <c r="M24" s="280">
        <f>M17-M20</f>
        <v>0</v>
      </c>
    </row>
    <row r="25" spans="1:13" x14ac:dyDescent="0.25">
      <c r="A25" s="53" t="str">
        <f>IF(inputPrYr!$B28&gt;"  ",inputPrYr!$B28,"  ")</f>
        <v xml:space="preserve">  </v>
      </c>
      <c r="B25" s="53" t="str">
        <f>IF('Levy Page 10'!$C$75&lt;&gt;0,'Levy Page 10'!$C$75,"  ")</f>
        <v xml:space="preserve">  </v>
      </c>
      <c r="C25" s="55" t="str">
        <f>IF(inputPrYr!D57&gt;0,inputPrYr!D57,"  ")</f>
        <v xml:space="preserve">  </v>
      </c>
      <c r="D25" s="53" t="str">
        <f>IF('Levy Page 10'!$D$75&lt;&gt;0,'Levy Page 10'!$D$75,"  ")</f>
        <v xml:space="preserve">  </v>
      </c>
      <c r="E25" s="55" t="str">
        <f>IF(inputOth!D47&gt;0,inputOth!D47,"  ")</f>
        <v xml:space="preserve">  </v>
      </c>
      <c r="F25" s="53" t="str">
        <f>IF('Levy Page 10'!$E$75&lt;&gt;0,'Levy Page 10'!$E$75,"  ")</f>
        <v xml:space="preserve">  </v>
      </c>
      <c r="G25" s="53" t="str">
        <f>IF('Levy Page 10'!$E$82&lt;&gt;0,'Levy Page 10'!$E$82,"  ")</f>
        <v xml:space="preserve">  </v>
      </c>
      <c r="H25" s="55" t="str">
        <f>IF('Levy Page 10'!E82&gt;0,ROUND(G25/F42*1000,3)," ")</f>
        <v xml:space="preserve"> </v>
      </c>
      <c r="J25" s="258" t="s">
        <v>435</v>
      </c>
      <c r="K25" s="256"/>
      <c r="L25" s="256"/>
      <c r="M25" s="257">
        <f>M18-M21</f>
        <v>0</v>
      </c>
    </row>
    <row r="26" spans="1:13" x14ac:dyDescent="0.25">
      <c r="A26" s="53" t="str">
        <f>IF(inputPrYr!$B29&gt;"  ",inputPrYr!$B29,"  ")</f>
        <v xml:space="preserve">  </v>
      </c>
      <c r="B26" s="53" t="str">
        <f>IF('Levy Page 11'!$C$34&lt;&gt;0,'Levy Page 11'!$C$34,"  ")</f>
        <v xml:space="preserve">  </v>
      </c>
      <c r="C26" s="55" t="str">
        <f>IF(inputPrYr!D58&gt;0,inputPrYr!D58,"  ")</f>
        <v xml:space="preserve">  </v>
      </c>
      <c r="D26" s="53" t="str">
        <f>IF('Levy Page 11'!$D$34&lt;&gt;0,'Levy Page 11'!$D$34,"  ")</f>
        <v xml:space="preserve">  </v>
      </c>
      <c r="E26" s="55" t="str">
        <f>IF(inputOth!D48&gt;0,inputOth!D48,"  ")</f>
        <v xml:space="preserve">  </v>
      </c>
      <c r="F26" s="53" t="str">
        <f>IF('Levy Page 11'!$E$34&lt;&gt;0,'Levy Page 11'!$E$34,"  ")</f>
        <v xml:space="preserve">  </v>
      </c>
      <c r="G26" s="53" t="str">
        <f>IF('Levy Page 11'!$E$41&lt;&gt;0,'Levy Page 11'!$E$41,"  ")</f>
        <v xml:space="preserve">  </v>
      </c>
      <c r="H26" s="55" t="str">
        <f>IF('Levy Page 11'!E41&gt;0,ROUND(G26/F42*1000,3)," ")</f>
        <v xml:space="preserve"> </v>
      </c>
    </row>
    <row r="27" spans="1:13" x14ac:dyDescent="0.25">
      <c r="A27" s="53" t="str">
        <f>IF(inputPrYr!$B30&gt;"  ",inputPrYr!$B30,"  ")</f>
        <v xml:space="preserve">  </v>
      </c>
      <c r="B27" s="53" t="str">
        <f>IF('Levy Page 11'!$C$75&lt;&gt;0,'Levy Page 11'!$C$75,"  ")</f>
        <v xml:space="preserve">  </v>
      </c>
      <c r="C27" s="55" t="str">
        <f>IF(inputPrYr!D59&gt;0,inputPrYr!D59,"  ")</f>
        <v xml:space="preserve">  </v>
      </c>
      <c r="D27" s="53" t="str">
        <f>IF('Levy Page 11'!$D$75&lt;&gt;0,'Levy Page 11'!$D$75,"  ")</f>
        <v xml:space="preserve">  </v>
      </c>
      <c r="E27" s="55" t="str">
        <f>IF(inputOth!D49&gt;0,inputOth!D49,"  ")</f>
        <v xml:space="preserve">  </v>
      </c>
      <c r="F27" s="53" t="str">
        <f>IF('Levy Page 11'!$E$75&lt;&gt;0,'Levy Page 11'!$E$75,"  ")</f>
        <v xml:space="preserve">  </v>
      </c>
      <c r="G27" s="53" t="str">
        <f>IF('Levy Page 11'!$E$82&lt;&gt;0,'Levy Page 11'!$E$82,"  ")</f>
        <v xml:space="preserve">  </v>
      </c>
      <c r="H27" s="55" t="str">
        <f>IF('Levy Page 11'!E82&gt;0,ROUND(G27/F42*1000,3)," ")</f>
        <v xml:space="preserve"> </v>
      </c>
      <c r="J27" s="787" t="s">
        <v>436</v>
      </c>
      <c r="K27" s="788"/>
      <c r="L27" s="788"/>
      <c r="M27" s="789"/>
    </row>
    <row r="28" spans="1:13" x14ac:dyDescent="0.25">
      <c r="A28" s="53" t="str">
        <f>IF(inputPrYr!$B31&gt;"  ",inputPrYr!$B31,"  ")</f>
        <v xml:space="preserve">  </v>
      </c>
      <c r="B28" s="53" t="str">
        <f>IF('Levy Page 12'!$C$34&lt;&gt;0,'Levy Page 12'!$C$34,"  ")</f>
        <v xml:space="preserve">  </v>
      </c>
      <c r="C28" s="55" t="str">
        <f>IF(inputPrYr!D60&gt;0,inputPrYr!D60,"  ")</f>
        <v xml:space="preserve">  </v>
      </c>
      <c r="D28" s="53" t="str">
        <f>IF('Levy Page 12'!$D$34&lt;&gt;0,'Levy Page 12'!$D$34,"  ")</f>
        <v xml:space="preserve">  </v>
      </c>
      <c r="E28" s="55" t="str">
        <f>IF(inputOth!D50&gt;0,inputOth!D50,"  ")</f>
        <v xml:space="preserve">  </v>
      </c>
      <c r="F28" s="53" t="str">
        <f>IF('Levy Page 12'!$E$34&lt;&gt;0,'Levy Page 12'!$E$34,"  ")</f>
        <v xml:space="preserve">  </v>
      </c>
      <c r="G28" s="53" t="str">
        <f>IF('Levy Page 12'!$E$41&lt;&gt;0,'Levy Page 12'!$E$41,"  ")</f>
        <v xml:space="preserve">  </v>
      </c>
      <c r="H28" s="55" t="str">
        <f>IF('Levy Page 12'!E41&gt;0,ROUND(G28/F42*1000,3)," ")</f>
        <v xml:space="preserve"> </v>
      </c>
      <c r="J28" s="264"/>
      <c r="K28" s="4"/>
      <c r="L28" s="4"/>
      <c r="M28" s="263"/>
    </row>
    <row r="29" spans="1:13" x14ac:dyDescent="0.25">
      <c r="A29" s="53" t="str">
        <f>IF(inputPrYr!$B32&gt;"  ",inputPrYr!$B32,"  ")</f>
        <v xml:space="preserve">  </v>
      </c>
      <c r="B29" s="53" t="str">
        <f>IF('Levy Page 12'!$C$75&lt;&gt;0,'Levy Page 12'!$C$75,"  ")</f>
        <v xml:space="preserve">  </v>
      </c>
      <c r="C29" s="55" t="str">
        <f>IF(inputPrYr!D61&gt;0,inputPrYr!D61,"  ")</f>
        <v xml:space="preserve">  </v>
      </c>
      <c r="D29" s="53" t="str">
        <f>IF('Levy Page 12'!$D$75&lt;&gt;0,'Levy Page 12'!$D$75,"  ")</f>
        <v xml:space="preserve">  </v>
      </c>
      <c r="E29" s="55" t="str">
        <f>IF(inputOth!D51&gt;0,inputOth!D51,"  ")</f>
        <v xml:space="preserve">  </v>
      </c>
      <c r="F29" s="53" t="str">
        <f>IF('Levy Page 12'!$E$75&lt;&gt;0,'Levy Page 12'!$E$75,"  ")</f>
        <v xml:space="preserve">  </v>
      </c>
      <c r="G29" s="53" t="str">
        <f>IF('Levy Page 12'!$E$82&lt;&gt;0,'Levy Page 12'!$E$82,"  ")</f>
        <v xml:space="preserve">  </v>
      </c>
      <c r="H29" s="55" t="str">
        <f>IF('Levy Page 12'!E82&gt;0,ROUND(G29/F42*1000,3)," ")</f>
        <v xml:space="preserve"> </v>
      </c>
      <c r="I29" s="268"/>
      <c r="J29" s="270" t="str">
        <f>CONCATENATE("Enter Desired ",$H$1," Mill Rate:")</f>
        <v>Enter Desired 2025 Mill Rate:</v>
      </c>
      <c r="K29" s="271"/>
      <c r="L29" s="272"/>
      <c r="M29" s="269"/>
    </row>
    <row r="30" spans="1:13" x14ac:dyDescent="0.25">
      <c r="A30" s="53" t="str">
        <f>IF(inputPrYr!$B36&gt;"  ",inputPrYr!$B36,"  ")</f>
        <v xml:space="preserve">  </v>
      </c>
      <c r="B30" s="53" t="str">
        <f>IF('No Levy Page 13'!$C$27&lt;&gt;0,'No Levy Page 13'!$C$27,"  ")</f>
        <v xml:space="preserve">  </v>
      </c>
      <c r="C30" s="55"/>
      <c r="D30" s="53" t="str">
        <f>IF('No Levy Page 13'!$D$27&lt;&gt;0,'No Levy Page 13'!$D$27,"  ")</f>
        <v xml:space="preserve">  </v>
      </c>
      <c r="E30" s="55"/>
      <c r="F30" s="53" t="str">
        <f>IF('No Levy Page 13'!$E$27&lt;&gt;0,'No Levy Page 13'!$E$27,"  ")</f>
        <v xml:space="preserve">  </v>
      </c>
      <c r="G30" s="53"/>
      <c r="H30" s="55"/>
      <c r="J30" s="583" t="s">
        <v>437</v>
      </c>
      <c r="K30" s="584"/>
      <c r="L30" s="584"/>
      <c r="M30" s="585">
        <f>H37</f>
        <v>0</v>
      </c>
    </row>
    <row r="31" spans="1:13" x14ac:dyDescent="0.25">
      <c r="A31" s="53" t="str">
        <f>IF(inputPrYr!$B37&gt;"  ",inputPrYr!$B37,"  ")</f>
        <v xml:space="preserve">  </v>
      </c>
      <c r="B31" s="53" t="str">
        <f>IF('No Levy Page 13'!$C$57&lt;&gt;0,'No Levy Page 13'!$C$57,"  ")</f>
        <v xml:space="preserve">  </v>
      </c>
      <c r="C31" s="55"/>
      <c r="D31" s="53" t="str">
        <f>IF('No Levy Page 13'!$D$57&lt;&gt;0,'No Levy Page 13'!$D$57,"  ")</f>
        <v xml:space="preserve">  </v>
      </c>
      <c r="E31" s="55"/>
      <c r="F31" s="53" t="str">
        <f>IF('No Levy Page 13'!$E$57&lt;&gt;0,'No Levy Page 13'!$E$57,"  ")</f>
        <v xml:space="preserve">  </v>
      </c>
      <c r="G31" s="53"/>
      <c r="H31" s="55"/>
      <c r="J31" s="583" t="s">
        <v>438</v>
      </c>
      <c r="K31" s="584"/>
      <c r="L31" s="584"/>
      <c r="M31" s="585">
        <f>H38</f>
        <v>0</v>
      </c>
    </row>
    <row r="32" spans="1:13" x14ac:dyDescent="0.25">
      <c r="A32" s="53" t="str">
        <f>IF(inputPrYr!$B38&gt;"  ",inputPrYr!$B38,"  ")</f>
        <v xml:space="preserve">  </v>
      </c>
      <c r="B32" s="53" t="str">
        <f>IF('No Levy Page 14'!$C$27&lt;&gt;0,'No Levy Page 14'!$C$27,"  ")</f>
        <v xml:space="preserve">  </v>
      </c>
      <c r="C32" s="55"/>
      <c r="D32" s="53" t="str">
        <f>IF('No Levy Page 14'!$D$27&lt;&gt;0,'No Levy Page 14'!$D$27,"  ")</f>
        <v xml:space="preserve">  </v>
      </c>
      <c r="E32" s="55"/>
      <c r="F32" s="53" t="str">
        <f>IF('No Levy Page 14'!$E$27&lt;&gt;0,'No Levy Page 14'!$E$27,"  ")</f>
        <v xml:space="preserve">  </v>
      </c>
      <c r="G32" s="53"/>
      <c r="H32" s="55"/>
      <c r="J32" s="264" t="s">
        <v>439</v>
      </c>
      <c r="K32" s="4"/>
      <c r="L32" s="4"/>
      <c r="M32" s="276">
        <f>SUM(H21:H24)</f>
        <v>0</v>
      </c>
    </row>
    <row r="33" spans="1:13" x14ac:dyDescent="0.25">
      <c r="A33" s="53" t="str">
        <f>IF(inputPrYr!$B39&gt;"  ",inputPrYr!$B39,"  ")</f>
        <v xml:space="preserve">  </v>
      </c>
      <c r="B33" s="53" t="str">
        <f>IF('No Levy Page 14'!$C$57&lt;&gt;0,'No Levy Page 14'!$C$57,"  ")</f>
        <v xml:space="preserve">  </v>
      </c>
      <c r="C33" s="55"/>
      <c r="D33" s="53" t="str">
        <f>IF('No Levy Page 14'!$D$57&lt;&gt;0,'No Levy Page 14'!$D$57,"  ")</f>
        <v xml:space="preserve">  </v>
      </c>
      <c r="E33" s="55"/>
      <c r="F33" s="53" t="str">
        <f>IF('No Levy Page 14'!$E$57&lt;&gt;0,'No Levy Page 14'!$E$57,"  ")</f>
        <v xml:space="preserve">  </v>
      </c>
      <c r="G33" s="53"/>
      <c r="H33" s="55"/>
      <c r="J33" s="264" t="s">
        <v>440</v>
      </c>
      <c r="K33" s="4"/>
      <c r="L33" s="4"/>
      <c r="M33" s="585">
        <f>SUM(H18:H20,H25:H29)</f>
        <v>0</v>
      </c>
    </row>
    <row r="34" spans="1:13" x14ac:dyDescent="0.25">
      <c r="A34" s="53" t="str">
        <f>IF((inputPrYr!$B42&gt;"  "),('Non-Budgeted Funds'!$A3),"  ")</f>
        <v xml:space="preserve">  </v>
      </c>
      <c r="B34" s="416" t="str">
        <f>IF(('Non-Budgeted Funds'!$K$28)&lt;&gt;0,('Non-Budgeted Funds'!$K$28),"  ")</f>
        <v xml:space="preserve">  </v>
      </c>
      <c r="C34" s="211"/>
      <c r="D34" s="53"/>
      <c r="E34" s="55"/>
      <c r="F34" s="53"/>
      <c r="G34" s="53"/>
      <c r="H34" s="55"/>
      <c r="J34" s="264" t="str">
        <f>CONCATENATE("Current ",$H$1," Estimated Mill Rate:")</f>
        <v>Current 2025 Estimated Mill Rate:</v>
      </c>
      <c r="K34" s="4"/>
      <c r="L34" s="4"/>
      <c r="M34" s="276">
        <f>H36</f>
        <v>0</v>
      </c>
    </row>
    <row r="35" spans="1:13" x14ac:dyDescent="0.25">
      <c r="A35" s="61" t="s">
        <v>183</v>
      </c>
      <c r="B35" s="53" t="str">
        <f>IF(Road!C64&lt;&gt;0,Road!C64,"  ")</f>
        <v xml:space="preserve">  </v>
      </c>
      <c r="C35" s="132"/>
      <c r="D35" s="132"/>
      <c r="E35" s="132"/>
      <c r="F35" s="132"/>
      <c r="G35" s="132"/>
      <c r="H35" s="132"/>
      <c r="J35" s="264" t="s">
        <v>441</v>
      </c>
      <c r="K35" s="4"/>
      <c r="L35" s="4"/>
      <c r="M35" s="277">
        <f>M29-M34</f>
        <v>0</v>
      </c>
    </row>
    <row r="36" spans="1:13" ht="16.5" thickBot="1" x14ac:dyDescent="0.3">
      <c r="A36" s="529" t="s">
        <v>184</v>
      </c>
      <c r="B36" s="605">
        <f t="shared" ref="B36:H36" si="0">SUM(B18:B35)</f>
        <v>0</v>
      </c>
      <c r="C36" s="606">
        <f t="shared" si="0"/>
        <v>0</v>
      </c>
      <c r="D36" s="605">
        <f t="shared" si="0"/>
        <v>0</v>
      </c>
      <c r="E36" s="606">
        <f t="shared" si="0"/>
        <v>0</v>
      </c>
      <c r="F36" s="605">
        <f t="shared" si="0"/>
        <v>0</v>
      </c>
      <c r="G36" s="605">
        <f t="shared" si="0"/>
        <v>0</v>
      </c>
      <c r="H36" s="606">
        <f t="shared" si="0"/>
        <v>0</v>
      </c>
      <c r="J36" s="251" t="s">
        <v>442</v>
      </c>
      <c r="K36" s="35"/>
      <c r="L36" s="35"/>
      <c r="M36" s="274">
        <f>IF(M29=0,0,ROUND(SUM(H21:H24)/M34,2))</f>
        <v>0</v>
      </c>
    </row>
    <row r="37" spans="1:13" ht="16.5" thickTop="1" x14ac:dyDescent="0.25">
      <c r="A37" s="800" t="s">
        <v>444</v>
      </c>
      <c r="B37" s="801"/>
      <c r="C37" s="801"/>
      <c r="D37" s="801"/>
      <c r="E37" s="801"/>
      <c r="F37" s="801"/>
      <c r="G37" s="802"/>
      <c r="H37" s="528">
        <f>inputOth!D36</f>
        <v>0</v>
      </c>
      <c r="J37" s="251" t="s">
        <v>443</v>
      </c>
      <c r="K37" s="35"/>
      <c r="L37" s="35"/>
      <c r="M37" s="274">
        <f>IF(M29=0,0,ROUND(SUM(H18+H19+H20+H25+H26+H27+H28+H29)/M34,2))</f>
        <v>0</v>
      </c>
    </row>
    <row r="38" spans="1:13" x14ac:dyDescent="0.25">
      <c r="A38" s="814" t="s">
        <v>445</v>
      </c>
      <c r="B38" s="815"/>
      <c r="C38" s="815"/>
      <c r="D38" s="815"/>
      <c r="E38" s="815"/>
      <c r="F38" s="815"/>
      <c r="G38" s="816"/>
      <c r="H38" s="524">
        <f>inputOth!E36</f>
        <v>0</v>
      </c>
      <c r="J38" s="261" t="str">
        <f>CONCATENATE("",$H$1," Tax Levy Fund Total Exp. Changed By:")</f>
        <v>2025 Tax Levy Fund Total Exp. Changed By:</v>
      </c>
      <c r="K38" s="260"/>
      <c r="L38" s="260"/>
      <c r="M38" s="266"/>
    </row>
    <row r="39" spans="1:13" x14ac:dyDescent="0.25">
      <c r="A39" s="527" t="s">
        <v>446</v>
      </c>
      <c r="B39" s="143">
        <f>Transfers!C26</f>
        <v>0</v>
      </c>
      <c r="C39" s="35"/>
      <c r="D39" s="143">
        <f>Transfers!D26</f>
        <v>0</v>
      </c>
      <c r="E39" s="133"/>
      <c r="F39" s="143">
        <f>Transfers!E26</f>
        <v>0</v>
      </c>
      <c r="G39" s="35"/>
      <c r="H39" s="35"/>
      <c r="J39" s="284" t="s">
        <v>427</v>
      </c>
      <c r="K39" s="285"/>
      <c r="L39" s="285"/>
      <c r="M39" s="280">
        <f>ROUND(F43*M35*M36/1000,0)</f>
        <v>0</v>
      </c>
    </row>
    <row r="40" spans="1:13" ht="16.5" thickBot="1" x14ac:dyDescent="0.3">
      <c r="A40" s="61" t="s">
        <v>447</v>
      </c>
      <c r="B40" s="605">
        <f>B36-B39</f>
        <v>0</v>
      </c>
      <c r="C40" s="35"/>
      <c r="D40" s="605">
        <f>D36-D39</f>
        <v>0</v>
      </c>
      <c r="E40" s="35"/>
      <c r="F40" s="605">
        <f>F36-F39</f>
        <v>0</v>
      </c>
      <c r="G40" s="35"/>
      <c r="H40" s="35"/>
      <c r="J40" s="258" t="s">
        <v>428</v>
      </c>
      <c r="K40" s="256"/>
      <c r="L40" s="256"/>
      <c r="M40" s="257">
        <f>ROUND(F42*M35*M37/1000,0)</f>
        <v>0</v>
      </c>
    </row>
    <row r="41" spans="1:13" ht="16.5" thickTop="1" x14ac:dyDescent="0.25">
      <c r="A41" s="61" t="s">
        <v>448</v>
      </c>
      <c r="B41" s="143">
        <f>inputPrYr!E64</f>
        <v>0</v>
      </c>
      <c r="C41" s="133"/>
      <c r="D41" s="143">
        <f>inputPrYr!E33</f>
        <v>0</v>
      </c>
      <c r="E41" s="35"/>
      <c r="F41" s="243" t="s">
        <v>185</v>
      </c>
      <c r="G41" s="35"/>
      <c r="H41" s="35"/>
      <c r="M41" s="278"/>
    </row>
    <row r="42" spans="1:13" x14ac:dyDescent="0.25">
      <c r="A42" s="61" t="s">
        <v>450</v>
      </c>
      <c r="B42" s="53">
        <f>inputPrYr!E65</f>
        <v>0</v>
      </c>
      <c r="C42" s="133"/>
      <c r="D42" s="53">
        <f>inputOth!E58</f>
        <v>0</v>
      </c>
      <c r="E42" s="133"/>
      <c r="F42" s="53">
        <f>inputOth!E11</f>
        <v>0</v>
      </c>
      <c r="G42" s="35"/>
      <c r="H42" s="35"/>
      <c r="J42" s="803" t="s">
        <v>449</v>
      </c>
      <c r="K42" s="803"/>
      <c r="L42" s="803"/>
      <c r="M42" s="803"/>
    </row>
    <row r="43" spans="1:13" x14ac:dyDescent="0.25">
      <c r="A43" s="43" t="s">
        <v>452</v>
      </c>
      <c r="B43" s="134"/>
      <c r="C43" s="35"/>
      <c r="D43" s="72"/>
      <c r="E43" s="35"/>
      <c r="F43" s="53">
        <f>inputOth!E8</f>
        <v>0</v>
      </c>
      <c r="G43" s="35"/>
      <c r="H43" s="35"/>
      <c r="J43" s="807" t="s">
        <v>451</v>
      </c>
      <c r="K43" s="808"/>
      <c r="L43" s="808"/>
      <c r="M43" s="811" t="str">
        <f>IF(M32&gt;M30, "Yes", "No")</f>
        <v>No</v>
      </c>
    </row>
    <row r="44" spans="1:13" x14ac:dyDescent="0.25">
      <c r="A44" s="39"/>
      <c r="B44" s="72"/>
      <c r="C44" s="35"/>
      <c r="D44" s="72"/>
      <c r="E44" s="35"/>
      <c r="F44" s="72"/>
      <c r="G44" s="35"/>
      <c r="H44" s="35"/>
      <c r="J44" s="809"/>
      <c r="K44" s="810"/>
      <c r="L44" s="810"/>
      <c r="M44" s="812"/>
    </row>
    <row r="45" spans="1:13" x14ac:dyDescent="0.25">
      <c r="A45" s="39" t="s">
        <v>453</v>
      </c>
      <c r="B45" s="35"/>
      <c r="C45" s="35"/>
      <c r="D45" s="35"/>
      <c r="E45" s="35"/>
      <c r="F45" s="35"/>
      <c r="G45" s="35"/>
      <c r="H45" s="35"/>
      <c r="J45" s="769" t="str">
        <f>IF(M43="Yes", "Follow procedure prescirbed by KSA 79-2988 to exceed the Revenue Neutral Rate.", " ")</f>
        <v xml:space="preserve"> </v>
      </c>
      <c r="K45" s="769"/>
      <c r="L45" s="769"/>
      <c r="M45" s="769"/>
    </row>
    <row r="46" spans="1:13" x14ac:dyDescent="0.25">
      <c r="A46" s="39" t="s">
        <v>454</v>
      </c>
      <c r="B46" s="135">
        <f>H1-3</f>
        <v>2022</v>
      </c>
      <c r="C46" s="35"/>
      <c r="D46" s="135">
        <f>H1-2</f>
        <v>2023</v>
      </c>
      <c r="E46" s="35"/>
      <c r="F46" s="135">
        <f>H1-1</f>
        <v>2024</v>
      </c>
      <c r="G46" s="35"/>
      <c r="H46" s="35"/>
      <c r="J46" s="770"/>
      <c r="K46" s="770"/>
      <c r="L46" s="770"/>
      <c r="M46" s="770"/>
    </row>
    <row r="47" spans="1:13" x14ac:dyDescent="0.25">
      <c r="A47" s="39" t="s">
        <v>254</v>
      </c>
      <c r="B47" s="46">
        <f>inputPrYr!D68</f>
        <v>0</v>
      </c>
      <c r="C47" s="69"/>
      <c r="D47" s="46">
        <f>inputPrYr!E68</f>
        <v>0</v>
      </c>
      <c r="E47" s="69"/>
      <c r="F47" s="46">
        <f>'Debt-LP Form'!F11</f>
        <v>0</v>
      </c>
      <c r="G47" s="35"/>
      <c r="H47" s="35"/>
      <c r="J47" s="770"/>
      <c r="K47" s="770"/>
      <c r="L47" s="770"/>
      <c r="M47" s="770"/>
    </row>
    <row r="48" spans="1:13" x14ac:dyDescent="0.25">
      <c r="A48" s="39" t="s">
        <v>256</v>
      </c>
      <c r="B48" s="46">
        <f>inputPrYr!D69</f>
        <v>0</v>
      </c>
      <c r="C48" s="69"/>
      <c r="D48" s="46">
        <f>inputPrYr!E69</f>
        <v>0</v>
      </c>
      <c r="E48" s="69"/>
      <c r="F48" s="46">
        <f>'Debt-LP Form'!F15</f>
        <v>0</v>
      </c>
      <c r="G48" s="35"/>
      <c r="H48" s="35"/>
    </row>
    <row r="49" spans="1:13" x14ac:dyDescent="0.25">
      <c r="A49" s="39" t="s">
        <v>456</v>
      </c>
      <c r="B49" s="46">
        <f>inputPrYr!D70</f>
        <v>0</v>
      </c>
      <c r="C49" s="69"/>
      <c r="D49" s="46">
        <f>inputPrYr!E70</f>
        <v>0</v>
      </c>
      <c r="E49" s="69"/>
      <c r="F49" s="46">
        <f>'Debt-LP Form'!G36</f>
        <v>0</v>
      </c>
      <c r="G49" s="35"/>
      <c r="H49" s="35"/>
      <c r="J49" s="803" t="s">
        <v>455</v>
      </c>
      <c r="K49" s="803"/>
      <c r="L49" s="803"/>
      <c r="M49" s="803"/>
    </row>
    <row r="50" spans="1:13" ht="16.5" thickBot="1" x14ac:dyDescent="0.3">
      <c r="A50" s="39" t="s">
        <v>457</v>
      </c>
      <c r="B50" s="607">
        <f>SUM(B47:B49)</f>
        <v>0</v>
      </c>
      <c r="C50" s="69"/>
      <c r="D50" s="607">
        <f>SUM(D47:D49)</f>
        <v>0</v>
      </c>
      <c r="E50" s="69"/>
      <c r="F50" s="607">
        <f>SUM(F47:F49)</f>
        <v>0</v>
      </c>
      <c r="G50" s="35"/>
      <c r="H50" s="35"/>
      <c r="J50" s="807" t="s">
        <v>451</v>
      </c>
      <c r="K50" s="808"/>
      <c r="L50" s="808"/>
      <c r="M50" s="811" t="str">
        <f>IF(M33&gt;M31, "Yes", "No")</f>
        <v>No</v>
      </c>
    </row>
    <row r="51" spans="1:13" ht="16.5" thickTop="1" x14ac:dyDescent="0.25">
      <c r="A51" s="39" t="s">
        <v>458</v>
      </c>
      <c r="B51" s="35"/>
      <c r="C51" s="35"/>
      <c r="D51" s="35"/>
      <c r="E51" s="35"/>
      <c r="F51" s="35"/>
      <c r="G51" s="35"/>
      <c r="H51" s="35"/>
      <c r="J51" s="809"/>
      <c r="K51" s="810"/>
      <c r="L51" s="810"/>
      <c r="M51" s="812"/>
    </row>
    <row r="52" spans="1:13" x14ac:dyDescent="0.25">
      <c r="A52" s="525" t="s">
        <v>459</v>
      </c>
      <c r="B52" s="35"/>
      <c r="C52" s="35"/>
      <c r="D52" s="35"/>
      <c r="E52" s="35"/>
      <c r="F52" s="35"/>
      <c r="G52" s="35"/>
      <c r="H52" s="35"/>
      <c r="J52" s="769" t="str">
        <f>IF(M50="Yes", "Follow procedure prescirbed by KSA 79-2988 to exceed the Revenue Neutral Rate.", " ")</f>
        <v xml:space="preserve"> </v>
      </c>
      <c r="K52" s="769"/>
      <c r="L52" s="769"/>
      <c r="M52" s="769"/>
    </row>
    <row r="53" spans="1:13" x14ac:dyDescent="0.25">
      <c r="A53" s="35"/>
      <c r="B53" s="35"/>
      <c r="C53" s="35"/>
      <c r="D53" s="35"/>
      <c r="E53" s="35"/>
      <c r="F53" s="35"/>
      <c r="G53" s="35"/>
      <c r="H53" s="35"/>
      <c r="J53" s="770"/>
      <c r="K53" s="770"/>
      <c r="L53" s="770"/>
      <c r="M53" s="770"/>
    </row>
    <row r="54" spans="1:13" x14ac:dyDescent="0.25">
      <c r="A54" s="813">
        <f>inputHearing!B28</f>
        <v>0</v>
      </c>
      <c r="B54" s="813"/>
      <c r="C54" s="35"/>
      <c r="D54" s="35"/>
      <c r="E54" s="35"/>
      <c r="F54" s="35"/>
      <c r="G54" s="35"/>
      <c r="H54" s="35"/>
      <c r="J54" s="770"/>
      <c r="K54" s="770"/>
      <c r="L54" s="770"/>
      <c r="M54" s="770"/>
    </row>
    <row r="55" spans="1:13" x14ac:dyDescent="0.25">
      <c r="A55" s="790">
        <f>inputHearing!B30</f>
        <v>0</v>
      </c>
      <c r="B55" s="791"/>
      <c r="C55" s="35"/>
      <c r="D55" s="35"/>
      <c r="E55" s="35"/>
      <c r="F55" s="35"/>
      <c r="G55" s="35"/>
      <c r="H55" s="35"/>
    </row>
    <row r="56" spans="1:13" x14ac:dyDescent="0.25">
      <c r="A56" s="35"/>
      <c r="B56" s="35"/>
      <c r="C56" s="35"/>
      <c r="D56" s="35"/>
      <c r="E56" s="35"/>
      <c r="F56" s="35"/>
      <c r="G56" s="35"/>
      <c r="H56" s="35"/>
    </row>
    <row r="57" spans="1:13" x14ac:dyDescent="0.25">
      <c r="A57" s="35"/>
      <c r="B57" s="136" t="s">
        <v>370</v>
      </c>
      <c r="C57" s="440"/>
      <c r="D57" s="35"/>
      <c r="E57" s="35"/>
      <c r="F57" s="35"/>
      <c r="G57" s="35"/>
      <c r="H57" s="35"/>
    </row>
    <row r="58" spans="1:13" x14ac:dyDescent="0.25">
      <c r="A58" s="65"/>
      <c r="B58" s="65"/>
      <c r="C58" s="65"/>
      <c r="H58" s="275"/>
    </row>
    <row r="60" spans="1:13" x14ac:dyDescent="0.25">
      <c r="A60" s="65"/>
      <c r="B60" s="65"/>
      <c r="C60" s="65"/>
      <c r="D60" s="65"/>
      <c r="E60" s="65"/>
      <c r="F60" s="65"/>
      <c r="G60" s="65"/>
    </row>
    <row r="61" spans="1:13" x14ac:dyDescent="0.25">
      <c r="H61" s="65"/>
    </row>
    <row r="82" spans="1:8" x14ac:dyDescent="0.25">
      <c r="A82" s="65"/>
      <c r="B82" s="65"/>
      <c r="C82" s="65"/>
      <c r="D82" s="65"/>
      <c r="E82" s="65"/>
      <c r="F82" s="65"/>
    </row>
    <row r="89" spans="1:8" x14ac:dyDescent="0.25">
      <c r="A89" s="65"/>
      <c r="B89" s="65"/>
      <c r="C89" s="65"/>
      <c r="D89" s="65"/>
      <c r="E89" s="65"/>
      <c r="F89" s="65"/>
      <c r="G89" s="65"/>
    </row>
    <row r="90" spans="1:8" x14ac:dyDescent="0.25">
      <c r="H90" s="65"/>
    </row>
    <row r="95" spans="1:8" x14ac:dyDescent="0.25">
      <c r="A95" s="65"/>
      <c r="B95" s="65"/>
      <c r="C95" s="65"/>
      <c r="D95" s="65"/>
      <c r="E95" s="65"/>
      <c r="F95" s="65"/>
      <c r="G95" s="65"/>
    </row>
    <row r="96" spans="1:8" x14ac:dyDescent="0.25">
      <c r="H96" s="65"/>
    </row>
    <row r="116" spans="1:7" x14ac:dyDescent="0.25">
      <c r="A116" s="65"/>
      <c r="B116" s="65"/>
      <c r="C116" s="65"/>
      <c r="D116" s="65"/>
      <c r="E116" s="65"/>
      <c r="F116" s="65"/>
      <c r="G116" s="65"/>
    </row>
  </sheetData>
  <sheetProtection sheet="1" objects="1" scenarios="1"/>
  <mergeCells count="33">
    <mergeCell ref="A2:H2"/>
    <mergeCell ref="A4:H4"/>
    <mergeCell ref="A5:H5"/>
    <mergeCell ref="A6:H6"/>
    <mergeCell ref="A7:H7"/>
    <mergeCell ref="G15:G17"/>
    <mergeCell ref="H15:H17"/>
    <mergeCell ref="J3:M3"/>
    <mergeCell ref="J8:M8"/>
    <mergeCell ref="J15:M15"/>
    <mergeCell ref="A8:H8"/>
    <mergeCell ref="A9:H9"/>
    <mergeCell ref="A10:H10"/>
    <mergeCell ref="A11:H11"/>
    <mergeCell ref="A12:H12"/>
    <mergeCell ref="B15:B17"/>
    <mergeCell ref="C15:C17"/>
    <mergeCell ref="D15:D17"/>
    <mergeCell ref="E15:E17"/>
    <mergeCell ref="F15:F17"/>
    <mergeCell ref="A55:B55"/>
    <mergeCell ref="A37:G37"/>
    <mergeCell ref="J27:M27"/>
    <mergeCell ref="J43:L44"/>
    <mergeCell ref="M43:M44"/>
    <mergeCell ref="A54:B54"/>
    <mergeCell ref="J45:M47"/>
    <mergeCell ref="J52:M54"/>
    <mergeCell ref="J42:M42"/>
    <mergeCell ref="J49:M49"/>
    <mergeCell ref="J50:L51"/>
    <mergeCell ref="M50:M51"/>
    <mergeCell ref="A38:G38"/>
  </mergeCells>
  <conditionalFormatting sqref="M43:M44">
    <cfRule type="containsText" dxfId="2" priority="2" operator="containsText" text="Yes">
      <formula>NOT(ISERROR(SEARCH("Yes",M43)))</formula>
    </cfRule>
  </conditionalFormatting>
  <conditionalFormatting sqref="M50:M51">
    <cfRule type="containsText" dxfId="1" priority="1" operator="containsText" text="Yes">
      <formula>NOT(ISERROR(SEARCH("Yes",M50)))</formula>
    </cfRule>
  </conditionalFormatting>
  <pageMargins left="0.9" right="0.9" top="0.96" bottom="0.5" header="0.41" footer="0.3"/>
  <pageSetup scale="67" orientation="portrait" blackAndWhite="1" r:id="rId1"/>
  <headerFooter alignWithMargins="0">
    <oddHeader xml:space="preserve">&amp;RState of Kansas
Township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D001C-894C-4D1D-9DC2-D0D803D0AC1E}">
  <sheetPr>
    <tabColor rgb="FF00B0F0"/>
    <pageSetUpPr fitToPage="1"/>
  </sheetPr>
  <dimension ref="A1:H41"/>
  <sheetViews>
    <sheetView workbookViewId="0">
      <selection activeCell="A2" sqref="A2:H2"/>
    </sheetView>
  </sheetViews>
  <sheetFormatPr defaultRowHeight="15.75" x14ac:dyDescent="0.25"/>
  <cols>
    <col min="1" max="1" width="12.69921875" style="540" customWidth="1"/>
    <col min="2" max="2" width="11.5" style="540" customWidth="1"/>
    <col min="3" max="3" width="7.8984375" style="540" customWidth="1"/>
    <col min="4" max="4" width="6.59765625" style="540" customWidth="1"/>
    <col min="5" max="5" width="7.69921875" style="540" customWidth="1"/>
    <col min="6" max="6" width="11.5" style="540" customWidth="1"/>
    <col min="7" max="7" width="10.69921875" style="540" customWidth="1"/>
    <col min="8" max="8" width="12.69921875" style="540" customWidth="1"/>
    <col min="9" max="252" width="8.796875" style="540"/>
    <col min="253" max="253" width="14.19921875" style="540" customWidth="1"/>
    <col min="254" max="254" width="11.5" style="540" customWidth="1"/>
    <col min="255" max="255" width="7.8984375" style="540" customWidth="1"/>
    <col min="256" max="256" width="12.3984375" style="540" customWidth="1"/>
    <col min="257" max="257" width="7.8984375" style="540" customWidth="1"/>
    <col min="258" max="258" width="11.5" style="540" customWidth="1"/>
    <col min="259" max="259" width="9.69921875" style="540" customWidth="1"/>
    <col min="260" max="260" width="7.8984375" style="540" customWidth="1"/>
    <col min="261" max="261" width="8.796875" style="540"/>
    <col min="262" max="262" width="11.19921875" style="540" customWidth="1"/>
    <col min="263" max="263" width="11.09765625" style="540" customWidth="1"/>
    <col min="264" max="264" width="8.796875" style="540"/>
    <col min="265" max="265" width="10.8984375" style="540" customWidth="1"/>
    <col min="266" max="508" width="8.796875" style="540"/>
    <col min="509" max="509" width="14.19921875" style="540" customWidth="1"/>
    <col min="510" max="510" width="11.5" style="540" customWidth="1"/>
    <col min="511" max="511" width="7.8984375" style="540" customWidth="1"/>
    <col min="512" max="512" width="12.3984375" style="540" customWidth="1"/>
    <col min="513" max="513" width="7.8984375" style="540" customWidth="1"/>
    <col min="514" max="514" width="11.5" style="540" customWidth="1"/>
    <col min="515" max="515" width="9.69921875" style="540" customWidth="1"/>
    <col min="516" max="516" width="7.8984375" style="540" customWidth="1"/>
    <col min="517" max="517" width="8.796875" style="540"/>
    <col min="518" max="518" width="11.19921875" style="540" customWidth="1"/>
    <col min="519" max="519" width="11.09765625" style="540" customWidth="1"/>
    <col min="520" max="520" width="8.796875" style="540"/>
    <col min="521" max="521" width="10.8984375" style="540" customWidth="1"/>
    <col min="522" max="764" width="8.796875" style="540"/>
    <col min="765" max="765" width="14.19921875" style="540" customWidth="1"/>
    <col min="766" max="766" width="11.5" style="540" customWidth="1"/>
    <col min="767" max="767" width="7.8984375" style="540" customWidth="1"/>
    <col min="768" max="768" width="12.3984375" style="540" customWidth="1"/>
    <col min="769" max="769" width="7.8984375" style="540" customWidth="1"/>
    <col min="770" max="770" width="11.5" style="540" customWidth="1"/>
    <col min="771" max="771" width="9.69921875" style="540" customWidth="1"/>
    <col min="772" max="772" width="7.8984375" style="540" customWidth="1"/>
    <col min="773" max="773" width="8.796875" style="540"/>
    <col min="774" max="774" width="11.19921875" style="540" customWidth="1"/>
    <col min="775" max="775" width="11.09765625" style="540" customWidth="1"/>
    <col min="776" max="776" width="8.796875" style="540"/>
    <col min="777" max="777" width="10.8984375" style="540" customWidth="1"/>
    <col min="778" max="1020" width="8.796875" style="540"/>
    <col min="1021" max="1021" width="14.19921875" style="540" customWidth="1"/>
    <col min="1022" max="1022" width="11.5" style="540" customWidth="1"/>
    <col min="1023" max="1023" width="7.8984375" style="540" customWidth="1"/>
    <col min="1024" max="1024" width="12.3984375" style="540" customWidth="1"/>
    <col min="1025" max="1025" width="7.8984375" style="540" customWidth="1"/>
    <col min="1026" max="1026" width="11.5" style="540" customWidth="1"/>
    <col min="1027" max="1027" width="9.69921875" style="540" customWidth="1"/>
    <col min="1028" max="1028" width="7.8984375" style="540" customWidth="1"/>
    <col min="1029" max="1029" width="8.796875" style="540"/>
    <col min="1030" max="1030" width="11.19921875" style="540" customWidth="1"/>
    <col min="1031" max="1031" width="11.09765625" style="540" customWidth="1"/>
    <col min="1032" max="1032" width="8.796875" style="540"/>
    <col min="1033" max="1033" width="10.8984375" style="540" customWidth="1"/>
    <col min="1034" max="1276" width="8.796875" style="540"/>
    <col min="1277" max="1277" width="14.19921875" style="540" customWidth="1"/>
    <col min="1278" max="1278" width="11.5" style="540" customWidth="1"/>
    <col min="1279" max="1279" width="7.8984375" style="540" customWidth="1"/>
    <col min="1280" max="1280" width="12.3984375" style="540" customWidth="1"/>
    <col min="1281" max="1281" width="7.8984375" style="540" customWidth="1"/>
    <col min="1282" max="1282" width="11.5" style="540" customWidth="1"/>
    <col min="1283" max="1283" width="9.69921875" style="540" customWidth="1"/>
    <col min="1284" max="1284" width="7.8984375" style="540" customWidth="1"/>
    <col min="1285" max="1285" width="8.796875" style="540"/>
    <col min="1286" max="1286" width="11.19921875" style="540" customWidth="1"/>
    <col min="1287" max="1287" width="11.09765625" style="540" customWidth="1"/>
    <col min="1288" max="1288" width="8.796875" style="540"/>
    <col min="1289" max="1289" width="10.8984375" style="540" customWidth="1"/>
    <col min="1290" max="1532" width="8.796875" style="540"/>
    <col min="1533" max="1533" width="14.19921875" style="540" customWidth="1"/>
    <col min="1534" max="1534" width="11.5" style="540" customWidth="1"/>
    <col min="1535" max="1535" width="7.8984375" style="540" customWidth="1"/>
    <col min="1536" max="1536" width="12.3984375" style="540" customWidth="1"/>
    <col min="1537" max="1537" width="7.8984375" style="540" customWidth="1"/>
    <col min="1538" max="1538" width="11.5" style="540" customWidth="1"/>
    <col min="1539" max="1539" width="9.69921875" style="540" customWidth="1"/>
    <col min="1540" max="1540" width="7.8984375" style="540" customWidth="1"/>
    <col min="1541" max="1541" width="8.796875" style="540"/>
    <col min="1542" max="1542" width="11.19921875" style="540" customWidth="1"/>
    <col min="1543" max="1543" width="11.09765625" style="540" customWidth="1"/>
    <col min="1544" max="1544" width="8.796875" style="540"/>
    <col min="1545" max="1545" width="10.8984375" style="540" customWidth="1"/>
    <col min="1546" max="1788" width="8.796875" style="540"/>
    <col min="1789" max="1789" width="14.19921875" style="540" customWidth="1"/>
    <col min="1790" max="1790" width="11.5" style="540" customWidth="1"/>
    <col min="1791" max="1791" width="7.8984375" style="540" customWidth="1"/>
    <col min="1792" max="1792" width="12.3984375" style="540" customWidth="1"/>
    <col min="1793" max="1793" width="7.8984375" style="540" customWidth="1"/>
    <col min="1794" max="1794" width="11.5" style="540" customWidth="1"/>
    <col min="1795" max="1795" width="9.69921875" style="540" customWidth="1"/>
    <col min="1796" max="1796" width="7.8984375" style="540" customWidth="1"/>
    <col min="1797" max="1797" width="8.796875" style="540"/>
    <col min="1798" max="1798" width="11.19921875" style="540" customWidth="1"/>
    <col min="1799" max="1799" width="11.09765625" style="540" customWidth="1"/>
    <col min="1800" max="1800" width="8.796875" style="540"/>
    <col min="1801" max="1801" width="10.8984375" style="540" customWidth="1"/>
    <col min="1802" max="2044" width="8.796875" style="540"/>
    <col min="2045" max="2045" width="14.19921875" style="540" customWidth="1"/>
    <col min="2046" max="2046" width="11.5" style="540" customWidth="1"/>
    <col min="2047" max="2047" width="7.8984375" style="540" customWidth="1"/>
    <col min="2048" max="2048" width="12.3984375" style="540" customWidth="1"/>
    <col min="2049" max="2049" width="7.8984375" style="540" customWidth="1"/>
    <col min="2050" max="2050" width="11.5" style="540" customWidth="1"/>
    <col min="2051" max="2051" width="9.69921875" style="540" customWidth="1"/>
    <col min="2052" max="2052" width="7.8984375" style="540" customWidth="1"/>
    <col min="2053" max="2053" width="8.796875" style="540"/>
    <col min="2054" max="2054" width="11.19921875" style="540" customWidth="1"/>
    <col min="2055" max="2055" width="11.09765625" style="540" customWidth="1"/>
    <col min="2056" max="2056" width="8.796875" style="540"/>
    <col min="2057" max="2057" width="10.8984375" style="540" customWidth="1"/>
    <col min="2058" max="2300" width="8.796875" style="540"/>
    <col min="2301" max="2301" width="14.19921875" style="540" customWidth="1"/>
    <col min="2302" max="2302" width="11.5" style="540" customWidth="1"/>
    <col min="2303" max="2303" width="7.8984375" style="540" customWidth="1"/>
    <col min="2304" max="2304" width="12.3984375" style="540" customWidth="1"/>
    <col min="2305" max="2305" width="7.8984375" style="540" customWidth="1"/>
    <col min="2306" max="2306" width="11.5" style="540" customWidth="1"/>
    <col min="2307" max="2307" width="9.69921875" style="540" customWidth="1"/>
    <col min="2308" max="2308" width="7.8984375" style="540" customWidth="1"/>
    <col min="2309" max="2309" width="8.796875" style="540"/>
    <col min="2310" max="2310" width="11.19921875" style="540" customWidth="1"/>
    <col min="2311" max="2311" width="11.09765625" style="540" customWidth="1"/>
    <col min="2312" max="2312" width="8.796875" style="540"/>
    <col min="2313" max="2313" width="10.8984375" style="540" customWidth="1"/>
    <col min="2314" max="2556" width="8.796875" style="540"/>
    <col min="2557" max="2557" width="14.19921875" style="540" customWidth="1"/>
    <col min="2558" max="2558" width="11.5" style="540" customWidth="1"/>
    <col min="2559" max="2559" width="7.8984375" style="540" customWidth="1"/>
    <col min="2560" max="2560" width="12.3984375" style="540" customWidth="1"/>
    <col min="2561" max="2561" width="7.8984375" style="540" customWidth="1"/>
    <col min="2562" max="2562" width="11.5" style="540" customWidth="1"/>
    <col min="2563" max="2563" width="9.69921875" style="540" customWidth="1"/>
    <col min="2564" max="2564" width="7.8984375" style="540" customWidth="1"/>
    <col min="2565" max="2565" width="8.796875" style="540"/>
    <col min="2566" max="2566" width="11.19921875" style="540" customWidth="1"/>
    <col min="2567" max="2567" width="11.09765625" style="540" customWidth="1"/>
    <col min="2568" max="2568" width="8.796875" style="540"/>
    <col min="2569" max="2569" width="10.8984375" style="540" customWidth="1"/>
    <col min="2570" max="2812" width="8.796875" style="540"/>
    <col min="2813" max="2813" width="14.19921875" style="540" customWidth="1"/>
    <col min="2814" max="2814" width="11.5" style="540" customWidth="1"/>
    <col min="2815" max="2815" width="7.8984375" style="540" customWidth="1"/>
    <col min="2816" max="2816" width="12.3984375" style="540" customWidth="1"/>
    <col min="2817" max="2817" width="7.8984375" style="540" customWidth="1"/>
    <col min="2818" max="2818" width="11.5" style="540" customWidth="1"/>
    <col min="2819" max="2819" width="9.69921875" style="540" customWidth="1"/>
    <col min="2820" max="2820" width="7.8984375" style="540" customWidth="1"/>
    <col min="2821" max="2821" width="8.796875" style="540"/>
    <col min="2822" max="2822" width="11.19921875" style="540" customWidth="1"/>
    <col min="2823" max="2823" width="11.09765625" style="540" customWidth="1"/>
    <col min="2824" max="2824" width="8.796875" style="540"/>
    <col min="2825" max="2825" width="10.8984375" style="540" customWidth="1"/>
    <col min="2826" max="3068" width="8.796875" style="540"/>
    <col min="3069" max="3069" width="14.19921875" style="540" customWidth="1"/>
    <col min="3070" max="3070" width="11.5" style="540" customWidth="1"/>
    <col min="3071" max="3071" width="7.8984375" style="540" customWidth="1"/>
    <col min="3072" max="3072" width="12.3984375" style="540" customWidth="1"/>
    <col min="3073" max="3073" width="7.8984375" style="540" customWidth="1"/>
    <col min="3074" max="3074" width="11.5" style="540" customWidth="1"/>
    <col min="3075" max="3075" width="9.69921875" style="540" customWidth="1"/>
    <col min="3076" max="3076" width="7.8984375" style="540" customWidth="1"/>
    <col min="3077" max="3077" width="8.796875" style="540"/>
    <col min="3078" max="3078" width="11.19921875" style="540" customWidth="1"/>
    <col min="3079" max="3079" width="11.09765625" style="540" customWidth="1"/>
    <col min="3080" max="3080" width="8.796875" style="540"/>
    <col min="3081" max="3081" width="10.8984375" style="540" customWidth="1"/>
    <col min="3082" max="3324" width="8.796875" style="540"/>
    <col min="3325" max="3325" width="14.19921875" style="540" customWidth="1"/>
    <col min="3326" max="3326" width="11.5" style="540" customWidth="1"/>
    <col min="3327" max="3327" width="7.8984375" style="540" customWidth="1"/>
    <col min="3328" max="3328" width="12.3984375" style="540" customWidth="1"/>
    <col min="3329" max="3329" width="7.8984375" style="540" customWidth="1"/>
    <col min="3330" max="3330" width="11.5" style="540" customWidth="1"/>
    <col min="3331" max="3331" width="9.69921875" style="540" customWidth="1"/>
    <col min="3332" max="3332" width="7.8984375" style="540" customWidth="1"/>
    <col min="3333" max="3333" width="8.796875" style="540"/>
    <col min="3334" max="3334" width="11.19921875" style="540" customWidth="1"/>
    <col min="3335" max="3335" width="11.09765625" style="540" customWidth="1"/>
    <col min="3336" max="3336" width="8.796875" style="540"/>
    <col min="3337" max="3337" width="10.8984375" style="540" customWidth="1"/>
    <col min="3338" max="3580" width="8.796875" style="540"/>
    <col min="3581" max="3581" width="14.19921875" style="540" customWidth="1"/>
    <col min="3582" max="3582" width="11.5" style="540" customWidth="1"/>
    <col min="3583" max="3583" width="7.8984375" style="540" customWidth="1"/>
    <col min="3584" max="3584" width="12.3984375" style="540" customWidth="1"/>
    <col min="3585" max="3585" width="7.8984375" style="540" customWidth="1"/>
    <col min="3586" max="3586" width="11.5" style="540" customWidth="1"/>
    <col min="3587" max="3587" width="9.69921875" style="540" customWidth="1"/>
    <col min="3588" max="3588" width="7.8984375" style="540" customWidth="1"/>
    <col min="3589" max="3589" width="8.796875" style="540"/>
    <col min="3590" max="3590" width="11.19921875" style="540" customWidth="1"/>
    <col min="3591" max="3591" width="11.09765625" style="540" customWidth="1"/>
    <col min="3592" max="3592" width="8.796875" style="540"/>
    <col min="3593" max="3593" width="10.8984375" style="540" customWidth="1"/>
    <col min="3594" max="3836" width="8.796875" style="540"/>
    <col min="3837" max="3837" width="14.19921875" style="540" customWidth="1"/>
    <col min="3838" max="3838" width="11.5" style="540" customWidth="1"/>
    <col min="3839" max="3839" width="7.8984375" style="540" customWidth="1"/>
    <col min="3840" max="3840" width="12.3984375" style="540" customWidth="1"/>
    <col min="3841" max="3841" width="7.8984375" style="540" customWidth="1"/>
    <col min="3842" max="3842" width="11.5" style="540" customWidth="1"/>
    <col min="3843" max="3843" width="9.69921875" style="540" customWidth="1"/>
    <col min="3844" max="3844" width="7.8984375" style="540" customWidth="1"/>
    <col min="3845" max="3845" width="8.796875" style="540"/>
    <col min="3846" max="3846" width="11.19921875" style="540" customWidth="1"/>
    <col min="3847" max="3847" width="11.09765625" style="540" customWidth="1"/>
    <col min="3848" max="3848" width="8.796875" style="540"/>
    <col min="3849" max="3849" width="10.8984375" style="540" customWidth="1"/>
    <col min="3850" max="4092" width="8.796875" style="540"/>
    <col min="4093" max="4093" width="14.19921875" style="540" customWidth="1"/>
    <col min="4094" max="4094" width="11.5" style="540" customWidth="1"/>
    <col min="4095" max="4095" width="7.8984375" style="540" customWidth="1"/>
    <col min="4096" max="4096" width="12.3984375" style="540" customWidth="1"/>
    <col min="4097" max="4097" width="7.8984375" style="540" customWidth="1"/>
    <col min="4098" max="4098" width="11.5" style="540" customWidth="1"/>
    <col min="4099" max="4099" width="9.69921875" style="540" customWidth="1"/>
    <col min="4100" max="4100" width="7.8984375" style="540" customWidth="1"/>
    <col min="4101" max="4101" width="8.796875" style="540"/>
    <col min="4102" max="4102" width="11.19921875" style="540" customWidth="1"/>
    <col min="4103" max="4103" width="11.09765625" style="540" customWidth="1"/>
    <col min="4104" max="4104" width="8.796875" style="540"/>
    <col min="4105" max="4105" width="10.8984375" style="540" customWidth="1"/>
    <col min="4106" max="4348" width="8.796875" style="540"/>
    <col min="4349" max="4349" width="14.19921875" style="540" customWidth="1"/>
    <col min="4350" max="4350" width="11.5" style="540" customWidth="1"/>
    <col min="4351" max="4351" width="7.8984375" style="540" customWidth="1"/>
    <col min="4352" max="4352" width="12.3984375" style="540" customWidth="1"/>
    <col min="4353" max="4353" width="7.8984375" style="540" customWidth="1"/>
    <col min="4354" max="4354" width="11.5" style="540" customWidth="1"/>
    <col min="4355" max="4355" width="9.69921875" style="540" customWidth="1"/>
    <col min="4356" max="4356" width="7.8984375" style="540" customWidth="1"/>
    <col min="4357" max="4357" width="8.796875" style="540"/>
    <col min="4358" max="4358" width="11.19921875" style="540" customWidth="1"/>
    <col min="4359" max="4359" width="11.09765625" style="540" customWidth="1"/>
    <col min="4360" max="4360" width="8.796875" style="540"/>
    <col min="4361" max="4361" width="10.8984375" style="540" customWidth="1"/>
    <col min="4362" max="4604" width="8.796875" style="540"/>
    <col min="4605" max="4605" width="14.19921875" style="540" customWidth="1"/>
    <col min="4606" max="4606" width="11.5" style="540" customWidth="1"/>
    <col min="4607" max="4607" width="7.8984375" style="540" customWidth="1"/>
    <col min="4608" max="4608" width="12.3984375" style="540" customWidth="1"/>
    <col min="4609" max="4609" width="7.8984375" style="540" customWidth="1"/>
    <col min="4610" max="4610" width="11.5" style="540" customWidth="1"/>
    <col min="4611" max="4611" width="9.69921875" style="540" customWidth="1"/>
    <col min="4612" max="4612" width="7.8984375" style="540" customWidth="1"/>
    <col min="4613" max="4613" width="8.796875" style="540"/>
    <col min="4614" max="4614" width="11.19921875" style="540" customWidth="1"/>
    <col min="4615" max="4615" width="11.09765625" style="540" customWidth="1"/>
    <col min="4616" max="4616" width="8.796875" style="540"/>
    <col min="4617" max="4617" width="10.8984375" style="540" customWidth="1"/>
    <col min="4618" max="4860" width="8.796875" style="540"/>
    <col min="4861" max="4861" width="14.19921875" style="540" customWidth="1"/>
    <col min="4862" max="4862" width="11.5" style="540" customWidth="1"/>
    <col min="4863" max="4863" width="7.8984375" style="540" customWidth="1"/>
    <col min="4864" max="4864" width="12.3984375" style="540" customWidth="1"/>
    <col min="4865" max="4865" width="7.8984375" style="540" customWidth="1"/>
    <col min="4866" max="4866" width="11.5" style="540" customWidth="1"/>
    <col min="4867" max="4867" width="9.69921875" style="540" customWidth="1"/>
    <col min="4868" max="4868" width="7.8984375" style="540" customWidth="1"/>
    <col min="4869" max="4869" width="8.796875" style="540"/>
    <col min="4870" max="4870" width="11.19921875" style="540" customWidth="1"/>
    <col min="4871" max="4871" width="11.09765625" style="540" customWidth="1"/>
    <col min="4872" max="4872" width="8.796875" style="540"/>
    <col min="4873" max="4873" width="10.8984375" style="540" customWidth="1"/>
    <col min="4874" max="5116" width="8.796875" style="540"/>
    <col min="5117" max="5117" width="14.19921875" style="540" customWidth="1"/>
    <col min="5118" max="5118" width="11.5" style="540" customWidth="1"/>
    <col min="5119" max="5119" width="7.8984375" style="540" customWidth="1"/>
    <col min="5120" max="5120" width="12.3984375" style="540" customWidth="1"/>
    <col min="5121" max="5121" width="7.8984375" style="540" customWidth="1"/>
    <col min="5122" max="5122" width="11.5" style="540" customWidth="1"/>
    <col min="5123" max="5123" width="9.69921875" style="540" customWidth="1"/>
    <col min="5124" max="5124" width="7.8984375" style="540" customWidth="1"/>
    <col min="5125" max="5125" width="8.796875" style="540"/>
    <col min="5126" max="5126" width="11.19921875" style="540" customWidth="1"/>
    <col min="5127" max="5127" width="11.09765625" style="540" customWidth="1"/>
    <col min="5128" max="5128" width="8.796875" style="540"/>
    <col min="5129" max="5129" width="10.8984375" style="540" customWidth="1"/>
    <col min="5130" max="5372" width="8.796875" style="540"/>
    <col min="5373" max="5373" width="14.19921875" style="540" customWidth="1"/>
    <col min="5374" max="5374" width="11.5" style="540" customWidth="1"/>
    <col min="5375" max="5375" width="7.8984375" style="540" customWidth="1"/>
    <col min="5376" max="5376" width="12.3984375" style="540" customWidth="1"/>
    <col min="5377" max="5377" width="7.8984375" style="540" customWidth="1"/>
    <col min="5378" max="5378" width="11.5" style="540" customWidth="1"/>
    <col min="5379" max="5379" width="9.69921875" style="540" customWidth="1"/>
    <col min="5380" max="5380" width="7.8984375" style="540" customWidth="1"/>
    <col min="5381" max="5381" width="8.796875" style="540"/>
    <col min="5382" max="5382" width="11.19921875" style="540" customWidth="1"/>
    <col min="5383" max="5383" width="11.09765625" style="540" customWidth="1"/>
    <col min="5384" max="5384" width="8.796875" style="540"/>
    <col min="5385" max="5385" width="10.8984375" style="540" customWidth="1"/>
    <col min="5386" max="5628" width="8.796875" style="540"/>
    <col min="5629" max="5629" width="14.19921875" style="540" customWidth="1"/>
    <col min="5630" max="5630" width="11.5" style="540" customWidth="1"/>
    <col min="5631" max="5631" width="7.8984375" style="540" customWidth="1"/>
    <col min="5632" max="5632" width="12.3984375" style="540" customWidth="1"/>
    <col min="5633" max="5633" width="7.8984375" style="540" customWidth="1"/>
    <col min="5634" max="5634" width="11.5" style="540" customWidth="1"/>
    <col min="5635" max="5635" width="9.69921875" style="540" customWidth="1"/>
    <col min="5636" max="5636" width="7.8984375" style="540" customWidth="1"/>
    <col min="5637" max="5637" width="8.796875" style="540"/>
    <col min="5638" max="5638" width="11.19921875" style="540" customWidth="1"/>
    <col min="5639" max="5639" width="11.09765625" style="540" customWidth="1"/>
    <col min="5640" max="5640" width="8.796875" style="540"/>
    <col min="5641" max="5641" width="10.8984375" style="540" customWidth="1"/>
    <col min="5642" max="5884" width="8.796875" style="540"/>
    <col min="5885" max="5885" width="14.19921875" style="540" customWidth="1"/>
    <col min="5886" max="5886" width="11.5" style="540" customWidth="1"/>
    <col min="5887" max="5887" width="7.8984375" style="540" customWidth="1"/>
    <col min="5888" max="5888" width="12.3984375" style="540" customWidth="1"/>
    <col min="5889" max="5889" width="7.8984375" style="540" customWidth="1"/>
    <col min="5890" max="5890" width="11.5" style="540" customWidth="1"/>
    <col min="5891" max="5891" width="9.69921875" style="540" customWidth="1"/>
    <col min="5892" max="5892" width="7.8984375" style="540" customWidth="1"/>
    <col min="5893" max="5893" width="8.796875" style="540"/>
    <col min="5894" max="5894" width="11.19921875" style="540" customWidth="1"/>
    <col min="5895" max="5895" width="11.09765625" style="540" customWidth="1"/>
    <col min="5896" max="5896" width="8.796875" style="540"/>
    <col min="5897" max="5897" width="10.8984375" style="540" customWidth="1"/>
    <col min="5898" max="6140" width="8.796875" style="540"/>
    <col min="6141" max="6141" width="14.19921875" style="540" customWidth="1"/>
    <col min="6142" max="6142" width="11.5" style="540" customWidth="1"/>
    <col min="6143" max="6143" width="7.8984375" style="540" customWidth="1"/>
    <col min="6144" max="6144" width="12.3984375" style="540" customWidth="1"/>
    <col min="6145" max="6145" width="7.8984375" style="540" customWidth="1"/>
    <col min="6146" max="6146" width="11.5" style="540" customWidth="1"/>
    <col min="6147" max="6147" width="9.69921875" style="540" customWidth="1"/>
    <col min="6148" max="6148" width="7.8984375" style="540" customWidth="1"/>
    <col min="6149" max="6149" width="8.796875" style="540"/>
    <col min="6150" max="6150" width="11.19921875" style="540" customWidth="1"/>
    <col min="6151" max="6151" width="11.09765625" style="540" customWidth="1"/>
    <col min="6152" max="6152" width="8.796875" style="540"/>
    <col min="6153" max="6153" width="10.8984375" style="540" customWidth="1"/>
    <col min="6154" max="6396" width="8.796875" style="540"/>
    <col min="6397" max="6397" width="14.19921875" style="540" customWidth="1"/>
    <col min="6398" max="6398" width="11.5" style="540" customWidth="1"/>
    <col min="6399" max="6399" width="7.8984375" style="540" customWidth="1"/>
    <col min="6400" max="6400" width="12.3984375" style="540" customWidth="1"/>
    <col min="6401" max="6401" width="7.8984375" style="540" customWidth="1"/>
    <col min="6402" max="6402" width="11.5" style="540" customWidth="1"/>
    <col min="6403" max="6403" width="9.69921875" style="540" customWidth="1"/>
    <col min="6404" max="6404" width="7.8984375" style="540" customWidth="1"/>
    <col min="6405" max="6405" width="8.796875" style="540"/>
    <col min="6406" max="6406" width="11.19921875" style="540" customWidth="1"/>
    <col min="6407" max="6407" width="11.09765625" style="540" customWidth="1"/>
    <col min="6408" max="6408" width="8.796875" style="540"/>
    <col min="6409" max="6409" width="10.8984375" style="540" customWidth="1"/>
    <col min="6410" max="6652" width="8.796875" style="540"/>
    <col min="6653" max="6653" width="14.19921875" style="540" customWidth="1"/>
    <col min="6654" max="6654" width="11.5" style="540" customWidth="1"/>
    <col min="6655" max="6655" width="7.8984375" style="540" customWidth="1"/>
    <col min="6656" max="6656" width="12.3984375" style="540" customWidth="1"/>
    <col min="6657" max="6657" width="7.8984375" style="540" customWidth="1"/>
    <col min="6658" max="6658" width="11.5" style="540" customWidth="1"/>
    <col min="6659" max="6659" width="9.69921875" style="540" customWidth="1"/>
    <col min="6660" max="6660" width="7.8984375" style="540" customWidth="1"/>
    <col min="6661" max="6661" width="8.796875" style="540"/>
    <col min="6662" max="6662" width="11.19921875" style="540" customWidth="1"/>
    <col min="6663" max="6663" width="11.09765625" style="540" customWidth="1"/>
    <col min="6664" max="6664" width="8.796875" style="540"/>
    <col min="6665" max="6665" width="10.8984375" style="540" customWidth="1"/>
    <col min="6666" max="6908" width="8.796875" style="540"/>
    <col min="6909" max="6909" width="14.19921875" style="540" customWidth="1"/>
    <col min="6910" max="6910" width="11.5" style="540" customWidth="1"/>
    <col min="6911" max="6911" width="7.8984375" style="540" customWidth="1"/>
    <col min="6912" max="6912" width="12.3984375" style="540" customWidth="1"/>
    <col min="6913" max="6913" width="7.8984375" style="540" customWidth="1"/>
    <col min="6914" max="6914" width="11.5" style="540" customWidth="1"/>
    <col min="6915" max="6915" width="9.69921875" style="540" customWidth="1"/>
    <col min="6916" max="6916" width="7.8984375" style="540" customWidth="1"/>
    <col min="6917" max="6917" width="8.796875" style="540"/>
    <col min="6918" max="6918" width="11.19921875" style="540" customWidth="1"/>
    <col min="6919" max="6919" width="11.09765625" style="540" customWidth="1"/>
    <col min="6920" max="6920" width="8.796875" style="540"/>
    <col min="6921" max="6921" width="10.8984375" style="540" customWidth="1"/>
    <col min="6922" max="7164" width="8.796875" style="540"/>
    <col min="7165" max="7165" width="14.19921875" style="540" customWidth="1"/>
    <col min="7166" max="7166" width="11.5" style="540" customWidth="1"/>
    <col min="7167" max="7167" width="7.8984375" style="540" customWidth="1"/>
    <col min="7168" max="7168" width="12.3984375" style="540" customWidth="1"/>
    <col min="7169" max="7169" width="7.8984375" style="540" customWidth="1"/>
    <col min="7170" max="7170" width="11.5" style="540" customWidth="1"/>
    <col min="7171" max="7171" width="9.69921875" style="540" customWidth="1"/>
    <col min="7172" max="7172" width="7.8984375" style="540" customWidth="1"/>
    <col min="7173" max="7173" width="8.796875" style="540"/>
    <col min="7174" max="7174" width="11.19921875" style="540" customWidth="1"/>
    <col min="7175" max="7175" width="11.09765625" style="540" customWidth="1"/>
    <col min="7176" max="7176" width="8.796875" style="540"/>
    <col min="7177" max="7177" width="10.8984375" style="540" customWidth="1"/>
    <col min="7178" max="7420" width="8.796875" style="540"/>
    <col min="7421" max="7421" width="14.19921875" style="540" customWidth="1"/>
    <col min="7422" max="7422" width="11.5" style="540" customWidth="1"/>
    <col min="7423" max="7423" width="7.8984375" style="540" customWidth="1"/>
    <col min="7424" max="7424" width="12.3984375" style="540" customWidth="1"/>
    <col min="7425" max="7425" width="7.8984375" style="540" customWidth="1"/>
    <col min="7426" max="7426" width="11.5" style="540" customWidth="1"/>
    <col min="7427" max="7427" width="9.69921875" style="540" customWidth="1"/>
    <col min="7428" max="7428" width="7.8984375" style="540" customWidth="1"/>
    <col min="7429" max="7429" width="8.796875" style="540"/>
    <col min="7430" max="7430" width="11.19921875" style="540" customWidth="1"/>
    <col min="7431" max="7431" width="11.09765625" style="540" customWidth="1"/>
    <col min="7432" max="7432" width="8.796875" style="540"/>
    <col min="7433" max="7433" width="10.8984375" style="540" customWidth="1"/>
    <col min="7434" max="7676" width="8.796875" style="540"/>
    <col min="7677" max="7677" width="14.19921875" style="540" customWidth="1"/>
    <col min="7678" max="7678" width="11.5" style="540" customWidth="1"/>
    <col min="7679" max="7679" width="7.8984375" style="540" customWidth="1"/>
    <col min="7680" max="7680" width="12.3984375" style="540" customWidth="1"/>
    <col min="7681" max="7681" width="7.8984375" style="540" customWidth="1"/>
    <col min="7682" max="7682" width="11.5" style="540" customWidth="1"/>
    <col min="7683" max="7683" width="9.69921875" style="540" customWidth="1"/>
    <col min="7684" max="7684" width="7.8984375" style="540" customWidth="1"/>
    <col min="7685" max="7685" width="8.796875" style="540"/>
    <col min="7686" max="7686" width="11.19921875" style="540" customWidth="1"/>
    <col min="7687" max="7687" width="11.09765625" style="540" customWidth="1"/>
    <col min="7688" max="7688" width="8.796875" style="540"/>
    <col min="7689" max="7689" width="10.8984375" style="540" customWidth="1"/>
    <col min="7690" max="7932" width="8.796875" style="540"/>
    <col min="7933" max="7933" width="14.19921875" style="540" customWidth="1"/>
    <col min="7934" max="7934" width="11.5" style="540" customWidth="1"/>
    <col min="7935" max="7935" width="7.8984375" style="540" customWidth="1"/>
    <col min="7936" max="7936" width="12.3984375" style="540" customWidth="1"/>
    <col min="7937" max="7937" width="7.8984375" style="540" customWidth="1"/>
    <col min="7938" max="7938" width="11.5" style="540" customWidth="1"/>
    <col min="7939" max="7939" width="9.69921875" style="540" customWidth="1"/>
    <col min="7940" max="7940" width="7.8984375" style="540" customWidth="1"/>
    <col min="7941" max="7941" width="8.796875" style="540"/>
    <col min="7942" max="7942" width="11.19921875" style="540" customWidth="1"/>
    <col min="7943" max="7943" width="11.09765625" style="540" customWidth="1"/>
    <col min="7944" max="7944" width="8.796875" style="540"/>
    <col min="7945" max="7945" width="10.8984375" style="540" customWidth="1"/>
    <col min="7946" max="8188" width="8.796875" style="540"/>
    <col min="8189" max="8189" width="14.19921875" style="540" customWidth="1"/>
    <col min="8190" max="8190" width="11.5" style="540" customWidth="1"/>
    <col min="8191" max="8191" width="7.8984375" style="540" customWidth="1"/>
    <col min="8192" max="8192" width="12.3984375" style="540" customWidth="1"/>
    <col min="8193" max="8193" width="7.8984375" style="540" customWidth="1"/>
    <col min="8194" max="8194" width="11.5" style="540" customWidth="1"/>
    <col min="8195" max="8195" width="9.69921875" style="540" customWidth="1"/>
    <col min="8196" max="8196" width="7.8984375" style="540" customWidth="1"/>
    <col min="8197" max="8197" width="8.796875" style="540"/>
    <col min="8198" max="8198" width="11.19921875" style="540" customWidth="1"/>
    <col min="8199" max="8199" width="11.09765625" style="540" customWidth="1"/>
    <col min="8200" max="8200" width="8.796875" style="540"/>
    <col min="8201" max="8201" width="10.8984375" style="540" customWidth="1"/>
    <col min="8202" max="8444" width="8.796875" style="540"/>
    <col min="8445" max="8445" width="14.19921875" style="540" customWidth="1"/>
    <col min="8446" max="8446" width="11.5" style="540" customWidth="1"/>
    <col min="8447" max="8447" width="7.8984375" style="540" customWidth="1"/>
    <col min="8448" max="8448" width="12.3984375" style="540" customWidth="1"/>
    <col min="8449" max="8449" width="7.8984375" style="540" customWidth="1"/>
    <col min="8450" max="8450" width="11.5" style="540" customWidth="1"/>
    <col min="8451" max="8451" width="9.69921875" style="540" customWidth="1"/>
    <col min="8452" max="8452" width="7.8984375" style="540" customWidth="1"/>
    <col min="8453" max="8453" width="8.796875" style="540"/>
    <col min="8454" max="8454" width="11.19921875" style="540" customWidth="1"/>
    <col min="8455" max="8455" width="11.09765625" style="540" customWidth="1"/>
    <col min="8456" max="8456" width="8.796875" style="540"/>
    <col min="8457" max="8457" width="10.8984375" style="540" customWidth="1"/>
    <col min="8458" max="8700" width="8.796875" style="540"/>
    <col min="8701" max="8701" width="14.19921875" style="540" customWidth="1"/>
    <col min="8702" max="8702" width="11.5" style="540" customWidth="1"/>
    <col min="8703" max="8703" width="7.8984375" style="540" customWidth="1"/>
    <col min="8704" max="8704" width="12.3984375" style="540" customWidth="1"/>
    <col min="8705" max="8705" width="7.8984375" style="540" customWidth="1"/>
    <col min="8706" max="8706" width="11.5" style="540" customWidth="1"/>
    <col min="8707" max="8707" width="9.69921875" style="540" customWidth="1"/>
    <col min="8708" max="8708" width="7.8984375" style="540" customWidth="1"/>
    <col min="8709" max="8709" width="8.796875" style="540"/>
    <col min="8710" max="8710" width="11.19921875" style="540" customWidth="1"/>
    <col min="8711" max="8711" width="11.09765625" style="540" customWidth="1"/>
    <col min="8712" max="8712" width="8.796875" style="540"/>
    <col min="8713" max="8713" width="10.8984375" style="540" customWidth="1"/>
    <col min="8714" max="8956" width="8.796875" style="540"/>
    <col min="8957" max="8957" width="14.19921875" style="540" customWidth="1"/>
    <col min="8958" max="8958" width="11.5" style="540" customWidth="1"/>
    <col min="8959" max="8959" width="7.8984375" style="540" customWidth="1"/>
    <col min="8960" max="8960" width="12.3984375" style="540" customWidth="1"/>
    <col min="8961" max="8961" width="7.8984375" style="540" customWidth="1"/>
    <col min="8962" max="8962" width="11.5" style="540" customWidth="1"/>
    <col min="8963" max="8963" width="9.69921875" style="540" customWidth="1"/>
    <col min="8964" max="8964" width="7.8984375" style="540" customWidth="1"/>
    <col min="8965" max="8965" width="8.796875" style="540"/>
    <col min="8966" max="8966" width="11.19921875" style="540" customWidth="1"/>
    <col min="8967" max="8967" width="11.09765625" style="540" customWidth="1"/>
    <col min="8968" max="8968" width="8.796875" style="540"/>
    <col min="8969" max="8969" width="10.8984375" style="540" customWidth="1"/>
    <col min="8970" max="9212" width="8.796875" style="540"/>
    <col min="9213" max="9213" width="14.19921875" style="540" customWidth="1"/>
    <col min="9214" max="9214" width="11.5" style="540" customWidth="1"/>
    <col min="9215" max="9215" width="7.8984375" style="540" customWidth="1"/>
    <col min="9216" max="9216" width="12.3984375" style="540" customWidth="1"/>
    <col min="9217" max="9217" width="7.8984375" style="540" customWidth="1"/>
    <col min="9218" max="9218" width="11.5" style="540" customWidth="1"/>
    <col min="9219" max="9219" width="9.69921875" style="540" customWidth="1"/>
    <col min="9220" max="9220" width="7.8984375" style="540" customWidth="1"/>
    <col min="9221" max="9221" width="8.796875" style="540"/>
    <col min="9222" max="9222" width="11.19921875" style="540" customWidth="1"/>
    <col min="9223" max="9223" width="11.09765625" style="540" customWidth="1"/>
    <col min="9224" max="9224" width="8.796875" style="540"/>
    <col min="9225" max="9225" width="10.8984375" style="540" customWidth="1"/>
    <col min="9226" max="9468" width="8.796875" style="540"/>
    <col min="9469" max="9469" width="14.19921875" style="540" customWidth="1"/>
    <col min="9470" max="9470" width="11.5" style="540" customWidth="1"/>
    <col min="9471" max="9471" width="7.8984375" style="540" customWidth="1"/>
    <col min="9472" max="9472" width="12.3984375" style="540" customWidth="1"/>
    <col min="9473" max="9473" width="7.8984375" style="540" customWidth="1"/>
    <col min="9474" max="9474" width="11.5" style="540" customWidth="1"/>
    <col min="9475" max="9475" width="9.69921875" style="540" customWidth="1"/>
    <col min="9476" max="9476" width="7.8984375" style="540" customWidth="1"/>
    <col min="9477" max="9477" width="8.796875" style="540"/>
    <col min="9478" max="9478" width="11.19921875" style="540" customWidth="1"/>
    <col min="9479" max="9479" width="11.09765625" style="540" customWidth="1"/>
    <col min="9480" max="9480" width="8.796875" style="540"/>
    <col min="9481" max="9481" width="10.8984375" style="540" customWidth="1"/>
    <col min="9482" max="9724" width="8.796875" style="540"/>
    <col min="9725" max="9725" width="14.19921875" style="540" customWidth="1"/>
    <col min="9726" max="9726" width="11.5" style="540" customWidth="1"/>
    <col min="9727" max="9727" width="7.8984375" style="540" customWidth="1"/>
    <col min="9728" max="9728" width="12.3984375" style="540" customWidth="1"/>
    <col min="9729" max="9729" width="7.8984375" style="540" customWidth="1"/>
    <col min="9730" max="9730" width="11.5" style="540" customWidth="1"/>
    <col min="9731" max="9731" width="9.69921875" style="540" customWidth="1"/>
    <col min="9732" max="9732" width="7.8984375" style="540" customWidth="1"/>
    <col min="9733" max="9733" width="8.796875" style="540"/>
    <col min="9734" max="9734" width="11.19921875" style="540" customWidth="1"/>
    <col min="9735" max="9735" width="11.09765625" style="540" customWidth="1"/>
    <col min="9736" max="9736" width="8.796875" style="540"/>
    <col min="9737" max="9737" width="10.8984375" style="540" customWidth="1"/>
    <col min="9738" max="9980" width="8.796875" style="540"/>
    <col min="9981" max="9981" width="14.19921875" style="540" customWidth="1"/>
    <col min="9982" max="9982" width="11.5" style="540" customWidth="1"/>
    <col min="9983" max="9983" width="7.8984375" style="540" customWidth="1"/>
    <col min="9984" max="9984" width="12.3984375" style="540" customWidth="1"/>
    <col min="9985" max="9985" width="7.8984375" style="540" customWidth="1"/>
    <col min="9986" max="9986" width="11.5" style="540" customWidth="1"/>
    <col min="9987" max="9987" width="9.69921875" style="540" customWidth="1"/>
    <col min="9988" max="9988" width="7.8984375" style="540" customWidth="1"/>
    <col min="9989" max="9989" width="8.796875" style="540"/>
    <col min="9990" max="9990" width="11.19921875" style="540" customWidth="1"/>
    <col min="9991" max="9991" width="11.09765625" style="540" customWidth="1"/>
    <col min="9992" max="9992" width="8.796875" style="540"/>
    <col min="9993" max="9993" width="10.8984375" style="540" customWidth="1"/>
    <col min="9994" max="10236" width="8.796875" style="540"/>
    <col min="10237" max="10237" width="14.19921875" style="540" customWidth="1"/>
    <col min="10238" max="10238" width="11.5" style="540" customWidth="1"/>
    <col min="10239" max="10239" width="7.8984375" style="540" customWidth="1"/>
    <col min="10240" max="10240" width="12.3984375" style="540" customWidth="1"/>
    <col min="10241" max="10241" width="7.8984375" style="540" customWidth="1"/>
    <col min="10242" max="10242" width="11.5" style="540" customWidth="1"/>
    <col min="10243" max="10243" width="9.69921875" style="540" customWidth="1"/>
    <col min="10244" max="10244" width="7.8984375" style="540" customWidth="1"/>
    <col min="10245" max="10245" width="8.796875" style="540"/>
    <col min="10246" max="10246" width="11.19921875" style="540" customWidth="1"/>
    <col min="10247" max="10247" width="11.09765625" style="540" customWidth="1"/>
    <col min="10248" max="10248" width="8.796875" style="540"/>
    <col min="10249" max="10249" width="10.8984375" style="540" customWidth="1"/>
    <col min="10250" max="10492" width="8.796875" style="540"/>
    <col min="10493" max="10493" width="14.19921875" style="540" customWidth="1"/>
    <col min="10494" max="10494" width="11.5" style="540" customWidth="1"/>
    <col min="10495" max="10495" width="7.8984375" style="540" customWidth="1"/>
    <col min="10496" max="10496" width="12.3984375" style="540" customWidth="1"/>
    <col min="10497" max="10497" width="7.8984375" style="540" customWidth="1"/>
    <col min="10498" max="10498" width="11.5" style="540" customWidth="1"/>
    <col min="10499" max="10499" width="9.69921875" style="540" customWidth="1"/>
    <col min="10500" max="10500" width="7.8984375" style="540" customWidth="1"/>
    <col min="10501" max="10501" width="8.796875" style="540"/>
    <col min="10502" max="10502" width="11.19921875" style="540" customWidth="1"/>
    <col min="10503" max="10503" width="11.09765625" style="540" customWidth="1"/>
    <col min="10504" max="10504" width="8.796875" style="540"/>
    <col min="10505" max="10505" width="10.8984375" style="540" customWidth="1"/>
    <col min="10506" max="10748" width="8.796875" style="540"/>
    <col min="10749" max="10749" width="14.19921875" style="540" customWidth="1"/>
    <col min="10750" max="10750" width="11.5" style="540" customWidth="1"/>
    <col min="10751" max="10751" width="7.8984375" style="540" customWidth="1"/>
    <col min="10752" max="10752" width="12.3984375" style="540" customWidth="1"/>
    <col min="10753" max="10753" width="7.8984375" style="540" customWidth="1"/>
    <col min="10754" max="10754" width="11.5" style="540" customWidth="1"/>
    <col min="10755" max="10755" width="9.69921875" style="540" customWidth="1"/>
    <col min="10756" max="10756" width="7.8984375" style="540" customWidth="1"/>
    <col min="10757" max="10757" width="8.796875" style="540"/>
    <col min="10758" max="10758" width="11.19921875" style="540" customWidth="1"/>
    <col min="10759" max="10759" width="11.09765625" style="540" customWidth="1"/>
    <col min="10760" max="10760" width="8.796875" style="540"/>
    <col min="10761" max="10761" width="10.8984375" style="540" customWidth="1"/>
    <col min="10762" max="11004" width="8.796875" style="540"/>
    <col min="11005" max="11005" width="14.19921875" style="540" customWidth="1"/>
    <col min="11006" max="11006" width="11.5" style="540" customWidth="1"/>
    <col min="11007" max="11007" width="7.8984375" style="540" customWidth="1"/>
    <col min="11008" max="11008" width="12.3984375" style="540" customWidth="1"/>
    <col min="11009" max="11009" width="7.8984375" style="540" customWidth="1"/>
    <col min="11010" max="11010" width="11.5" style="540" customWidth="1"/>
    <col min="11011" max="11011" width="9.69921875" style="540" customWidth="1"/>
    <col min="11012" max="11012" width="7.8984375" style="540" customWidth="1"/>
    <col min="11013" max="11013" width="8.796875" style="540"/>
    <col min="11014" max="11014" width="11.19921875" style="540" customWidth="1"/>
    <col min="11015" max="11015" width="11.09765625" style="540" customWidth="1"/>
    <col min="11016" max="11016" width="8.796875" style="540"/>
    <col min="11017" max="11017" width="10.8984375" style="540" customWidth="1"/>
    <col min="11018" max="11260" width="8.796875" style="540"/>
    <col min="11261" max="11261" width="14.19921875" style="540" customWidth="1"/>
    <col min="11262" max="11262" width="11.5" style="540" customWidth="1"/>
    <col min="11263" max="11263" width="7.8984375" style="540" customWidth="1"/>
    <col min="11264" max="11264" width="12.3984375" style="540" customWidth="1"/>
    <col min="11265" max="11265" width="7.8984375" style="540" customWidth="1"/>
    <col min="11266" max="11266" width="11.5" style="540" customWidth="1"/>
    <col min="11267" max="11267" width="9.69921875" style="540" customWidth="1"/>
    <col min="11268" max="11268" width="7.8984375" style="540" customWidth="1"/>
    <col min="11269" max="11269" width="8.796875" style="540"/>
    <col min="11270" max="11270" width="11.19921875" style="540" customWidth="1"/>
    <col min="11271" max="11271" width="11.09765625" style="540" customWidth="1"/>
    <col min="11272" max="11272" width="8.796875" style="540"/>
    <col min="11273" max="11273" width="10.8984375" style="540" customWidth="1"/>
    <col min="11274" max="11516" width="8.796875" style="540"/>
    <col min="11517" max="11517" width="14.19921875" style="540" customWidth="1"/>
    <col min="11518" max="11518" width="11.5" style="540" customWidth="1"/>
    <col min="11519" max="11519" width="7.8984375" style="540" customWidth="1"/>
    <col min="11520" max="11520" width="12.3984375" style="540" customWidth="1"/>
    <col min="11521" max="11521" width="7.8984375" style="540" customWidth="1"/>
    <col min="11522" max="11522" width="11.5" style="540" customWidth="1"/>
    <col min="11523" max="11523" width="9.69921875" style="540" customWidth="1"/>
    <col min="11524" max="11524" width="7.8984375" style="540" customWidth="1"/>
    <col min="11525" max="11525" width="8.796875" style="540"/>
    <col min="11526" max="11526" width="11.19921875" style="540" customWidth="1"/>
    <col min="11527" max="11527" width="11.09765625" style="540" customWidth="1"/>
    <col min="11528" max="11528" width="8.796875" style="540"/>
    <col min="11529" max="11529" width="10.8984375" style="540" customWidth="1"/>
    <col min="11530" max="11772" width="8.796875" style="540"/>
    <col min="11773" max="11773" width="14.19921875" style="540" customWidth="1"/>
    <col min="11774" max="11774" width="11.5" style="540" customWidth="1"/>
    <col min="11775" max="11775" width="7.8984375" style="540" customWidth="1"/>
    <col min="11776" max="11776" width="12.3984375" style="540" customWidth="1"/>
    <col min="11777" max="11777" width="7.8984375" style="540" customWidth="1"/>
    <col min="11778" max="11778" width="11.5" style="540" customWidth="1"/>
    <col min="11779" max="11779" width="9.69921875" style="540" customWidth="1"/>
    <col min="11780" max="11780" width="7.8984375" style="540" customWidth="1"/>
    <col min="11781" max="11781" width="8.796875" style="540"/>
    <col min="11782" max="11782" width="11.19921875" style="540" customWidth="1"/>
    <col min="11783" max="11783" width="11.09765625" style="540" customWidth="1"/>
    <col min="11784" max="11784" width="8.796875" style="540"/>
    <col min="11785" max="11785" width="10.8984375" style="540" customWidth="1"/>
    <col min="11786" max="12028" width="8.796875" style="540"/>
    <col min="12029" max="12029" width="14.19921875" style="540" customWidth="1"/>
    <col min="12030" max="12030" width="11.5" style="540" customWidth="1"/>
    <col min="12031" max="12031" width="7.8984375" style="540" customWidth="1"/>
    <col min="12032" max="12032" width="12.3984375" style="540" customWidth="1"/>
    <col min="12033" max="12033" width="7.8984375" style="540" customWidth="1"/>
    <col min="12034" max="12034" width="11.5" style="540" customWidth="1"/>
    <col min="12035" max="12035" width="9.69921875" style="540" customWidth="1"/>
    <col min="12036" max="12036" width="7.8984375" style="540" customWidth="1"/>
    <col min="12037" max="12037" width="8.796875" style="540"/>
    <col min="12038" max="12038" width="11.19921875" style="540" customWidth="1"/>
    <col min="12039" max="12039" width="11.09765625" style="540" customWidth="1"/>
    <col min="12040" max="12040" width="8.796875" style="540"/>
    <col min="12041" max="12041" width="10.8984375" style="540" customWidth="1"/>
    <col min="12042" max="12284" width="8.796875" style="540"/>
    <col min="12285" max="12285" width="14.19921875" style="540" customWidth="1"/>
    <col min="12286" max="12286" width="11.5" style="540" customWidth="1"/>
    <col min="12287" max="12287" width="7.8984375" style="540" customWidth="1"/>
    <col min="12288" max="12288" width="12.3984375" style="540" customWidth="1"/>
    <col min="12289" max="12289" width="7.8984375" style="540" customWidth="1"/>
    <col min="12290" max="12290" width="11.5" style="540" customWidth="1"/>
    <col min="12291" max="12291" width="9.69921875" style="540" customWidth="1"/>
    <col min="12292" max="12292" width="7.8984375" style="540" customWidth="1"/>
    <col min="12293" max="12293" width="8.796875" style="540"/>
    <col min="12294" max="12294" width="11.19921875" style="540" customWidth="1"/>
    <col min="12295" max="12295" width="11.09765625" style="540" customWidth="1"/>
    <col min="12296" max="12296" width="8.796875" style="540"/>
    <col min="12297" max="12297" width="10.8984375" style="540" customWidth="1"/>
    <col min="12298" max="12540" width="8.796875" style="540"/>
    <col min="12541" max="12541" width="14.19921875" style="540" customWidth="1"/>
    <col min="12542" max="12542" width="11.5" style="540" customWidth="1"/>
    <col min="12543" max="12543" width="7.8984375" style="540" customWidth="1"/>
    <col min="12544" max="12544" width="12.3984375" style="540" customWidth="1"/>
    <col min="12545" max="12545" width="7.8984375" style="540" customWidth="1"/>
    <col min="12546" max="12546" width="11.5" style="540" customWidth="1"/>
    <col min="12547" max="12547" width="9.69921875" style="540" customWidth="1"/>
    <col min="12548" max="12548" width="7.8984375" style="540" customWidth="1"/>
    <col min="12549" max="12549" width="8.796875" style="540"/>
    <col min="12550" max="12550" width="11.19921875" style="540" customWidth="1"/>
    <col min="12551" max="12551" width="11.09765625" style="540" customWidth="1"/>
    <col min="12552" max="12552" width="8.796875" style="540"/>
    <col min="12553" max="12553" width="10.8984375" style="540" customWidth="1"/>
    <col min="12554" max="12796" width="8.796875" style="540"/>
    <col min="12797" max="12797" width="14.19921875" style="540" customWidth="1"/>
    <col min="12798" max="12798" width="11.5" style="540" customWidth="1"/>
    <col min="12799" max="12799" width="7.8984375" style="540" customWidth="1"/>
    <col min="12800" max="12800" width="12.3984375" style="540" customWidth="1"/>
    <col min="12801" max="12801" width="7.8984375" style="540" customWidth="1"/>
    <col min="12802" max="12802" width="11.5" style="540" customWidth="1"/>
    <col min="12803" max="12803" width="9.69921875" style="540" customWidth="1"/>
    <col min="12804" max="12804" width="7.8984375" style="540" customWidth="1"/>
    <col min="12805" max="12805" width="8.796875" style="540"/>
    <col min="12806" max="12806" width="11.19921875" style="540" customWidth="1"/>
    <col min="12807" max="12807" width="11.09765625" style="540" customWidth="1"/>
    <col min="12808" max="12808" width="8.796875" style="540"/>
    <col min="12809" max="12809" width="10.8984375" style="540" customWidth="1"/>
    <col min="12810" max="13052" width="8.796875" style="540"/>
    <col min="13053" max="13053" width="14.19921875" style="540" customWidth="1"/>
    <col min="13054" max="13054" width="11.5" style="540" customWidth="1"/>
    <col min="13055" max="13055" width="7.8984375" style="540" customWidth="1"/>
    <col min="13056" max="13056" width="12.3984375" style="540" customWidth="1"/>
    <col min="13057" max="13057" width="7.8984375" style="540" customWidth="1"/>
    <col min="13058" max="13058" width="11.5" style="540" customWidth="1"/>
    <col min="13059" max="13059" width="9.69921875" style="540" customWidth="1"/>
    <col min="13060" max="13060" width="7.8984375" style="540" customWidth="1"/>
    <col min="13061" max="13061" width="8.796875" style="540"/>
    <col min="13062" max="13062" width="11.19921875" style="540" customWidth="1"/>
    <col min="13063" max="13063" width="11.09765625" style="540" customWidth="1"/>
    <col min="13064" max="13064" width="8.796875" style="540"/>
    <col min="13065" max="13065" width="10.8984375" style="540" customWidth="1"/>
    <col min="13066" max="13308" width="8.796875" style="540"/>
    <col min="13309" max="13309" width="14.19921875" style="540" customWidth="1"/>
    <col min="13310" max="13310" width="11.5" style="540" customWidth="1"/>
    <col min="13311" max="13311" width="7.8984375" style="540" customWidth="1"/>
    <col min="13312" max="13312" width="12.3984375" style="540" customWidth="1"/>
    <col min="13313" max="13313" width="7.8984375" style="540" customWidth="1"/>
    <col min="13314" max="13314" width="11.5" style="540" customWidth="1"/>
    <col min="13315" max="13315" width="9.69921875" style="540" customWidth="1"/>
    <col min="13316" max="13316" width="7.8984375" style="540" customWidth="1"/>
    <col min="13317" max="13317" width="8.796875" style="540"/>
    <col min="13318" max="13318" width="11.19921875" style="540" customWidth="1"/>
    <col min="13319" max="13319" width="11.09765625" style="540" customWidth="1"/>
    <col min="13320" max="13320" width="8.796875" style="540"/>
    <col min="13321" max="13321" width="10.8984375" style="540" customWidth="1"/>
    <col min="13322" max="13564" width="8.796875" style="540"/>
    <col min="13565" max="13565" width="14.19921875" style="540" customWidth="1"/>
    <col min="13566" max="13566" width="11.5" style="540" customWidth="1"/>
    <col min="13567" max="13567" width="7.8984375" style="540" customWidth="1"/>
    <col min="13568" max="13568" width="12.3984375" style="540" customWidth="1"/>
    <col min="13569" max="13569" width="7.8984375" style="540" customWidth="1"/>
    <col min="13570" max="13570" width="11.5" style="540" customWidth="1"/>
    <col min="13571" max="13571" width="9.69921875" style="540" customWidth="1"/>
    <col min="13572" max="13572" width="7.8984375" style="540" customWidth="1"/>
    <col min="13573" max="13573" width="8.796875" style="540"/>
    <col min="13574" max="13574" width="11.19921875" style="540" customWidth="1"/>
    <col min="13575" max="13575" width="11.09765625" style="540" customWidth="1"/>
    <col min="13576" max="13576" width="8.796875" style="540"/>
    <col min="13577" max="13577" width="10.8984375" style="540" customWidth="1"/>
    <col min="13578" max="13820" width="8.796875" style="540"/>
    <col min="13821" max="13821" width="14.19921875" style="540" customWidth="1"/>
    <col min="13822" max="13822" width="11.5" style="540" customWidth="1"/>
    <col min="13823" max="13823" width="7.8984375" style="540" customWidth="1"/>
    <col min="13824" max="13824" width="12.3984375" style="540" customWidth="1"/>
    <col min="13825" max="13825" width="7.8984375" style="540" customWidth="1"/>
    <col min="13826" max="13826" width="11.5" style="540" customWidth="1"/>
    <col min="13827" max="13827" width="9.69921875" style="540" customWidth="1"/>
    <col min="13828" max="13828" width="7.8984375" style="540" customWidth="1"/>
    <col min="13829" max="13829" width="8.796875" style="540"/>
    <col min="13830" max="13830" width="11.19921875" style="540" customWidth="1"/>
    <col min="13831" max="13831" width="11.09765625" style="540" customWidth="1"/>
    <col min="13832" max="13832" width="8.796875" style="540"/>
    <col min="13833" max="13833" width="10.8984375" style="540" customWidth="1"/>
    <col min="13834" max="14076" width="8.796875" style="540"/>
    <col min="14077" max="14077" width="14.19921875" style="540" customWidth="1"/>
    <col min="14078" max="14078" width="11.5" style="540" customWidth="1"/>
    <col min="14079" max="14079" width="7.8984375" style="540" customWidth="1"/>
    <col min="14080" max="14080" width="12.3984375" style="540" customWidth="1"/>
    <col min="14081" max="14081" width="7.8984375" style="540" customWidth="1"/>
    <col min="14082" max="14082" width="11.5" style="540" customWidth="1"/>
    <col min="14083" max="14083" width="9.69921875" style="540" customWidth="1"/>
    <col min="14084" max="14084" width="7.8984375" style="540" customWidth="1"/>
    <col min="14085" max="14085" width="8.796875" style="540"/>
    <col min="14086" max="14086" width="11.19921875" style="540" customWidth="1"/>
    <col min="14087" max="14087" width="11.09765625" style="540" customWidth="1"/>
    <col min="14088" max="14088" width="8.796875" style="540"/>
    <col min="14089" max="14089" width="10.8984375" style="540" customWidth="1"/>
    <col min="14090" max="14332" width="8.796875" style="540"/>
    <col min="14333" max="14333" width="14.19921875" style="540" customWidth="1"/>
    <col min="14334" max="14334" width="11.5" style="540" customWidth="1"/>
    <col min="14335" max="14335" width="7.8984375" style="540" customWidth="1"/>
    <col min="14336" max="14336" width="12.3984375" style="540" customWidth="1"/>
    <col min="14337" max="14337" width="7.8984375" style="540" customWidth="1"/>
    <col min="14338" max="14338" width="11.5" style="540" customWidth="1"/>
    <col min="14339" max="14339" width="9.69921875" style="540" customWidth="1"/>
    <col min="14340" max="14340" width="7.8984375" style="540" customWidth="1"/>
    <col min="14341" max="14341" width="8.796875" style="540"/>
    <col min="14342" max="14342" width="11.19921875" style="540" customWidth="1"/>
    <col min="14343" max="14343" width="11.09765625" style="540" customWidth="1"/>
    <col min="14344" max="14344" width="8.796875" style="540"/>
    <col min="14345" max="14345" width="10.8984375" style="540" customWidth="1"/>
    <col min="14346" max="14588" width="8.796875" style="540"/>
    <col min="14589" max="14589" width="14.19921875" style="540" customWidth="1"/>
    <col min="14590" max="14590" width="11.5" style="540" customWidth="1"/>
    <col min="14591" max="14591" width="7.8984375" style="540" customWidth="1"/>
    <col min="14592" max="14592" width="12.3984375" style="540" customWidth="1"/>
    <col min="14593" max="14593" width="7.8984375" style="540" customWidth="1"/>
    <col min="14594" max="14594" width="11.5" style="540" customWidth="1"/>
    <col min="14595" max="14595" width="9.69921875" style="540" customWidth="1"/>
    <col min="14596" max="14596" width="7.8984375" style="540" customWidth="1"/>
    <col min="14597" max="14597" width="8.796875" style="540"/>
    <col min="14598" max="14598" width="11.19921875" style="540" customWidth="1"/>
    <col min="14599" max="14599" width="11.09765625" style="540" customWidth="1"/>
    <col min="14600" max="14600" width="8.796875" style="540"/>
    <col min="14601" max="14601" width="10.8984375" style="540" customWidth="1"/>
    <col min="14602" max="14844" width="8.796875" style="540"/>
    <col min="14845" max="14845" width="14.19921875" style="540" customWidth="1"/>
    <col min="14846" max="14846" width="11.5" style="540" customWidth="1"/>
    <col min="14847" max="14847" width="7.8984375" style="540" customWidth="1"/>
    <col min="14848" max="14848" width="12.3984375" style="540" customWidth="1"/>
    <col min="14849" max="14849" width="7.8984375" style="540" customWidth="1"/>
    <col min="14850" max="14850" width="11.5" style="540" customWidth="1"/>
    <col min="14851" max="14851" width="9.69921875" style="540" customWidth="1"/>
    <col min="14852" max="14852" width="7.8984375" style="540" customWidth="1"/>
    <col min="14853" max="14853" width="8.796875" style="540"/>
    <col min="14854" max="14854" width="11.19921875" style="540" customWidth="1"/>
    <col min="14855" max="14855" width="11.09765625" style="540" customWidth="1"/>
    <col min="14856" max="14856" width="8.796875" style="540"/>
    <col min="14857" max="14857" width="10.8984375" style="540" customWidth="1"/>
    <col min="14858" max="15100" width="8.796875" style="540"/>
    <col min="15101" max="15101" width="14.19921875" style="540" customWidth="1"/>
    <col min="15102" max="15102" width="11.5" style="540" customWidth="1"/>
    <col min="15103" max="15103" width="7.8984375" style="540" customWidth="1"/>
    <col min="15104" max="15104" width="12.3984375" style="540" customWidth="1"/>
    <col min="15105" max="15105" width="7.8984375" style="540" customWidth="1"/>
    <col min="15106" max="15106" width="11.5" style="540" customWidth="1"/>
    <col min="15107" max="15107" width="9.69921875" style="540" customWidth="1"/>
    <col min="15108" max="15108" width="7.8984375" style="540" customWidth="1"/>
    <col min="15109" max="15109" width="8.796875" style="540"/>
    <col min="15110" max="15110" width="11.19921875" style="540" customWidth="1"/>
    <col min="15111" max="15111" width="11.09765625" style="540" customWidth="1"/>
    <col min="15112" max="15112" width="8.796875" style="540"/>
    <col min="15113" max="15113" width="10.8984375" style="540" customWidth="1"/>
    <col min="15114" max="15356" width="8.796875" style="540"/>
    <col min="15357" max="15357" width="14.19921875" style="540" customWidth="1"/>
    <col min="15358" max="15358" width="11.5" style="540" customWidth="1"/>
    <col min="15359" max="15359" width="7.8984375" style="540" customWidth="1"/>
    <col min="15360" max="15360" width="12.3984375" style="540" customWidth="1"/>
    <col min="15361" max="15361" width="7.8984375" style="540" customWidth="1"/>
    <col min="15362" max="15362" width="11.5" style="540" customWidth="1"/>
    <col min="15363" max="15363" width="9.69921875" style="540" customWidth="1"/>
    <col min="15364" max="15364" width="7.8984375" style="540" customWidth="1"/>
    <col min="15365" max="15365" width="8.796875" style="540"/>
    <col min="15366" max="15366" width="11.19921875" style="540" customWidth="1"/>
    <col min="15367" max="15367" width="11.09765625" style="540" customWidth="1"/>
    <col min="15368" max="15368" width="8.796875" style="540"/>
    <col min="15369" max="15369" width="10.8984375" style="540" customWidth="1"/>
    <col min="15370" max="15612" width="8.796875" style="540"/>
    <col min="15613" max="15613" width="14.19921875" style="540" customWidth="1"/>
    <col min="15614" max="15614" width="11.5" style="540" customWidth="1"/>
    <col min="15615" max="15615" width="7.8984375" style="540" customWidth="1"/>
    <col min="15616" max="15616" width="12.3984375" style="540" customWidth="1"/>
    <col min="15617" max="15617" width="7.8984375" style="540" customWidth="1"/>
    <col min="15618" max="15618" width="11.5" style="540" customWidth="1"/>
    <col min="15619" max="15619" width="9.69921875" style="540" customWidth="1"/>
    <col min="15620" max="15620" width="7.8984375" style="540" customWidth="1"/>
    <col min="15621" max="15621" width="8.796875" style="540"/>
    <col min="15622" max="15622" width="11.19921875" style="540" customWidth="1"/>
    <col min="15623" max="15623" width="11.09765625" style="540" customWidth="1"/>
    <col min="15624" max="15624" width="8.796875" style="540"/>
    <col min="15625" max="15625" width="10.8984375" style="540" customWidth="1"/>
    <col min="15626" max="15868" width="8.796875" style="540"/>
    <col min="15869" max="15869" width="14.19921875" style="540" customWidth="1"/>
    <col min="15870" max="15870" width="11.5" style="540" customWidth="1"/>
    <col min="15871" max="15871" width="7.8984375" style="540" customWidth="1"/>
    <col min="15872" max="15872" width="12.3984375" style="540" customWidth="1"/>
    <col min="15873" max="15873" width="7.8984375" style="540" customWidth="1"/>
    <col min="15874" max="15874" width="11.5" style="540" customWidth="1"/>
    <col min="15875" max="15875" width="9.69921875" style="540" customWidth="1"/>
    <col min="15876" max="15876" width="7.8984375" style="540" customWidth="1"/>
    <col min="15877" max="15877" width="8.796875" style="540"/>
    <col min="15878" max="15878" width="11.19921875" style="540" customWidth="1"/>
    <col min="15879" max="15879" width="11.09765625" style="540" customWidth="1"/>
    <col min="15880" max="15880" width="8.796875" style="540"/>
    <col min="15881" max="15881" width="10.8984375" style="540" customWidth="1"/>
    <col min="15882" max="16124" width="8.796875" style="540"/>
    <col min="16125" max="16125" width="14.19921875" style="540" customWidth="1"/>
    <col min="16126" max="16126" width="11.5" style="540" customWidth="1"/>
    <col min="16127" max="16127" width="7.8984375" style="540" customWidth="1"/>
    <col min="16128" max="16128" width="12.3984375" style="540" customWidth="1"/>
    <col min="16129" max="16129" width="7.8984375" style="540" customWidth="1"/>
    <col min="16130" max="16130" width="11.5" style="540" customWidth="1"/>
    <col min="16131" max="16131" width="9.69921875" style="540" customWidth="1"/>
    <col min="16132" max="16132" width="7.8984375" style="540" customWidth="1"/>
    <col min="16133" max="16133" width="8.796875" style="540"/>
    <col min="16134" max="16134" width="11.19921875" style="540" customWidth="1"/>
    <col min="16135" max="16135" width="11.09765625" style="540" customWidth="1"/>
    <col min="16136" max="16136" width="8.796875" style="540"/>
    <col min="16137" max="16137" width="10.8984375" style="540" customWidth="1"/>
    <col min="16138" max="16384" width="8.796875" style="540"/>
  </cols>
  <sheetData>
    <row r="1" spans="1:8" x14ac:dyDescent="0.25">
      <c r="A1" s="552"/>
      <c r="B1" s="552"/>
      <c r="C1" s="552"/>
      <c r="D1" s="552"/>
      <c r="E1" s="552"/>
      <c r="F1" s="552"/>
      <c r="G1" s="552"/>
      <c r="H1" s="553">
        <f>inputPrYr!D10</f>
        <v>2025</v>
      </c>
    </row>
    <row r="2" spans="1:8" x14ac:dyDescent="0.25">
      <c r="A2" s="818" t="s">
        <v>461</v>
      </c>
      <c r="B2" s="819"/>
      <c r="C2" s="819"/>
      <c r="D2" s="819"/>
      <c r="E2" s="819"/>
      <c r="F2" s="819"/>
      <c r="G2" s="819"/>
      <c r="H2" s="819"/>
    </row>
    <row r="3" spans="1:8" x14ac:dyDescent="0.25">
      <c r="A3" s="552"/>
      <c r="B3" s="552"/>
      <c r="C3" s="552"/>
      <c r="D3" s="552"/>
      <c r="E3" s="552"/>
      <c r="F3" s="552"/>
      <c r="G3" s="552"/>
      <c r="H3" s="552"/>
    </row>
    <row r="4" spans="1:8" x14ac:dyDescent="0.25">
      <c r="A4" s="820" t="s">
        <v>462</v>
      </c>
      <c r="B4" s="820"/>
      <c r="C4" s="820"/>
      <c r="D4" s="820"/>
      <c r="E4" s="820"/>
      <c r="F4" s="820"/>
      <c r="G4" s="820"/>
      <c r="H4" s="820"/>
    </row>
    <row r="5" spans="1:8" x14ac:dyDescent="0.25">
      <c r="A5" s="821">
        <f>inputPrYr!D4</f>
        <v>0</v>
      </c>
      <c r="B5" s="822"/>
      <c r="C5" s="822"/>
      <c r="D5" s="822"/>
      <c r="E5" s="822"/>
      <c r="F5" s="822"/>
      <c r="G5" s="822"/>
      <c r="H5" s="822"/>
    </row>
    <row r="6" spans="1:8" x14ac:dyDescent="0.25">
      <c r="A6" s="820" t="str">
        <f>CONCATENATE("will meet on ",inputHearing!B42," at ",inputHearing!B44," at ",inputHearing!B46," for the purpose of hearing and")</f>
        <v>will meet on  at  at  for the purpose of hearing and</v>
      </c>
      <c r="B6" s="820"/>
      <c r="C6" s="820"/>
      <c r="D6" s="820"/>
      <c r="E6" s="820"/>
      <c r="F6" s="820"/>
      <c r="G6" s="820"/>
      <c r="H6" s="820"/>
    </row>
    <row r="7" spans="1:8" ht="14.25" customHeight="1" x14ac:dyDescent="0.25">
      <c r="A7" s="820" t="s">
        <v>463</v>
      </c>
      <c r="B7" s="820"/>
      <c r="C7" s="820"/>
      <c r="D7" s="820"/>
      <c r="E7" s="820"/>
      <c r="F7" s="820"/>
      <c r="G7" s="820"/>
      <c r="H7" s="820"/>
    </row>
    <row r="8" spans="1:8" ht="11.25" customHeight="1" x14ac:dyDescent="0.25">
      <c r="A8" s="552"/>
      <c r="B8" s="552"/>
      <c r="C8" s="552"/>
      <c r="D8" s="552"/>
      <c r="E8" s="552"/>
      <c r="F8" s="552"/>
      <c r="G8" s="552"/>
      <c r="H8" s="552"/>
    </row>
    <row r="9" spans="1:8" ht="15" customHeight="1" x14ac:dyDescent="0.25">
      <c r="A9" s="822" t="s">
        <v>464</v>
      </c>
      <c r="B9" s="822"/>
      <c r="C9" s="822"/>
      <c r="D9" s="822"/>
      <c r="E9" s="822"/>
      <c r="F9" s="822"/>
      <c r="G9" s="822"/>
      <c r="H9" s="822"/>
    </row>
    <row r="10" spans="1:8" ht="12" customHeight="1" x14ac:dyDescent="0.25">
      <c r="A10" s="826">
        <f>inputPrYr!D5</f>
        <v>0</v>
      </c>
      <c r="B10" s="820"/>
      <c r="C10" s="820"/>
      <c r="D10" s="820"/>
      <c r="E10" s="820"/>
      <c r="F10" s="820"/>
      <c r="G10" s="820"/>
      <c r="H10" s="820"/>
    </row>
    <row r="11" spans="1:8" x14ac:dyDescent="0.25">
      <c r="A11" s="554"/>
      <c r="B11" s="555"/>
      <c r="C11" s="555"/>
      <c r="D11" s="555"/>
      <c r="E11" s="555"/>
      <c r="F11" s="555"/>
      <c r="G11" s="555"/>
      <c r="H11" s="555"/>
    </row>
    <row r="12" spans="1:8" x14ac:dyDescent="0.25">
      <c r="A12" s="554"/>
      <c r="B12" s="825" t="s">
        <v>449</v>
      </c>
      <c r="C12" s="825"/>
      <c r="D12" s="825"/>
      <c r="E12" s="825"/>
      <c r="F12" s="825"/>
      <c r="G12" s="825"/>
      <c r="H12" s="555"/>
    </row>
    <row r="13" spans="1:8" x14ac:dyDescent="0.25">
      <c r="A13" s="554"/>
      <c r="B13" s="823" t="s">
        <v>465</v>
      </c>
      <c r="C13" s="823"/>
      <c r="D13" s="556">
        <f>'Budget Hearing Notice'!H37</f>
        <v>0</v>
      </c>
      <c r="E13" s="823" t="s">
        <v>466</v>
      </c>
      <c r="F13" s="823"/>
      <c r="G13" s="557">
        <f>SUM('Budget Hearing Notice'!H21:H24)</f>
        <v>0</v>
      </c>
      <c r="H13" s="555"/>
    </row>
    <row r="14" spans="1:8" x14ac:dyDescent="0.25">
      <c r="A14" s="554"/>
      <c r="B14" s="611"/>
      <c r="C14" s="611"/>
      <c r="D14" s="612"/>
      <c r="E14" s="611"/>
      <c r="F14" s="611"/>
      <c r="G14" s="613"/>
      <c r="H14" s="555"/>
    </row>
    <row r="15" spans="1:8" x14ac:dyDescent="0.25">
      <c r="A15" s="554"/>
      <c r="B15" s="824" t="s">
        <v>467</v>
      </c>
      <c r="C15" s="824"/>
      <c r="D15" s="824"/>
      <c r="E15" s="824"/>
      <c r="F15" s="824"/>
      <c r="G15" s="824"/>
      <c r="H15" s="555"/>
    </row>
    <row r="16" spans="1:8" x14ac:dyDescent="0.25">
      <c r="A16" s="554"/>
      <c r="B16" s="823" t="s">
        <v>465</v>
      </c>
      <c r="C16" s="823"/>
      <c r="D16" s="556">
        <f>'Combined Rate-Bud Hearing Notic'!H38</f>
        <v>0</v>
      </c>
      <c r="E16" s="823" t="s">
        <v>466</v>
      </c>
      <c r="F16" s="823"/>
      <c r="G16" s="557">
        <f>SUM('Budget Hearing Notice'!H18:H20,'Budget Hearing Notice'!H25:H29)</f>
        <v>0</v>
      </c>
      <c r="H16" s="555"/>
    </row>
    <row r="17" spans="1:8" x14ac:dyDescent="0.25">
      <c r="A17" s="552"/>
      <c r="B17" s="558"/>
      <c r="C17" s="558"/>
      <c r="D17" s="558"/>
      <c r="E17" s="558"/>
      <c r="F17" s="558"/>
      <c r="G17" s="558"/>
      <c r="H17" s="558"/>
    </row>
    <row r="18" spans="1:8" x14ac:dyDescent="0.25">
      <c r="A18" s="552"/>
      <c r="B18" s="817" t="s">
        <v>468</v>
      </c>
      <c r="C18" s="817"/>
      <c r="D18" s="817"/>
      <c r="E18" s="817"/>
      <c r="F18" s="817"/>
      <c r="G18" s="552"/>
      <c r="H18" s="553"/>
    </row>
    <row r="19" spans="1:8" x14ac:dyDescent="0.25">
      <c r="A19" s="552"/>
      <c r="B19" s="817" t="s">
        <v>469</v>
      </c>
      <c r="C19" s="817"/>
      <c r="D19" s="817"/>
      <c r="E19" s="817"/>
      <c r="F19" s="817"/>
      <c r="G19" s="552"/>
      <c r="H19" s="553"/>
    </row>
    <row r="20" spans="1:8" x14ac:dyDescent="0.25">
      <c r="A20" s="552"/>
      <c r="B20" s="627"/>
      <c r="C20" s="627"/>
      <c r="D20" s="627"/>
      <c r="E20" s="627"/>
      <c r="F20" s="627"/>
      <c r="G20" s="552"/>
      <c r="H20" s="553"/>
    </row>
    <row r="21" spans="1:8" x14ac:dyDescent="0.25">
      <c r="A21" s="552"/>
      <c r="B21" s="627"/>
      <c r="C21" s="627"/>
      <c r="D21" s="559" t="s">
        <v>288</v>
      </c>
      <c r="E21" s="560"/>
      <c r="F21" s="627"/>
      <c r="G21" s="552"/>
      <c r="H21" s="553"/>
    </row>
    <row r="23" spans="1:8" x14ac:dyDescent="0.25">
      <c r="A23" s="561"/>
      <c r="B23" s="561"/>
      <c r="C23" s="561"/>
      <c r="D23" s="561"/>
      <c r="E23" s="561"/>
      <c r="F23" s="561"/>
      <c r="G23" s="561"/>
      <c r="H23" s="561"/>
    </row>
    <row r="25" spans="1:8" x14ac:dyDescent="0.25">
      <c r="A25" s="561"/>
      <c r="B25" s="561"/>
      <c r="C25" s="561"/>
      <c r="D25" s="561"/>
      <c r="E25" s="561"/>
      <c r="F25" s="561"/>
      <c r="G25" s="561"/>
      <c r="H25" s="561"/>
    </row>
    <row r="26" spans="1:8" x14ac:dyDescent="0.25">
      <c r="A26" s="561"/>
      <c r="B26" s="561"/>
      <c r="C26" s="561"/>
      <c r="D26" s="561"/>
      <c r="E26" s="561"/>
      <c r="F26" s="561"/>
      <c r="G26" s="561"/>
      <c r="H26" s="561"/>
    </row>
    <row r="27" spans="1:8" x14ac:dyDescent="0.25">
      <c r="A27" s="561"/>
      <c r="B27" s="561"/>
      <c r="C27" s="561"/>
      <c r="D27" s="561"/>
      <c r="E27" s="561"/>
      <c r="F27" s="561"/>
      <c r="G27" s="561"/>
      <c r="H27" s="561"/>
    </row>
    <row r="28" spans="1:8" x14ac:dyDescent="0.25">
      <c r="A28" s="561"/>
      <c r="B28" s="561"/>
      <c r="C28" s="561"/>
      <c r="D28" s="561"/>
      <c r="E28" s="561"/>
      <c r="F28" s="561"/>
      <c r="G28" s="561"/>
      <c r="H28" s="561"/>
    </row>
    <row r="29" spans="1:8" x14ac:dyDescent="0.25">
      <c r="A29" s="561"/>
      <c r="B29" s="561"/>
      <c r="C29" s="561"/>
      <c r="D29" s="561"/>
      <c r="E29" s="561"/>
      <c r="F29" s="561"/>
      <c r="G29" s="561"/>
      <c r="H29" s="561"/>
    </row>
    <row r="30" spans="1:8" x14ac:dyDescent="0.25">
      <c r="A30" s="561"/>
      <c r="B30" s="561"/>
      <c r="C30" s="561"/>
      <c r="D30" s="561"/>
      <c r="E30" s="561"/>
      <c r="F30" s="561"/>
      <c r="G30" s="561"/>
      <c r="H30" s="561"/>
    </row>
    <row r="31" spans="1:8" x14ac:dyDescent="0.25">
      <c r="A31" s="561"/>
      <c r="B31" s="561"/>
      <c r="C31" s="561"/>
      <c r="D31" s="561"/>
      <c r="E31" s="561"/>
      <c r="F31" s="561"/>
      <c r="G31" s="561"/>
      <c r="H31" s="561"/>
    </row>
    <row r="32" spans="1:8" x14ac:dyDescent="0.25">
      <c r="A32" s="561"/>
      <c r="B32" s="561"/>
      <c r="C32" s="561"/>
      <c r="D32" s="561"/>
      <c r="E32" s="561"/>
      <c r="F32" s="561"/>
      <c r="G32" s="561"/>
      <c r="H32" s="561"/>
    </row>
    <row r="33" spans="1:8" x14ac:dyDescent="0.25">
      <c r="A33" s="561"/>
      <c r="B33" s="561"/>
      <c r="C33" s="561"/>
      <c r="D33" s="561"/>
      <c r="E33" s="561"/>
      <c r="F33" s="561"/>
      <c r="G33" s="561"/>
      <c r="H33" s="561"/>
    </row>
    <row r="41" spans="1:8" ht="15" customHeight="1" x14ac:dyDescent="0.25"/>
  </sheetData>
  <sheetProtection sheet="1" objects="1" scenarios="1"/>
  <mergeCells count="15">
    <mergeCell ref="B18:F18"/>
    <mergeCell ref="B19:F19"/>
    <mergeCell ref="A2:H2"/>
    <mergeCell ref="A4:H4"/>
    <mergeCell ref="A5:H5"/>
    <mergeCell ref="A6:H6"/>
    <mergeCell ref="A7:H7"/>
    <mergeCell ref="A9:H9"/>
    <mergeCell ref="B16:C16"/>
    <mergeCell ref="E16:F16"/>
    <mergeCell ref="B15:G15"/>
    <mergeCell ref="B12:G12"/>
    <mergeCell ref="A10:H10"/>
    <mergeCell ref="B13:C13"/>
    <mergeCell ref="E13:F13"/>
  </mergeCells>
  <pageMargins left="1" right="1" top="0.5" bottom="0.5" header="0.5" footer="0.5"/>
  <pageSetup scale="79" orientation="portrait"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pageSetUpPr fitToPage="1"/>
  </sheetPr>
  <dimension ref="A1:F41"/>
  <sheetViews>
    <sheetView workbookViewId="0">
      <selection activeCell="G2" sqref="G2"/>
    </sheetView>
  </sheetViews>
  <sheetFormatPr defaultRowHeight="15.75" x14ac:dyDescent="0.25"/>
  <cols>
    <col min="1" max="1" width="10.59765625" style="62" customWidth="1"/>
    <col min="2" max="2" width="13.69921875" style="62" customWidth="1"/>
    <col min="3" max="5" width="12.69921875" style="62" customWidth="1"/>
    <col min="6" max="16384" width="8.796875" style="62"/>
  </cols>
  <sheetData>
    <row r="1" spans="1:6" x14ac:dyDescent="0.25">
      <c r="A1" s="72">
        <f>inputPrYr!D4</f>
        <v>0</v>
      </c>
      <c r="B1" s="35"/>
      <c r="C1" s="35"/>
      <c r="D1" s="35"/>
      <c r="E1" s="35"/>
      <c r="F1" s="35">
        <f>inputPrYr!D10</f>
        <v>2025</v>
      </c>
    </row>
    <row r="2" spans="1:6" x14ac:dyDescent="0.25">
      <c r="A2" s="35"/>
      <c r="B2" s="35"/>
      <c r="C2" s="35"/>
      <c r="D2" s="35"/>
      <c r="E2" s="35"/>
      <c r="F2" s="35"/>
    </row>
    <row r="3" spans="1:6" x14ac:dyDescent="0.25">
      <c r="A3" s="35"/>
      <c r="B3" s="720" t="str">
        <f>CONCATENATE("",F1," Neighborhood Revitalization Rebate")</f>
        <v>2025 Neighborhood Revitalization Rebate</v>
      </c>
      <c r="C3" s="728"/>
      <c r="D3" s="728"/>
      <c r="E3" s="728"/>
      <c r="F3" s="35"/>
    </row>
    <row r="4" spans="1:6" x14ac:dyDescent="0.25">
      <c r="A4" s="35"/>
      <c r="B4" s="35"/>
      <c r="C4" s="35"/>
      <c r="D4" s="35"/>
      <c r="E4" s="35"/>
      <c r="F4" s="35"/>
    </row>
    <row r="5" spans="1:6" ht="51" customHeight="1" x14ac:dyDescent="0.25">
      <c r="A5" s="35"/>
      <c r="B5" s="212" t="str">
        <f>CONCATENATE("Budgeted Funds                            for ",F1,"")</f>
        <v>Budgeted Funds                            for 2025</v>
      </c>
      <c r="C5" s="212" t="str">
        <f>CONCATENATE("",F1-1," Ad Valorem before Rebate**")</f>
        <v>2024 Ad Valorem before Rebate**</v>
      </c>
      <c r="D5" s="213" t="str">
        <f>CONCATENATE("",F1-1," Mil Rate before Rebate")</f>
        <v>2024 Mil Rate before Rebate</v>
      </c>
      <c r="E5" s="214" t="str">
        <f>CONCATENATE("Estimate ",F1," NR Rebate")</f>
        <v>Estimate 2025 NR Rebate</v>
      </c>
      <c r="F5" s="119"/>
    </row>
    <row r="6" spans="1:6" x14ac:dyDescent="0.25">
      <c r="A6" s="35"/>
      <c r="B6" s="61" t="str">
        <f>IF(inputPrYr!B21&gt;0,inputPrYr!B21,"")</f>
        <v>General</v>
      </c>
      <c r="C6" s="215"/>
      <c r="D6" s="216" t="str">
        <f t="shared" ref="D6:D17" si="0">IF(C6&gt;0,C6/$D$23,"")</f>
        <v/>
      </c>
      <c r="E6" s="211">
        <f>IF(C6&gt;0,ROUND(D6*$D$27,0),0)</f>
        <v>0</v>
      </c>
      <c r="F6" s="119"/>
    </row>
    <row r="7" spans="1:6" x14ac:dyDescent="0.25">
      <c r="A7" s="35"/>
      <c r="B7" s="61" t="str">
        <f>IF(inputPrYr!B22&gt;0,inputPrYr!B22,"")</f>
        <v>Debt Service</v>
      </c>
      <c r="C7" s="215"/>
      <c r="D7" s="216" t="str">
        <f t="shared" si="0"/>
        <v/>
      </c>
      <c r="E7" s="211">
        <f t="shared" ref="E7:E17" si="1">IF(C7&gt;0,ROUND(D7*$D$27,0),0)</f>
        <v>0</v>
      </c>
      <c r="F7" s="119"/>
    </row>
    <row r="8" spans="1:6" x14ac:dyDescent="0.25">
      <c r="A8" s="35"/>
      <c r="B8" s="61" t="str">
        <f>IF(inputPrYr!B23&gt;0,inputPrYr!B23,"")</f>
        <v>Library</v>
      </c>
      <c r="C8" s="215"/>
      <c r="D8" s="216" t="str">
        <f>IF(C8&gt;0,C8/$D$23,"")</f>
        <v/>
      </c>
      <c r="E8" s="211">
        <f t="shared" si="1"/>
        <v>0</v>
      </c>
      <c r="F8" s="119"/>
    </row>
    <row r="9" spans="1:6" x14ac:dyDescent="0.25">
      <c r="A9" s="35"/>
      <c r="B9" s="61" t="str">
        <f>IF(inputPrYr!B24&gt;0,inputPrYr!B24,"")</f>
        <v>Road</v>
      </c>
      <c r="C9" s="215"/>
      <c r="D9" s="216" t="str">
        <f t="shared" si="0"/>
        <v/>
      </c>
      <c r="E9" s="211">
        <f t="shared" si="1"/>
        <v>0</v>
      </c>
      <c r="F9" s="119"/>
    </row>
    <row r="10" spans="1:6" x14ac:dyDescent="0.25">
      <c r="A10" s="35"/>
      <c r="B10" s="61" t="str">
        <f>IF(inputPrYr!B25&gt;0,inputPrYr!B25,"")</f>
        <v>Special Road</v>
      </c>
      <c r="C10" s="215"/>
      <c r="D10" s="216" t="str">
        <f t="shared" si="0"/>
        <v/>
      </c>
      <c r="E10" s="211">
        <f t="shared" si="1"/>
        <v>0</v>
      </c>
      <c r="F10" s="119"/>
    </row>
    <row r="11" spans="1:6" x14ac:dyDescent="0.25">
      <c r="A11" s="35"/>
      <c r="B11" s="61" t="str">
        <f>IF(inputPrYr!B26&gt;0,inputPrYr!B26,"")</f>
        <v>Noxious Weed</v>
      </c>
      <c r="C11" s="215"/>
      <c r="D11" s="216" t="str">
        <f t="shared" si="0"/>
        <v/>
      </c>
      <c r="E11" s="211">
        <f t="shared" si="1"/>
        <v>0</v>
      </c>
      <c r="F11" s="119"/>
    </row>
    <row r="12" spans="1:6" x14ac:dyDescent="0.25">
      <c r="A12" s="35"/>
      <c r="B12" s="61" t="str">
        <f>IF(inputPrYr!B27&gt;0,inputPrYr!B27,"")</f>
        <v>Fire Protection</v>
      </c>
      <c r="C12" s="215"/>
      <c r="D12" s="216" t="str">
        <f t="shared" si="0"/>
        <v/>
      </c>
      <c r="E12" s="211">
        <f t="shared" si="1"/>
        <v>0</v>
      </c>
      <c r="F12" s="119"/>
    </row>
    <row r="13" spans="1:6" x14ac:dyDescent="0.25">
      <c r="A13" s="35"/>
      <c r="B13" s="61" t="str">
        <f>IF(inputPrYr!B28&gt;0,inputPrYr!B28,"")</f>
        <v/>
      </c>
      <c r="C13" s="217"/>
      <c r="D13" s="216" t="str">
        <f t="shared" si="0"/>
        <v/>
      </c>
      <c r="E13" s="211">
        <f t="shared" si="1"/>
        <v>0</v>
      </c>
      <c r="F13" s="119"/>
    </row>
    <row r="14" spans="1:6" x14ac:dyDescent="0.25">
      <c r="A14" s="35"/>
      <c r="B14" s="61" t="str">
        <f>IF(inputPrYr!B29&gt;0,inputPrYr!B29,"")</f>
        <v/>
      </c>
      <c r="C14" s="217"/>
      <c r="D14" s="216" t="str">
        <f t="shared" si="0"/>
        <v/>
      </c>
      <c r="E14" s="211">
        <f t="shared" si="1"/>
        <v>0</v>
      </c>
      <c r="F14" s="119"/>
    </row>
    <row r="15" spans="1:6" x14ac:dyDescent="0.25">
      <c r="A15" s="35"/>
      <c r="B15" s="61" t="str">
        <f>IF(inputPrYr!B30&gt;0,inputPrYr!B30,"")</f>
        <v/>
      </c>
      <c r="C15" s="217"/>
      <c r="D15" s="216" t="str">
        <f t="shared" si="0"/>
        <v/>
      </c>
      <c r="E15" s="211">
        <f t="shared" si="1"/>
        <v>0</v>
      </c>
      <c r="F15" s="119"/>
    </row>
    <row r="16" spans="1:6" x14ac:dyDescent="0.25">
      <c r="A16" s="35"/>
      <c r="B16" s="61" t="str">
        <f>IF(inputPrYr!B31&gt;0,inputPrYr!B31,"")</f>
        <v/>
      </c>
      <c r="C16" s="217"/>
      <c r="D16" s="216" t="str">
        <f t="shared" si="0"/>
        <v/>
      </c>
      <c r="E16" s="211">
        <f t="shared" si="1"/>
        <v>0</v>
      </c>
      <c r="F16" s="119"/>
    </row>
    <row r="17" spans="1:6" x14ac:dyDescent="0.25">
      <c r="A17" s="35"/>
      <c r="B17" s="61" t="str">
        <f>IF(inputPrYr!B32&gt;0,inputPrYr!B32,"")</f>
        <v/>
      </c>
      <c r="C17" s="217"/>
      <c r="D17" s="216" t="str">
        <f t="shared" si="0"/>
        <v/>
      </c>
      <c r="E17" s="211">
        <f t="shared" si="1"/>
        <v>0</v>
      </c>
      <c r="F17" s="119"/>
    </row>
    <row r="18" spans="1:6" ht="16.5" thickBot="1" x14ac:dyDescent="0.3">
      <c r="A18" s="35"/>
      <c r="B18" s="132" t="s">
        <v>470</v>
      </c>
      <c r="C18" s="218">
        <f>SUM(C6:C17)</f>
        <v>0</v>
      </c>
      <c r="D18" s="219">
        <f>SUM(D6:D17)</f>
        <v>0</v>
      </c>
      <c r="E18" s="218">
        <f>SUM(E6:E17)</f>
        <v>0</v>
      </c>
      <c r="F18" s="119"/>
    </row>
    <row r="19" spans="1:6" ht="16.5" thickTop="1" x14ac:dyDescent="0.25">
      <c r="A19" s="35"/>
      <c r="B19" s="35"/>
      <c r="C19" s="35"/>
      <c r="D19" s="35"/>
      <c r="E19" s="35"/>
      <c r="F19" s="119"/>
    </row>
    <row r="20" spans="1:6" x14ac:dyDescent="0.25">
      <c r="A20" s="35"/>
      <c r="B20" s="35"/>
      <c r="C20" s="35"/>
      <c r="D20" s="35"/>
      <c r="E20" s="35"/>
      <c r="F20" s="119"/>
    </row>
    <row r="21" spans="1:6" x14ac:dyDescent="0.25">
      <c r="A21" s="827" t="str">
        <f>CONCATENATE("",F1-1," July 1 Valuation:")</f>
        <v>2024 July 1 Valuation:</v>
      </c>
      <c r="B21" s="828"/>
      <c r="C21" s="827"/>
      <c r="D21" s="220">
        <f>inputOth!E11</f>
        <v>0</v>
      </c>
      <c r="E21" s="35"/>
      <c r="F21" s="119"/>
    </row>
    <row r="22" spans="1:6" x14ac:dyDescent="0.25">
      <c r="A22" s="35"/>
      <c r="B22" s="35"/>
      <c r="C22" s="35"/>
      <c r="D22" s="35"/>
      <c r="E22" s="35"/>
      <c r="F22" s="119"/>
    </row>
    <row r="23" spans="1:6" x14ac:dyDescent="0.25">
      <c r="A23" s="35"/>
      <c r="B23" s="827" t="s">
        <v>471</v>
      </c>
      <c r="C23" s="827"/>
      <c r="D23" s="221" t="str">
        <f>IF(D21&gt;0,(D21*0.001),"")</f>
        <v/>
      </c>
      <c r="E23" s="35"/>
      <c r="F23" s="119"/>
    </row>
    <row r="24" spans="1:6" x14ac:dyDescent="0.25">
      <c r="A24" s="35"/>
      <c r="B24" s="140"/>
      <c r="C24" s="140"/>
      <c r="D24" s="222"/>
      <c r="E24" s="35"/>
      <c r="F24" s="119"/>
    </row>
    <row r="25" spans="1:6" x14ac:dyDescent="0.25">
      <c r="A25" s="827" t="s">
        <v>472</v>
      </c>
      <c r="B25" s="728"/>
      <c r="C25" s="728"/>
      <c r="D25" s="220">
        <f>inputOth!E33</f>
        <v>0</v>
      </c>
      <c r="E25" s="113"/>
      <c r="F25" s="113"/>
    </row>
    <row r="26" spans="1:6" x14ac:dyDescent="0.25">
      <c r="A26" s="113"/>
      <c r="B26" s="113"/>
      <c r="C26" s="113"/>
      <c r="D26" s="223"/>
      <c r="E26" s="113"/>
      <c r="F26" s="113"/>
    </row>
    <row r="27" spans="1:6" x14ac:dyDescent="0.25">
      <c r="A27" s="113"/>
      <c r="B27" s="827" t="s">
        <v>473</v>
      </c>
      <c r="C27" s="828"/>
      <c r="D27" s="221" t="str">
        <f>IF(D25&gt;0,(D25*0.001),"")</f>
        <v/>
      </c>
      <c r="E27" s="113"/>
      <c r="F27" s="113"/>
    </row>
    <row r="28" spans="1:6" x14ac:dyDescent="0.25">
      <c r="A28" s="113"/>
      <c r="B28" s="113"/>
      <c r="C28" s="113"/>
      <c r="D28" s="113"/>
      <c r="E28" s="113"/>
      <c r="F28" s="113"/>
    </row>
    <row r="29" spans="1:6" x14ac:dyDescent="0.25">
      <c r="A29" s="113"/>
      <c r="B29" s="113"/>
      <c r="C29" s="113"/>
      <c r="D29" s="113"/>
      <c r="E29" s="113"/>
      <c r="F29" s="113"/>
    </row>
    <row r="30" spans="1:6" x14ac:dyDescent="0.25">
      <c r="A30" s="113"/>
      <c r="B30" s="113"/>
      <c r="C30" s="113"/>
      <c r="D30" s="113"/>
      <c r="E30" s="113"/>
      <c r="F30" s="113"/>
    </row>
    <row r="31" spans="1:6" x14ac:dyDescent="0.25">
      <c r="A31" s="4" t="str">
        <f>CONCATENATE("**This information comes from the ",F1," Budget Summary page.  See instructions tab #12 for completing")</f>
        <v>**This information comes from the 2025 Budget Summary page.  See instructions tab #12 for completing</v>
      </c>
      <c r="B31" s="113"/>
      <c r="C31" s="113"/>
      <c r="D31" s="113"/>
      <c r="E31" s="113"/>
      <c r="F31" s="113"/>
    </row>
    <row r="32" spans="1:6" x14ac:dyDescent="0.25">
      <c r="A32" s="4" t="s">
        <v>474</v>
      </c>
      <c r="B32" s="113"/>
      <c r="C32" s="113"/>
      <c r="D32" s="113"/>
      <c r="E32" s="113"/>
      <c r="F32" s="113"/>
    </row>
    <row r="33" spans="1:6" x14ac:dyDescent="0.25">
      <c r="A33" s="4"/>
      <c r="B33" s="113"/>
      <c r="C33" s="113"/>
      <c r="D33" s="113"/>
      <c r="E33" s="113"/>
      <c r="F33" s="113"/>
    </row>
    <row r="34" spans="1:6" x14ac:dyDescent="0.25">
      <c r="A34" s="4"/>
      <c r="B34" s="113"/>
      <c r="C34" s="113"/>
      <c r="D34" s="113"/>
      <c r="E34" s="113"/>
      <c r="F34" s="113"/>
    </row>
    <row r="35" spans="1:6" x14ac:dyDescent="0.25">
      <c r="A35" s="4"/>
      <c r="B35" s="113"/>
      <c r="C35" s="113"/>
      <c r="D35" s="113"/>
      <c r="E35" s="113"/>
      <c r="F35" s="113"/>
    </row>
    <row r="36" spans="1:6" x14ac:dyDescent="0.25">
      <c r="A36" s="4"/>
      <c r="B36" s="113"/>
      <c r="C36" s="113"/>
      <c r="D36" s="113"/>
      <c r="E36" s="113"/>
      <c r="F36" s="113"/>
    </row>
    <row r="37" spans="1:6" x14ac:dyDescent="0.25">
      <c r="A37" s="4"/>
      <c r="B37" s="113"/>
      <c r="C37" s="113"/>
      <c r="D37" s="113"/>
      <c r="E37" s="113"/>
      <c r="F37" s="113"/>
    </row>
    <row r="38" spans="1:6" x14ac:dyDescent="0.25">
      <c r="A38" s="4"/>
      <c r="B38" s="113"/>
      <c r="C38" s="113"/>
      <c r="D38" s="113"/>
      <c r="E38" s="113"/>
      <c r="F38" s="113"/>
    </row>
    <row r="39" spans="1:6" x14ac:dyDescent="0.25">
      <c r="A39" s="113"/>
      <c r="B39" s="113"/>
      <c r="C39" s="113"/>
      <c r="D39" s="113"/>
      <c r="E39" s="113"/>
      <c r="F39" s="113"/>
    </row>
    <row r="40" spans="1:6" x14ac:dyDescent="0.25">
      <c r="A40" s="113"/>
      <c r="B40" s="140" t="s">
        <v>370</v>
      </c>
      <c r="C40" s="442"/>
      <c r="D40" s="113"/>
      <c r="E40" s="113"/>
      <c r="F40" s="113"/>
    </row>
    <row r="41" spans="1:6" x14ac:dyDescent="0.25">
      <c r="A41" s="119"/>
      <c r="B41" s="35"/>
      <c r="C41" s="35"/>
      <c r="D41" s="224"/>
      <c r="E41" s="119"/>
      <c r="F41" s="119"/>
    </row>
  </sheetData>
  <sheetProtection sheet="1"/>
  <mergeCells count="5">
    <mergeCell ref="B27:C27"/>
    <mergeCell ref="B3:E3"/>
    <mergeCell ref="A21:C21"/>
    <mergeCell ref="B23:C23"/>
    <mergeCell ref="A25:C25"/>
  </mergeCells>
  <phoneticPr fontId="10" type="noConversion"/>
  <pageMargins left="0.75" right="0.75" top="1" bottom="1" header="0.5" footer="0.5"/>
  <pageSetup scale="98" orientation="portrait" blackAndWhite="1"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A4BDD-7CB6-4B2F-B458-280365DB42AE}">
  <dimension ref="A1:H14"/>
  <sheetViews>
    <sheetView workbookViewId="0">
      <selection activeCell="Q30" sqref="Q30"/>
    </sheetView>
  </sheetViews>
  <sheetFormatPr defaultRowHeight="15" x14ac:dyDescent="0.2"/>
  <cols>
    <col min="1" max="16384" width="8.796875" style="564"/>
  </cols>
  <sheetData>
    <row r="1" spans="1:8" ht="15.75" x14ac:dyDescent="0.25">
      <c r="A1" s="829" t="s">
        <v>488</v>
      </c>
      <c r="B1" s="829"/>
      <c r="C1" s="829"/>
      <c r="D1" s="829"/>
      <c r="E1" s="829"/>
      <c r="F1" s="829"/>
      <c r="G1" s="829"/>
      <c r="H1" s="829"/>
    </row>
    <row r="2" spans="1:8" ht="15.75" x14ac:dyDescent="0.25">
      <c r="A2" s="565"/>
      <c r="B2" s="565"/>
      <c r="C2" s="565"/>
      <c r="D2" s="565"/>
      <c r="E2" s="565"/>
      <c r="F2" s="565"/>
      <c r="G2" s="565"/>
      <c r="H2" s="565"/>
    </row>
    <row r="3" spans="1:8" ht="52.5" customHeight="1" x14ac:dyDescent="0.25">
      <c r="A3" s="830" t="s">
        <v>489</v>
      </c>
      <c r="B3" s="830"/>
      <c r="C3" s="830"/>
      <c r="D3" s="830"/>
      <c r="E3" s="830"/>
      <c r="F3" s="830"/>
      <c r="G3" s="830"/>
      <c r="H3" s="830"/>
    </row>
    <row r="4" spans="1:8" ht="15.75" x14ac:dyDescent="0.25">
      <c r="A4" s="565"/>
      <c r="B4" s="565"/>
      <c r="C4" s="565"/>
      <c r="D4" s="565"/>
      <c r="E4" s="565"/>
      <c r="F4" s="565"/>
      <c r="G4" s="565"/>
      <c r="H4" s="565"/>
    </row>
    <row r="5" spans="1:8" ht="52.5" customHeight="1" x14ac:dyDescent="0.25">
      <c r="A5" s="566"/>
      <c r="B5" s="831" t="s">
        <v>490</v>
      </c>
      <c r="C5" s="831"/>
      <c r="D5" s="831"/>
      <c r="E5" s="831"/>
      <c r="F5" s="831"/>
      <c r="G5" s="831"/>
      <c r="H5" s="831"/>
    </row>
    <row r="6" spans="1:8" ht="15.75" x14ac:dyDescent="0.25">
      <c r="A6" s="565"/>
      <c r="B6" s="565"/>
      <c r="C6" s="565"/>
      <c r="D6" s="565"/>
      <c r="E6" s="565"/>
      <c r="F6" s="565"/>
      <c r="G6" s="565"/>
      <c r="H6" s="565"/>
    </row>
    <row r="7" spans="1:8" ht="32.25" customHeight="1" x14ac:dyDescent="0.25">
      <c r="A7" s="566"/>
      <c r="B7" s="831" t="s">
        <v>491</v>
      </c>
      <c r="C7" s="831"/>
      <c r="D7" s="831"/>
      <c r="E7" s="831"/>
      <c r="F7" s="831"/>
      <c r="G7" s="831"/>
      <c r="H7" s="831"/>
    </row>
    <row r="8" spans="1:8" ht="15.75" x14ac:dyDescent="0.25">
      <c r="A8" s="565"/>
      <c r="B8" s="565"/>
      <c r="C8" s="565"/>
      <c r="D8" s="565"/>
      <c r="E8" s="565"/>
      <c r="F8" s="565"/>
      <c r="G8" s="565"/>
      <c r="H8" s="565"/>
    </row>
    <row r="9" spans="1:8" ht="15.75" x14ac:dyDescent="0.25">
      <c r="A9" s="832" t="s">
        <v>492</v>
      </c>
      <c r="B9" s="832"/>
      <c r="C9" s="832"/>
      <c r="D9" s="832"/>
      <c r="E9" s="832"/>
      <c r="F9" s="832"/>
      <c r="G9" s="832"/>
      <c r="H9" s="832"/>
    </row>
    <row r="10" spans="1:8" ht="15.75" x14ac:dyDescent="0.25">
      <c r="A10" s="565"/>
      <c r="B10" s="565"/>
      <c r="C10" s="565"/>
      <c r="D10" s="565"/>
      <c r="E10" s="565"/>
      <c r="F10" s="565"/>
      <c r="G10" s="565"/>
      <c r="H10" s="565"/>
    </row>
    <row r="11" spans="1:8" ht="15.75" x14ac:dyDescent="0.25">
      <c r="A11" s="565"/>
      <c r="B11" s="565"/>
      <c r="C11" s="565"/>
      <c r="D11" s="565"/>
      <c r="E11" s="565"/>
      <c r="F11" s="565"/>
      <c r="G11" s="565"/>
      <c r="H11" s="565"/>
    </row>
    <row r="12" spans="1:8" ht="15.75" x14ac:dyDescent="0.25">
      <c r="A12" s="565"/>
      <c r="B12" s="565"/>
      <c r="C12" s="565"/>
      <c r="D12" s="565"/>
      <c r="E12" s="565"/>
      <c r="F12" s="565"/>
      <c r="G12" s="565"/>
      <c r="H12" s="565"/>
    </row>
    <row r="13" spans="1:8" ht="15.75" x14ac:dyDescent="0.25">
      <c r="A13" s="565" t="s">
        <v>493</v>
      </c>
      <c r="B13" s="565"/>
      <c r="C13" s="565"/>
      <c r="D13" s="565"/>
      <c r="E13" s="565"/>
      <c r="F13" s="566"/>
      <c r="G13" s="566"/>
      <c r="H13" s="566"/>
    </row>
    <row r="14" spans="1:8" ht="15.75" x14ac:dyDescent="0.25">
      <c r="A14" s="565"/>
      <c r="B14" s="565"/>
      <c r="C14" s="565"/>
      <c r="D14" s="565"/>
      <c r="E14" s="565"/>
      <c r="F14" s="565" t="s">
        <v>494</v>
      </c>
    </row>
  </sheetData>
  <sheetProtection sheet="1" objects="1" scenarios="1"/>
  <mergeCells count="5">
    <mergeCell ref="A1:H1"/>
    <mergeCell ref="A3:H3"/>
    <mergeCell ref="B5:H5"/>
    <mergeCell ref="B7:H7"/>
    <mergeCell ref="A9:H9"/>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FB2FD-8408-41FE-A27F-63AC453C0F56}">
  <dimension ref="A1:G20"/>
  <sheetViews>
    <sheetView workbookViewId="0">
      <selection activeCell="O29" sqref="O29"/>
    </sheetView>
  </sheetViews>
  <sheetFormatPr defaultRowHeight="15.75" x14ac:dyDescent="0.25"/>
  <cols>
    <col min="1" max="4" width="10.3984375" style="663" customWidth="1"/>
    <col min="5" max="7" width="9.5" style="663" customWidth="1"/>
    <col min="8" max="256" width="8.796875" style="663"/>
    <col min="257" max="260" width="10.3984375" style="663" customWidth="1"/>
    <col min="261" max="263" width="9.5" style="663" customWidth="1"/>
    <col min="264" max="512" width="8.796875" style="663"/>
    <col min="513" max="516" width="10.3984375" style="663" customWidth="1"/>
    <col min="517" max="519" width="9.5" style="663" customWidth="1"/>
    <col min="520" max="768" width="8.796875" style="663"/>
    <col min="769" max="772" width="10.3984375" style="663" customWidth="1"/>
    <col min="773" max="775" width="9.5" style="663" customWidth="1"/>
    <col min="776" max="1024" width="8.796875" style="663"/>
    <col min="1025" max="1028" width="10.3984375" style="663" customWidth="1"/>
    <col min="1029" max="1031" width="9.5" style="663" customWidth="1"/>
    <col min="1032" max="1280" width="8.796875" style="663"/>
    <col min="1281" max="1284" width="10.3984375" style="663" customWidth="1"/>
    <col min="1285" max="1287" width="9.5" style="663" customWidth="1"/>
    <col min="1288" max="1536" width="8.796875" style="663"/>
    <col min="1537" max="1540" width="10.3984375" style="663" customWidth="1"/>
    <col min="1541" max="1543" width="9.5" style="663" customWidth="1"/>
    <col min="1544" max="1792" width="8.796875" style="663"/>
    <col min="1793" max="1796" width="10.3984375" style="663" customWidth="1"/>
    <col min="1797" max="1799" width="9.5" style="663" customWidth="1"/>
    <col min="1800" max="2048" width="8.796875" style="663"/>
    <col min="2049" max="2052" width="10.3984375" style="663" customWidth="1"/>
    <col min="2053" max="2055" width="9.5" style="663" customWidth="1"/>
    <col min="2056" max="2304" width="8.796875" style="663"/>
    <col min="2305" max="2308" width="10.3984375" style="663" customWidth="1"/>
    <col min="2309" max="2311" width="9.5" style="663" customWidth="1"/>
    <col min="2312" max="2560" width="8.796875" style="663"/>
    <col min="2561" max="2564" width="10.3984375" style="663" customWidth="1"/>
    <col min="2565" max="2567" width="9.5" style="663" customWidth="1"/>
    <col min="2568" max="2816" width="8.796875" style="663"/>
    <col min="2817" max="2820" width="10.3984375" style="663" customWidth="1"/>
    <col min="2821" max="2823" width="9.5" style="663" customWidth="1"/>
    <col min="2824" max="3072" width="8.796875" style="663"/>
    <col min="3073" max="3076" width="10.3984375" style="663" customWidth="1"/>
    <col min="3077" max="3079" width="9.5" style="663" customWidth="1"/>
    <col min="3080" max="3328" width="8.796875" style="663"/>
    <col min="3329" max="3332" width="10.3984375" style="663" customWidth="1"/>
    <col min="3333" max="3335" width="9.5" style="663" customWidth="1"/>
    <col min="3336" max="3584" width="8.796875" style="663"/>
    <col min="3585" max="3588" width="10.3984375" style="663" customWidth="1"/>
    <col min="3589" max="3591" width="9.5" style="663" customWidth="1"/>
    <col min="3592" max="3840" width="8.796875" style="663"/>
    <col min="3841" max="3844" width="10.3984375" style="663" customWidth="1"/>
    <col min="3845" max="3847" width="9.5" style="663" customWidth="1"/>
    <col min="3848" max="4096" width="8.796875" style="663"/>
    <col min="4097" max="4100" width="10.3984375" style="663" customWidth="1"/>
    <col min="4101" max="4103" width="9.5" style="663" customWidth="1"/>
    <col min="4104" max="4352" width="8.796875" style="663"/>
    <col min="4353" max="4356" width="10.3984375" style="663" customWidth="1"/>
    <col min="4357" max="4359" width="9.5" style="663" customWidth="1"/>
    <col min="4360" max="4608" width="8.796875" style="663"/>
    <col min="4609" max="4612" width="10.3984375" style="663" customWidth="1"/>
    <col min="4613" max="4615" width="9.5" style="663" customWidth="1"/>
    <col min="4616" max="4864" width="8.796875" style="663"/>
    <col min="4865" max="4868" width="10.3984375" style="663" customWidth="1"/>
    <col min="4869" max="4871" width="9.5" style="663" customWidth="1"/>
    <col min="4872" max="5120" width="8.796875" style="663"/>
    <col min="5121" max="5124" width="10.3984375" style="663" customWidth="1"/>
    <col min="5125" max="5127" width="9.5" style="663" customWidth="1"/>
    <col min="5128" max="5376" width="8.796875" style="663"/>
    <col min="5377" max="5380" width="10.3984375" style="663" customWidth="1"/>
    <col min="5381" max="5383" width="9.5" style="663" customWidth="1"/>
    <col min="5384" max="5632" width="8.796875" style="663"/>
    <col min="5633" max="5636" width="10.3984375" style="663" customWidth="1"/>
    <col min="5637" max="5639" width="9.5" style="663" customWidth="1"/>
    <col min="5640" max="5888" width="8.796875" style="663"/>
    <col min="5889" max="5892" width="10.3984375" style="663" customWidth="1"/>
    <col min="5893" max="5895" width="9.5" style="663" customWidth="1"/>
    <col min="5896" max="6144" width="8.796875" style="663"/>
    <col min="6145" max="6148" width="10.3984375" style="663" customWidth="1"/>
    <col min="6149" max="6151" width="9.5" style="663" customWidth="1"/>
    <col min="6152" max="6400" width="8.796875" style="663"/>
    <col min="6401" max="6404" width="10.3984375" style="663" customWidth="1"/>
    <col min="6405" max="6407" width="9.5" style="663" customWidth="1"/>
    <col min="6408" max="6656" width="8.796875" style="663"/>
    <col min="6657" max="6660" width="10.3984375" style="663" customWidth="1"/>
    <col min="6661" max="6663" width="9.5" style="663" customWidth="1"/>
    <col min="6664" max="6912" width="8.796875" style="663"/>
    <col min="6913" max="6916" width="10.3984375" style="663" customWidth="1"/>
    <col min="6917" max="6919" width="9.5" style="663" customWidth="1"/>
    <col min="6920" max="7168" width="8.796875" style="663"/>
    <col min="7169" max="7172" width="10.3984375" style="663" customWidth="1"/>
    <col min="7173" max="7175" width="9.5" style="663" customWidth="1"/>
    <col min="7176" max="7424" width="8.796875" style="663"/>
    <col min="7425" max="7428" width="10.3984375" style="663" customWidth="1"/>
    <col min="7429" max="7431" width="9.5" style="663" customWidth="1"/>
    <col min="7432" max="7680" width="8.796875" style="663"/>
    <col min="7681" max="7684" width="10.3984375" style="663" customWidth="1"/>
    <col min="7685" max="7687" width="9.5" style="663" customWidth="1"/>
    <col min="7688" max="7936" width="8.796875" style="663"/>
    <col min="7937" max="7940" width="10.3984375" style="663" customWidth="1"/>
    <col min="7941" max="7943" width="9.5" style="663" customWidth="1"/>
    <col min="7944" max="8192" width="8.796875" style="663"/>
    <col min="8193" max="8196" width="10.3984375" style="663" customWidth="1"/>
    <col min="8197" max="8199" width="9.5" style="663" customWidth="1"/>
    <col min="8200" max="8448" width="8.796875" style="663"/>
    <col min="8449" max="8452" width="10.3984375" style="663" customWidth="1"/>
    <col min="8453" max="8455" width="9.5" style="663" customWidth="1"/>
    <col min="8456" max="8704" width="8.796875" style="663"/>
    <col min="8705" max="8708" width="10.3984375" style="663" customWidth="1"/>
    <col min="8709" max="8711" width="9.5" style="663" customWidth="1"/>
    <col min="8712" max="8960" width="8.796875" style="663"/>
    <col min="8961" max="8964" width="10.3984375" style="663" customWidth="1"/>
    <col min="8965" max="8967" width="9.5" style="663" customWidth="1"/>
    <col min="8968" max="9216" width="8.796875" style="663"/>
    <col min="9217" max="9220" width="10.3984375" style="663" customWidth="1"/>
    <col min="9221" max="9223" width="9.5" style="663" customWidth="1"/>
    <col min="9224" max="9472" width="8.796875" style="663"/>
    <col min="9473" max="9476" width="10.3984375" style="663" customWidth="1"/>
    <col min="9477" max="9479" width="9.5" style="663" customWidth="1"/>
    <col min="9480" max="9728" width="8.796875" style="663"/>
    <col min="9729" max="9732" width="10.3984375" style="663" customWidth="1"/>
    <col min="9733" max="9735" width="9.5" style="663" customWidth="1"/>
    <col min="9736" max="9984" width="8.796875" style="663"/>
    <col min="9985" max="9988" width="10.3984375" style="663" customWidth="1"/>
    <col min="9989" max="9991" width="9.5" style="663" customWidth="1"/>
    <col min="9992" max="10240" width="8.796875" style="663"/>
    <col min="10241" max="10244" width="10.3984375" style="663" customWidth="1"/>
    <col min="10245" max="10247" width="9.5" style="663" customWidth="1"/>
    <col min="10248" max="10496" width="8.796875" style="663"/>
    <col min="10497" max="10500" width="10.3984375" style="663" customWidth="1"/>
    <col min="10501" max="10503" width="9.5" style="663" customWidth="1"/>
    <col min="10504" max="10752" width="8.796875" style="663"/>
    <col min="10753" max="10756" width="10.3984375" style="663" customWidth="1"/>
    <col min="10757" max="10759" width="9.5" style="663" customWidth="1"/>
    <col min="10760" max="11008" width="8.796875" style="663"/>
    <col min="11009" max="11012" width="10.3984375" style="663" customWidth="1"/>
    <col min="11013" max="11015" width="9.5" style="663" customWidth="1"/>
    <col min="11016" max="11264" width="8.796875" style="663"/>
    <col min="11265" max="11268" width="10.3984375" style="663" customWidth="1"/>
    <col min="11269" max="11271" width="9.5" style="663" customWidth="1"/>
    <col min="11272" max="11520" width="8.796875" style="663"/>
    <col min="11521" max="11524" width="10.3984375" style="663" customWidth="1"/>
    <col min="11525" max="11527" width="9.5" style="663" customWidth="1"/>
    <col min="11528" max="11776" width="8.796875" style="663"/>
    <col min="11777" max="11780" width="10.3984375" style="663" customWidth="1"/>
    <col min="11781" max="11783" width="9.5" style="663" customWidth="1"/>
    <col min="11784" max="12032" width="8.796875" style="663"/>
    <col min="12033" max="12036" width="10.3984375" style="663" customWidth="1"/>
    <col min="12037" max="12039" width="9.5" style="663" customWidth="1"/>
    <col min="12040" max="12288" width="8.796875" style="663"/>
    <col min="12289" max="12292" width="10.3984375" style="663" customWidth="1"/>
    <col min="12293" max="12295" width="9.5" style="663" customWidth="1"/>
    <col min="12296" max="12544" width="8.796875" style="663"/>
    <col min="12545" max="12548" width="10.3984375" style="663" customWidth="1"/>
    <col min="12549" max="12551" width="9.5" style="663" customWidth="1"/>
    <col min="12552" max="12800" width="8.796875" style="663"/>
    <col min="12801" max="12804" width="10.3984375" style="663" customWidth="1"/>
    <col min="12805" max="12807" width="9.5" style="663" customWidth="1"/>
    <col min="12808" max="13056" width="8.796875" style="663"/>
    <col min="13057" max="13060" width="10.3984375" style="663" customWidth="1"/>
    <col min="13061" max="13063" width="9.5" style="663" customWidth="1"/>
    <col min="13064" max="13312" width="8.796875" style="663"/>
    <col min="13313" max="13316" width="10.3984375" style="663" customWidth="1"/>
    <col min="13317" max="13319" width="9.5" style="663" customWidth="1"/>
    <col min="13320" max="13568" width="8.796875" style="663"/>
    <col min="13569" max="13572" width="10.3984375" style="663" customWidth="1"/>
    <col min="13573" max="13575" width="9.5" style="663" customWidth="1"/>
    <col min="13576" max="13824" width="8.796875" style="663"/>
    <col min="13825" max="13828" width="10.3984375" style="663" customWidth="1"/>
    <col min="13829" max="13831" width="9.5" style="663" customWidth="1"/>
    <col min="13832" max="14080" width="8.796875" style="663"/>
    <col min="14081" max="14084" width="10.3984375" style="663" customWidth="1"/>
    <col min="14085" max="14087" width="9.5" style="663" customWidth="1"/>
    <col min="14088" max="14336" width="8.796875" style="663"/>
    <col min="14337" max="14340" width="10.3984375" style="663" customWidth="1"/>
    <col min="14341" max="14343" width="9.5" style="663" customWidth="1"/>
    <col min="14344" max="14592" width="8.796875" style="663"/>
    <col min="14593" max="14596" width="10.3984375" style="663" customWidth="1"/>
    <col min="14597" max="14599" width="9.5" style="663" customWidth="1"/>
    <col min="14600" max="14848" width="8.796875" style="663"/>
    <col min="14849" max="14852" width="10.3984375" style="663" customWidth="1"/>
    <col min="14853" max="14855" width="9.5" style="663" customWidth="1"/>
    <col min="14856" max="15104" width="8.796875" style="663"/>
    <col min="15105" max="15108" width="10.3984375" style="663" customWidth="1"/>
    <col min="15109" max="15111" width="9.5" style="663" customWidth="1"/>
    <col min="15112" max="15360" width="8.796875" style="663"/>
    <col min="15361" max="15364" width="10.3984375" style="663" customWidth="1"/>
    <col min="15365" max="15367" width="9.5" style="663" customWidth="1"/>
    <col min="15368" max="15616" width="8.796875" style="663"/>
    <col min="15617" max="15620" width="10.3984375" style="663" customWidth="1"/>
    <col min="15621" max="15623" width="9.5" style="663" customWidth="1"/>
    <col min="15624" max="15872" width="8.796875" style="663"/>
    <col min="15873" max="15876" width="10.3984375" style="663" customWidth="1"/>
    <col min="15877" max="15879" width="9.5" style="663" customWidth="1"/>
    <col min="15880" max="16128" width="8.796875" style="663"/>
    <col min="16129" max="16132" width="10.3984375" style="663" customWidth="1"/>
    <col min="16133" max="16135" width="9.5" style="663" customWidth="1"/>
    <col min="16136" max="16384" width="8.796875" style="663"/>
  </cols>
  <sheetData>
    <row r="1" spans="1:7" ht="18.75" x14ac:dyDescent="0.3">
      <c r="A1" s="836" t="s">
        <v>984</v>
      </c>
      <c r="B1" s="836"/>
      <c r="C1" s="836"/>
      <c r="D1" s="836"/>
      <c r="E1" s="836"/>
      <c r="F1" s="836"/>
      <c r="G1" s="836"/>
    </row>
    <row r="2" spans="1:7" x14ac:dyDescent="0.25">
      <c r="A2" s="664"/>
      <c r="B2" s="664"/>
      <c r="C2" s="664"/>
      <c r="D2" s="664"/>
      <c r="E2" s="664"/>
      <c r="F2" s="664"/>
      <c r="G2" s="664"/>
    </row>
    <row r="3" spans="1:7" ht="32.25" customHeight="1" x14ac:dyDescent="0.25">
      <c r="A3" s="837" t="s">
        <v>985</v>
      </c>
      <c r="B3" s="837"/>
      <c r="C3" s="837"/>
      <c r="D3" s="837"/>
      <c r="E3" s="837"/>
      <c r="F3" s="837"/>
      <c r="G3" s="837"/>
    </row>
    <row r="4" spans="1:7" x14ac:dyDescent="0.25">
      <c r="A4" s="838" t="s">
        <v>986</v>
      </c>
      <c r="B4" s="838"/>
      <c r="C4" s="838"/>
      <c r="D4" s="838"/>
      <c r="E4" s="838"/>
      <c r="F4" s="838"/>
      <c r="G4" s="838"/>
    </row>
    <row r="5" spans="1:7" x14ac:dyDescent="0.25">
      <c r="A5" s="838" t="s">
        <v>987</v>
      </c>
      <c r="B5" s="838"/>
      <c r="C5" s="838"/>
      <c r="D5" s="838"/>
      <c r="E5" s="838"/>
      <c r="F5" s="838"/>
      <c r="G5" s="838"/>
    </row>
    <row r="6" spans="1:7" x14ac:dyDescent="0.25">
      <c r="A6" s="665"/>
      <c r="B6" s="665"/>
      <c r="C6" s="665"/>
      <c r="D6" s="665"/>
      <c r="E6" s="665"/>
      <c r="F6" s="665"/>
      <c r="G6" s="665"/>
    </row>
    <row r="7" spans="1:7" ht="22.5" customHeight="1" x14ac:dyDescent="0.25">
      <c r="A7" s="839" t="s">
        <v>988</v>
      </c>
      <c r="B7" s="840"/>
      <c r="C7" s="840"/>
      <c r="D7" s="841"/>
      <c r="E7" s="666" t="s">
        <v>989</v>
      </c>
      <c r="F7" s="666" t="s">
        <v>990</v>
      </c>
      <c r="G7" s="666" t="s">
        <v>991</v>
      </c>
    </row>
    <row r="8" spans="1:7" ht="22.5" customHeight="1" x14ac:dyDescent="0.25">
      <c r="A8" s="833"/>
      <c r="B8" s="834"/>
      <c r="C8" s="834"/>
      <c r="D8" s="835"/>
      <c r="E8" s="667"/>
      <c r="F8" s="667"/>
      <c r="G8" s="667"/>
    </row>
    <row r="9" spans="1:7" ht="22.5" customHeight="1" x14ac:dyDescent="0.25">
      <c r="A9" s="833"/>
      <c r="B9" s="834"/>
      <c r="C9" s="834"/>
      <c r="D9" s="835"/>
      <c r="E9" s="667"/>
      <c r="F9" s="667"/>
      <c r="G9" s="667"/>
    </row>
    <row r="10" spans="1:7" ht="22.5" customHeight="1" x14ac:dyDescent="0.25">
      <c r="A10" s="842"/>
      <c r="B10" s="842"/>
      <c r="C10" s="842"/>
      <c r="D10" s="842"/>
      <c r="E10" s="667"/>
      <c r="F10" s="667"/>
      <c r="G10" s="667"/>
    </row>
    <row r="11" spans="1:7" ht="22.5" customHeight="1" x14ac:dyDescent="0.25">
      <c r="A11" s="842"/>
      <c r="B11" s="842"/>
      <c r="C11" s="842"/>
      <c r="D11" s="842"/>
      <c r="E11" s="667"/>
      <c r="F11" s="667"/>
      <c r="G11" s="667"/>
    </row>
    <row r="12" spans="1:7" ht="22.5" customHeight="1" x14ac:dyDescent="0.25">
      <c r="A12" s="842"/>
      <c r="B12" s="842"/>
      <c r="C12" s="842"/>
      <c r="D12" s="842"/>
      <c r="E12" s="667"/>
      <c r="F12" s="667"/>
      <c r="G12" s="667"/>
    </row>
    <row r="13" spans="1:7" ht="22.5" customHeight="1" x14ac:dyDescent="0.25">
      <c r="A13" s="842"/>
      <c r="B13" s="842"/>
      <c r="C13" s="842"/>
      <c r="D13" s="842"/>
      <c r="E13" s="667"/>
      <c r="F13" s="667"/>
      <c r="G13" s="667"/>
    </row>
    <row r="14" spans="1:7" ht="22.5" customHeight="1" x14ac:dyDescent="0.25">
      <c r="A14" s="842"/>
      <c r="B14" s="842"/>
      <c r="C14" s="842"/>
      <c r="D14" s="842"/>
      <c r="E14" s="667"/>
      <c r="F14" s="667"/>
      <c r="G14" s="667"/>
    </row>
    <row r="15" spans="1:7" ht="22.5" customHeight="1" x14ac:dyDescent="0.25">
      <c r="A15" s="842"/>
      <c r="B15" s="842"/>
      <c r="C15" s="842"/>
      <c r="D15" s="842"/>
      <c r="E15" s="667"/>
      <c r="F15" s="667"/>
      <c r="G15" s="667"/>
    </row>
    <row r="16" spans="1:7" ht="22.5" customHeight="1" thickBot="1" x14ac:dyDescent="0.3">
      <c r="A16" s="843"/>
      <c r="B16" s="843"/>
      <c r="C16" s="843"/>
      <c r="D16" s="843"/>
      <c r="E16" s="668"/>
      <c r="F16" s="668"/>
      <c r="G16" s="668"/>
    </row>
    <row r="17" spans="1:7" ht="22.5" customHeight="1" thickTop="1" x14ac:dyDescent="0.25">
      <c r="A17" s="844" t="s">
        <v>470</v>
      </c>
      <c r="B17" s="844"/>
      <c r="C17" s="844"/>
      <c r="D17" s="844"/>
      <c r="E17" s="669"/>
      <c r="F17" s="669"/>
      <c r="G17" s="669"/>
    </row>
    <row r="19" spans="1:7" x14ac:dyDescent="0.25">
      <c r="A19" s="670" t="s">
        <v>992</v>
      </c>
      <c r="B19" s="671"/>
    </row>
    <row r="20" spans="1:7" x14ac:dyDescent="0.25">
      <c r="A20" s="845"/>
      <c r="B20" s="845"/>
    </row>
  </sheetData>
  <sheetProtection sheet="1" objects="1" scenarios="1"/>
  <mergeCells count="16">
    <mergeCell ref="A15:D15"/>
    <mergeCell ref="A16:D16"/>
    <mergeCell ref="A17:D17"/>
    <mergeCell ref="A20:B20"/>
    <mergeCell ref="A9:D9"/>
    <mergeCell ref="A10:D10"/>
    <mergeCell ref="A11:D11"/>
    <mergeCell ref="A12:D12"/>
    <mergeCell ref="A13:D13"/>
    <mergeCell ref="A14:D14"/>
    <mergeCell ref="A8:D8"/>
    <mergeCell ref="A1:G1"/>
    <mergeCell ref="A3:G3"/>
    <mergeCell ref="A4:G4"/>
    <mergeCell ref="A5:G5"/>
    <mergeCell ref="A7:D7"/>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2C58E-0583-4064-8E4E-5177D343EFAC}">
  <dimension ref="A1:G18"/>
  <sheetViews>
    <sheetView topLeftCell="A4" workbookViewId="0">
      <selection activeCell="A18" sqref="A18:G18"/>
    </sheetView>
  </sheetViews>
  <sheetFormatPr defaultRowHeight="15.75" x14ac:dyDescent="0.25"/>
  <cols>
    <col min="1" max="1" width="8.796875" style="563"/>
    <col min="2" max="3" width="8.796875" style="562"/>
    <col min="4" max="4" width="16.19921875" style="562" customWidth="1"/>
    <col min="5" max="6" width="8.796875" style="562"/>
    <col min="7" max="7" width="11.5" style="562" customWidth="1"/>
    <col min="8" max="16384" width="8.796875" style="562"/>
  </cols>
  <sheetData>
    <row r="1" spans="1:7" x14ac:dyDescent="0.25">
      <c r="A1" s="847" t="s">
        <v>475</v>
      </c>
      <c r="B1" s="847"/>
      <c r="C1" s="847"/>
      <c r="D1" s="847"/>
      <c r="E1" s="847"/>
      <c r="F1" s="847"/>
      <c r="G1" s="847"/>
    </row>
    <row r="3" spans="1:7" ht="55.5" customHeight="1" x14ac:dyDescent="0.25">
      <c r="A3" s="848" t="s">
        <v>476</v>
      </c>
      <c r="B3" s="848"/>
      <c r="C3" s="848"/>
      <c r="D3" s="848"/>
      <c r="E3" s="848"/>
      <c r="F3" s="848"/>
      <c r="G3" s="848"/>
    </row>
    <row r="4" spans="1:7" ht="55.5" customHeight="1" x14ac:dyDescent="0.25">
      <c r="A4" s="849" t="s">
        <v>477</v>
      </c>
      <c r="B4" s="849"/>
      <c r="C4" s="849"/>
      <c r="D4" s="849"/>
      <c r="E4" s="849"/>
      <c r="F4" s="849"/>
      <c r="G4" s="849"/>
    </row>
    <row r="5" spans="1:7" ht="55.5" customHeight="1" x14ac:dyDescent="0.25">
      <c r="A5" s="849" t="s">
        <v>478</v>
      </c>
      <c r="B5" s="849"/>
      <c r="C5" s="849"/>
      <c r="D5" s="849"/>
      <c r="E5" s="849"/>
      <c r="F5" s="849"/>
      <c r="G5" s="849"/>
    </row>
    <row r="6" spans="1:7" ht="55.5" customHeight="1" x14ac:dyDescent="0.25">
      <c r="A6" s="849" t="s">
        <v>479</v>
      </c>
      <c r="B6" s="849"/>
      <c r="C6" s="849"/>
      <c r="D6" s="849"/>
      <c r="E6" s="849"/>
      <c r="F6" s="849"/>
      <c r="G6" s="849"/>
    </row>
    <row r="7" spans="1:7" ht="55.5" customHeight="1" x14ac:dyDescent="0.25">
      <c r="A7" s="849" t="s">
        <v>480</v>
      </c>
      <c r="B7" s="849"/>
      <c r="C7" s="849"/>
      <c r="D7" s="849"/>
      <c r="E7" s="849"/>
      <c r="F7" s="849"/>
      <c r="G7" s="849"/>
    </row>
    <row r="8" spans="1:7" ht="55.5" customHeight="1" x14ac:dyDescent="0.25">
      <c r="A8" s="848" t="s">
        <v>481</v>
      </c>
      <c r="B8" s="848"/>
      <c r="C8" s="848"/>
      <c r="D8" s="848"/>
      <c r="E8" s="848"/>
      <c r="F8" s="848"/>
      <c r="G8" s="848"/>
    </row>
    <row r="9" spans="1:7" ht="55.5" customHeight="1" x14ac:dyDescent="0.25">
      <c r="A9" s="849" t="s">
        <v>482</v>
      </c>
      <c r="B9" s="849"/>
      <c r="C9" s="849"/>
      <c r="D9" s="849"/>
      <c r="E9" s="849"/>
      <c r="F9" s="849"/>
      <c r="G9" s="849"/>
    </row>
    <row r="10" spans="1:7" ht="55.5" customHeight="1" x14ac:dyDescent="0.25">
      <c r="A10" s="849" t="s">
        <v>483</v>
      </c>
      <c r="B10" s="849"/>
      <c r="C10" s="849"/>
      <c r="D10" s="849"/>
      <c r="E10" s="849"/>
      <c r="F10" s="849"/>
      <c r="G10" s="849"/>
    </row>
    <row r="11" spans="1:7" ht="55.5" customHeight="1" x14ac:dyDescent="0.25">
      <c r="A11" s="849" t="s">
        <v>484</v>
      </c>
      <c r="B11" s="849"/>
      <c r="C11" s="849"/>
      <c r="D11" s="849"/>
      <c r="E11" s="849"/>
      <c r="F11" s="849"/>
      <c r="G11" s="849"/>
    </row>
    <row r="12" spans="1:7" x14ac:dyDescent="0.25">
      <c r="A12" s="846" t="s">
        <v>485</v>
      </c>
      <c r="B12" s="846"/>
      <c r="C12" s="846"/>
      <c r="D12" s="846"/>
      <c r="E12" s="846"/>
      <c r="F12" s="846"/>
      <c r="G12" s="846"/>
    </row>
    <row r="13" spans="1:7" x14ac:dyDescent="0.25">
      <c r="A13" s="846" t="s">
        <v>485</v>
      </c>
      <c r="B13" s="846"/>
      <c r="C13" s="846"/>
      <c r="D13" s="846"/>
      <c r="E13" s="846"/>
      <c r="F13" s="846"/>
      <c r="G13" s="846"/>
    </row>
    <row r="14" spans="1:7" x14ac:dyDescent="0.25">
      <c r="A14" s="846" t="s">
        <v>485</v>
      </c>
      <c r="B14" s="846"/>
      <c r="C14" s="846"/>
      <c r="D14" s="846"/>
      <c r="E14" s="846"/>
      <c r="F14" s="846"/>
      <c r="G14" s="846"/>
    </row>
    <row r="15" spans="1:7" x14ac:dyDescent="0.25">
      <c r="A15" s="628"/>
      <c r="B15" s="628"/>
      <c r="C15" s="628"/>
      <c r="D15" s="628"/>
      <c r="E15" s="628"/>
      <c r="F15" s="628"/>
      <c r="G15" s="628"/>
    </row>
    <row r="16" spans="1:7" x14ac:dyDescent="0.25">
      <c r="A16" s="846" t="s">
        <v>486</v>
      </c>
      <c r="B16" s="846"/>
      <c r="C16" s="846"/>
      <c r="D16" s="846"/>
      <c r="E16" s="846"/>
      <c r="F16" s="846"/>
      <c r="G16" s="846"/>
    </row>
    <row r="17" spans="1:7" x14ac:dyDescent="0.25">
      <c r="A17" s="846" t="s">
        <v>487</v>
      </c>
      <c r="B17" s="846"/>
      <c r="C17" s="846"/>
      <c r="D17" s="846"/>
      <c r="E17" s="846"/>
      <c r="F17" s="846"/>
      <c r="G17" s="846"/>
    </row>
    <row r="18" spans="1:7" x14ac:dyDescent="0.25">
      <c r="A18" s="846"/>
      <c r="B18" s="846"/>
      <c r="C18" s="846"/>
      <c r="D18" s="846"/>
      <c r="E18" s="846"/>
      <c r="F18" s="846"/>
      <c r="G18" s="846"/>
    </row>
  </sheetData>
  <sheetProtection sheet="1" objects="1" scenarios="1"/>
  <mergeCells count="16">
    <mergeCell ref="A12:G12"/>
    <mergeCell ref="A7:G7"/>
    <mergeCell ref="A8:G8"/>
    <mergeCell ref="A9:G9"/>
    <mergeCell ref="A10:G10"/>
    <mergeCell ref="A11:G11"/>
    <mergeCell ref="A1:G1"/>
    <mergeCell ref="A3:G3"/>
    <mergeCell ref="A4:G4"/>
    <mergeCell ref="A5:G5"/>
    <mergeCell ref="A6:G6"/>
    <mergeCell ref="A16:G16"/>
    <mergeCell ref="A17:G17"/>
    <mergeCell ref="A18:G18"/>
    <mergeCell ref="A14:G14"/>
    <mergeCell ref="A13:G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106"/>
  <sheetViews>
    <sheetView workbookViewId="0">
      <selection activeCell="A80" sqref="A80:E80"/>
    </sheetView>
  </sheetViews>
  <sheetFormatPr defaultRowHeight="15.75" x14ac:dyDescent="0.25"/>
  <cols>
    <col min="1" max="1" width="16.19921875" style="1" customWidth="1"/>
    <col min="2" max="2" width="16.8984375" style="1" customWidth="1"/>
    <col min="3" max="7" width="10.69921875" style="1" customWidth="1"/>
    <col min="8" max="16384" width="8.796875" style="1"/>
  </cols>
  <sheetData>
    <row r="1" spans="1:5" x14ac:dyDescent="0.25">
      <c r="A1" s="20">
        <f>inputPrYr!D4</f>
        <v>0</v>
      </c>
      <c r="B1" s="4"/>
      <c r="C1" s="4"/>
      <c r="D1" s="4"/>
      <c r="E1" s="4">
        <f>inputPrYr!D10</f>
        <v>2025</v>
      </c>
    </row>
    <row r="2" spans="1:5" x14ac:dyDescent="0.25">
      <c r="A2" s="20">
        <f>inputPrYr!D5</f>
        <v>0</v>
      </c>
      <c r="B2" s="4"/>
      <c r="C2" s="4"/>
      <c r="D2" s="4"/>
      <c r="E2" s="4"/>
    </row>
    <row r="3" spans="1:5" x14ac:dyDescent="0.25">
      <c r="A3" s="4"/>
      <c r="B3" s="4"/>
      <c r="C3" s="4"/>
      <c r="D3" s="4"/>
      <c r="E3" s="4"/>
    </row>
    <row r="4" spans="1:5" x14ac:dyDescent="0.25">
      <c r="A4" s="692" t="s">
        <v>90</v>
      </c>
      <c r="B4" s="693"/>
      <c r="C4" s="693"/>
      <c r="D4" s="693"/>
      <c r="E4" s="693"/>
    </row>
    <row r="5" spans="1:5" x14ac:dyDescent="0.25">
      <c r="A5" s="4"/>
      <c r="B5" s="4"/>
      <c r="C5" s="4"/>
      <c r="D5" s="4"/>
      <c r="E5" s="4"/>
    </row>
    <row r="6" spans="1:5" x14ac:dyDescent="0.25">
      <c r="A6" s="686" t="str">
        <f>CONCATENATE("From the County Clerk's Budget Information for ",E1,":")</f>
        <v>From the County Clerk's Budget Information for 2025:</v>
      </c>
      <c r="B6" s="696"/>
      <c r="C6" s="696"/>
      <c r="D6" s="696"/>
      <c r="E6" s="697"/>
    </row>
    <row r="7" spans="1:5" x14ac:dyDescent="0.25">
      <c r="A7" s="29" t="str">
        <f>CONCATENATE("Assessed Valuation for ",E1-1,":")</f>
        <v>Assessed Valuation for 2024:</v>
      </c>
      <c r="B7" s="4"/>
      <c r="C7" s="4"/>
      <c r="D7" s="4"/>
      <c r="E7" s="17"/>
    </row>
    <row r="8" spans="1:5" x14ac:dyDescent="0.25">
      <c r="A8" s="10" t="s">
        <v>119</v>
      </c>
      <c r="B8" s="11"/>
      <c r="C8" s="11"/>
      <c r="D8" s="11"/>
      <c r="E8" s="2"/>
    </row>
    <row r="9" spans="1:5" x14ac:dyDescent="0.25">
      <c r="A9" s="12">
        <f>inputPrYr!D7</f>
        <v>0</v>
      </c>
      <c r="B9" s="13"/>
      <c r="C9" s="13"/>
      <c r="D9" s="13"/>
      <c r="E9" s="423"/>
    </row>
    <row r="10" spans="1:5" x14ac:dyDescent="0.25">
      <c r="A10" s="12">
        <f>inputPrYr!$D$8</f>
        <v>0</v>
      </c>
      <c r="B10" s="13"/>
      <c r="C10" s="13"/>
      <c r="D10" s="13"/>
      <c r="E10" s="423"/>
    </row>
    <row r="11" spans="1:5" x14ac:dyDescent="0.25">
      <c r="A11" s="12" t="str">
        <f>CONCATENATE("Total Assessed Valuation for ",$E$1-1,"")</f>
        <v>Total Assessed Valuation for 2024</v>
      </c>
      <c r="B11" s="13"/>
      <c r="C11" s="13"/>
      <c r="D11" s="13"/>
      <c r="E11" s="28">
        <f>SUM(E8:E10)</f>
        <v>0</v>
      </c>
    </row>
    <row r="12" spans="1:5" hidden="1" x14ac:dyDescent="0.25">
      <c r="A12" s="29" t="str">
        <f>CONCATENATE("New Improvements for ",E1-1,":")</f>
        <v>New Improvements for 2024:</v>
      </c>
      <c r="B12" s="4"/>
      <c r="C12" s="4"/>
      <c r="D12" s="4"/>
      <c r="E12" s="16"/>
    </row>
    <row r="13" spans="1:5" hidden="1" x14ac:dyDescent="0.25">
      <c r="A13" s="10" t="s">
        <v>119</v>
      </c>
      <c r="B13" s="11"/>
      <c r="C13" s="11"/>
      <c r="D13" s="11"/>
      <c r="E13" s="424"/>
    </row>
    <row r="14" spans="1:5" hidden="1" x14ac:dyDescent="0.25">
      <c r="A14" s="12">
        <f>inputPrYr!$D$7</f>
        <v>0</v>
      </c>
      <c r="B14" s="11"/>
      <c r="C14" s="11"/>
      <c r="D14" s="11"/>
      <c r="E14" s="424"/>
    </row>
    <row r="15" spans="1:5" hidden="1" x14ac:dyDescent="0.25">
      <c r="A15" s="12">
        <f>inputPrYr!$D$8</f>
        <v>0</v>
      </c>
      <c r="B15" s="11"/>
      <c r="C15" s="11"/>
      <c r="D15" s="11"/>
      <c r="E15" s="424"/>
    </row>
    <row r="16" spans="1:5" hidden="1" x14ac:dyDescent="0.25">
      <c r="A16" s="12" t="str">
        <f>CONCATENATE("Total New Improvements for ",$E$1-1,"")</f>
        <v>Total New Improvements for 2024</v>
      </c>
      <c r="B16" s="13"/>
      <c r="C16" s="13"/>
      <c r="D16" s="13"/>
      <c r="E16" s="27">
        <f>SUM(E13:E15)</f>
        <v>0</v>
      </c>
    </row>
    <row r="17" spans="1:5" hidden="1" x14ac:dyDescent="0.25">
      <c r="A17" s="29" t="str">
        <f>CONCATENATE("Personal Property - ",E1-1,":")</f>
        <v>Personal Property - 2024:</v>
      </c>
      <c r="B17" s="4"/>
      <c r="C17" s="4"/>
      <c r="D17" s="4"/>
      <c r="E17" s="16"/>
    </row>
    <row r="18" spans="1:5" hidden="1" x14ac:dyDescent="0.25">
      <c r="A18" s="10" t="s">
        <v>119</v>
      </c>
      <c r="B18" s="11"/>
      <c r="C18" s="11"/>
      <c r="D18" s="11"/>
      <c r="E18" s="424"/>
    </row>
    <row r="19" spans="1:5" hidden="1" x14ac:dyDescent="0.25">
      <c r="A19" s="12">
        <f>inputPrYr!$D$7</f>
        <v>0</v>
      </c>
      <c r="B19" s="13"/>
      <c r="C19" s="13"/>
      <c r="D19" s="13"/>
      <c r="E19" s="424"/>
    </row>
    <row r="20" spans="1:5" hidden="1" x14ac:dyDescent="0.25">
      <c r="A20" s="12">
        <f>inputPrYr!$D$8</f>
        <v>0</v>
      </c>
      <c r="B20" s="13"/>
      <c r="C20" s="13"/>
      <c r="D20" s="13"/>
      <c r="E20" s="424"/>
    </row>
    <row r="21" spans="1:5" hidden="1" x14ac:dyDescent="0.25">
      <c r="A21" s="12" t="str">
        <f>CONCATENATE("Total Personal Property - ",$E$1-1,"")</f>
        <v>Total Personal Property - 2024</v>
      </c>
      <c r="B21" s="13"/>
      <c r="C21" s="13"/>
      <c r="D21" s="13"/>
      <c r="E21" s="27">
        <f>SUM(E18:E20)</f>
        <v>0</v>
      </c>
    </row>
    <row r="22" spans="1:5" hidden="1" x14ac:dyDescent="0.25">
      <c r="A22" s="29" t="str">
        <f>CONCATENATE("Property that has changed in use for- ",E1-1,":")</f>
        <v>Property that has changed in use for- 2024:</v>
      </c>
      <c r="B22" s="4"/>
      <c r="C22" s="4"/>
      <c r="D22" s="4"/>
      <c r="E22" s="16"/>
    </row>
    <row r="23" spans="1:5" hidden="1" x14ac:dyDescent="0.25">
      <c r="A23" s="10" t="s">
        <v>119</v>
      </c>
      <c r="B23" s="11"/>
      <c r="C23" s="11"/>
      <c r="D23" s="11"/>
      <c r="E23" s="424"/>
    </row>
    <row r="24" spans="1:5" hidden="1" x14ac:dyDescent="0.25">
      <c r="A24" s="12">
        <f>inputPrYr!$D$7</f>
        <v>0</v>
      </c>
      <c r="B24" s="13"/>
      <c r="C24" s="13"/>
      <c r="D24" s="13"/>
      <c r="E24" s="424"/>
    </row>
    <row r="25" spans="1:5" hidden="1" x14ac:dyDescent="0.25">
      <c r="A25" s="12">
        <f>inputPrYr!$D$8</f>
        <v>0</v>
      </c>
      <c r="B25" s="13"/>
      <c r="C25" s="13"/>
      <c r="D25" s="13"/>
      <c r="E25" s="424"/>
    </row>
    <row r="26" spans="1:5" hidden="1" x14ac:dyDescent="0.25">
      <c r="A26" s="12" t="str">
        <f>CONCATENATE("Total Property that has changed in use for  - ",$E$1-1,"")</f>
        <v>Total Property that has changed in use for  - 2024</v>
      </c>
      <c r="B26" s="13"/>
      <c r="C26" s="13"/>
      <c r="D26" s="13"/>
      <c r="E26" s="27">
        <f>SUM(E23:E25)</f>
        <v>0</v>
      </c>
    </row>
    <row r="27" spans="1:5" hidden="1" x14ac:dyDescent="0.25">
      <c r="A27" s="29" t="str">
        <f>CONCATENATE("Personal Property - ",E1-2,":")</f>
        <v>Personal Property - 2023:</v>
      </c>
      <c r="B27" s="4"/>
      <c r="C27" s="4"/>
      <c r="D27" s="4"/>
      <c r="E27" s="16"/>
    </row>
    <row r="28" spans="1:5" hidden="1" x14ac:dyDescent="0.25">
      <c r="A28" s="10" t="s">
        <v>119</v>
      </c>
      <c r="B28" s="11"/>
      <c r="C28" s="11"/>
      <c r="D28" s="11"/>
      <c r="E28" s="424"/>
    </row>
    <row r="29" spans="1:5" hidden="1" x14ac:dyDescent="0.25">
      <c r="A29" s="12">
        <f>inputPrYr!$D$7</f>
        <v>0</v>
      </c>
      <c r="B29" s="13"/>
      <c r="C29" s="13"/>
      <c r="D29" s="13"/>
      <c r="E29" s="424"/>
    </row>
    <row r="30" spans="1:5" hidden="1" x14ac:dyDescent="0.25">
      <c r="A30" s="12">
        <f>inputPrYr!$D$8</f>
        <v>0</v>
      </c>
      <c r="B30" s="13"/>
      <c r="C30" s="13"/>
      <c r="D30" s="13"/>
      <c r="E30" s="424"/>
    </row>
    <row r="31" spans="1:5" hidden="1" x14ac:dyDescent="0.25">
      <c r="A31" s="12" t="str">
        <f>CONCATENATE("Total Personal Property - ",$E$1-2,"")</f>
        <v>Total Personal Property - 2023</v>
      </c>
      <c r="B31" s="13"/>
      <c r="C31" s="13"/>
      <c r="D31" s="13"/>
      <c r="E31" s="27">
        <f>SUM(E28:E30)</f>
        <v>0</v>
      </c>
    </row>
    <row r="32" spans="1:5" x14ac:dyDescent="0.25">
      <c r="A32" s="12" t="str">
        <f>CONCATENATE("Gross earnings (intangible) tax estimate for ",E1,"")</f>
        <v>Gross earnings (intangible) tax estimate for 2025</v>
      </c>
      <c r="B32" s="13"/>
      <c r="C32" s="13"/>
      <c r="D32" s="13"/>
      <c r="E32" s="424"/>
    </row>
    <row r="33" spans="1:12" x14ac:dyDescent="0.25">
      <c r="A33" s="12" t="str">
        <f>CONCATENATE("Neighborhood Revitalization for ",E1,"")</f>
        <v>Neighborhood Revitalization for 2025</v>
      </c>
      <c r="B33" s="13"/>
      <c r="C33" s="13"/>
      <c r="D33" s="13"/>
      <c r="E33" s="424"/>
    </row>
    <row r="34" spans="1:12" ht="16.5" customHeight="1" x14ac:dyDescent="0.25">
      <c r="A34" s="5"/>
      <c r="B34" s="4"/>
      <c r="C34" s="4"/>
      <c r="D34" s="4"/>
      <c r="E34" s="16"/>
      <c r="F34" s="685" t="s">
        <v>120</v>
      </c>
      <c r="G34" s="685"/>
      <c r="H34" s="685"/>
      <c r="I34" s="685"/>
      <c r="J34" s="685"/>
      <c r="K34" s="685"/>
      <c r="L34" s="685"/>
    </row>
    <row r="35" spans="1:12" ht="63.75" customHeight="1" x14ac:dyDescent="0.25">
      <c r="A35" s="5"/>
      <c r="B35" s="4"/>
      <c r="C35" s="4"/>
      <c r="D35" s="526" t="s">
        <v>121</v>
      </c>
      <c r="E35" s="526" t="s">
        <v>122</v>
      </c>
      <c r="F35" s="685"/>
      <c r="G35" s="685"/>
      <c r="H35" s="685"/>
      <c r="I35" s="685"/>
      <c r="J35" s="685"/>
      <c r="K35" s="685"/>
      <c r="L35" s="685"/>
    </row>
    <row r="36" spans="1:12" ht="16.5" customHeight="1" x14ac:dyDescent="0.25">
      <c r="A36" s="700" t="s">
        <v>123</v>
      </c>
      <c r="B36" s="700"/>
      <c r="C36" s="701"/>
      <c r="D36" s="609"/>
      <c r="E36" s="609"/>
      <c r="F36" s="685"/>
      <c r="G36" s="685"/>
      <c r="H36" s="685"/>
      <c r="I36" s="685"/>
      <c r="J36" s="685"/>
      <c r="K36" s="685"/>
      <c r="L36" s="685"/>
    </row>
    <row r="37" spans="1:12" ht="16.5" customHeight="1" x14ac:dyDescent="0.25">
      <c r="A37" s="5"/>
      <c r="B37" s="4"/>
      <c r="C37" s="4"/>
      <c r="D37" s="4"/>
      <c r="E37" s="16"/>
      <c r="F37" s="685"/>
      <c r="G37" s="685"/>
      <c r="H37" s="685"/>
      <c r="I37" s="685"/>
      <c r="J37" s="685"/>
      <c r="K37" s="685"/>
      <c r="L37" s="685"/>
    </row>
    <row r="38" spans="1:12" x14ac:dyDescent="0.25">
      <c r="A38" s="29" t="str">
        <f>CONCATENATE("Actual Tax Rates for the ",E1-1," Budget:")</f>
        <v>Actual Tax Rates for the 2024 Budget:</v>
      </c>
      <c r="B38" s="4"/>
      <c r="C38" s="4"/>
      <c r="D38" s="4"/>
      <c r="E38" s="17"/>
      <c r="F38" s="685"/>
      <c r="G38" s="685"/>
      <c r="H38" s="685"/>
      <c r="I38" s="685"/>
      <c r="J38" s="685"/>
      <c r="K38" s="685"/>
      <c r="L38" s="685"/>
    </row>
    <row r="39" spans="1:12" x14ac:dyDescent="0.25">
      <c r="A39" s="694" t="s">
        <v>124</v>
      </c>
      <c r="B39" s="695"/>
      <c r="C39" s="4"/>
      <c r="D39" s="18" t="s">
        <v>125</v>
      </c>
      <c r="E39" s="17"/>
    </row>
    <row r="40" spans="1:12" x14ac:dyDescent="0.25">
      <c r="A40" s="10" t="str">
        <f>inputPrYr!B21</f>
        <v>General</v>
      </c>
      <c r="B40" s="11"/>
      <c r="C40" s="4"/>
      <c r="D40" s="425"/>
      <c r="E40" s="17"/>
      <c r="F40" s="610"/>
      <c r="G40" s="610"/>
      <c r="H40" s="610"/>
      <c r="I40" s="610"/>
      <c r="J40" s="610"/>
      <c r="K40" s="610"/>
      <c r="L40" s="610"/>
    </row>
    <row r="41" spans="1:12" x14ac:dyDescent="0.25">
      <c r="A41" s="10" t="str">
        <f>inputPrYr!B22</f>
        <v>Debt Service</v>
      </c>
      <c r="B41" s="13"/>
      <c r="C41" s="4"/>
      <c r="D41" s="425"/>
      <c r="E41" s="17"/>
    </row>
    <row r="42" spans="1:12" x14ac:dyDescent="0.25">
      <c r="A42" s="10" t="str">
        <f>inputPrYr!B23</f>
        <v>Library</v>
      </c>
      <c r="B42" s="13"/>
      <c r="C42" s="4"/>
      <c r="D42" s="425"/>
      <c r="E42" s="17"/>
    </row>
    <row r="43" spans="1:12" x14ac:dyDescent="0.25">
      <c r="A43" s="10" t="str">
        <f>inputPrYr!B24</f>
        <v>Road</v>
      </c>
      <c r="B43" s="13"/>
      <c r="C43" s="4"/>
      <c r="D43" s="425"/>
      <c r="E43" s="17"/>
    </row>
    <row r="44" spans="1:12" x14ac:dyDescent="0.25">
      <c r="A44" s="10" t="str">
        <f>inputPrYr!B25</f>
        <v>Special Road</v>
      </c>
      <c r="B44" s="13"/>
      <c r="C44" s="4"/>
      <c r="D44" s="425"/>
      <c r="E44" s="17"/>
    </row>
    <row r="45" spans="1:12" x14ac:dyDescent="0.25">
      <c r="A45" s="10" t="str">
        <f>inputPrYr!B26</f>
        <v>Noxious Weed</v>
      </c>
      <c r="B45" s="13"/>
      <c r="C45" s="4"/>
      <c r="D45" s="425"/>
      <c r="E45" s="17"/>
    </row>
    <row r="46" spans="1:12" x14ac:dyDescent="0.25">
      <c r="A46" s="10" t="str">
        <f>inputPrYr!B27</f>
        <v>Fire Protection</v>
      </c>
      <c r="B46" s="13"/>
      <c r="C46" s="4"/>
      <c r="D46" s="426"/>
      <c r="E46" s="17"/>
    </row>
    <row r="47" spans="1:12" x14ac:dyDescent="0.25">
      <c r="A47" s="10">
        <f>inputPrYr!B28</f>
        <v>0</v>
      </c>
      <c r="B47" s="13"/>
      <c r="C47" s="4"/>
      <c r="D47" s="426"/>
      <c r="E47" s="17"/>
    </row>
    <row r="48" spans="1:12" x14ac:dyDescent="0.25">
      <c r="A48" s="10">
        <f>inputPrYr!B29</f>
        <v>0</v>
      </c>
      <c r="B48" s="13"/>
      <c r="C48" s="4"/>
      <c r="D48" s="426"/>
      <c r="E48" s="17"/>
    </row>
    <row r="49" spans="1:5" x14ac:dyDescent="0.25">
      <c r="A49" s="10">
        <f>inputPrYr!B30</f>
        <v>0</v>
      </c>
      <c r="B49" s="13"/>
      <c r="C49" s="4"/>
      <c r="D49" s="426"/>
      <c r="E49" s="17"/>
    </row>
    <row r="50" spans="1:5" x14ac:dyDescent="0.25">
      <c r="A50" s="10">
        <f>inputPrYr!B31</f>
        <v>0</v>
      </c>
      <c r="B50" s="13"/>
      <c r="C50" s="4"/>
      <c r="D50" s="426"/>
      <c r="E50" s="17"/>
    </row>
    <row r="51" spans="1:5" x14ac:dyDescent="0.25">
      <c r="A51" s="10">
        <f>inputPrYr!B32</f>
        <v>0</v>
      </c>
      <c r="B51" s="13"/>
      <c r="C51" s="4"/>
      <c r="D51" s="425"/>
      <c r="E51" s="17"/>
    </row>
    <row r="52" spans="1:5" x14ac:dyDescent="0.25">
      <c r="A52" s="4"/>
      <c r="B52" s="4" t="s">
        <v>126</v>
      </c>
      <c r="C52" s="4"/>
      <c r="D52" s="21">
        <f>SUM(D40:D51)</f>
        <v>0</v>
      </c>
      <c r="E52" s="4"/>
    </row>
    <row r="53" spans="1:5" x14ac:dyDescent="0.25">
      <c r="A53" s="4"/>
      <c r="B53" s="4"/>
      <c r="C53" s="4"/>
      <c r="D53" s="4"/>
      <c r="E53" s="4"/>
    </row>
    <row r="54" spans="1:5" x14ac:dyDescent="0.25">
      <c r="A54" s="26" t="str">
        <f>CONCATENATE("Final Assessed Valuation from the November 1, ",E1-2," Abstract:")</f>
        <v>Final Assessed Valuation from the November 1, 2023 Abstract:</v>
      </c>
      <c r="B54" s="4"/>
      <c r="C54" s="4"/>
      <c r="D54" s="4"/>
      <c r="E54" s="6"/>
    </row>
    <row r="55" spans="1:5" x14ac:dyDescent="0.25">
      <c r="A55" s="11" t="s">
        <v>119</v>
      </c>
      <c r="B55" s="11"/>
      <c r="C55" s="11"/>
      <c r="D55" s="11"/>
      <c r="E55" s="3"/>
    </row>
    <row r="56" spans="1:5" x14ac:dyDescent="0.25">
      <c r="A56" s="13">
        <f>inputPrYr!D7</f>
        <v>0</v>
      </c>
      <c r="B56" s="13"/>
      <c r="C56" s="13"/>
      <c r="D56" s="14"/>
      <c r="E56" s="3"/>
    </row>
    <row r="57" spans="1:5" x14ac:dyDescent="0.25">
      <c r="A57" s="13">
        <f>inputPrYr!D8</f>
        <v>0</v>
      </c>
      <c r="B57" s="13"/>
      <c r="C57" s="13"/>
      <c r="D57" s="14"/>
      <c r="E57" s="3"/>
    </row>
    <row r="58" spans="1:5" x14ac:dyDescent="0.25">
      <c r="A58" s="13" t="str">
        <f>CONCATENATE("Total  Final Assessed Valuation from the November 1, ",E1-2," Abstract:")</f>
        <v>Total  Final Assessed Valuation from the November 1, 2023 Abstract:</v>
      </c>
      <c r="B58" s="13"/>
      <c r="C58" s="13"/>
      <c r="D58" s="14"/>
      <c r="E58" s="25">
        <f>SUM(E55:E57)</f>
        <v>0</v>
      </c>
    </row>
    <row r="59" spans="1:5" x14ac:dyDescent="0.25">
      <c r="A59" s="4"/>
      <c r="B59" s="4"/>
      <c r="C59" s="4"/>
      <c r="D59" s="4"/>
      <c r="E59" s="4"/>
    </row>
    <row r="60" spans="1:5" x14ac:dyDescent="0.25">
      <c r="A60" s="446" t="str">
        <f>CONCATENATE("From the County Treasurer's Budget Information - ",E1," Budget Year Estimates:")</f>
        <v>From the County Treasurer's Budget Information - 2025 Budget Year Estimates:</v>
      </c>
      <c r="B60" s="445"/>
      <c r="C60" s="445"/>
      <c r="D60" s="444"/>
      <c r="E60" s="443"/>
    </row>
    <row r="61" spans="1:5" x14ac:dyDescent="0.25">
      <c r="A61" s="22" t="s">
        <v>127</v>
      </c>
      <c r="B61" s="11"/>
      <c r="C61" s="11"/>
      <c r="D61" s="7"/>
      <c r="E61" s="6"/>
    </row>
    <row r="62" spans="1:5" x14ac:dyDescent="0.25">
      <c r="A62" s="10" t="s">
        <v>128</v>
      </c>
      <c r="B62" s="11"/>
      <c r="C62" s="11"/>
      <c r="D62" s="7"/>
      <c r="E62" s="2"/>
    </row>
    <row r="63" spans="1:5" x14ac:dyDescent="0.25">
      <c r="A63" s="12" t="s">
        <v>129</v>
      </c>
      <c r="B63" s="13"/>
      <c r="C63" s="13"/>
      <c r="D63" s="464"/>
      <c r="E63" s="2"/>
    </row>
    <row r="64" spans="1:5" x14ac:dyDescent="0.25">
      <c r="A64" s="12" t="s">
        <v>130</v>
      </c>
      <c r="B64" s="13"/>
      <c r="C64" s="13"/>
      <c r="D64" s="464"/>
      <c r="E64" s="2"/>
    </row>
    <row r="65" spans="1:5" x14ac:dyDescent="0.25">
      <c r="A65" s="469" t="s">
        <v>131</v>
      </c>
      <c r="B65" s="13"/>
      <c r="C65" s="13"/>
      <c r="D65" s="464"/>
      <c r="E65" s="2"/>
    </row>
    <row r="66" spans="1:5" x14ac:dyDescent="0.25">
      <c r="A66" s="469" t="s">
        <v>132</v>
      </c>
      <c r="B66" s="13"/>
      <c r="C66" s="13"/>
      <c r="D66" s="464"/>
      <c r="E66" s="2"/>
    </row>
    <row r="67" spans="1:5" x14ac:dyDescent="0.25">
      <c r="A67" s="23" t="s">
        <v>133</v>
      </c>
      <c r="B67" s="24"/>
      <c r="C67" s="13"/>
      <c r="D67" s="464"/>
      <c r="E67" s="465"/>
    </row>
    <row r="68" spans="1:5" x14ac:dyDescent="0.25">
      <c r="A68" s="10" t="s">
        <v>134</v>
      </c>
      <c r="B68" s="13"/>
      <c r="C68" s="13"/>
      <c r="D68" s="464"/>
      <c r="E68" s="2"/>
    </row>
    <row r="69" spans="1:5" x14ac:dyDescent="0.25">
      <c r="A69" s="12" t="s">
        <v>135</v>
      </c>
      <c r="B69" s="13"/>
      <c r="C69" s="13"/>
      <c r="D69" s="464"/>
      <c r="E69" s="2"/>
    </row>
    <row r="70" spans="1:5" x14ac:dyDescent="0.25">
      <c r="A70" s="12" t="s">
        <v>136</v>
      </c>
      <c r="B70" s="13"/>
      <c r="C70" s="13"/>
      <c r="D70" s="464"/>
      <c r="E70" s="2"/>
    </row>
    <row r="71" spans="1:5" x14ac:dyDescent="0.25">
      <c r="A71" s="469" t="s">
        <v>131</v>
      </c>
      <c r="B71" s="13"/>
      <c r="C71" s="13"/>
      <c r="D71" s="464"/>
      <c r="E71" s="2"/>
    </row>
    <row r="72" spans="1:5" x14ac:dyDescent="0.25">
      <c r="A72" s="469" t="s">
        <v>132</v>
      </c>
      <c r="B72" s="13"/>
      <c r="C72" s="13"/>
      <c r="D72" s="464"/>
      <c r="E72" s="2"/>
    </row>
    <row r="73" spans="1:5" x14ac:dyDescent="0.25">
      <c r="A73" s="23" t="s">
        <v>137</v>
      </c>
      <c r="B73" s="24"/>
      <c r="C73" s="13"/>
      <c r="D73" s="464"/>
      <c r="E73" s="465"/>
    </row>
    <row r="74" spans="1:5" x14ac:dyDescent="0.25">
      <c r="A74" s="10" t="s">
        <v>134</v>
      </c>
      <c r="B74" s="13"/>
      <c r="C74" s="13"/>
      <c r="D74" s="464"/>
      <c r="E74" s="2"/>
    </row>
    <row r="75" spans="1:5" x14ac:dyDescent="0.25">
      <c r="A75" s="12" t="s">
        <v>135</v>
      </c>
      <c r="B75" s="13"/>
      <c r="C75" s="13"/>
      <c r="D75" s="464"/>
      <c r="E75" s="2"/>
    </row>
    <row r="76" spans="1:5" x14ac:dyDescent="0.25">
      <c r="A76" s="12" t="s">
        <v>136</v>
      </c>
      <c r="B76" s="13"/>
      <c r="C76" s="13"/>
      <c r="D76" s="464"/>
      <c r="E76" s="2"/>
    </row>
    <row r="77" spans="1:5" x14ac:dyDescent="0.25">
      <c r="A77" s="469" t="s">
        <v>131</v>
      </c>
      <c r="B77" s="13"/>
      <c r="C77" s="13"/>
      <c r="D77" s="464"/>
      <c r="E77" s="2"/>
    </row>
    <row r="78" spans="1:5" x14ac:dyDescent="0.25">
      <c r="A78" s="469" t="s">
        <v>132</v>
      </c>
      <c r="B78" s="13"/>
      <c r="C78" s="13"/>
      <c r="D78" s="464"/>
      <c r="E78" s="2"/>
    </row>
    <row r="79" spans="1:5" x14ac:dyDescent="0.25">
      <c r="A79" s="12"/>
      <c r="B79" s="13"/>
      <c r="C79" s="13"/>
      <c r="D79" s="464"/>
      <c r="E79" s="466"/>
    </row>
    <row r="80" spans="1:5" x14ac:dyDescent="0.25">
      <c r="A80" s="12" t="s">
        <v>139</v>
      </c>
      <c r="B80" s="11"/>
      <c r="C80" s="11"/>
      <c r="D80" s="19"/>
      <c r="E80" s="2"/>
    </row>
    <row r="81" spans="1:5" x14ac:dyDescent="0.25">
      <c r="A81" s="698" t="s">
        <v>140</v>
      </c>
      <c r="B81" s="699"/>
      <c r="C81" s="699"/>
      <c r="D81" s="699"/>
      <c r="E81" s="699"/>
    </row>
    <row r="82" spans="1:5" ht="33" customHeight="1" x14ac:dyDescent="0.25">
      <c r="A82" s="4"/>
      <c r="B82" s="4"/>
      <c r="C82" s="4"/>
      <c r="D82" s="4"/>
      <c r="E82" s="4"/>
    </row>
    <row r="83" spans="1:5" x14ac:dyDescent="0.25">
      <c r="A83" s="9" t="s">
        <v>141</v>
      </c>
      <c r="B83" s="8"/>
      <c r="C83" s="8"/>
      <c r="D83" s="4"/>
      <c r="E83" s="4"/>
    </row>
    <row r="84" spans="1:5" x14ac:dyDescent="0.25">
      <c r="A84" s="39" t="str">
        <f>CONCATENATE("Actual Delinquency for ",E39-3," Tax - (e.g. rate .01213 = 1.213%;  key in 1.2)")</f>
        <v>Actual Delinquency for -3 Tax - (e.g. rate .01213 = 1.213%;  key in 1.2)</v>
      </c>
      <c r="B84" s="4"/>
      <c r="C84" s="4"/>
      <c r="D84" s="4"/>
      <c r="E84" s="463"/>
    </row>
    <row r="85" spans="1:5" x14ac:dyDescent="0.25">
      <c r="A85" s="41" t="s">
        <v>142</v>
      </c>
      <c r="B85" s="5"/>
      <c r="C85" s="4"/>
      <c r="D85" s="4"/>
      <c r="E85" s="310">
        <v>0</v>
      </c>
    </row>
    <row r="86" spans="1:5" x14ac:dyDescent="0.25">
      <c r="A86" s="690" t="s">
        <v>143</v>
      </c>
      <c r="B86" s="691"/>
      <c r="C86" s="691"/>
      <c r="D86" s="691"/>
      <c r="E86" s="691"/>
    </row>
    <row r="87" spans="1:5" ht="34.5" customHeight="1" x14ac:dyDescent="0.25">
      <c r="A87" s="15"/>
      <c r="B87" s="15"/>
      <c r="C87" s="15"/>
      <c r="D87" s="15"/>
      <c r="E87" s="15"/>
    </row>
    <row r="88" spans="1:5" x14ac:dyDescent="0.25">
      <c r="A88" s="686" t="str">
        <f>CONCATENATE("From the ",E1-2," Budget Certificate Page")</f>
        <v>From the 2023 Budget Certificate Page</v>
      </c>
      <c r="B88" s="687"/>
      <c r="C88" s="15"/>
      <c r="D88" s="15"/>
      <c r="E88" s="15"/>
    </row>
    <row r="89" spans="1:5" x14ac:dyDescent="0.25">
      <c r="A89" s="30"/>
      <c r="B89" s="30" t="str">
        <f>CONCATENATE("",E1-2," Expenditure Amounts")</f>
        <v>2023 Expenditure Amounts</v>
      </c>
      <c r="C89" s="688" t="str">
        <f>CONCATENATE("Note: If the ",E1-2," budget was amended, then the")</f>
        <v>Note: If the 2023 budget was amended, then the</v>
      </c>
      <c r="D89" s="689"/>
      <c r="E89" s="689"/>
    </row>
    <row r="90" spans="1:5" x14ac:dyDescent="0.25">
      <c r="A90" s="31" t="s">
        <v>144</v>
      </c>
      <c r="B90" s="31" t="s">
        <v>145</v>
      </c>
      <c r="C90" s="32" t="s">
        <v>146</v>
      </c>
      <c r="D90" s="33"/>
      <c r="E90" s="33"/>
    </row>
    <row r="91" spans="1:5" x14ac:dyDescent="0.25">
      <c r="A91" s="34" t="str">
        <f>inputPrYr!B21</f>
        <v>General</v>
      </c>
      <c r="B91" s="3"/>
      <c r="C91" s="32" t="s">
        <v>147</v>
      </c>
      <c r="D91" s="33"/>
      <c r="E91" s="33"/>
    </row>
    <row r="92" spans="1:5" x14ac:dyDescent="0.25">
      <c r="A92" s="34" t="str">
        <f>inputPrYr!B22</f>
        <v>Debt Service</v>
      </c>
      <c r="B92" s="3"/>
      <c r="C92" s="32"/>
      <c r="D92" s="33"/>
      <c r="E92" s="33"/>
    </row>
    <row r="93" spans="1:5" x14ac:dyDescent="0.25">
      <c r="A93" s="34" t="str">
        <f>inputPrYr!B23</f>
        <v>Library</v>
      </c>
      <c r="B93" s="3"/>
      <c r="C93" s="32"/>
      <c r="D93" s="33"/>
      <c r="E93" s="33"/>
    </row>
    <row r="94" spans="1:5" x14ac:dyDescent="0.25">
      <c r="A94" s="34" t="str">
        <f>inputPrYr!B24</f>
        <v>Road</v>
      </c>
      <c r="B94" s="3"/>
      <c r="C94" s="15"/>
      <c r="D94" s="15"/>
      <c r="E94" s="15"/>
    </row>
    <row r="95" spans="1:5" x14ac:dyDescent="0.25">
      <c r="A95" s="34" t="str">
        <f>inputPrYr!B25</f>
        <v>Special Road</v>
      </c>
      <c r="B95" s="3"/>
      <c r="C95" s="15"/>
      <c r="D95" s="15"/>
      <c r="E95" s="15"/>
    </row>
    <row r="96" spans="1:5" x14ac:dyDescent="0.25">
      <c r="A96" s="34" t="str">
        <f>inputPrYr!B26</f>
        <v>Noxious Weed</v>
      </c>
      <c r="B96" s="3"/>
      <c r="C96" s="15"/>
      <c r="D96" s="15"/>
      <c r="E96" s="15"/>
    </row>
    <row r="97" spans="1:5" x14ac:dyDescent="0.25">
      <c r="A97" s="34" t="str">
        <f>inputPrYr!B27</f>
        <v>Fire Protection</v>
      </c>
      <c r="B97" s="3"/>
      <c r="C97" s="15"/>
      <c r="D97" s="15"/>
      <c r="E97" s="15"/>
    </row>
    <row r="98" spans="1:5" x14ac:dyDescent="0.25">
      <c r="A98" s="34">
        <f>inputPrYr!B28</f>
        <v>0</v>
      </c>
      <c r="B98" s="3"/>
      <c r="C98" s="15"/>
      <c r="D98" s="15"/>
      <c r="E98" s="15"/>
    </row>
    <row r="99" spans="1:5" x14ac:dyDescent="0.25">
      <c r="A99" s="34">
        <f>inputPrYr!B29</f>
        <v>0</v>
      </c>
      <c r="B99" s="3"/>
      <c r="C99" s="15"/>
      <c r="D99" s="15"/>
      <c r="E99" s="15"/>
    </row>
    <row r="100" spans="1:5" x14ac:dyDescent="0.25">
      <c r="A100" s="34">
        <f>inputPrYr!B30</f>
        <v>0</v>
      </c>
      <c r="B100" s="3"/>
      <c r="C100" s="15"/>
      <c r="D100" s="15"/>
      <c r="E100" s="15"/>
    </row>
    <row r="101" spans="1:5" x14ac:dyDescent="0.25">
      <c r="A101" s="34">
        <f>inputPrYr!B31</f>
        <v>0</v>
      </c>
      <c r="B101" s="3"/>
      <c r="C101" s="15"/>
      <c r="D101" s="15"/>
      <c r="E101" s="15"/>
    </row>
    <row r="102" spans="1:5" x14ac:dyDescent="0.25">
      <c r="A102" s="34">
        <f>inputPrYr!B32</f>
        <v>0</v>
      </c>
      <c r="B102" s="3"/>
      <c r="C102" s="15"/>
      <c r="D102" s="15"/>
      <c r="E102" s="15"/>
    </row>
    <row r="103" spans="1:5" x14ac:dyDescent="0.25">
      <c r="A103" s="34">
        <f>inputPrYr!B36</f>
        <v>0</v>
      </c>
      <c r="B103" s="3"/>
      <c r="C103" s="15"/>
      <c r="D103" s="15"/>
      <c r="E103" s="15"/>
    </row>
    <row r="104" spans="1:5" x14ac:dyDescent="0.25">
      <c r="A104" s="34">
        <f>inputPrYr!B37</f>
        <v>0</v>
      </c>
      <c r="B104" s="3"/>
      <c r="C104" s="15"/>
      <c r="D104" s="15"/>
      <c r="E104" s="15"/>
    </row>
    <row r="105" spans="1:5" x14ac:dyDescent="0.25">
      <c r="A105" s="34">
        <f>inputPrYr!B38</f>
        <v>0</v>
      </c>
      <c r="B105" s="3"/>
      <c r="C105" s="15"/>
      <c r="D105" s="15"/>
      <c r="E105" s="15"/>
    </row>
    <row r="106" spans="1:5" x14ac:dyDescent="0.25">
      <c r="A106" s="34">
        <f>inputPrYr!B39</f>
        <v>0</v>
      </c>
      <c r="B106" s="3"/>
      <c r="C106" s="15"/>
      <c r="D106" s="15"/>
      <c r="E106" s="15"/>
    </row>
  </sheetData>
  <sheetProtection sheet="1" objects="1" scenarios="1"/>
  <mergeCells count="9">
    <mergeCell ref="F34:L38"/>
    <mergeCell ref="A88:B88"/>
    <mergeCell ref="C89:E89"/>
    <mergeCell ref="A86:E86"/>
    <mergeCell ref="A4:E4"/>
    <mergeCell ref="A39:B39"/>
    <mergeCell ref="A6:E6"/>
    <mergeCell ref="A81:E81"/>
    <mergeCell ref="A36:C36"/>
  </mergeCells>
  <phoneticPr fontId="10" type="noConversion"/>
  <pageMargins left="0.75" right="0.75" top="1" bottom="1" header="0.5" footer="0.5"/>
  <pageSetup scale="50"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8">
    <tabColor rgb="FFFF0000"/>
  </sheetPr>
  <dimension ref="A1:L85"/>
  <sheetViews>
    <sheetView workbookViewId="0">
      <selection activeCell="A8" sqref="A8"/>
    </sheetView>
  </sheetViews>
  <sheetFormatPr defaultRowHeight="15.75" x14ac:dyDescent="0.25"/>
  <cols>
    <col min="1" max="1" width="64.19921875" style="1" customWidth="1"/>
  </cols>
  <sheetData>
    <row r="1" spans="1:12" ht="20.25" x14ac:dyDescent="0.3">
      <c r="A1" s="603" t="s">
        <v>495</v>
      </c>
    </row>
    <row r="3" spans="1:12" x14ac:dyDescent="0.25">
      <c r="A3" s="599" t="s">
        <v>496</v>
      </c>
      <c r="B3" s="231"/>
      <c r="C3" s="231"/>
      <c r="D3" s="231"/>
      <c r="E3" s="231"/>
      <c r="F3" s="231"/>
      <c r="G3" s="231"/>
      <c r="H3" s="231"/>
      <c r="I3" s="231"/>
      <c r="J3" s="231"/>
      <c r="K3" s="231"/>
      <c r="L3" s="231"/>
    </row>
    <row r="5" spans="1:12" x14ac:dyDescent="0.25">
      <c r="A5" s="1" t="s">
        <v>497</v>
      </c>
    </row>
    <row r="6" spans="1:12" x14ac:dyDescent="0.25">
      <c r="A6" s="1" t="str">
        <f>CONCATENATE(inputPrYr!D10-2," 'total expenditures' exceed your ",inputPrYr!D10-2," 'budget authority.'")</f>
        <v>2023 'total expenditures' exceed your 2023 'budget authority.'</v>
      </c>
    </row>
    <row r="8" spans="1:12" x14ac:dyDescent="0.25">
      <c r="A8" s="1" t="s">
        <v>498</v>
      </c>
    </row>
    <row r="9" spans="1:12" x14ac:dyDescent="0.25">
      <c r="A9" s="1" t="s">
        <v>499</v>
      </c>
    </row>
    <row r="10" spans="1:12" x14ac:dyDescent="0.25">
      <c r="A10" s="1" t="s">
        <v>500</v>
      </c>
    </row>
    <row r="13" spans="1:12" x14ac:dyDescent="0.25">
      <c r="A13" s="600" t="s">
        <v>501</v>
      </c>
    </row>
    <row r="15" spans="1:12" x14ac:dyDescent="0.25">
      <c r="A15" s="1" t="s">
        <v>502</v>
      </c>
    </row>
    <row r="16" spans="1:12" x14ac:dyDescent="0.25">
      <c r="A16" s="1" t="str">
        <f>CONCATENATE("(i.e. an audit has not been completed, or the ",inputPrYr!D10," adopted")</f>
        <v>(i.e. an audit has not been completed, or the 2025 adopted</v>
      </c>
    </row>
    <row r="17" spans="1:1" x14ac:dyDescent="0.25">
      <c r="A17" s="1" t="s">
        <v>503</v>
      </c>
    </row>
    <row r="18" spans="1:1" x14ac:dyDescent="0.25">
      <c r="A18" s="1" t="s">
        <v>504</v>
      </c>
    </row>
    <row r="19" spans="1:1" x14ac:dyDescent="0.25">
      <c r="A19" s="1" t="s">
        <v>505</v>
      </c>
    </row>
    <row r="21" spans="1:1" x14ac:dyDescent="0.25">
      <c r="A21" s="600" t="s">
        <v>311</v>
      </c>
    </row>
    <row r="22" spans="1:1" x14ac:dyDescent="0.25">
      <c r="A22" s="600"/>
    </row>
    <row r="23" spans="1:1" x14ac:dyDescent="0.25">
      <c r="A23" s="1" t="s">
        <v>506</v>
      </c>
    </row>
    <row r="24" spans="1:1" x14ac:dyDescent="0.25">
      <c r="A24" s="1" t="s">
        <v>507</v>
      </c>
    </row>
    <row r="25" spans="1:1" x14ac:dyDescent="0.25">
      <c r="A25" s="1" t="str">
        <f>CONCATENATE("particular fund.  If your ",inputPrYr!D10-2," budget was amended, did you")</f>
        <v>particular fund.  If your 2023 budget was amended, did you</v>
      </c>
    </row>
    <row r="26" spans="1:1" x14ac:dyDescent="0.25">
      <c r="A26" s="1" t="s">
        <v>508</v>
      </c>
    </row>
    <row r="28" spans="1:1" x14ac:dyDescent="0.25">
      <c r="A28" s="1" t="str">
        <f>CONCATENATE("Next, look to see if any of your ",inputPrYr!D10-2," expenditures can be")</f>
        <v>Next, look to see if any of your 2023 expenditures can be</v>
      </c>
    </row>
    <row r="29" spans="1:1" x14ac:dyDescent="0.25">
      <c r="A29" s="1" t="s">
        <v>509</v>
      </c>
    </row>
    <row r="30" spans="1:1" x14ac:dyDescent="0.25">
      <c r="A30" s="1" t="s">
        <v>510</v>
      </c>
    </row>
    <row r="31" spans="1:1" x14ac:dyDescent="0.25">
      <c r="A31" s="1" t="s">
        <v>511</v>
      </c>
    </row>
    <row r="33" spans="1:1" x14ac:dyDescent="0.25">
      <c r="A33" s="1" t="str">
        <f>CONCATENATE("Additionally, do your ",inputPrYr!D10-2," receipts contain a reimbursement")</f>
        <v>Additionally, do your 2023 receipts contain a reimbursement</v>
      </c>
    </row>
    <row r="34" spans="1:1" x14ac:dyDescent="0.25">
      <c r="A34" s="1" t="s">
        <v>512</v>
      </c>
    </row>
    <row r="35" spans="1:1" x14ac:dyDescent="0.25">
      <c r="A35" s="1" t="s">
        <v>513</v>
      </c>
    </row>
    <row r="37" spans="1:1" x14ac:dyDescent="0.25">
      <c r="A37" s="1" t="s">
        <v>514</v>
      </c>
    </row>
    <row r="38" spans="1:1" x14ac:dyDescent="0.25">
      <c r="A38" s="1" t="s">
        <v>515</v>
      </c>
    </row>
    <row r="39" spans="1:1" x14ac:dyDescent="0.25">
      <c r="A39" s="1" t="s">
        <v>516</v>
      </c>
    </row>
    <row r="40" spans="1:1" x14ac:dyDescent="0.25">
      <c r="A40" s="1" t="s">
        <v>517</v>
      </c>
    </row>
    <row r="41" spans="1:1" x14ac:dyDescent="0.25">
      <c r="A41" s="1" t="s">
        <v>518</v>
      </c>
    </row>
    <row r="42" spans="1:1" x14ac:dyDescent="0.25">
      <c r="A42" s="1" t="s">
        <v>519</v>
      </c>
    </row>
    <row r="43" spans="1:1" x14ac:dyDescent="0.25">
      <c r="A43" s="1" t="s">
        <v>520</v>
      </c>
    </row>
    <row r="44" spans="1:1" x14ac:dyDescent="0.25">
      <c r="A44" s="1" t="s">
        <v>521</v>
      </c>
    </row>
    <row r="46" spans="1:1" x14ac:dyDescent="0.25">
      <c r="A46" s="1" t="s">
        <v>522</v>
      </c>
    </row>
    <row r="47" spans="1:1" x14ac:dyDescent="0.25">
      <c r="A47" s="1" t="s">
        <v>523</v>
      </c>
    </row>
    <row r="48" spans="1:1" x14ac:dyDescent="0.25">
      <c r="A48" s="1" t="s">
        <v>524</v>
      </c>
    </row>
    <row r="50" spans="1:1" x14ac:dyDescent="0.25">
      <c r="A50" s="1" t="s">
        <v>525</v>
      </c>
    </row>
    <row r="51" spans="1:1" x14ac:dyDescent="0.25">
      <c r="A51" s="1" t="s">
        <v>526</v>
      </c>
    </row>
    <row r="52" spans="1:1" x14ac:dyDescent="0.25">
      <c r="A52" s="1" t="s">
        <v>527</v>
      </c>
    </row>
    <row r="54" spans="1:1" x14ac:dyDescent="0.25">
      <c r="A54" s="600" t="s">
        <v>528</v>
      </c>
    </row>
    <row r="56" spans="1:1" x14ac:dyDescent="0.25">
      <c r="A56" s="1" t="s">
        <v>529</v>
      </c>
    </row>
    <row r="57" spans="1:1" x14ac:dyDescent="0.25">
      <c r="A57" s="1" t="s">
        <v>530</v>
      </c>
    </row>
    <row r="58" spans="1:1" x14ac:dyDescent="0.25">
      <c r="A58" s="1" t="s">
        <v>531</v>
      </c>
    </row>
    <row r="59" spans="1:1" x14ac:dyDescent="0.25">
      <c r="A59" s="1" t="s">
        <v>532</v>
      </c>
    </row>
    <row r="60" spans="1:1" x14ac:dyDescent="0.25">
      <c r="A60" s="1" t="s">
        <v>533</v>
      </c>
    </row>
    <row r="61" spans="1:1" x14ac:dyDescent="0.25">
      <c r="A61" s="1" t="s">
        <v>534</v>
      </c>
    </row>
    <row r="62" spans="1:1" x14ac:dyDescent="0.25">
      <c r="A62" s="1" t="s">
        <v>535</v>
      </c>
    </row>
    <row r="63" spans="1:1" x14ac:dyDescent="0.25">
      <c r="A63" s="1" t="s">
        <v>536</v>
      </c>
    </row>
    <row r="64" spans="1:1" x14ac:dyDescent="0.25">
      <c r="A64" s="1" t="s">
        <v>537</v>
      </c>
    </row>
    <row r="65" spans="1:1" x14ac:dyDescent="0.25">
      <c r="A65" s="1" t="s">
        <v>538</v>
      </c>
    </row>
    <row r="66" spans="1:1" x14ac:dyDescent="0.25">
      <c r="A66" s="1" t="s">
        <v>539</v>
      </c>
    </row>
    <row r="67" spans="1:1" x14ac:dyDescent="0.25">
      <c r="A67" s="1" t="s">
        <v>540</v>
      </c>
    </row>
    <row r="68" spans="1:1" x14ac:dyDescent="0.25">
      <c r="A68" s="1" t="s">
        <v>541</v>
      </c>
    </row>
    <row r="70" spans="1:1" x14ac:dyDescent="0.25">
      <c r="A70" s="1" t="s">
        <v>542</v>
      </c>
    </row>
    <row r="71" spans="1:1" x14ac:dyDescent="0.25">
      <c r="A71" s="1" t="s">
        <v>543</v>
      </c>
    </row>
    <row r="72" spans="1:1" x14ac:dyDescent="0.25">
      <c r="A72" s="1" t="s">
        <v>544</v>
      </c>
    </row>
    <row r="74" spans="1:1" x14ac:dyDescent="0.25">
      <c r="A74" s="600" t="str">
        <f>CONCATENATE("What if the ",inputPrYr!D10-2," financial records have been closed?")</f>
        <v>What if the 2023 financial records have been closed?</v>
      </c>
    </row>
    <row r="76" spans="1:1" x14ac:dyDescent="0.25">
      <c r="A76" s="1" t="s">
        <v>545</v>
      </c>
    </row>
    <row r="77" spans="1:1" x14ac:dyDescent="0.25">
      <c r="A77" s="1" t="str">
        <f>CONCATENATE("(i.e. an audit for ",inputPrYr!D10-2," has been completed, or the ",inputPrYr!D10)</f>
        <v>(i.e. an audit for 2023 has been completed, or the 2025</v>
      </c>
    </row>
    <row r="78" spans="1:1" x14ac:dyDescent="0.25">
      <c r="A78" s="1" t="s">
        <v>546</v>
      </c>
    </row>
    <row r="79" spans="1:1" x14ac:dyDescent="0.25">
      <c r="A79" s="1" t="s">
        <v>547</v>
      </c>
    </row>
    <row r="81" spans="1:1" x14ac:dyDescent="0.25">
      <c r="A81" s="1" t="s">
        <v>548</v>
      </c>
    </row>
    <row r="82" spans="1:1" x14ac:dyDescent="0.25">
      <c r="A82" s="1" t="s">
        <v>549</v>
      </c>
    </row>
    <row r="83" spans="1:1" x14ac:dyDescent="0.25">
      <c r="A83" s="1" t="s">
        <v>550</v>
      </c>
    </row>
    <row r="85" spans="1:1" x14ac:dyDescent="0.25">
      <c r="A85" s="1" t="s">
        <v>551</v>
      </c>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9">
    <tabColor rgb="FFFF0000"/>
  </sheetPr>
  <dimension ref="A1:J109"/>
  <sheetViews>
    <sheetView workbookViewId="0"/>
  </sheetViews>
  <sheetFormatPr defaultRowHeight="15.75" x14ac:dyDescent="0.25"/>
  <cols>
    <col min="1" max="1" width="64.19921875" style="1" customWidth="1"/>
  </cols>
  <sheetData>
    <row r="1" spans="1:10" ht="20.25" x14ac:dyDescent="0.3">
      <c r="A1" s="603" t="s">
        <v>552</v>
      </c>
    </row>
    <row r="3" spans="1:10" x14ac:dyDescent="0.25">
      <c r="A3" s="599" t="s">
        <v>553</v>
      </c>
      <c r="B3" s="231"/>
      <c r="C3" s="231"/>
      <c r="D3" s="231"/>
      <c r="E3" s="231"/>
      <c r="F3" s="231"/>
      <c r="G3" s="231"/>
      <c r="H3" s="233"/>
      <c r="I3" s="233"/>
      <c r="J3" s="233"/>
    </row>
    <row r="5" spans="1:10" x14ac:dyDescent="0.25">
      <c r="A5" s="1" t="s">
        <v>554</v>
      </c>
    </row>
    <row r="6" spans="1:10" x14ac:dyDescent="0.25">
      <c r="A6" s="1" t="str">
        <f>CONCATENATE(inputPrYr!D10-2," expenditures show that you finished the year with a ")</f>
        <v xml:space="preserve">2023 expenditures show that you finished the year with a </v>
      </c>
    </row>
    <row r="7" spans="1:10" x14ac:dyDescent="0.25">
      <c r="A7" s="1" t="s">
        <v>555</v>
      </c>
    </row>
    <row r="9" spans="1:10" x14ac:dyDescent="0.25">
      <c r="A9" s="1" t="s">
        <v>556</v>
      </c>
    </row>
    <row r="10" spans="1:10" x14ac:dyDescent="0.25">
      <c r="A10" s="1" t="s">
        <v>557</v>
      </c>
    </row>
    <row r="11" spans="1:10" x14ac:dyDescent="0.25">
      <c r="A11" s="1" t="s">
        <v>558</v>
      </c>
    </row>
    <row r="13" spans="1:10" x14ac:dyDescent="0.25">
      <c r="A13" s="600" t="s">
        <v>559</v>
      </c>
    </row>
    <row r="14" spans="1:10" x14ac:dyDescent="0.25">
      <c r="A14" s="600"/>
    </row>
    <row r="15" spans="1:10" x14ac:dyDescent="0.25">
      <c r="A15" s="1" t="s">
        <v>560</v>
      </c>
    </row>
    <row r="16" spans="1:10" x14ac:dyDescent="0.25">
      <c r="A16" s="1" t="s">
        <v>561</v>
      </c>
    </row>
    <row r="17" spans="1:1" x14ac:dyDescent="0.25">
      <c r="A17" s="1" t="s">
        <v>562</v>
      </c>
    </row>
    <row r="19" spans="1:1" x14ac:dyDescent="0.25">
      <c r="A19" s="600" t="s">
        <v>563</v>
      </c>
    </row>
    <row r="20" spans="1:1" x14ac:dyDescent="0.25">
      <c r="A20" s="600"/>
    </row>
    <row r="21" spans="1:1" x14ac:dyDescent="0.25">
      <c r="A21" s="1" t="s">
        <v>564</v>
      </c>
    </row>
    <row r="22" spans="1:1" x14ac:dyDescent="0.25">
      <c r="A22" s="1" t="s">
        <v>565</v>
      </c>
    </row>
    <row r="23" spans="1:1" x14ac:dyDescent="0.25">
      <c r="A23" s="1" t="s">
        <v>566</v>
      </c>
    </row>
    <row r="25" spans="1:1" x14ac:dyDescent="0.25">
      <c r="A25" s="600" t="s">
        <v>567</v>
      </c>
    </row>
    <row r="26" spans="1:1" x14ac:dyDescent="0.25">
      <c r="A26" s="600"/>
    </row>
    <row r="27" spans="1:1" x14ac:dyDescent="0.25">
      <c r="A27" s="1" t="s">
        <v>568</v>
      </c>
    </row>
    <row r="28" spans="1:1" x14ac:dyDescent="0.25">
      <c r="A28" s="1" t="s">
        <v>569</v>
      </c>
    </row>
    <row r="29" spans="1:1" x14ac:dyDescent="0.25">
      <c r="A29" s="1" t="s">
        <v>570</v>
      </c>
    </row>
    <row r="31" spans="1:1" x14ac:dyDescent="0.25">
      <c r="A31" s="600" t="s">
        <v>571</v>
      </c>
    </row>
    <row r="32" spans="1:1" x14ac:dyDescent="0.25">
      <c r="A32" s="600"/>
    </row>
    <row r="33" spans="1:8" x14ac:dyDescent="0.25">
      <c r="A33" s="1" t="str">
        <f>CONCATENATE("If your financial records for ",inputPrYr!D10-2," are not closed")</f>
        <v>If your financial records for 2023 are not closed</v>
      </c>
      <c r="B33" s="232"/>
      <c r="C33" s="232"/>
      <c r="D33" s="232"/>
      <c r="E33" s="232"/>
      <c r="F33" s="232"/>
      <c r="G33" s="232"/>
      <c r="H33" s="232"/>
    </row>
    <row r="34" spans="1:8" x14ac:dyDescent="0.25">
      <c r="A34" s="1" t="str">
        <f>CONCATENATE("(i.e. an audit has not been completed, or the ",inputPrYr!D10," adopted ")</f>
        <v xml:space="preserve">(i.e. an audit has not been completed, or the 2025 adopted </v>
      </c>
      <c r="B34" s="232"/>
      <c r="C34" s="232"/>
      <c r="D34" s="232"/>
      <c r="E34" s="232"/>
      <c r="F34" s="232"/>
      <c r="G34" s="232"/>
      <c r="H34" s="232"/>
    </row>
    <row r="35" spans="1:8" x14ac:dyDescent="0.25">
      <c r="A35" s="1" t="s">
        <v>572</v>
      </c>
      <c r="B35" s="232"/>
      <c r="C35" s="232"/>
      <c r="D35" s="232"/>
      <c r="E35" s="232"/>
      <c r="F35" s="232"/>
      <c r="G35" s="232"/>
      <c r="H35" s="232"/>
    </row>
    <row r="36" spans="1:8" x14ac:dyDescent="0.25">
      <c r="A36" s="1" t="s">
        <v>573</v>
      </c>
      <c r="B36" s="232"/>
      <c r="C36" s="232"/>
      <c r="D36" s="232"/>
      <c r="E36" s="232"/>
      <c r="F36" s="232"/>
      <c r="G36" s="232"/>
      <c r="H36" s="232"/>
    </row>
    <row r="37" spans="1:8" x14ac:dyDescent="0.25">
      <c r="A37" s="1" t="s">
        <v>574</v>
      </c>
      <c r="B37" s="232"/>
      <c r="C37" s="232"/>
      <c r="D37" s="232"/>
      <c r="E37" s="232"/>
      <c r="F37" s="232"/>
      <c r="G37" s="232"/>
      <c r="H37" s="232"/>
    </row>
    <row r="38" spans="1:8" x14ac:dyDescent="0.25">
      <c r="A38" s="1" t="s">
        <v>575</v>
      </c>
      <c r="B38" s="232"/>
      <c r="C38" s="232"/>
      <c r="D38" s="232"/>
      <c r="E38" s="232"/>
      <c r="F38" s="232"/>
      <c r="G38" s="232"/>
      <c r="H38" s="232"/>
    </row>
    <row r="39" spans="1:8" x14ac:dyDescent="0.25">
      <c r="A39" s="1" t="s">
        <v>576</v>
      </c>
      <c r="B39" s="232"/>
      <c r="C39" s="232"/>
      <c r="D39" s="232"/>
      <c r="E39" s="232"/>
      <c r="F39" s="232"/>
      <c r="G39" s="232"/>
      <c r="H39" s="232"/>
    </row>
    <row r="40" spans="1:8" x14ac:dyDescent="0.25">
      <c r="B40" s="232"/>
      <c r="C40" s="232"/>
      <c r="D40" s="232"/>
      <c r="E40" s="232"/>
      <c r="F40" s="232"/>
      <c r="G40" s="232"/>
      <c r="H40" s="232"/>
    </row>
    <row r="41" spans="1:8" x14ac:dyDescent="0.25">
      <c r="A41" s="1" t="s">
        <v>577</v>
      </c>
      <c r="B41" s="232"/>
      <c r="C41" s="232"/>
      <c r="D41" s="232"/>
      <c r="E41" s="232"/>
      <c r="F41" s="232"/>
      <c r="G41" s="232"/>
      <c r="H41" s="232"/>
    </row>
    <row r="42" spans="1:8" x14ac:dyDescent="0.25">
      <c r="A42" s="1" t="s">
        <v>578</v>
      </c>
      <c r="B42" s="232"/>
      <c r="C42" s="232"/>
      <c r="D42" s="232"/>
      <c r="E42" s="232"/>
      <c r="F42" s="232"/>
      <c r="G42" s="232"/>
      <c r="H42" s="232"/>
    </row>
    <row r="43" spans="1:8" x14ac:dyDescent="0.25">
      <c r="A43" s="1" t="s">
        <v>579</v>
      </c>
      <c r="B43" s="232"/>
      <c r="C43" s="232"/>
      <c r="D43" s="232"/>
      <c r="E43" s="232"/>
      <c r="F43" s="232"/>
      <c r="G43" s="232"/>
      <c r="H43" s="232"/>
    </row>
    <row r="44" spans="1:8" x14ac:dyDescent="0.25">
      <c r="A44" s="1" t="s">
        <v>580</v>
      </c>
      <c r="B44" s="232"/>
      <c r="C44" s="232"/>
      <c r="D44" s="232"/>
      <c r="E44" s="232"/>
      <c r="F44" s="232"/>
      <c r="G44" s="232"/>
      <c r="H44" s="232"/>
    </row>
    <row r="45" spans="1:8" x14ac:dyDescent="0.25">
      <c r="B45" s="232"/>
      <c r="C45" s="232"/>
      <c r="D45" s="232"/>
      <c r="E45" s="232"/>
      <c r="F45" s="232"/>
      <c r="G45" s="232"/>
      <c r="H45" s="232"/>
    </row>
    <row r="46" spans="1:8" x14ac:dyDescent="0.25">
      <c r="A46" s="1" t="s">
        <v>581</v>
      </c>
      <c r="B46" s="232"/>
      <c r="C46" s="232"/>
      <c r="D46" s="232"/>
      <c r="E46" s="232"/>
      <c r="F46" s="232"/>
      <c r="G46" s="232"/>
      <c r="H46" s="232"/>
    </row>
    <row r="47" spans="1:8" x14ac:dyDescent="0.25">
      <c r="A47" s="1" t="s">
        <v>582</v>
      </c>
      <c r="B47" s="232"/>
      <c r="C47" s="232"/>
      <c r="D47" s="232"/>
      <c r="E47" s="232"/>
      <c r="F47" s="232"/>
      <c r="G47" s="232"/>
      <c r="H47" s="232"/>
    </row>
    <row r="48" spans="1:8" x14ac:dyDescent="0.25">
      <c r="A48" s="1" t="s">
        <v>583</v>
      </c>
      <c r="B48" s="232"/>
      <c r="C48" s="232"/>
      <c r="D48" s="232"/>
      <c r="E48" s="232"/>
      <c r="F48" s="232"/>
      <c r="G48" s="232"/>
      <c r="H48" s="232"/>
    </row>
    <row r="49" spans="1:8" x14ac:dyDescent="0.25">
      <c r="A49" s="1" t="s">
        <v>584</v>
      </c>
      <c r="B49" s="232"/>
      <c r="C49" s="232"/>
      <c r="D49" s="232"/>
      <c r="E49" s="232"/>
      <c r="F49" s="232"/>
      <c r="G49" s="232"/>
      <c r="H49" s="232"/>
    </row>
    <row r="50" spans="1:8" x14ac:dyDescent="0.25">
      <c r="A50" s="1" t="s">
        <v>585</v>
      </c>
      <c r="B50" s="232"/>
      <c r="C50" s="232"/>
      <c r="D50" s="232"/>
      <c r="E50" s="232"/>
      <c r="F50" s="232"/>
      <c r="G50" s="232"/>
      <c r="H50" s="232"/>
    </row>
    <row r="51" spans="1:8" x14ac:dyDescent="0.25">
      <c r="B51" s="232"/>
      <c r="C51" s="232"/>
      <c r="D51" s="232"/>
      <c r="E51" s="232"/>
      <c r="F51" s="232"/>
      <c r="G51" s="232"/>
      <c r="H51" s="232"/>
    </row>
    <row r="52" spans="1:8" x14ac:dyDescent="0.25">
      <c r="A52" s="600" t="s">
        <v>586</v>
      </c>
      <c r="B52" s="233"/>
      <c r="C52" s="233"/>
      <c r="D52" s="233"/>
      <c r="E52" s="233"/>
      <c r="F52" s="233"/>
      <c r="G52" s="233"/>
      <c r="H52" s="232"/>
    </row>
    <row r="53" spans="1:8" x14ac:dyDescent="0.25">
      <c r="A53" s="600" t="s">
        <v>587</v>
      </c>
      <c r="B53" s="233"/>
      <c r="C53" s="233"/>
      <c r="D53" s="233"/>
      <c r="E53" s="233"/>
      <c r="F53" s="233"/>
      <c r="G53" s="233"/>
      <c r="H53" s="232"/>
    </row>
    <row r="54" spans="1:8" x14ac:dyDescent="0.25">
      <c r="B54" s="232"/>
      <c r="C54" s="232"/>
      <c r="D54" s="232"/>
      <c r="E54" s="232"/>
      <c r="F54" s="232"/>
      <c r="G54" s="232"/>
      <c r="H54" s="232"/>
    </row>
    <row r="55" spans="1:8" x14ac:dyDescent="0.25">
      <c r="A55" s="1" t="s">
        <v>588</v>
      </c>
      <c r="B55" s="232"/>
      <c r="C55" s="232"/>
      <c r="D55" s="232"/>
      <c r="E55" s="232"/>
      <c r="F55" s="232"/>
      <c r="G55" s="232"/>
      <c r="H55" s="232"/>
    </row>
    <row r="56" spans="1:8" x14ac:dyDescent="0.25">
      <c r="A56" s="1" t="s">
        <v>589</v>
      </c>
      <c r="B56" s="232"/>
      <c r="C56" s="232"/>
      <c r="D56" s="232"/>
      <c r="E56" s="232"/>
      <c r="F56" s="232"/>
      <c r="G56" s="232"/>
      <c r="H56" s="232"/>
    </row>
    <row r="57" spans="1:8" x14ac:dyDescent="0.25">
      <c r="A57" s="1" t="s">
        <v>590</v>
      </c>
      <c r="B57" s="232"/>
      <c r="C57" s="232"/>
      <c r="D57" s="232"/>
      <c r="E57" s="232"/>
      <c r="F57" s="232"/>
      <c r="G57" s="232"/>
      <c r="H57" s="232"/>
    </row>
    <row r="58" spans="1:8" x14ac:dyDescent="0.25">
      <c r="A58" s="1" t="s">
        <v>591</v>
      </c>
      <c r="B58" s="232"/>
      <c r="C58" s="232"/>
      <c r="D58" s="232"/>
      <c r="E58" s="232"/>
      <c r="F58" s="232"/>
      <c r="G58" s="232"/>
      <c r="H58" s="232"/>
    </row>
    <row r="59" spans="1:8" x14ac:dyDescent="0.25">
      <c r="B59" s="232"/>
      <c r="C59" s="232"/>
      <c r="D59" s="232"/>
      <c r="E59" s="232"/>
      <c r="F59" s="232"/>
      <c r="G59" s="232"/>
      <c r="H59" s="232"/>
    </row>
    <row r="60" spans="1:8" x14ac:dyDescent="0.25">
      <c r="A60" s="1" t="s">
        <v>592</v>
      </c>
      <c r="B60" s="232"/>
      <c r="C60" s="232"/>
      <c r="D60" s="232"/>
      <c r="E60" s="232"/>
      <c r="F60" s="232"/>
      <c r="G60" s="232"/>
      <c r="H60" s="232"/>
    </row>
    <row r="61" spans="1:8" x14ac:dyDescent="0.25">
      <c r="A61" s="1" t="s">
        <v>593</v>
      </c>
      <c r="B61" s="232"/>
      <c r="C61" s="232"/>
      <c r="D61" s="232"/>
      <c r="E61" s="232"/>
      <c r="F61" s="232"/>
      <c r="G61" s="232"/>
      <c r="H61" s="232"/>
    </row>
    <row r="62" spans="1:8" x14ac:dyDescent="0.25">
      <c r="A62" s="1" t="s">
        <v>594</v>
      </c>
      <c r="B62" s="232"/>
      <c r="C62" s="232"/>
      <c r="D62" s="232"/>
      <c r="E62" s="232"/>
      <c r="F62" s="232"/>
      <c r="G62" s="232"/>
      <c r="H62" s="232"/>
    </row>
    <row r="63" spans="1:8" x14ac:dyDescent="0.25">
      <c r="A63" s="1" t="s">
        <v>595</v>
      </c>
      <c r="B63" s="232"/>
      <c r="C63" s="232"/>
      <c r="D63" s="232"/>
      <c r="E63" s="232"/>
      <c r="F63" s="232"/>
      <c r="G63" s="232"/>
      <c r="H63" s="232"/>
    </row>
    <row r="64" spans="1:8" x14ac:dyDescent="0.25">
      <c r="A64" s="1" t="s">
        <v>596</v>
      </c>
      <c r="B64" s="232"/>
      <c r="C64" s="232"/>
      <c r="D64" s="232"/>
      <c r="E64" s="232"/>
      <c r="F64" s="232"/>
      <c r="G64" s="232"/>
      <c r="H64" s="232"/>
    </row>
    <row r="65" spans="1:8" x14ac:dyDescent="0.25">
      <c r="A65" s="1" t="s">
        <v>597</v>
      </c>
      <c r="B65" s="232"/>
      <c r="C65" s="232"/>
      <c r="D65" s="232"/>
      <c r="E65" s="232"/>
      <c r="F65" s="232"/>
      <c r="G65" s="232"/>
      <c r="H65" s="232"/>
    </row>
    <row r="66" spans="1:8" x14ac:dyDescent="0.25">
      <c r="B66" s="232"/>
      <c r="C66" s="232"/>
      <c r="D66" s="232"/>
      <c r="E66" s="232"/>
      <c r="F66" s="232"/>
      <c r="G66" s="232"/>
      <c r="H66" s="232"/>
    </row>
    <row r="67" spans="1:8" x14ac:dyDescent="0.25">
      <c r="A67" s="1" t="s">
        <v>598</v>
      </c>
      <c r="B67" s="232"/>
      <c r="C67" s="232"/>
      <c r="D67" s="232"/>
      <c r="E67" s="232"/>
      <c r="F67" s="232"/>
      <c r="G67" s="232"/>
      <c r="H67" s="232"/>
    </row>
    <row r="68" spans="1:8" x14ac:dyDescent="0.25">
      <c r="A68" s="1" t="s">
        <v>599</v>
      </c>
      <c r="B68" s="232"/>
      <c r="C68" s="232"/>
      <c r="D68" s="232"/>
      <c r="E68" s="232"/>
      <c r="F68" s="232"/>
      <c r="G68" s="232"/>
      <c r="H68" s="232"/>
    </row>
    <row r="69" spans="1:8" x14ac:dyDescent="0.25">
      <c r="A69" s="1" t="s">
        <v>600</v>
      </c>
      <c r="B69" s="232"/>
      <c r="C69" s="232"/>
      <c r="D69" s="232"/>
      <c r="E69" s="232"/>
      <c r="F69" s="232"/>
      <c r="G69" s="232"/>
      <c r="H69" s="232"/>
    </row>
    <row r="70" spans="1:8" x14ac:dyDescent="0.25">
      <c r="A70" s="1" t="s">
        <v>601</v>
      </c>
      <c r="B70" s="232"/>
      <c r="C70" s="232"/>
      <c r="D70" s="232"/>
      <c r="E70" s="232"/>
      <c r="F70" s="232"/>
      <c r="G70" s="232"/>
      <c r="H70" s="232"/>
    </row>
    <row r="71" spans="1:8" x14ac:dyDescent="0.25">
      <c r="A71" s="1" t="s">
        <v>602</v>
      </c>
      <c r="B71" s="232"/>
      <c r="C71" s="232"/>
      <c r="D71" s="232"/>
      <c r="E71" s="232"/>
      <c r="F71" s="232"/>
      <c r="G71" s="232"/>
      <c r="H71" s="232"/>
    </row>
    <row r="72" spans="1:8" x14ac:dyDescent="0.25">
      <c r="A72" s="1" t="s">
        <v>603</v>
      </c>
      <c r="B72" s="232"/>
      <c r="C72" s="232"/>
      <c r="D72" s="232"/>
      <c r="E72" s="232"/>
      <c r="F72" s="232"/>
      <c r="G72" s="232"/>
      <c r="H72" s="232"/>
    </row>
    <row r="73" spans="1:8" x14ac:dyDescent="0.25">
      <c r="A73" s="1" t="s">
        <v>604</v>
      </c>
      <c r="B73" s="232"/>
      <c r="C73" s="232"/>
      <c r="D73" s="232"/>
      <c r="E73" s="232"/>
      <c r="F73" s="232"/>
      <c r="G73" s="232"/>
      <c r="H73" s="232"/>
    </row>
    <row r="74" spans="1:8" x14ac:dyDescent="0.25">
      <c r="B74" s="232"/>
      <c r="C74" s="232"/>
      <c r="D74" s="232"/>
      <c r="E74" s="232"/>
      <c r="F74" s="232"/>
      <c r="G74" s="232"/>
      <c r="H74" s="232"/>
    </row>
    <row r="75" spans="1:8" x14ac:dyDescent="0.25">
      <c r="A75" s="1" t="s">
        <v>605</v>
      </c>
      <c r="B75" s="232"/>
      <c r="C75" s="232"/>
      <c r="D75" s="232"/>
      <c r="E75" s="232"/>
      <c r="F75" s="232"/>
      <c r="G75" s="232"/>
      <c r="H75" s="232"/>
    </row>
    <row r="76" spans="1:8" x14ac:dyDescent="0.25">
      <c r="A76" s="1" t="s">
        <v>606</v>
      </c>
      <c r="B76" s="232"/>
      <c r="C76" s="232"/>
      <c r="D76" s="232"/>
      <c r="E76" s="232"/>
      <c r="F76" s="232"/>
      <c r="G76" s="232"/>
      <c r="H76" s="232"/>
    </row>
    <row r="77" spans="1:8" x14ac:dyDescent="0.25">
      <c r="A77" s="1" t="s">
        <v>607</v>
      </c>
      <c r="B77" s="232"/>
      <c r="C77" s="232"/>
      <c r="D77" s="232"/>
      <c r="E77" s="232"/>
      <c r="F77" s="232"/>
      <c r="G77" s="232"/>
      <c r="H77" s="232"/>
    </row>
    <row r="78" spans="1:8" x14ac:dyDescent="0.25">
      <c r="B78" s="232"/>
      <c r="C78" s="232"/>
      <c r="D78" s="232"/>
      <c r="E78" s="232"/>
      <c r="F78" s="232"/>
      <c r="G78" s="232"/>
      <c r="H78" s="232"/>
    </row>
    <row r="79" spans="1:8" x14ac:dyDescent="0.25">
      <c r="A79" s="1" t="s">
        <v>551</v>
      </c>
    </row>
    <row r="80" spans="1:8" x14ac:dyDescent="0.25">
      <c r="A80" s="600"/>
    </row>
    <row r="107" spans="1:1" x14ac:dyDescent="0.25">
      <c r="A107" s="600"/>
    </row>
    <row r="108" spans="1:1" x14ac:dyDescent="0.25">
      <c r="A108" s="600"/>
    </row>
    <row r="109" spans="1:1" x14ac:dyDescent="0.25">
      <c r="A109" s="600"/>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tabColor rgb="FFFF0000"/>
  </sheetPr>
  <dimension ref="A1:L75"/>
  <sheetViews>
    <sheetView workbookViewId="0"/>
  </sheetViews>
  <sheetFormatPr defaultRowHeight="15.75" x14ac:dyDescent="0.25"/>
  <cols>
    <col min="1" max="1" width="64.19921875" style="1" customWidth="1"/>
  </cols>
  <sheetData>
    <row r="1" spans="1:12" ht="20.25" x14ac:dyDescent="0.3">
      <c r="A1" s="603" t="s">
        <v>608</v>
      </c>
    </row>
    <row r="3" spans="1:12" x14ac:dyDescent="0.25">
      <c r="A3" s="599" t="s">
        <v>609</v>
      </c>
      <c r="B3" s="231"/>
      <c r="C3" s="231"/>
      <c r="D3" s="231"/>
      <c r="E3" s="231"/>
      <c r="F3" s="231"/>
      <c r="G3" s="231"/>
      <c r="H3" s="231"/>
      <c r="I3" s="231"/>
      <c r="J3" s="231"/>
      <c r="K3" s="231"/>
      <c r="L3" s="231"/>
    </row>
    <row r="4" spans="1:12" x14ac:dyDescent="0.25">
      <c r="A4" s="599"/>
      <c r="B4" s="231"/>
      <c r="C4" s="231"/>
      <c r="D4" s="231"/>
      <c r="E4" s="231"/>
      <c r="F4" s="231"/>
      <c r="G4" s="231"/>
      <c r="H4" s="231"/>
      <c r="I4" s="231"/>
      <c r="J4" s="231"/>
      <c r="K4" s="231"/>
      <c r="L4" s="231"/>
    </row>
    <row r="5" spans="1:12" x14ac:dyDescent="0.25">
      <c r="A5" s="1" t="s">
        <v>497</v>
      </c>
      <c r="I5" s="231"/>
      <c r="J5" s="231"/>
      <c r="K5" s="231"/>
      <c r="L5" s="231"/>
    </row>
    <row r="6" spans="1:12" x14ac:dyDescent="0.25">
      <c r="A6" s="1" t="str">
        <f>CONCATENATE("estimated ",inputPrYr!D10-1," 'total expenditures' exceed your ",inputPrYr!D10-1,"")</f>
        <v>estimated 2024 'total expenditures' exceed your 2024</v>
      </c>
      <c r="I6" s="231"/>
      <c r="J6" s="231"/>
      <c r="K6" s="231"/>
      <c r="L6" s="231"/>
    </row>
    <row r="7" spans="1:12" x14ac:dyDescent="0.25">
      <c r="A7" s="601" t="s">
        <v>610</v>
      </c>
      <c r="I7" s="231"/>
      <c r="J7" s="231"/>
      <c r="K7" s="231"/>
      <c r="L7" s="231"/>
    </row>
    <row r="8" spans="1:12" x14ac:dyDescent="0.25">
      <c r="I8" s="231"/>
      <c r="J8" s="231"/>
      <c r="K8" s="231"/>
      <c r="L8" s="231"/>
    </row>
    <row r="9" spans="1:12" x14ac:dyDescent="0.25">
      <c r="A9" s="1" t="s">
        <v>611</v>
      </c>
      <c r="I9" s="231"/>
      <c r="J9" s="231"/>
      <c r="K9" s="231"/>
      <c r="L9" s="231"/>
    </row>
    <row r="10" spans="1:12" x14ac:dyDescent="0.25">
      <c r="A10" s="1" t="s">
        <v>612</v>
      </c>
      <c r="I10" s="231"/>
      <c r="J10" s="231"/>
      <c r="K10" s="231"/>
      <c r="L10" s="231"/>
    </row>
    <row r="11" spans="1:12" x14ac:dyDescent="0.25">
      <c r="A11" s="1" t="s">
        <v>613</v>
      </c>
      <c r="I11" s="231"/>
      <c r="J11" s="231"/>
      <c r="K11" s="231"/>
      <c r="L11" s="231"/>
    </row>
    <row r="12" spans="1:12" x14ac:dyDescent="0.25">
      <c r="A12" s="1" t="s">
        <v>614</v>
      </c>
      <c r="I12" s="231"/>
      <c r="J12" s="231"/>
      <c r="K12" s="231"/>
      <c r="L12" s="231"/>
    </row>
    <row r="13" spans="1:12" x14ac:dyDescent="0.25">
      <c r="A13" s="1" t="s">
        <v>615</v>
      </c>
      <c r="I13" s="231"/>
      <c r="J13" s="231"/>
      <c r="K13" s="231"/>
      <c r="L13" s="231"/>
    </row>
    <row r="14" spans="1:12" x14ac:dyDescent="0.25">
      <c r="A14" s="599"/>
      <c r="B14" s="231"/>
      <c r="C14" s="231"/>
      <c r="D14" s="231"/>
      <c r="E14" s="231"/>
      <c r="F14" s="231"/>
      <c r="G14" s="231"/>
      <c r="H14" s="231"/>
      <c r="I14" s="231"/>
      <c r="J14" s="231"/>
      <c r="K14" s="231"/>
      <c r="L14" s="231"/>
    </row>
    <row r="15" spans="1:12" x14ac:dyDescent="0.25">
      <c r="A15" s="600" t="s">
        <v>616</v>
      </c>
    </row>
    <row r="16" spans="1:12" x14ac:dyDescent="0.25">
      <c r="A16" s="600" t="s">
        <v>617</v>
      </c>
    </row>
    <row r="17" spans="1:7" x14ac:dyDescent="0.25">
      <c r="A17" s="600"/>
    </row>
    <row r="18" spans="1:7" x14ac:dyDescent="0.25">
      <c r="A18" s="1" t="s">
        <v>618</v>
      </c>
      <c r="B18" s="232"/>
      <c r="C18" s="232"/>
      <c r="D18" s="232"/>
      <c r="E18" s="232"/>
      <c r="F18" s="232"/>
      <c r="G18" s="232"/>
    </row>
    <row r="19" spans="1:7" x14ac:dyDescent="0.25">
      <c r="A19" s="1" t="str">
        <f>CONCATENATE("your ",inputPrYr!D10-1," numbers to see what steps might be necessary to")</f>
        <v>your 2024 numbers to see what steps might be necessary to</v>
      </c>
      <c r="B19" s="232"/>
      <c r="C19" s="232"/>
      <c r="D19" s="232"/>
      <c r="E19" s="232"/>
      <c r="F19" s="232"/>
      <c r="G19" s="232"/>
    </row>
    <row r="20" spans="1:7" x14ac:dyDescent="0.25">
      <c r="A20" s="1" t="s">
        <v>619</v>
      </c>
      <c r="B20" s="232"/>
      <c r="C20" s="232"/>
      <c r="D20" s="232"/>
      <c r="E20" s="232"/>
      <c r="F20" s="232"/>
      <c r="G20" s="232"/>
    </row>
    <row r="21" spans="1:7" x14ac:dyDescent="0.25">
      <c r="A21" s="1" t="s">
        <v>620</v>
      </c>
      <c r="B21" s="232"/>
      <c r="C21" s="232"/>
      <c r="D21" s="232"/>
      <c r="E21" s="232"/>
      <c r="F21" s="232"/>
      <c r="G21" s="232"/>
    </row>
    <row r="23" spans="1:7" x14ac:dyDescent="0.25">
      <c r="A23" s="600" t="s">
        <v>621</v>
      </c>
    </row>
    <row r="24" spans="1:7" x14ac:dyDescent="0.25">
      <c r="A24" s="600"/>
    </row>
    <row r="25" spans="1:7" x14ac:dyDescent="0.25">
      <c r="A25" s="1" t="s">
        <v>622</v>
      </c>
    </row>
    <row r="26" spans="1:7" x14ac:dyDescent="0.25">
      <c r="A26" s="1" t="s">
        <v>623</v>
      </c>
      <c r="B26" s="232"/>
      <c r="C26" s="232"/>
      <c r="D26" s="232"/>
      <c r="E26" s="232"/>
      <c r="F26" s="232"/>
    </row>
    <row r="27" spans="1:7" x14ac:dyDescent="0.25">
      <c r="A27" s="1" t="s">
        <v>624</v>
      </c>
      <c r="B27" s="232"/>
      <c r="C27" s="232"/>
      <c r="D27" s="232"/>
      <c r="E27" s="232"/>
      <c r="F27" s="232"/>
    </row>
    <row r="28" spans="1:7" x14ac:dyDescent="0.25">
      <c r="A28" s="1" t="s">
        <v>625</v>
      </c>
      <c r="B28" s="232"/>
      <c r="C28" s="232"/>
      <c r="D28" s="232"/>
      <c r="E28" s="232"/>
      <c r="F28" s="232"/>
    </row>
    <row r="29" spans="1:7" x14ac:dyDescent="0.25">
      <c r="B29" s="232"/>
      <c r="C29" s="232"/>
      <c r="D29" s="232"/>
      <c r="E29" s="232"/>
      <c r="F29" s="232"/>
    </row>
    <row r="30" spans="1:7" x14ac:dyDescent="0.25">
      <c r="A30" s="600" t="s">
        <v>626</v>
      </c>
      <c r="B30" s="233"/>
      <c r="C30" s="233"/>
      <c r="D30" s="233"/>
      <c r="E30" s="233"/>
      <c r="F30" s="233"/>
      <c r="G30" s="233"/>
    </row>
    <row r="31" spans="1:7" x14ac:dyDescent="0.25">
      <c r="A31" s="600" t="s">
        <v>627</v>
      </c>
      <c r="B31" s="233"/>
      <c r="C31" s="233"/>
      <c r="D31" s="233"/>
      <c r="E31" s="233"/>
      <c r="F31" s="233"/>
      <c r="G31" s="233"/>
    </row>
    <row r="32" spans="1:7" x14ac:dyDescent="0.25">
      <c r="B32" s="232"/>
      <c r="C32" s="232"/>
      <c r="D32" s="232"/>
      <c r="E32" s="232"/>
      <c r="F32" s="232"/>
    </row>
    <row r="33" spans="1:6" x14ac:dyDescent="0.25">
      <c r="A33" s="602" t="str">
        <f>CONCATENATE("Well, let's look to see if any of your ",inputPrYr!D10-1," expenditures can")</f>
        <v>Well, let's look to see if any of your 2024 expenditures can</v>
      </c>
      <c r="B33" s="232"/>
      <c r="C33" s="232"/>
      <c r="D33" s="232"/>
      <c r="E33" s="232"/>
      <c r="F33" s="232"/>
    </row>
    <row r="34" spans="1:6" x14ac:dyDescent="0.25">
      <c r="A34" s="602" t="s">
        <v>628</v>
      </c>
      <c r="B34" s="232"/>
      <c r="C34" s="232"/>
      <c r="D34" s="232"/>
      <c r="E34" s="232"/>
      <c r="F34" s="232"/>
    </row>
    <row r="35" spans="1:6" x14ac:dyDescent="0.25">
      <c r="A35" s="602" t="s">
        <v>510</v>
      </c>
      <c r="B35" s="232"/>
      <c r="C35" s="232"/>
      <c r="D35" s="232"/>
      <c r="E35" s="232"/>
      <c r="F35" s="232"/>
    </row>
    <row r="36" spans="1:6" x14ac:dyDescent="0.25">
      <c r="A36" s="602" t="s">
        <v>511</v>
      </c>
      <c r="B36" s="232"/>
      <c r="C36" s="232"/>
      <c r="D36" s="232"/>
      <c r="E36" s="232"/>
      <c r="F36" s="232"/>
    </row>
    <row r="37" spans="1:6" x14ac:dyDescent="0.25">
      <c r="A37" s="602"/>
      <c r="B37" s="232"/>
      <c r="C37" s="232"/>
      <c r="D37" s="232"/>
      <c r="E37" s="232"/>
      <c r="F37" s="232"/>
    </row>
    <row r="38" spans="1:6" x14ac:dyDescent="0.25">
      <c r="A38" s="602" t="str">
        <f>CONCATENATE("Additionally, do your ",inputPrYr!D10-1," receipts contain a reimbursement")</f>
        <v>Additionally, do your 2024 receipts contain a reimbursement</v>
      </c>
      <c r="B38" s="232"/>
      <c r="C38" s="232"/>
      <c r="D38" s="232"/>
      <c r="E38" s="232"/>
      <c r="F38" s="232"/>
    </row>
    <row r="39" spans="1:6" x14ac:dyDescent="0.25">
      <c r="A39" s="602" t="s">
        <v>512</v>
      </c>
      <c r="B39" s="232"/>
      <c r="C39" s="232"/>
      <c r="D39" s="232"/>
      <c r="E39" s="232"/>
      <c r="F39" s="232"/>
    </row>
    <row r="40" spans="1:6" x14ac:dyDescent="0.25">
      <c r="A40" s="602" t="s">
        <v>513</v>
      </c>
      <c r="B40" s="232"/>
      <c r="C40" s="232"/>
      <c r="D40" s="232"/>
      <c r="E40" s="232"/>
      <c r="F40" s="232"/>
    </row>
    <row r="41" spans="1:6" x14ac:dyDescent="0.25">
      <c r="A41" s="602"/>
      <c r="B41" s="232"/>
      <c r="C41" s="232"/>
      <c r="D41" s="232"/>
      <c r="E41" s="232"/>
      <c r="F41" s="232"/>
    </row>
    <row r="42" spans="1:6" x14ac:dyDescent="0.25">
      <c r="A42" s="602" t="s">
        <v>514</v>
      </c>
      <c r="B42" s="232"/>
      <c r="C42" s="232"/>
      <c r="D42" s="232"/>
      <c r="E42" s="232"/>
      <c r="F42" s="232"/>
    </row>
    <row r="43" spans="1:6" x14ac:dyDescent="0.25">
      <c r="A43" s="602" t="s">
        <v>515</v>
      </c>
      <c r="B43" s="232"/>
      <c r="C43" s="232"/>
      <c r="D43" s="232"/>
      <c r="E43" s="232"/>
      <c r="F43" s="232"/>
    </row>
    <row r="44" spans="1:6" x14ac:dyDescent="0.25">
      <c r="A44" s="602" t="s">
        <v>516</v>
      </c>
      <c r="B44" s="232"/>
      <c r="C44" s="232"/>
      <c r="D44" s="232"/>
      <c r="E44" s="232"/>
      <c r="F44" s="232"/>
    </row>
    <row r="45" spans="1:6" x14ac:dyDescent="0.25">
      <c r="A45" s="602" t="s">
        <v>629</v>
      </c>
      <c r="B45" s="232"/>
      <c r="C45" s="232"/>
      <c r="D45" s="232"/>
      <c r="E45" s="232"/>
      <c r="F45" s="232"/>
    </row>
    <row r="46" spans="1:6" x14ac:dyDescent="0.25">
      <c r="A46" s="602" t="s">
        <v>518</v>
      </c>
      <c r="B46" s="232"/>
      <c r="C46" s="232"/>
      <c r="D46" s="232"/>
      <c r="E46" s="232"/>
      <c r="F46" s="232"/>
    </row>
    <row r="47" spans="1:6" x14ac:dyDescent="0.25">
      <c r="A47" s="602" t="s">
        <v>630</v>
      </c>
      <c r="B47" s="232"/>
      <c r="C47" s="232"/>
      <c r="D47" s="232"/>
      <c r="E47" s="232"/>
      <c r="F47" s="232"/>
    </row>
    <row r="48" spans="1:6" x14ac:dyDescent="0.25">
      <c r="A48" s="602" t="s">
        <v>631</v>
      </c>
      <c r="B48" s="232"/>
      <c r="C48" s="232"/>
      <c r="D48" s="232"/>
      <c r="E48" s="232"/>
      <c r="F48" s="232"/>
    </row>
    <row r="49" spans="1:6" x14ac:dyDescent="0.25">
      <c r="A49" s="602" t="s">
        <v>521</v>
      </c>
      <c r="B49" s="232"/>
      <c r="C49" s="232"/>
      <c r="D49" s="232"/>
      <c r="E49" s="232"/>
      <c r="F49" s="232"/>
    </row>
    <row r="50" spans="1:6" x14ac:dyDescent="0.25">
      <c r="A50" s="602"/>
      <c r="B50" s="232"/>
      <c r="C50" s="232"/>
      <c r="D50" s="232"/>
      <c r="E50" s="232"/>
      <c r="F50" s="232"/>
    </row>
    <row r="51" spans="1:6" x14ac:dyDescent="0.25">
      <c r="A51" s="602" t="s">
        <v>522</v>
      </c>
      <c r="B51" s="232"/>
      <c r="C51" s="232"/>
      <c r="D51" s="232"/>
      <c r="E51" s="232"/>
      <c r="F51" s="232"/>
    </row>
    <row r="52" spans="1:6" x14ac:dyDescent="0.25">
      <c r="A52" s="602" t="s">
        <v>523</v>
      </c>
      <c r="B52" s="232"/>
      <c r="C52" s="232"/>
      <c r="D52" s="232"/>
      <c r="E52" s="232"/>
      <c r="F52" s="232"/>
    </row>
    <row r="53" spans="1:6" x14ac:dyDescent="0.25">
      <c r="A53" s="602" t="s">
        <v>524</v>
      </c>
      <c r="B53" s="232"/>
      <c r="C53" s="232"/>
      <c r="D53" s="232"/>
      <c r="E53" s="232"/>
      <c r="F53" s="232"/>
    </row>
    <row r="54" spans="1:6" x14ac:dyDescent="0.25">
      <c r="A54" s="602"/>
      <c r="B54" s="232"/>
      <c r="C54" s="232"/>
      <c r="D54" s="232"/>
      <c r="E54" s="232"/>
      <c r="F54" s="232"/>
    </row>
    <row r="55" spans="1:6" x14ac:dyDescent="0.25">
      <c r="A55" s="602" t="s">
        <v>632</v>
      </c>
      <c r="B55" s="232"/>
      <c r="C55" s="232"/>
      <c r="D55" s="232"/>
      <c r="E55" s="232"/>
      <c r="F55" s="232"/>
    </row>
    <row r="56" spans="1:6" x14ac:dyDescent="0.25">
      <c r="A56" s="602" t="s">
        <v>633</v>
      </c>
      <c r="B56" s="232"/>
      <c r="C56" s="232"/>
      <c r="D56" s="232"/>
      <c r="E56" s="232"/>
      <c r="F56" s="232"/>
    </row>
    <row r="57" spans="1:6" x14ac:dyDescent="0.25">
      <c r="A57" s="602" t="s">
        <v>634</v>
      </c>
      <c r="B57" s="232"/>
      <c r="C57" s="232"/>
      <c r="D57" s="232"/>
      <c r="E57" s="232"/>
      <c r="F57" s="232"/>
    </row>
    <row r="58" spans="1:6" x14ac:dyDescent="0.25">
      <c r="A58" s="602" t="s">
        <v>635</v>
      </c>
      <c r="B58" s="232"/>
      <c r="C58" s="232"/>
      <c r="D58" s="232"/>
      <c r="E58" s="232"/>
      <c r="F58" s="232"/>
    </row>
    <row r="59" spans="1:6" x14ac:dyDescent="0.25">
      <c r="A59" s="602" t="s">
        <v>636</v>
      </c>
      <c r="B59" s="232"/>
      <c r="C59" s="232"/>
      <c r="D59" s="232"/>
      <c r="E59" s="232"/>
      <c r="F59" s="232"/>
    </row>
    <row r="60" spans="1:6" x14ac:dyDescent="0.25">
      <c r="A60" s="602"/>
      <c r="B60" s="232"/>
      <c r="C60" s="232"/>
      <c r="D60" s="232"/>
      <c r="E60" s="232"/>
      <c r="F60" s="232"/>
    </row>
    <row r="61" spans="1:6" x14ac:dyDescent="0.25">
      <c r="A61" s="602" t="s">
        <v>637</v>
      </c>
      <c r="B61" s="232"/>
      <c r="C61" s="232"/>
      <c r="D61" s="232"/>
      <c r="E61" s="232"/>
      <c r="F61" s="232"/>
    </row>
    <row r="62" spans="1:6" x14ac:dyDescent="0.25">
      <c r="A62" s="602" t="s">
        <v>638</v>
      </c>
      <c r="B62" s="232"/>
      <c r="C62" s="232"/>
      <c r="D62" s="232"/>
      <c r="E62" s="232"/>
      <c r="F62" s="232"/>
    </row>
    <row r="63" spans="1:6" x14ac:dyDescent="0.25">
      <c r="A63" s="602" t="s">
        <v>639</v>
      </c>
      <c r="B63" s="232"/>
      <c r="C63" s="232"/>
      <c r="D63" s="232"/>
      <c r="E63" s="232"/>
      <c r="F63" s="232"/>
    </row>
    <row r="64" spans="1:6" x14ac:dyDescent="0.25">
      <c r="A64" s="602" t="s">
        <v>640</v>
      </c>
    </row>
    <row r="65" spans="1:1" x14ac:dyDescent="0.25">
      <c r="A65" s="602" t="s">
        <v>641</v>
      </c>
    </row>
    <row r="66" spans="1:1" x14ac:dyDescent="0.25">
      <c r="A66" s="602" t="s">
        <v>642</v>
      </c>
    </row>
    <row r="68" spans="1:1" x14ac:dyDescent="0.25">
      <c r="A68" s="1" t="s">
        <v>643</v>
      </c>
    </row>
    <row r="69" spans="1:1" x14ac:dyDescent="0.25">
      <c r="A69" s="1" t="s">
        <v>644</v>
      </c>
    </row>
    <row r="70" spans="1:1" x14ac:dyDescent="0.25">
      <c r="A70" s="1" t="s">
        <v>645</v>
      </c>
    </row>
    <row r="71" spans="1:1" x14ac:dyDescent="0.25">
      <c r="A71" s="1" t="s">
        <v>646</v>
      </c>
    </row>
    <row r="72" spans="1:1" x14ac:dyDescent="0.25">
      <c r="A72" s="1" t="s">
        <v>647</v>
      </c>
    </row>
    <row r="73" spans="1:1" x14ac:dyDescent="0.25">
      <c r="A73" s="1" t="s">
        <v>648</v>
      </c>
    </row>
    <row r="75" spans="1:1" x14ac:dyDescent="0.25">
      <c r="A75" s="1" t="s">
        <v>551</v>
      </c>
    </row>
  </sheetData>
  <sheetProtection sheet="1"/>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1">
    <tabColor rgb="FFFF0000"/>
  </sheetPr>
  <dimension ref="A1:G78"/>
  <sheetViews>
    <sheetView workbookViewId="0"/>
  </sheetViews>
  <sheetFormatPr defaultRowHeight="15.75" x14ac:dyDescent="0.25"/>
  <cols>
    <col min="1" max="1" width="64.19921875" style="1" customWidth="1"/>
  </cols>
  <sheetData>
    <row r="1" spans="1:7" ht="20.25" x14ac:dyDescent="0.3">
      <c r="A1" s="603" t="s">
        <v>649</v>
      </c>
    </row>
    <row r="3" spans="1:7" x14ac:dyDescent="0.25">
      <c r="A3" s="599" t="s">
        <v>650</v>
      </c>
      <c r="B3" s="231"/>
      <c r="C3" s="231"/>
      <c r="D3" s="231"/>
      <c r="E3" s="231"/>
      <c r="F3" s="231"/>
      <c r="G3" s="231"/>
    </row>
    <row r="4" spans="1:7" x14ac:dyDescent="0.25">
      <c r="A4" s="599"/>
      <c r="B4" s="231"/>
      <c r="C4" s="231"/>
      <c r="D4" s="231"/>
      <c r="E4" s="231"/>
      <c r="F4" s="231"/>
      <c r="G4" s="231"/>
    </row>
    <row r="5" spans="1:7" x14ac:dyDescent="0.25">
      <c r="A5" s="1" t="s">
        <v>554</v>
      </c>
    </row>
    <row r="6" spans="1:7" x14ac:dyDescent="0.25">
      <c r="A6" s="1" t="str">
        <f>CONCATENATE(inputPrYr!D10," estimated expenditures show that at the end of this year")</f>
        <v>2025 estimated expenditures show that at the end of this year</v>
      </c>
    </row>
    <row r="7" spans="1:7" x14ac:dyDescent="0.25">
      <c r="A7" s="1" t="s">
        <v>651</v>
      </c>
    </row>
    <row r="8" spans="1:7" x14ac:dyDescent="0.25">
      <c r="A8" s="1" t="s">
        <v>652</v>
      </c>
    </row>
    <row r="10" spans="1:7" x14ac:dyDescent="0.25">
      <c r="A10" s="1" t="s">
        <v>556</v>
      </c>
    </row>
    <row r="11" spans="1:7" x14ac:dyDescent="0.25">
      <c r="A11" s="1" t="s">
        <v>557</v>
      </c>
    </row>
    <row r="12" spans="1:7" x14ac:dyDescent="0.25">
      <c r="A12" s="1" t="s">
        <v>558</v>
      </c>
    </row>
    <row r="13" spans="1:7" x14ac:dyDescent="0.25">
      <c r="A13" s="599"/>
      <c r="B13" s="231"/>
      <c r="C13" s="231"/>
      <c r="D13" s="231"/>
      <c r="E13" s="231"/>
      <c r="F13" s="231"/>
      <c r="G13" s="231"/>
    </row>
    <row r="14" spans="1:7" x14ac:dyDescent="0.25">
      <c r="A14" s="600" t="s">
        <v>653</v>
      </c>
    </row>
    <row r="16" spans="1:7" x14ac:dyDescent="0.25">
      <c r="A16" s="1" t="s">
        <v>654</v>
      </c>
    </row>
    <row r="17" spans="1:7" x14ac:dyDescent="0.25">
      <c r="A17" s="1" t="s">
        <v>655</v>
      </c>
    </row>
    <row r="18" spans="1:7" x14ac:dyDescent="0.25">
      <c r="A18" s="1" t="s">
        <v>656</v>
      </c>
    </row>
    <row r="20" spans="1:7" x14ac:dyDescent="0.25">
      <c r="A20" s="1" t="s">
        <v>657</v>
      </c>
    </row>
    <row r="21" spans="1:7" x14ac:dyDescent="0.25">
      <c r="A21" s="1" t="s">
        <v>658</v>
      </c>
    </row>
    <row r="22" spans="1:7" x14ac:dyDescent="0.25">
      <c r="A22" s="1" t="s">
        <v>659</v>
      </c>
    </row>
    <row r="23" spans="1:7" x14ac:dyDescent="0.25">
      <c r="A23" s="1" t="s">
        <v>660</v>
      </c>
    </row>
    <row r="25" spans="1:7" x14ac:dyDescent="0.25">
      <c r="A25" s="600" t="s">
        <v>621</v>
      </c>
    </row>
    <row r="26" spans="1:7" x14ac:dyDescent="0.25">
      <c r="A26" s="600"/>
    </row>
    <row r="27" spans="1:7" x14ac:dyDescent="0.25">
      <c r="A27" s="1" t="s">
        <v>622</v>
      </c>
    </row>
    <row r="28" spans="1:7" x14ac:dyDescent="0.25">
      <c r="A28" s="1" t="s">
        <v>623</v>
      </c>
      <c r="B28" s="232"/>
      <c r="C28" s="232"/>
      <c r="D28" s="232"/>
      <c r="E28" s="232"/>
      <c r="F28" s="232"/>
    </row>
    <row r="29" spans="1:7" x14ac:dyDescent="0.25">
      <c r="A29" s="1" t="s">
        <v>624</v>
      </c>
      <c r="B29" s="232"/>
      <c r="C29" s="232"/>
      <c r="D29" s="232"/>
      <c r="E29" s="232"/>
      <c r="F29" s="232"/>
    </row>
    <row r="30" spans="1:7" x14ac:dyDescent="0.25">
      <c r="A30" s="1" t="s">
        <v>625</v>
      </c>
      <c r="B30" s="232"/>
      <c r="C30" s="232"/>
      <c r="D30" s="232"/>
      <c r="E30" s="232"/>
      <c r="F30" s="232"/>
    </row>
    <row r="32" spans="1:7" x14ac:dyDescent="0.25">
      <c r="A32" s="600" t="s">
        <v>626</v>
      </c>
      <c r="B32" s="233"/>
      <c r="C32" s="233"/>
      <c r="D32" s="233"/>
      <c r="E32" s="233"/>
      <c r="F32" s="233"/>
      <c r="G32" s="233"/>
    </row>
    <row r="33" spans="1:7" x14ac:dyDescent="0.25">
      <c r="A33" s="600" t="s">
        <v>627</v>
      </c>
      <c r="B33" s="233"/>
      <c r="C33" s="233"/>
      <c r="D33" s="233"/>
      <c r="E33" s="233"/>
      <c r="F33" s="233"/>
      <c r="G33" s="233"/>
    </row>
    <row r="34" spans="1:7" x14ac:dyDescent="0.25">
      <c r="A34" s="600"/>
      <c r="B34" s="233"/>
      <c r="C34" s="233"/>
      <c r="D34" s="233"/>
      <c r="E34" s="233"/>
      <c r="F34" s="233"/>
      <c r="G34" s="233"/>
    </row>
    <row r="35" spans="1:7" x14ac:dyDescent="0.25">
      <c r="A35" s="1" t="s">
        <v>661</v>
      </c>
      <c r="B35" s="232"/>
      <c r="C35" s="232"/>
      <c r="D35" s="232"/>
      <c r="E35" s="232"/>
      <c r="F35" s="232"/>
      <c r="G35" s="232"/>
    </row>
    <row r="36" spans="1:7" x14ac:dyDescent="0.25">
      <c r="A36" s="1" t="s">
        <v>662</v>
      </c>
      <c r="B36" s="232"/>
      <c r="C36" s="232"/>
      <c r="D36" s="232"/>
      <c r="E36" s="232"/>
      <c r="F36" s="232"/>
      <c r="G36" s="232"/>
    </row>
    <row r="37" spans="1:7" x14ac:dyDescent="0.25">
      <c r="A37" s="1" t="s">
        <v>663</v>
      </c>
      <c r="B37" s="232"/>
      <c r="C37" s="232"/>
      <c r="D37" s="232"/>
      <c r="E37" s="232"/>
      <c r="F37" s="232"/>
      <c r="G37" s="232"/>
    </row>
    <row r="38" spans="1:7" x14ac:dyDescent="0.25">
      <c r="A38" s="1" t="s">
        <v>664</v>
      </c>
      <c r="B38" s="232"/>
      <c r="C38" s="232"/>
      <c r="D38" s="232"/>
      <c r="E38" s="232"/>
      <c r="F38" s="232"/>
      <c r="G38" s="232"/>
    </row>
    <row r="39" spans="1:7" x14ac:dyDescent="0.25">
      <c r="A39" s="1" t="s">
        <v>665</v>
      </c>
      <c r="B39" s="232"/>
      <c r="C39" s="232"/>
      <c r="D39" s="232"/>
      <c r="E39" s="232"/>
      <c r="F39" s="232"/>
      <c r="G39" s="232"/>
    </row>
    <row r="40" spans="1:7" x14ac:dyDescent="0.25">
      <c r="A40" s="600"/>
      <c r="B40" s="233"/>
      <c r="C40" s="233"/>
      <c r="D40" s="233"/>
      <c r="E40" s="233"/>
      <c r="F40" s="233"/>
      <c r="G40" s="233"/>
    </row>
    <row r="41" spans="1:7" x14ac:dyDescent="0.25">
      <c r="A41" s="602" t="str">
        <f>CONCATENATE("So, let's look to see if any of your ",inputPrYr!D10-1," expenditures can")</f>
        <v>So, let's look to see if any of your 2024 expenditures can</v>
      </c>
      <c r="B41" s="232"/>
      <c r="C41" s="232"/>
      <c r="D41" s="232"/>
      <c r="E41" s="232"/>
      <c r="F41" s="232"/>
    </row>
    <row r="42" spans="1:7" x14ac:dyDescent="0.25">
      <c r="A42" s="602" t="s">
        <v>628</v>
      </c>
      <c r="B42" s="232"/>
      <c r="C42" s="232"/>
      <c r="D42" s="232"/>
      <c r="E42" s="232"/>
      <c r="F42" s="232"/>
    </row>
    <row r="43" spans="1:7" x14ac:dyDescent="0.25">
      <c r="A43" s="602" t="s">
        <v>510</v>
      </c>
      <c r="B43" s="232"/>
      <c r="C43" s="232"/>
      <c r="D43" s="232"/>
      <c r="E43" s="232"/>
      <c r="F43" s="232"/>
    </row>
    <row r="44" spans="1:7" x14ac:dyDescent="0.25">
      <c r="A44" s="602" t="s">
        <v>511</v>
      </c>
      <c r="B44" s="232"/>
      <c r="C44" s="232"/>
      <c r="D44" s="232"/>
      <c r="E44" s="232"/>
      <c r="F44" s="232"/>
    </row>
    <row r="46" spans="1:7" x14ac:dyDescent="0.25">
      <c r="A46" s="602" t="str">
        <f>CONCATENATE("Additionally, do your ",inputPrYr!D10-1," receipts contain a reimbursement")</f>
        <v>Additionally, do your 2024 receipts contain a reimbursement</v>
      </c>
      <c r="B46" s="232"/>
      <c r="C46" s="232"/>
      <c r="D46" s="232"/>
      <c r="E46" s="232"/>
      <c r="F46" s="232"/>
    </row>
    <row r="47" spans="1:7" x14ac:dyDescent="0.25">
      <c r="A47" s="602" t="s">
        <v>512</v>
      </c>
      <c r="B47" s="232"/>
      <c r="C47" s="232"/>
      <c r="D47" s="232"/>
      <c r="E47" s="232"/>
      <c r="F47" s="232"/>
    </row>
    <row r="48" spans="1:7" x14ac:dyDescent="0.25">
      <c r="A48" s="602" t="s">
        <v>513</v>
      </c>
      <c r="B48" s="232"/>
      <c r="C48" s="232"/>
      <c r="D48" s="232"/>
      <c r="E48" s="232"/>
      <c r="F48" s="232"/>
    </row>
    <row r="49" spans="1:7" x14ac:dyDescent="0.25">
      <c r="B49" s="232"/>
      <c r="C49" s="232"/>
      <c r="D49" s="232"/>
      <c r="E49" s="232"/>
      <c r="F49" s="232"/>
      <c r="G49" s="232"/>
    </row>
    <row r="50" spans="1:7" x14ac:dyDescent="0.25">
      <c r="A50" s="1" t="s">
        <v>581</v>
      </c>
      <c r="B50" s="232"/>
      <c r="C50" s="232"/>
      <c r="D50" s="232"/>
      <c r="E50" s="232"/>
      <c r="F50" s="232"/>
      <c r="G50" s="232"/>
    </row>
    <row r="51" spans="1:7" x14ac:dyDescent="0.25">
      <c r="A51" s="1" t="s">
        <v>582</v>
      </c>
      <c r="B51" s="232"/>
      <c r="C51" s="232"/>
      <c r="D51" s="232"/>
      <c r="E51" s="232"/>
      <c r="F51" s="232"/>
      <c r="G51" s="232"/>
    </row>
    <row r="52" spans="1:7" x14ac:dyDescent="0.25">
      <c r="A52" s="1" t="s">
        <v>583</v>
      </c>
      <c r="B52" s="232"/>
      <c r="C52" s="232"/>
      <c r="D52" s="232"/>
      <c r="E52" s="232"/>
      <c r="F52" s="232"/>
      <c r="G52" s="232"/>
    </row>
    <row r="53" spans="1:7" x14ac:dyDescent="0.25">
      <c r="A53" s="1" t="s">
        <v>584</v>
      </c>
      <c r="B53" s="232"/>
      <c r="C53" s="232"/>
      <c r="D53" s="232"/>
      <c r="E53" s="232"/>
      <c r="F53" s="232"/>
      <c r="G53" s="232"/>
    </row>
    <row r="54" spans="1:7" x14ac:dyDescent="0.25">
      <c r="A54" s="1" t="s">
        <v>585</v>
      </c>
      <c r="B54" s="232"/>
      <c r="C54" s="232"/>
      <c r="D54" s="232"/>
      <c r="E54" s="232"/>
      <c r="F54" s="232"/>
      <c r="G54" s="232"/>
    </row>
    <row r="55" spans="1:7" x14ac:dyDescent="0.25">
      <c r="B55" s="232"/>
      <c r="C55" s="232"/>
      <c r="D55" s="232"/>
      <c r="E55" s="232"/>
      <c r="F55" s="232"/>
      <c r="G55" s="232"/>
    </row>
    <row r="56" spans="1:7" x14ac:dyDescent="0.25">
      <c r="A56" s="602" t="s">
        <v>522</v>
      </c>
      <c r="B56" s="232"/>
      <c r="C56" s="232"/>
      <c r="D56" s="232"/>
      <c r="E56" s="232"/>
      <c r="F56" s="232"/>
    </row>
    <row r="57" spans="1:7" x14ac:dyDescent="0.25">
      <c r="A57" s="602" t="s">
        <v>523</v>
      </c>
      <c r="B57" s="232"/>
      <c r="C57" s="232"/>
      <c r="D57" s="232"/>
      <c r="E57" s="232"/>
      <c r="F57" s="232"/>
    </row>
    <row r="58" spans="1:7" x14ac:dyDescent="0.25">
      <c r="A58" s="602" t="s">
        <v>524</v>
      </c>
      <c r="B58" s="232"/>
      <c r="C58" s="232"/>
      <c r="D58" s="232"/>
      <c r="E58" s="232"/>
      <c r="F58" s="232"/>
    </row>
    <row r="59" spans="1:7" x14ac:dyDescent="0.25">
      <c r="A59" s="602"/>
      <c r="B59" s="232"/>
      <c r="C59" s="232"/>
      <c r="D59" s="232"/>
      <c r="E59" s="232"/>
      <c r="F59" s="232"/>
    </row>
    <row r="60" spans="1:7" x14ac:dyDescent="0.25">
      <c r="A60" s="1" t="s">
        <v>666</v>
      </c>
      <c r="B60" s="232"/>
      <c r="C60" s="232"/>
      <c r="D60" s="232"/>
      <c r="E60" s="232"/>
      <c r="F60" s="232"/>
      <c r="G60" s="232"/>
    </row>
    <row r="61" spans="1:7" x14ac:dyDescent="0.25">
      <c r="A61" s="1" t="s">
        <v>667</v>
      </c>
      <c r="B61" s="232"/>
      <c r="C61" s="232"/>
      <c r="D61" s="232"/>
      <c r="E61" s="232"/>
      <c r="F61" s="232"/>
      <c r="G61" s="232"/>
    </row>
    <row r="62" spans="1:7" x14ac:dyDescent="0.25">
      <c r="A62" s="1" t="s">
        <v>668</v>
      </c>
      <c r="B62" s="232"/>
      <c r="C62" s="232"/>
      <c r="D62" s="232"/>
      <c r="E62" s="232"/>
      <c r="F62" s="232"/>
      <c r="G62" s="232"/>
    </row>
    <row r="63" spans="1:7" x14ac:dyDescent="0.25">
      <c r="A63" s="1" t="s">
        <v>669</v>
      </c>
      <c r="B63" s="232"/>
      <c r="C63" s="232"/>
      <c r="D63" s="232"/>
      <c r="E63" s="232"/>
      <c r="F63" s="232"/>
      <c r="G63" s="232"/>
    </row>
    <row r="64" spans="1:7" x14ac:dyDescent="0.25">
      <c r="A64" s="1" t="s">
        <v>670</v>
      </c>
      <c r="B64" s="232"/>
      <c r="C64" s="232"/>
      <c r="D64" s="232"/>
      <c r="E64" s="232"/>
      <c r="F64" s="232"/>
      <c r="G64" s="232"/>
    </row>
    <row r="66" spans="1:6" x14ac:dyDescent="0.25">
      <c r="A66" s="602" t="s">
        <v>632</v>
      </c>
      <c r="B66" s="232"/>
      <c r="C66" s="232"/>
      <c r="D66" s="232"/>
      <c r="E66" s="232"/>
      <c r="F66" s="232"/>
    </row>
    <row r="67" spans="1:6" x14ac:dyDescent="0.25">
      <c r="A67" s="602" t="s">
        <v>633</v>
      </c>
      <c r="B67" s="232"/>
      <c r="C67" s="232"/>
      <c r="D67" s="232"/>
      <c r="E67" s="232"/>
      <c r="F67" s="232"/>
    </row>
    <row r="68" spans="1:6" x14ac:dyDescent="0.25">
      <c r="A68" s="602" t="s">
        <v>634</v>
      </c>
      <c r="B68" s="232"/>
      <c r="C68" s="232"/>
      <c r="D68" s="232"/>
      <c r="E68" s="232"/>
      <c r="F68" s="232"/>
    </row>
    <row r="69" spans="1:6" x14ac:dyDescent="0.25">
      <c r="A69" s="602" t="s">
        <v>635</v>
      </c>
      <c r="B69" s="232"/>
      <c r="C69" s="232"/>
      <c r="D69" s="232"/>
      <c r="E69" s="232"/>
      <c r="F69" s="232"/>
    </row>
    <row r="70" spans="1:6" x14ac:dyDescent="0.25">
      <c r="A70" s="602" t="s">
        <v>636</v>
      </c>
      <c r="B70" s="232"/>
      <c r="C70" s="232"/>
      <c r="D70" s="232"/>
      <c r="E70" s="232"/>
      <c r="F70" s="232"/>
    </row>
    <row r="72" spans="1:6" x14ac:dyDescent="0.25">
      <c r="A72" s="1" t="s">
        <v>551</v>
      </c>
    </row>
    <row r="78" spans="1:6" x14ac:dyDescent="0.25">
      <c r="A78" s="600"/>
    </row>
  </sheetData>
  <sheetProtection sheet="1"/>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2">
    <tabColor rgb="FFFF0000"/>
  </sheetPr>
  <dimension ref="A1:G52"/>
  <sheetViews>
    <sheetView workbookViewId="0"/>
  </sheetViews>
  <sheetFormatPr defaultRowHeight="15.75" x14ac:dyDescent="0.25"/>
  <cols>
    <col min="1" max="1" width="64.19921875" style="1" customWidth="1"/>
  </cols>
  <sheetData>
    <row r="1" spans="1:7" ht="20.25" x14ac:dyDescent="0.3">
      <c r="A1" s="603" t="s">
        <v>671</v>
      </c>
    </row>
    <row r="3" spans="1:7" x14ac:dyDescent="0.25">
      <c r="A3" s="599" t="s">
        <v>672</v>
      </c>
      <c r="B3" s="231"/>
      <c r="C3" s="231"/>
      <c r="D3" s="231"/>
      <c r="E3" s="231"/>
      <c r="F3" s="231"/>
      <c r="G3" s="231"/>
    </row>
    <row r="4" spans="1:7" x14ac:dyDescent="0.25">
      <c r="A4" s="599" t="s">
        <v>673</v>
      </c>
      <c r="B4" s="231"/>
      <c r="C4" s="231"/>
      <c r="D4" s="231"/>
      <c r="E4" s="231"/>
      <c r="F4" s="231"/>
      <c r="G4" s="231"/>
    </row>
    <row r="5" spans="1:7" x14ac:dyDescent="0.25">
      <c r="A5" s="599"/>
      <c r="B5" s="231"/>
      <c r="C5" s="231"/>
      <c r="D5" s="231"/>
      <c r="E5" s="231"/>
      <c r="F5" s="231"/>
      <c r="G5" s="231"/>
    </row>
    <row r="6" spans="1:7" x14ac:dyDescent="0.25">
      <c r="A6" s="599"/>
      <c r="B6" s="231"/>
      <c r="C6" s="231"/>
      <c r="D6" s="231"/>
      <c r="E6" s="231"/>
      <c r="F6" s="231"/>
      <c r="G6" s="231"/>
    </row>
    <row r="7" spans="1:7" x14ac:dyDescent="0.25">
      <c r="A7" s="1" t="s">
        <v>497</v>
      </c>
    </row>
    <row r="8" spans="1:7" x14ac:dyDescent="0.25">
      <c r="A8" s="1" t="str">
        <f>CONCATENATE("estimated ",inputPrYr!D10," 'total expenditures' exceed your ",inputPrYr!D10,"")</f>
        <v>estimated 2025 'total expenditures' exceed your 2025</v>
      </c>
    </row>
    <row r="9" spans="1:7" x14ac:dyDescent="0.25">
      <c r="A9" s="601" t="s">
        <v>674</v>
      </c>
    </row>
    <row r="11" spans="1:7" x14ac:dyDescent="0.25">
      <c r="A11" s="1" t="s">
        <v>675</v>
      </c>
    </row>
    <row r="12" spans="1:7" x14ac:dyDescent="0.25">
      <c r="A12" s="1" t="s">
        <v>676</v>
      </c>
    </row>
    <row r="13" spans="1:7" x14ac:dyDescent="0.25">
      <c r="A13" s="1" t="s">
        <v>677</v>
      </c>
    </row>
    <row r="15" spans="1:7" x14ac:dyDescent="0.25">
      <c r="A15" s="600" t="s">
        <v>678</v>
      </c>
    </row>
    <row r="16" spans="1:7" x14ac:dyDescent="0.25">
      <c r="A16" s="599"/>
      <c r="B16" s="231"/>
      <c r="C16" s="231"/>
      <c r="D16" s="231"/>
      <c r="E16" s="231"/>
      <c r="F16" s="231"/>
      <c r="G16" s="231"/>
    </row>
    <row r="17" spans="1:7" x14ac:dyDescent="0.25">
      <c r="A17" s="1" t="s">
        <v>679</v>
      </c>
    </row>
    <row r="18" spans="1:7" x14ac:dyDescent="0.25">
      <c r="A18" s="1" t="s">
        <v>680</v>
      </c>
      <c r="B18" s="234"/>
      <c r="C18" s="234"/>
      <c r="D18" s="234"/>
      <c r="E18" s="234"/>
      <c r="F18" s="234"/>
      <c r="G18" s="234"/>
    </row>
    <row r="19" spans="1:7" x14ac:dyDescent="0.25">
      <c r="A19" s="1" t="s">
        <v>681</v>
      </c>
    </row>
    <row r="20" spans="1:7" x14ac:dyDescent="0.25">
      <c r="A20" s="1" t="s">
        <v>682</v>
      </c>
    </row>
    <row r="22" spans="1:7" x14ac:dyDescent="0.25">
      <c r="A22" s="600" t="s">
        <v>683</v>
      </c>
    </row>
    <row r="24" spans="1:7" x14ac:dyDescent="0.25">
      <c r="A24" s="1" t="s">
        <v>684</v>
      </c>
    </row>
    <row r="25" spans="1:7" x14ac:dyDescent="0.25">
      <c r="A25" s="1" t="s">
        <v>685</v>
      </c>
    </row>
    <row r="26" spans="1:7" x14ac:dyDescent="0.25">
      <c r="A26" s="1" t="s">
        <v>686</v>
      </c>
    </row>
    <row r="28" spans="1:7" x14ac:dyDescent="0.25">
      <c r="A28" s="600" t="s">
        <v>687</v>
      </c>
    </row>
    <row r="30" spans="1:7" x14ac:dyDescent="0.25">
      <c r="A30" s="1" t="s">
        <v>688</v>
      </c>
    </row>
    <row r="31" spans="1:7" x14ac:dyDescent="0.25">
      <c r="A31" s="1" t="s">
        <v>689</v>
      </c>
    </row>
    <row r="32" spans="1:7" x14ac:dyDescent="0.25">
      <c r="A32" s="1" t="s">
        <v>690</v>
      </c>
    </row>
    <row r="33" spans="1:1" x14ac:dyDescent="0.25">
      <c r="A33" s="1" t="s">
        <v>691</v>
      </c>
    </row>
    <row r="35" spans="1:1" x14ac:dyDescent="0.25">
      <c r="A35" s="1" t="s">
        <v>692</v>
      </c>
    </row>
    <row r="36" spans="1:1" x14ac:dyDescent="0.25">
      <c r="A36" s="1" t="s">
        <v>693</v>
      </c>
    </row>
    <row r="37" spans="1:1" x14ac:dyDescent="0.25">
      <c r="A37" s="1" t="s">
        <v>694</v>
      </c>
    </row>
    <row r="38" spans="1:1" x14ac:dyDescent="0.25">
      <c r="A38" s="1" t="s">
        <v>695</v>
      </c>
    </row>
    <row r="40" spans="1:1" x14ac:dyDescent="0.25">
      <c r="A40" s="1" t="s">
        <v>696</v>
      </c>
    </row>
    <row r="41" spans="1:1" x14ac:dyDescent="0.25">
      <c r="A41" s="1" t="s">
        <v>697</v>
      </c>
    </row>
    <row r="42" spans="1:1" x14ac:dyDescent="0.25">
      <c r="A42" s="1" t="s">
        <v>698</v>
      </c>
    </row>
    <row r="43" spans="1:1" x14ac:dyDescent="0.25">
      <c r="A43" s="1" t="s">
        <v>699</v>
      </c>
    </row>
    <row r="44" spans="1:1" x14ac:dyDescent="0.25">
      <c r="A44" s="1" t="s">
        <v>700</v>
      </c>
    </row>
    <row r="45" spans="1:1" x14ac:dyDescent="0.25">
      <c r="A45" s="1" t="s">
        <v>701</v>
      </c>
    </row>
    <row r="47" spans="1:1" x14ac:dyDescent="0.25">
      <c r="A47" s="1" t="s">
        <v>702</v>
      </c>
    </row>
    <row r="48" spans="1:1" x14ac:dyDescent="0.25">
      <c r="A48" s="1" t="s">
        <v>703</v>
      </c>
    </row>
    <row r="49" spans="1:1" x14ac:dyDescent="0.25">
      <c r="A49" s="1" t="s">
        <v>704</v>
      </c>
    </row>
    <row r="50" spans="1:1" x14ac:dyDescent="0.25">
      <c r="A50" s="1" t="s">
        <v>705</v>
      </c>
    </row>
    <row r="52" spans="1:1" x14ac:dyDescent="0.25">
      <c r="A52" s="1" t="s">
        <v>551</v>
      </c>
    </row>
  </sheetData>
  <sheetProtection sheet="1"/>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3C780-923B-4048-8CEE-899D1DB74BA5}">
  <dimension ref="A1:N245"/>
  <sheetViews>
    <sheetView workbookViewId="0">
      <selection activeCell="E41" sqref="E41"/>
    </sheetView>
  </sheetViews>
  <sheetFormatPr defaultRowHeight="15" x14ac:dyDescent="0.2"/>
  <cols>
    <col min="1" max="1" width="3.09765625" style="564" customWidth="1"/>
    <col min="2" max="2" width="7.19921875" style="564" customWidth="1"/>
    <col min="3" max="16384" width="8.796875" style="564"/>
  </cols>
  <sheetData>
    <row r="1" spans="1:14" ht="15.75" customHeight="1" x14ac:dyDescent="0.2">
      <c r="A1" s="850" t="s">
        <v>958</v>
      </c>
      <c r="B1" s="850"/>
      <c r="C1" s="850"/>
      <c r="D1" s="850"/>
      <c r="E1" s="850"/>
      <c r="F1" s="850"/>
      <c r="G1" s="850"/>
      <c r="H1" s="850"/>
      <c r="I1" s="850"/>
      <c r="J1" s="850"/>
      <c r="K1" s="850"/>
      <c r="L1" s="850"/>
      <c r="M1" s="850"/>
      <c r="N1" s="850"/>
    </row>
    <row r="2" spans="1:14" ht="9.75" customHeight="1" x14ac:dyDescent="0.2">
      <c r="A2" s="850"/>
      <c r="B2" s="850"/>
      <c r="C2" s="850"/>
      <c r="D2" s="850"/>
      <c r="E2" s="850"/>
      <c r="F2" s="850"/>
      <c r="G2" s="850"/>
      <c r="H2" s="850"/>
      <c r="I2" s="850"/>
      <c r="J2" s="850"/>
      <c r="K2" s="850"/>
      <c r="L2" s="850"/>
      <c r="M2" s="850"/>
      <c r="N2" s="850"/>
    </row>
    <row r="3" spans="1:14" ht="18" x14ac:dyDescent="0.25">
      <c r="A3" s="650" t="s">
        <v>959</v>
      </c>
    </row>
    <row r="4" spans="1:14" ht="9.75" customHeight="1" x14ac:dyDescent="0.55000000000000004">
      <c r="B4" s="651"/>
    </row>
    <row r="5" spans="1:14" ht="15.75" x14ac:dyDescent="0.2">
      <c r="B5" s="652" t="s">
        <v>960</v>
      </c>
    </row>
    <row r="6" spans="1:14" ht="8.1" customHeight="1" x14ac:dyDescent="0.2">
      <c r="B6" s="652"/>
    </row>
    <row r="7" spans="1:14" ht="15.75" x14ac:dyDescent="0.2">
      <c r="B7" s="652" t="s">
        <v>961</v>
      </c>
    </row>
    <row r="8" spans="1:14" ht="15.75" x14ac:dyDescent="0.2">
      <c r="B8" s="653" t="s">
        <v>962</v>
      </c>
    </row>
    <row r="9" spans="1:14" ht="8.1" customHeight="1" x14ac:dyDescent="0.2">
      <c r="B9" s="653"/>
    </row>
    <row r="10" spans="1:14" ht="15.75" x14ac:dyDescent="0.2">
      <c r="C10" s="654" t="s">
        <v>963</v>
      </c>
      <c r="D10" s="652" t="s">
        <v>964</v>
      </c>
    </row>
    <row r="11" spans="1:14" ht="15.75" customHeight="1" x14ac:dyDescent="0.2">
      <c r="B11" s="652"/>
      <c r="D11" s="652" t="s">
        <v>965</v>
      </c>
    </row>
    <row r="12" spans="1:14" ht="15.75" customHeight="1" x14ac:dyDescent="0.2">
      <c r="B12" s="652"/>
      <c r="D12" s="652"/>
    </row>
    <row r="13" spans="1:14" ht="15.75" customHeight="1" x14ac:dyDescent="0.2">
      <c r="B13" s="652" t="s">
        <v>966</v>
      </c>
      <c r="E13" s="652" t="s">
        <v>967</v>
      </c>
    </row>
    <row r="14" spans="1:14" ht="15.75" customHeight="1" x14ac:dyDescent="0.2">
      <c r="B14" s="652"/>
      <c r="E14" s="652" t="s">
        <v>968</v>
      </c>
    </row>
    <row r="15" spans="1:14" ht="15.75" customHeight="1" x14ac:dyDescent="0.2">
      <c r="B15" s="652"/>
      <c r="E15" s="652" t="s">
        <v>969</v>
      </c>
    </row>
    <row r="16" spans="1:14" ht="15.75" customHeight="1" x14ac:dyDescent="0.2">
      <c r="B16" s="652"/>
      <c r="E16" s="652" t="s">
        <v>970</v>
      </c>
    </row>
    <row r="17" spans="2:5" ht="15.75" customHeight="1" x14ac:dyDescent="0.2">
      <c r="B17" s="652"/>
      <c r="E17" s="652"/>
    </row>
    <row r="18" spans="2:5" ht="15.75" customHeight="1" x14ac:dyDescent="0.2">
      <c r="B18" s="652"/>
      <c r="E18" s="652"/>
    </row>
    <row r="19" spans="2:5" ht="15.75" customHeight="1" x14ac:dyDescent="0.2">
      <c r="B19" s="652"/>
      <c r="E19" s="652"/>
    </row>
    <row r="20" spans="2:5" ht="15.75" customHeight="1" x14ac:dyDescent="0.2">
      <c r="B20" s="652"/>
      <c r="E20" s="652"/>
    </row>
    <row r="21" spans="2:5" ht="15.75" customHeight="1" x14ac:dyDescent="0.2">
      <c r="B21" s="652"/>
      <c r="E21" s="652"/>
    </row>
    <row r="22" spans="2:5" ht="15.75" customHeight="1" x14ac:dyDescent="0.2">
      <c r="B22" s="652"/>
      <c r="E22" s="652"/>
    </row>
    <row r="23" spans="2:5" ht="15.75" customHeight="1" x14ac:dyDescent="0.2">
      <c r="B23" s="652"/>
      <c r="E23" s="652"/>
    </row>
    <row r="24" spans="2:5" ht="15.75" customHeight="1" x14ac:dyDescent="0.2">
      <c r="B24" s="652"/>
      <c r="E24" s="652"/>
    </row>
    <row r="25" spans="2:5" ht="15.75" customHeight="1" x14ac:dyDescent="0.2">
      <c r="B25" s="652"/>
      <c r="E25" s="652"/>
    </row>
    <row r="26" spans="2:5" ht="15.75" customHeight="1" x14ac:dyDescent="0.2">
      <c r="B26" s="652"/>
      <c r="E26" s="652"/>
    </row>
    <row r="27" spans="2:5" ht="15.75" customHeight="1" x14ac:dyDescent="0.2">
      <c r="B27" s="652"/>
      <c r="E27" s="652"/>
    </row>
    <row r="28" spans="2:5" ht="15.75" customHeight="1" x14ac:dyDescent="0.2">
      <c r="B28" s="652"/>
      <c r="E28" s="652"/>
    </row>
    <row r="29" spans="2:5" ht="15.75" customHeight="1" x14ac:dyDescent="0.2">
      <c r="B29" s="652"/>
      <c r="E29" s="652"/>
    </row>
    <row r="30" spans="2:5" ht="15.75" customHeight="1" x14ac:dyDescent="0.2">
      <c r="B30" s="652"/>
      <c r="E30" s="652"/>
    </row>
    <row r="31" spans="2:5" ht="15.75" customHeight="1" x14ac:dyDescent="0.2">
      <c r="B31" s="652"/>
      <c r="E31" s="652"/>
    </row>
    <row r="32" spans="2:5" ht="15.75" customHeight="1" x14ac:dyDescent="0.2">
      <c r="B32" s="652"/>
      <c r="E32" s="652"/>
    </row>
    <row r="33" spans="2:5" ht="15.75" customHeight="1" x14ac:dyDescent="0.2">
      <c r="B33" s="652"/>
      <c r="E33" s="652"/>
    </row>
    <row r="34" spans="2:5" ht="15.75" customHeight="1" x14ac:dyDescent="0.2">
      <c r="B34" s="652"/>
      <c r="E34" s="652"/>
    </row>
    <row r="35" spans="2:5" ht="15.75" customHeight="1" x14ac:dyDescent="0.2">
      <c r="B35" s="652"/>
      <c r="E35" s="652"/>
    </row>
    <row r="36" spans="2:5" ht="15.75" customHeight="1" x14ac:dyDescent="0.2">
      <c r="B36" s="652" t="s">
        <v>971</v>
      </c>
      <c r="D36" s="652"/>
      <c r="E36" s="652" t="s">
        <v>972</v>
      </c>
    </row>
    <row r="37" spans="2:5" ht="15.75" customHeight="1" x14ac:dyDescent="0.2">
      <c r="B37" s="652"/>
      <c r="D37" s="652"/>
      <c r="E37" s="652" t="s">
        <v>973</v>
      </c>
    </row>
    <row r="38" spans="2:5" ht="15.75" customHeight="1" x14ac:dyDescent="0.2">
      <c r="B38" s="652"/>
      <c r="D38" s="652"/>
      <c r="E38" s="652" t="s">
        <v>974</v>
      </c>
    </row>
    <row r="39" spans="2:5" ht="15.75" customHeight="1" x14ac:dyDescent="0.2">
      <c r="B39" s="652"/>
      <c r="D39" s="652"/>
      <c r="E39" s="652" t="s">
        <v>975</v>
      </c>
    </row>
    <row r="40" spans="2:5" ht="15.75" customHeight="1" x14ac:dyDescent="0.2"/>
    <row r="41" spans="2:5" ht="15.75" customHeight="1" x14ac:dyDescent="0.2">
      <c r="B41" s="652" t="s">
        <v>959</v>
      </c>
      <c r="E41" s="655" t="s">
        <v>976</v>
      </c>
    </row>
    <row r="42" spans="2:5" ht="15.75" customHeight="1" x14ac:dyDescent="0.2">
      <c r="B42" s="652"/>
      <c r="E42" s="655"/>
    </row>
    <row r="43" spans="2:5" ht="15.75" customHeight="1" x14ac:dyDescent="0.2">
      <c r="E43" s="655"/>
    </row>
    <row r="44" spans="2:5" ht="15.75" customHeight="1" x14ac:dyDescent="0.2">
      <c r="B44" s="652" t="s">
        <v>977</v>
      </c>
      <c r="D44" s="652"/>
      <c r="E44" s="655" t="s">
        <v>978</v>
      </c>
    </row>
    <row r="45" spans="2:5" ht="15.75" customHeight="1" x14ac:dyDescent="0.2">
      <c r="B45" s="652"/>
      <c r="D45" s="652"/>
      <c r="E45" s="652"/>
    </row>
    <row r="46" spans="2:5" ht="15.75" customHeight="1" x14ac:dyDescent="0.2">
      <c r="B46" s="652"/>
      <c r="D46" s="652"/>
    </row>
    <row r="47" spans="2:5" ht="15.75" customHeight="1" x14ac:dyDescent="0.2">
      <c r="B47" s="652"/>
      <c r="D47" s="652"/>
    </row>
    <row r="48" spans="2:5" ht="15.75" customHeight="1" x14ac:dyDescent="0.2">
      <c r="B48" s="652"/>
      <c r="D48" s="652"/>
    </row>
    <row r="49" spans="1:14" ht="15.75" customHeight="1" x14ac:dyDescent="0.2">
      <c r="B49" s="652"/>
      <c r="D49" s="652"/>
    </row>
    <row r="50" spans="1:14" ht="15.75" customHeight="1" x14ac:dyDescent="0.2">
      <c r="B50" s="652"/>
      <c r="D50" s="652"/>
    </row>
    <row r="51" spans="1:14" ht="15.75" customHeight="1" x14ac:dyDescent="0.2">
      <c r="B51" s="652"/>
      <c r="D51" s="652"/>
    </row>
    <row r="52" spans="1:14" ht="15.75" customHeight="1" x14ac:dyDescent="0.2">
      <c r="B52" s="652"/>
      <c r="D52" s="652"/>
    </row>
    <row r="53" spans="1:14" ht="15.75" customHeight="1" x14ac:dyDescent="0.2">
      <c r="B53" s="652"/>
      <c r="D53" s="652"/>
    </row>
    <row r="54" spans="1:14" ht="15.75" customHeight="1" x14ac:dyDescent="0.2">
      <c r="B54" s="652"/>
      <c r="D54" s="652"/>
    </row>
    <row r="55" spans="1:14" ht="15.75" customHeight="1" x14ac:dyDescent="0.2">
      <c r="B55" s="652"/>
    </row>
    <row r="56" spans="1:14" ht="15.75" customHeight="1" x14ac:dyDescent="0.2">
      <c r="B56" s="652"/>
    </row>
    <row r="57" spans="1:14" ht="15.75" customHeight="1" x14ac:dyDescent="0.2">
      <c r="B57" s="652"/>
    </row>
    <row r="58" spans="1:14" ht="15.75" customHeight="1" x14ac:dyDescent="0.2">
      <c r="B58" s="652"/>
    </row>
    <row r="59" spans="1:14" ht="3" customHeight="1" x14ac:dyDescent="0.2">
      <c r="A59" s="656"/>
      <c r="B59" s="657"/>
      <c r="C59" s="656"/>
      <c r="D59" s="656"/>
      <c r="E59" s="656"/>
      <c r="F59" s="656"/>
      <c r="G59" s="656"/>
      <c r="H59" s="656"/>
      <c r="I59" s="656"/>
      <c r="J59" s="656"/>
      <c r="K59" s="656"/>
      <c r="L59" s="656"/>
      <c r="M59" s="656"/>
      <c r="N59" s="656"/>
    </row>
    <row r="60" spans="1:14" ht="15.75" customHeight="1" x14ac:dyDescent="0.2">
      <c r="B60" s="652"/>
    </row>
    <row r="61" spans="1:14" ht="15.75" customHeight="1" x14ac:dyDescent="0.25">
      <c r="A61" s="851" t="s">
        <v>979</v>
      </c>
      <c r="B61" s="851"/>
      <c r="C61" s="851"/>
      <c r="D61" s="851"/>
      <c r="E61" s="851"/>
      <c r="F61" s="851"/>
      <c r="G61" s="851"/>
      <c r="H61" s="851"/>
      <c r="I61" s="851"/>
      <c r="J61" s="851"/>
      <c r="K61" s="658"/>
    </row>
    <row r="62" spans="1:14" ht="21.75" customHeight="1" x14ac:dyDescent="0.25">
      <c r="A62" s="851"/>
      <c r="B62" s="851"/>
      <c r="C62" s="851"/>
      <c r="D62" s="851"/>
      <c r="E62" s="851"/>
      <c r="F62" s="851"/>
      <c r="G62" s="851"/>
      <c r="H62" s="851"/>
      <c r="I62" s="851"/>
      <c r="J62" s="851"/>
      <c r="K62" s="658"/>
    </row>
    <row r="63" spans="1:14" ht="15.75" customHeight="1" x14ac:dyDescent="0.2">
      <c r="B63" s="652"/>
    </row>
    <row r="64" spans="1:14" ht="15.75" x14ac:dyDescent="0.2">
      <c r="B64" s="652"/>
    </row>
    <row r="65" spans="2:2" ht="18.75" customHeight="1" x14ac:dyDescent="0.2">
      <c r="B65" s="652"/>
    </row>
    <row r="66" spans="2:2" ht="13.5" customHeight="1" x14ac:dyDescent="0.2">
      <c r="B66" s="652"/>
    </row>
    <row r="67" spans="2:2" ht="15.75" x14ac:dyDescent="0.2">
      <c r="B67" s="652"/>
    </row>
    <row r="82" spans="12:12" x14ac:dyDescent="0.2">
      <c r="L82" s="659"/>
    </row>
    <row r="214" spans="1:14" ht="3" customHeight="1" x14ac:dyDescent="0.2">
      <c r="A214" s="656"/>
      <c r="B214" s="657"/>
      <c r="C214" s="656"/>
      <c r="D214" s="656"/>
      <c r="E214" s="656"/>
      <c r="F214" s="656"/>
      <c r="G214" s="656"/>
      <c r="H214" s="656"/>
      <c r="I214" s="656"/>
      <c r="J214" s="656"/>
      <c r="K214" s="656"/>
      <c r="L214" s="656"/>
      <c r="M214" s="656"/>
      <c r="N214" s="656"/>
    </row>
    <row r="217" spans="1:14" ht="18" x14ac:dyDescent="0.25">
      <c r="A217" s="660" t="s">
        <v>706</v>
      </c>
      <c r="B217" s="661"/>
    </row>
    <row r="218" spans="1:14" ht="15.75" x14ac:dyDescent="0.25">
      <c r="B218" s="565"/>
    </row>
    <row r="219" spans="1:14" ht="30" customHeight="1" x14ac:dyDescent="0.25">
      <c r="B219" s="831" t="s">
        <v>707</v>
      </c>
      <c r="C219" s="831"/>
      <c r="D219" s="831"/>
      <c r="E219" s="831"/>
      <c r="F219" s="831"/>
      <c r="G219" s="831"/>
      <c r="H219" s="831"/>
      <c r="I219" s="831"/>
      <c r="J219" s="604"/>
    </row>
    <row r="220" spans="1:14" ht="15.75" x14ac:dyDescent="0.25">
      <c r="B220" s="522" t="s">
        <v>708</v>
      </c>
    </row>
    <row r="221" spans="1:14" ht="15.75" x14ac:dyDescent="0.25">
      <c r="B221" s="565"/>
    </row>
    <row r="222" spans="1:14" ht="45.75" customHeight="1" x14ac:dyDescent="0.25">
      <c r="B222" s="831" t="s">
        <v>709</v>
      </c>
      <c r="C222" s="831"/>
      <c r="D222" s="831"/>
      <c r="E222" s="831"/>
      <c r="F222" s="831"/>
      <c r="G222" s="831"/>
      <c r="H222" s="831"/>
    </row>
    <row r="223" spans="1:14" ht="15.75" x14ac:dyDescent="0.25">
      <c r="B223" s="522" t="s">
        <v>710</v>
      </c>
    </row>
    <row r="224" spans="1:14" ht="15.75" x14ac:dyDescent="0.25">
      <c r="B224" s="565"/>
    </row>
    <row r="225" spans="2:2" ht="15.75" x14ac:dyDescent="0.25">
      <c r="B225" s="565" t="s">
        <v>711</v>
      </c>
    </row>
    <row r="226" spans="2:2" ht="15.75" x14ac:dyDescent="0.25">
      <c r="B226" s="522" t="s">
        <v>712</v>
      </c>
    </row>
    <row r="227" spans="2:2" ht="15.75" x14ac:dyDescent="0.25">
      <c r="B227" s="565"/>
    </row>
    <row r="228" spans="2:2" ht="15.75" x14ac:dyDescent="0.25">
      <c r="B228" s="565" t="s">
        <v>713</v>
      </c>
    </row>
    <row r="229" spans="2:2" ht="15.75" x14ac:dyDescent="0.25">
      <c r="B229" s="522" t="s">
        <v>714</v>
      </c>
    </row>
    <row r="230" spans="2:2" ht="15.75" x14ac:dyDescent="0.25">
      <c r="B230" s="565"/>
    </row>
    <row r="231" spans="2:2" ht="15.75" x14ac:dyDescent="0.25">
      <c r="B231" s="565" t="s">
        <v>715</v>
      </c>
    </row>
    <row r="232" spans="2:2" ht="15.75" x14ac:dyDescent="0.25">
      <c r="B232" s="522" t="s">
        <v>716</v>
      </c>
    </row>
    <row r="233" spans="2:2" ht="15.75" x14ac:dyDescent="0.25">
      <c r="B233" s="565"/>
    </row>
    <row r="234" spans="2:2" ht="15.75" x14ac:dyDescent="0.25">
      <c r="B234" s="565" t="s">
        <v>717</v>
      </c>
    </row>
    <row r="235" spans="2:2" ht="15.75" x14ac:dyDescent="0.25">
      <c r="B235" s="522" t="s">
        <v>718</v>
      </c>
    </row>
    <row r="236" spans="2:2" ht="15.75" x14ac:dyDescent="0.25">
      <c r="B236" s="565"/>
    </row>
    <row r="237" spans="2:2" ht="15.75" x14ac:dyDescent="0.25">
      <c r="B237" s="565" t="s">
        <v>719</v>
      </c>
    </row>
    <row r="238" spans="2:2" ht="15.75" x14ac:dyDescent="0.25">
      <c r="B238" s="522" t="s">
        <v>720</v>
      </c>
    </row>
    <row r="239" spans="2:2" ht="15.75" x14ac:dyDescent="0.25">
      <c r="B239" s="565"/>
    </row>
    <row r="240" spans="2:2" ht="15.75" x14ac:dyDescent="0.25">
      <c r="B240" s="565" t="s">
        <v>721</v>
      </c>
    </row>
    <row r="241" spans="2:2" ht="15.75" x14ac:dyDescent="0.25">
      <c r="B241" s="522" t="s">
        <v>722</v>
      </c>
    </row>
    <row r="242" spans="2:2" ht="15.75" x14ac:dyDescent="0.25">
      <c r="B242" s="565"/>
    </row>
    <row r="243" spans="2:2" ht="15.75" x14ac:dyDescent="0.25">
      <c r="B243" s="565" t="s">
        <v>723</v>
      </c>
    </row>
    <row r="244" spans="2:2" ht="15.75" x14ac:dyDescent="0.25">
      <c r="B244" s="522" t="s">
        <v>724</v>
      </c>
    </row>
    <row r="245" spans="2:2" ht="15.75" x14ac:dyDescent="0.25">
      <c r="B245" s="565"/>
    </row>
  </sheetData>
  <sheetProtection sheet="1" objects="1" scenarios="1"/>
  <mergeCells count="4">
    <mergeCell ref="A1:N2"/>
    <mergeCell ref="A61:J62"/>
    <mergeCell ref="B219:I219"/>
    <mergeCell ref="B222:H222"/>
  </mergeCells>
  <hyperlinks>
    <hyperlink ref="B244" r:id="rId1" xr:uid="{02989A82-DAB3-4A5B-96A7-7D3C79368EFE}"/>
  </hyperlinks>
  <pageMargins left="0.7" right="0.7" top="0.75" bottom="0.75" header="0.3" footer="0.3"/>
  <pageSetup orientation="landscape" r:id="rId2"/>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0"/>
  <dimension ref="A1:A280"/>
  <sheetViews>
    <sheetView workbookViewId="0"/>
  </sheetViews>
  <sheetFormatPr defaultRowHeight="15.75" x14ac:dyDescent="0.25"/>
  <cols>
    <col min="1" max="1" width="72.796875" style="65" customWidth="1"/>
    <col min="2" max="16384" width="8.796875" style="65"/>
  </cols>
  <sheetData>
    <row r="1" spans="1:1" x14ac:dyDescent="0.25">
      <c r="A1" s="530" t="s">
        <v>995</v>
      </c>
    </row>
    <row r="2" spans="1:1" x14ac:dyDescent="0.25">
      <c r="A2" s="137" t="s">
        <v>993</v>
      </c>
    </row>
    <row r="3" spans="1:1" x14ac:dyDescent="0.25">
      <c r="A3" s="65" t="s">
        <v>994</v>
      </c>
    </row>
    <row r="4" spans="1:1" x14ac:dyDescent="0.25">
      <c r="A4" s="65" t="s">
        <v>996</v>
      </c>
    </row>
    <row r="6" spans="1:1" x14ac:dyDescent="0.25">
      <c r="A6" s="662" t="s">
        <v>980</v>
      </c>
    </row>
    <row r="7" spans="1:1" x14ac:dyDescent="0.25">
      <c r="A7" s="1" t="s">
        <v>981</v>
      </c>
    </row>
    <row r="8" spans="1:1" x14ac:dyDescent="0.25">
      <c r="A8" s="1" t="s">
        <v>982</v>
      </c>
    </row>
    <row r="9" spans="1:1" x14ac:dyDescent="0.25">
      <c r="A9" s="1" t="s">
        <v>983</v>
      </c>
    </row>
    <row r="10" spans="1:1" x14ac:dyDescent="0.25">
      <c r="A10" s="1"/>
    </row>
    <row r="11" spans="1:1" x14ac:dyDescent="0.25">
      <c r="A11" s="530" t="s">
        <v>725</v>
      </c>
    </row>
    <row r="12" spans="1:1" x14ac:dyDescent="0.25">
      <c r="A12" s="137" t="s">
        <v>726</v>
      </c>
    </row>
    <row r="13" spans="1:1" x14ac:dyDescent="0.25">
      <c r="A13" s="137" t="s">
        <v>727</v>
      </c>
    </row>
    <row r="14" spans="1:1" ht="31.5" x14ac:dyDescent="0.25">
      <c r="A14" s="137" t="s">
        <v>728</v>
      </c>
    </row>
    <row r="15" spans="1:1" ht="31.5" x14ac:dyDescent="0.25">
      <c r="A15" s="137" t="s">
        <v>729</v>
      </c>
    </row>
    <row r="16" spans="1:1" x14ac:dyDescent="0.25">
      <c r="A16" s="137" t="s">
        <v>730</v>
      </c>
    </row>
    <row r="17" spans="1:1" ht="31.5" x14ac:dyDescent="0.25">
      <c r="A17" s="137" t="s">
        <v>731</v>
      </c>
    </row>
    <row r="18" spans="1:1" x14ac:dyDescent="0.25">
      <c r="A18" s="137" t="s">
        <v>732</v>
      </c>
    </row>
    <row r="19" spans="1:1" x14ac:dyDescent="0.25">
      <c r="A19" s="137" t="s">
        <v>733</v>
      </c>
    </row>
    <row r="20" spans="1:1" x14ac:dyDescent="0.25">
      <c r="A20" s="137" t="s">
        <v>734</v>
      </c>
    </row>
    <row r="21" spans="1:1" x14ac:dyDescent="0.25">
      <c r="A21" s="137" t="s">
        <v>735</v>
      </c>
    </row>
    <row r="22" spans="1:1" x14ac:dyDescent="0.25">
      <c r="A22" s="137"/>
    </row>
    <row r="23" spans="1:1" x14ac:dyDescent="0.25">
      <c r="A23" s="235" t="s">
        <v>736</v>
      </c>
    </row>
    <row r="24" spans="1:1" x14ac:dyDescent="0.25">
      <c r="A24" s="65" t="s">
        <v>737</v>
      </c>
    </row>
    <row r="25" spans="1:1" x14ac:dyDescent="0.25">
      <c r="A25" s="65" t="s">
        <v>738</v>
      </c>
    </row>
    <row r="26" spans="1:1" x14ac:dyDescent="0.25">
      <c r="A26" s="65" t="s">
        <v>739</v>
      </c>
    </row>
    <row r="27" spans="1:1" x14ac:dyDescent="0.25">
      <c r="A27" s="65" t="s">
        <v>740</v>
      </c>
    </row>
    <row r="28" spans="1:1" x14ac:dyDescent="0.25">
      <c r="A28" s="65" t="s">
        <v>741</v>
      </c>
    </row>
    <row r="29" spans="1:1" x14ac:dyDescent="0.25">
      <c r="A29" s="65" t="s">
        <v>742</v>
      </c>
    </row>
    <row r="31" spans="1:1" x14ac:dyDescent="0.25">
      <c r="A31" s="523" t="s">
        <v>743</v>
      </c>
    </row>
    <row r="32" spans="1:1" x14ac:dyDescent="0.25">
      <c r="A32" s="65" t="s">
        <v>744</v>
      </c>
    </row>
    <row r="33" spans="1:1" x14ac:dyDescent="0.25">
      <c r="A33" s="65" t="s">
        <v>745</v>
      </c>
    </row>
    <row r="34" spans="1:1" x14ac:dyDescent="0.25">
      <c r="A34" s="65" t="s">
        <v>746</v>
      </c>
    </row>
    <row r="36" spans="1:1" x14ac:dyDescent="0.25">
      <c r="A36" s="235" t="s">
        <v>747</v>
      </c>
    </row>
    <row r="37" spans="1:1" x14ac:dyDescent="0.25">
      <c r="A37" s="65" t="s">
        <v>748</v>
      </c>
    </row>
    <row r="38" spans="1:1" x14ac:dyDescent="0.25">
      <c r="A38" s="65" t="s">
        <v>749</v>
      </c>
    </row>
    <row r="39" spans="1:1" x14ac:dyDescent="0.25">
      <c r="A39" s="65" t="s">
        <v>750</v>
      </c>
    </row>
    <row r="41" spans="1:1" x14ac:dyDescent="0.25">
      <c r="A41" s="235" t="s">
        <v>751</v>
      </c>
    </row>
    <row r="42" spans="1:1" x14ac:dyDescent="0.25">
      <c r="A42" s="65" t="s">
        <v>752</v>
      </c>
    </row>
    <row r="43" spans="1:1" x14ac:dyDescent="0.25">
      <c r="A43" s="65" t="s">
        <v>753</v>
      </c>
    </row>
    <row r="44" spans="1:1" x14ac:dyDescent="0.25">
      <c r="A44" s="65" t="s">
        <v>754</v>
      </c>
    </row>
    <row r="45" spans="1:1" x14ac:dyDescent="0.25">
      <c r="A45" s="65" t="s">
        <v>755</v>
      </c>
    </row>
    <row r="46" spans="1:1" x14ac:dyDescent="0.25">
      <c r="A46" s="65" t="s">
        <v>756</v>
      </c>
    </row>
    <row r="48" spans="1:1" x14ac:dyDescent="0.25">
      <c r="A48" s="488" t="s">
        <v>757</v>
      </c>
    </row>
    <row r="49" spans="1:1" x14ac:dyDescent="0.25">
      <c r="A49" s="65" t="s">
        <v>758</v>
      </c>
    </row>
    <row r="51" spans="1:1" x14ac:dyDescent="0.25">
      <c r="A51" s="488" t="s">
        <v>759</v>
      </c>
    </row>
    <row r="52" spans="1:1" x14ac:dyDescent="0.25">
      <c r="A52" s="489" t="s">
        <v>760</v>
      </c>
    </row>
    <row r="54" spans="1:1" x14ac:dyDescent="0.25">
      <c r="A54" s="488" t="s">
        <v>761</v>
      </c>
    </row>
    <row r="55" spans="1:1" x14ac:dyDescent="0.25">
      <c r="A55" s="487" t="s">
        <v>762</v>
      </c>
    </row>
    <row r="57" spans="1:1" x14ac:dyDescent="0.25">
      <c r="A57" s="488" t="s">
        <v>763</v>
      </c>
    </row>
    <row r="58" spans="1:1" x14ac:dyDescent="0.25">
      <c r="A58" s="487" t="s">
        <v>764</v>
      </c>
    </row>
    <row r="59" spans="1:1" x14ac:dyDescent="0.25">
      <c r="A59" s="487" t="s">
        <v>765</v>
      </c>
    </row>
    <row r="60" spans="1:1" x14ac:dyDescent="0.25">
      <c r="A60" s="487" t="s">
        <v>766</v>
      </c>
    </row>
    <row r="61" spans="1:1" x14ac:dyDescent="0.25">
      <c r="A61" s="487" t="s">
        <v>767</v>
      </c>
    </row>
    <row r="62" spans="1:1" x14ac:dyDescent="0.25">
      <c r="A62" s="487" t="s">
        <v>768</v>
      </c>
    </row>
    <row r="64" spans="1:1" x14ac:dyDescent="0.25">
      <c r="A64" s="302" t="s">
        <v>769</v>
      </c>
    </row>
    <row r="65" spans="1:1" x14ac:dyDescent="0.25">
      <c r="A65" s="65" t="s">
        <v>770</v>
      </c>
    </row>
    <row r="67" spans="1:1" x14ac:dyDescent="0.25">
      <c r="A67" s="302" t="s">
        <v>771</v>
      </c>
    </row>
    <row r="68" spans="1:1" x14ac:dyDescent="0.25">
      <c r="A68" s="438" t="s">
        <v>772</v>
      </c>
    </row>
    <row r="69" spans="1:1" x14ac:dyDescent="0.25">
      <c r="A69" s="473" t="s">
        <v>773</v>
      </c>
    </row>
    <row r="71" spans="1:1" x14ac:dyDescent="0.25">
      <c r="A71" s="302" t="s">
        <v>774</v>
      </c>
    </row>
    <row r="72" spans="1:1" x14ac:dyDescent="0.25">
      <c r="A72" s="438" t="s">
        <v>775</v>
      </c>
    </row>
    <row r="74" spans="1:1" x14ac:dyDescent="0.25">
      <c r="A74" s="302" t="s">
        <v>776</v>
      </c>
    </row>
    <row r="75" spans="1:1" x14ac:dyDescent="0.25">
      <c r="A75" s="438" t="s">
        <v>777</v>
      </c>
    </row>
    <row r="77" spans="1:1" x14ac:dyDescent="0.25">
      <c r="A77" s="302" t="s">
        <v>778</v>
      </c>
    </row>
    <row r="78" spans="1:1" x14ac:dyDescent="0.25">
      <c r="A78" s="65" t="s">
        <v>779</v>
      </c>
    </row>
    <row r="80" spans="1:1" x14ac:dyDescent="0.25">
      <c r="A80" s="302" t="s">
        <v>780</v>
      </c>
    </row>
    <row r="81" spans="1:1" x14ac:dyDescent="0.25">
      <c r="A81" s="65" t="s">
        <v>781</v>
      </c>
    </row>
    <row r="83" spans="1:1" x14ac:dyDescent="0.25">
      <c r="A83" s="302" t="s">
        <v>782</v>
      </c>
    </row>
    <row r="84" spans="1:1" x14ac:dyDescent="0.25">
      <c r="A84" s="438" t="s">
        <v>783</v>
      </c>
    </row>
    <row r="86" spans="1:1" x14ac:dyDescent="0.25">
      <c r="A86" s="302" t="s">
        <v>784</v>
      </c>
    </row>
    <row r="87" spans="1:1" x14ac:dyDescent="0.25">
      <c r="A87" s="434" t="s">
        <v>785</v>
      </c>
    </row>
    <row r="89" spans="1:1" x14ac:dyDescent="0.25">
      <c r="A89" s="302" t="s">
        <v>786</v>
      </c>
    </row>
    <row r="90" spans="1:1" x14ac:dyDescent="0.25">
      <c r="A90" s="65" t="s">
        <v>787</v>
      </c>
    </row>
    <row r="92" spans="1:1" x14ac:dyDescent="0.25">
      <c r="A92" s="302" t="s">
        <v>788</v>
      </c>
    </row>
    <row r="93" spans="1:1" x14ac:dyDescent="0.25">
      <c r="A93" s="419" t="s">
        <v>789</v>
      </c>
    </row>
    <row r="95" spans="1:1" x14ac:dyDescent="0.25">
      <c r="A95" s="302" t="s">
        <v>790</v>
      </c>
    </row>
    <row r="96" spans="1:1" x14ac:dyDescent="0.25">
      <c r="A96" s="419" t="s">
        <v>791</v>
      </c>
    </row>
    <row r="98" spans="1:1" x14ac:dyDescent="0.25">
      <c r="A98" s="302" t="s">
        <v>792</v>
      </c>
    </row>
    <row r="99" spans="1:1" x14ac:dyDescent="0.25">
      <c r="A99" s="420" t="s">
        <v>793</v>
      </c>
    </row>
    <row r="101" spans="1:1" x14ac:dyDescent="0.25">
      <c r="A101" s="302" t="s">
        <v>792</v>
      </c>
    </row>
    <row r="102" spans="1:1" x14ac:dyDescent="0.25">
      <c r="A102" s="420" t="s">
        <v>794</v>
      </c>
    </row>
    <row r="104" spans="1:1" x14ac:dyDescent="0.25">
      <c r="A104" s="302" t="s">
        <v>795</v>
      </c>
    </row>
    <row r="105" spans="1:1" x14ac:dyDescent="0.25">
      <c r="A105" s="419" t="s">
        <v>796</v>
      </c>
    </row>
    <row r="107" spans="1:1" x14ac:dyDescent="0.25">
      <c r="A107" s="302" t="s">
        <v>797</v>
      </c>
    </row>
    <row r="108" spans="1:1" x14ac:dyDescent="0.25">
      <c r="A108" s="417" t="s">
        <v>798</v>
      </c>
    </row>
    <row r="109" spans="1:1" x14ac:dyDescent="0.25">
      <c r="A109" s="417" t="s">
        <v>799</v>
      </c>
    </row>
    <row r="110" spans="1:1" x14ac:dyDescent="0.25">
      <c r="A110" s="417" t="s">
        <v>800</v>
      </c>
    </row>
    <row r="111" spans="1:1" x14ac:dyDescent="0.25">
      <c r="A111" s="417" t="s">
        <v>801</v>
      </c>
    </row>
    <row r="112" spans="1:1" x14ac:dyDescent="0.25">
      <c r="A112" s="417" t="s">
        <v>802</v>
      </c>
    </row>
    <row r="113" spans="1:1" x14ac:dyDescent="0.25">
      <c r="A113" s="417" t="s">
        <v>803</v>
      </c>
    </row>
    <row r="114" spans="1:1" x14ac:dyDescent="0.25">
      <c r="A114" s="417" t="s">
        <v>804</v>
      </c>
    </row>
    <row r="115" spans="1:1" x14ac:dyDescent="0.25">
      <c r="A115" s="417" t="s">
        <v>805</v>
      </c>
    </row>
    <row r="116" spans="1:1" ht="15.75" customHeight="1" x14ac:dyDescent="0.25">
      <c r="A116" s="417" t="s">
        <v>806</v>
      </c>
    </row>
    <row r="117" spans="1:1" x14ac:dyDescent="0.25">
      <c r="A117" s="417" t="s">
        <v>807</v>
      </c>
    </row>
    <row r="118" spans="1:1" x14ac:dyDescent="0.25">
      <c r="A118" s="417" t="s">
        <v>808</v>
      </c>
    </row>
    <row r="119" spans="1:1" x14ac:dyDescent="0.25">
      <c r="A119" s="417" t="s">
        <v>809</v>
      </c>
    </row>
    <row r="120" spans="1:1" x14ac:dyDescent="0.25">
      <c r="A120" s="417" t="s">
        <v>810</v>
      </c>
    </row>
    <row r="121" spans="1:1" x14ac:dyDescent="0.25">
      <c r="A121" s="417" t="s">
        <v>811</v>
      </c>
    </row>
    <row r="122" spans="1:1" x14ac:dyDescent="0.25">
      <c r="A122" s="417" t="s">
        <v>812</v>
      </c>
    </row>
    <row r="123" spans="1:1" x14ac:dyDescent="0.25">
      <c r="A123" s="417" t="s">
        <v>813</v>
      </c>
    </row>
    <row r="124" spans="1:1" x14ac:dyDescent="0.25">
      <c r="A124" s="417" t="s">
        <v>814</v>
      </c>
    </row>
    <row r="125" spans="1:1" x14ac:dyDescent="0.25">
      <c r="A125" s="417" t="s">
        <v>815</v>
      </c>
    </row>
    <row r="126" spans="1:1" x14ac:dyDescent="0.25">
      <c r="A126" s="417" t="s">
        <v>816</v>
      </c>
    </row>
    <row r="127" spans="1:1" x14ac:dyDescent="0.25">
      <c r="A127" s="417" t="s">
        <v>817</v>
      </c>
    </row>
    <row r="128" spans="1:1" x14ac:dyDescent="0.25">
      <c r="A128" s="417" t="s">
        <v>818</v>
      </c>
    </row>
    <row r="129" spans="1:1" x14ac:dyDescent="0.25">
      <c r="A129" s="417" t="s">
        <v>819</v>
      </c>
    </row>
    <row r="130" spans="1:1" x14ac:dyDescent="0.25">
      <c r="A130" s="417" t="s">
        <v>820</v>
      </c>
    </row>
    <row r="131" spans="1:1" x14ac:dyDescent="0.25">
      <c r="A131" s="417" t="s">
        <v>821</v>
      </c>
    </row>
    <row r="132" spans="1:1" x14ac:dyDescent="0.25">
      <c r="A132" s="417" t="s">
        <v>822</v>
      </c>
    </row>
    <row r="133" spans="1:1" x14ac:dyDescent="0.25">
      <c r="A133" s="417" t="s">
        <v>823</v>
      </c>
    </row>
    <row r="134" spans="1:1" x14ac:dyDescent="0.25">
      <c r="A134" s="417" t="s">
        <v>824</v>
      </c>
    </row>
    <row r="135" spans="1:1" x14ac:dyDescent="0.25">
      <c r="A135" s="417" t="s">
        <v>825</v>
      </c>
    </row>
    <row r="136" spans="1:1" x14ac:dyDescent="0.25">
      <c r="A136" s="417" t="s">
        <v>826</v>
      </c>
    </row>
    <row r="138" spans="1:1" x14ac:dyDescent="0.25">
      <c r="A138" s="302" t="s">
        <v>827</v>
      </c>
    </row>
    <row r="139" spans="1:1" x14ac:dyDescent="0.25">
      <c r="A139" s="65" t="s">
        <v>828</v>
      </c>
    </row>
    <row r="140" spans="1:1" x14ac:dyDescent="0.25">
      <c r="A140" s="65" t="s">
        <v>829</v>
      </c>
    </row>
    <row r="142" spans="1:1" x14ac:dyDescent="0.25">
      <c r="A142" s="302" t="s">
        <v>830</v>
      </c>
    </row>
    <row r="143" spans="1:1" x14ac:dyDescent="0.25">
      <c r="A143" s="287" t="s">
        <v>831</v>
      </c>
    </row>
    <row r="144" spans="1:1" ht="15.75" customHeight="1" x14ac:dyDescent="0.25"/>
    <row r="145" spans="1:1" x14ac:dyDescent="0.25">
      <c r="A145" s="236" t="s">
        <v>832</v>
      </c>
    </row>
    <row r="146" spans="1:1" x14ac:dyDescent="0.25">
      <c r="A146" s="287" t="s">
        <v>833</v>
      </c>
    </row>
    <row r="147" spans="1:1" x14ac:dyDescent="0.25">
      <c r="A147" s="287" t="s">
        <v>834</v>
      </c>
    </row>
    <row r="148" spans="1:1" ht="31.5" x14ac:dyDescent="0.25">
      <c r="A148" s="286" t="s">
        <v>835</v>
      </c>
    </row>
    <row r="149" spans="1:1" ht="36" customHeight="1" x14ac:dyDescent="0.25">
      <c r="A149" s="287" t="s">
        <v>836</v>
      </c>
    </row>
    <row r="150" spans="1:1" x14ac:dyDescent="0.25">
      <c r="A150" s="287" t="s">
        <v>837</v>
      </c>
    </row>
    <row r="151" spans="1:1" x14ac:dyDescent="0.25">
      <c r="A151" s="287" t="s">
        <v>838</v>
      </c>
    </row>
    <row r="152" spans="1:1" x14ac:dyDescent="0.25">
      <c r="A152" s="287" t="s">
        <v>839</v>
      </c>
    </row>
    <row r="153" spans="1:1" x14ac:dyDescent="0.25">
      <c r="A153" s="287" t="s">
        <v>840</v>
      </c>
    </row>
    <row r="154" spans="1:1" x14ac:dyDescent="0.25">
      <c r="A154" s="287" t="s">
        <v>841</v>
      </c>
    </row>
    <row r="155" spans="1:1" x14ac:dyDescent="0.25">
      <c r="A155" s="287" t="s">
        <v>842</v>
      </c>
    </row>
    <row r="156" spans="1:1" x14ac:dyDescent="0.25">
      <c r="A156" s="287" t="s">
        <v>843</v>
      </c>
    </row>
    <row r="157" spans="1:1" x14ac:dyDescent="0.25">
      <c r="A157" s="287" t="s">
        <v>844</v>
      </c>
    </row>
    <row r="158" spans="1:1" x14ac:dyDescent="0.25">
      <c r="A158" s="287" t="s">
        <v>845</v>
      </c>
    </row>
    <row r="159" spans="1:1" x14ac:dyDescent="0.25">
      <c r="A159" s="287" t="s">
        <v>846</v>
      </c>
    </row>
    <row r="160" spans="1:1" x14ac:dyDescent="0.25">
      <c r="A160" s="287" t="s">
        <v>847</v>
      </c>
    </row>
    <row r="161" spans="1:1" x14ac:dyDescent="0.25">
      <c r="A161" s="287" t="s">
        <v>848</v>
      </c>
    </row>
    <row r="162" spans="1:1" x14ac:dyDescent="0.25">
      <c r="A162" s="287" t="s">
        <v>849</v>
      </c>
    </row>
    <row r="163" spans="1:1" ht="15.75" customHeight="1" x14ac:dyDescent="0.25">
      <c r="A163" s="287" t="s">
        <v>850</v>
      </c>
    </row>
    <row r="164" spans="1:1" x14ac:dyDescent="0.25">
      <c r="A164" s="287" t="s">
        <v>851</v>
      </c>
    </row>
    <row r="165" spans="1:1" x14ac:dyDescent="0.25">
      <c r="A165" s="287" t="s">
        <v>852</v>
      </c>
    </row>
    <row r="166" spans="1:1" x14ac:dyDescent="0.25">
      <c r="A166" s="287" t="s">
        <v>853</v>
      </c>
    </row>
    <row r="167" spans="1:1" x14ac:dyDescent="0.25">
      <c r="A167" s="287" t="s">
        <v>854</v>
      </c>
    </row>
    <row r="168" spans="1:1" x14ac:dyDescent="0.25">
      <c r="A168" s="65" t="s">
        <v>855</v>
      </c>
    </row>
    <row r="170" spans="1:1" x14ac:dyDescent="0.25">
      <c r="A170" s="236" t="s">
        <v>856</v>
      </c>
    </row>
    <row r="171" spans="1:1" ht="31.5" x14ac:dyDescent="0.25">
      <c r="A171" s="137" t="s">
        <v>857</v>
      </c>
    </row>
    <row r="173" spans="1:1" x14ac:dyDescent="0.25">
      <c r="A173" s="236" t="s">
        <v>858</v>
      </c>
    </row>
    <row r="174" spans="1:1" x14ac:dyDescent="0.25">
      <c r="A174" s="65" t="s">
        <v>859</v>
      </c>
    </row>
    <row r="175" spans="1:1" x14ac:dyDescent="0.25">
      <c r="A175" s="65" t="s">
        <v>860</v>
      </c>
    </row>
    <row r="176" spans="1:1" x14ac:dyDescent="0.25">
      <c r="A176" s="65" t="s">
        <v>861</v>
      </c>
    </row>
    <row r="178" spans="1:1" x14ac:dyDescent="0.25">
      <c r="A178" s="236" t="s">
        <v>862</v>
      </c>
    </row>
    <row r="179" spans="1:1" x14ac:dyDescent="0.25">
      <c r="A179" s="65" t="s">
        <v>863</v>
      </c>
    </row>
    <row r="181" spans="1:1" x14ac:dyDescent="0.25">
      <c r="A181" s="235" t="s">
        <v>864</v>
      </c>
    </row>
    <row r="182" spans="1:1" ht="15.75" customHeight="1" x14ac:dyDescent="0.25">
      <c r="A182" s="65" t="s">
        <v>865</v>
      </c>
    </row>
    <row r="183" spans="1:1" x14ac:dyDescent="0.25">
      <c r="A183" s="65" t="s">
        <v>866</v>
      </c>
    </row>
    <row r="184" spans="1:1" x14ac:dyDescent="0.25">
      <c r="A184" s="65" t="s">
        <v>867</v>
      </c>
    </row>
    <row r="185" spans="1:1" x14ac:dyDescent="0.25">
      <c r="A185" s="65" t="s">
        <v>868</v>
      </c>
    </row>
    <row r="186" spans="1:1" x14ac:dyDescent="0.25">
      <c r="A186" s="65" t="s">
        <v>869</v>
      </c>
    </row>
    <row r="187" spans="1:1" x14ac:dyDescent="0.25">
      <c r="A187" s="65" t="s">
        <v>870</v>
      </c>
    </row>
    <row r="189" spans="1:1" x14ac:dyDescent="0.25">
      <c r="A189" s="235" t="s">
        <v>871</v>
      </c>
    </row>
    <row r="190" spans="1:1" x14ac:dyDescent="0.25">
      <c r="A190" s="65" t="s">
        <v>872</v>
      </c>
    </row>
    <row r="191" spans="1:1" x14ac:dyDescent="0.25">
      <c r="A191" s="65" t="s">
        <v>873</v>
      </c>
    </row>
    <row r="192" spans="1:1" x14ac:dyDescent="0.25">
      <c r="A192" s="65" t="s">
        <v>874</v>
      </c>
    </row>
    <row r="193" spans="1:1" ht="15.75" customHeight="1" x14ac:dyDescent="0.25">
      <c r="A193" s="65" t="s">
        <v>875</v>
      </c>
    </row>
    <row r="194" spans="1:1" x14ac:dyDescent="0.25">
      <c r="A194" s="65" t="s">
        <v>876</v>
      </c>
    </row>
    <row r="195" spans="1:1" x14ac:dyDescent="0.25">
      <c r="A195" s="65" t="s">
        <v>877</v>
      </c>
    </row>
    <row r="196" spans="1:1" x14ac:dyDescent="0.25">
      <c r="A196" s="65" t="s">
        <v>878</v>
      </c>
    </row>
    <row r="197" spans="1:1" ht="15.75" customHeight="1" x14ac:dyDescent="0.25">
      <c r="A197" s="65" t="s">
        <v>879</v>
      </c>
    </row>
    <row r="198" spans="1:1" x14ac:dyDescent="0.25">
      <c r="A198" s="65" t="s">
        <v>880</v>
      </c>
    </row>
    <row r="199" spans="1:1" x14ac:dyDescent="0.25">
      <c r="A199" s="65" t="s">
        <v>881</v>
      </c>
    </row>
    <row r="200" spans="1:1" x14ac:dyDescent="0.25">
      <c r="A200" s="65" t="s">
        <v>882</v>
      </c>
    </row>
    <row r="201" spans="1:1" x14ac:dyDescent="0.25">
      <c r="A201" s="65" t="s">
        <v>883</v>
      </c>
    </row>
    <row r="202" spans="1:1" x14ac:dyDescent="0.25">
      <c r="A202" s="65" t="s">
        <v>884</v>
      </c>
    </row>
    <row r="203" spans="1:1" x14ac:dyDescent="0.25">
      <c r="A203" s="65" t="s">
        <v>885</v>
      </c>
    </row>
    <row r="204" spans="1:1" x14ac:dyDescent="0.25">
      <c r="A204" s="65" t="s">
        <v>886</v>
      </c>
    </row>
    <row r="205" spans="1:1" x14ac:dyDescent="0.25">
      <c r="A205" s="65" t="s">
        <v>887</v>
      </c>
    </row>
    <row r="206" spans="1:1" x14ac:dyDescent="0.25">
      <c r="A206" s="230" t="s">
        <v>888</v>
      </c>
    </row>
    <row r="208" spans="1:1" x14ac:dyDescent="0.25">
      <c r="A208" s="235" t="s">
        <v>889</v>
      </c>
    </row>
    <row r="209" spans="1:1" x14ac:dyDescent="0.25">
      <c r="A209" s="65" t="s">
        <v>890</v>
      </c>
    </row>
    <row r="211" spans="1:1" x14ac:dyDescent="0.25">
      <c r="A211" s="235" t="s">
        <v>891</v>
      </c>
    </row>
    <row r="212" spans="1:1" x14ac:dyDescent="0.25">
      <c r="A212" s="65" t="s">
        <v>892</v>
      </c>
    </row>
    <row r="214" spans="1:1" x14ac:dyDescent="0.25">
      <c r="A214" s="235" t="s">
        <v>893</v>
      </c>
    </row>
    <row r="215" spans="1:1" x14ac:dyDescent="0.25">
      <c r="A215" s="65" t="s">
        <v>894</v>
      </c>
    </row>
    <row r="216" spans="1:1" x14ac:dyDescent="0.25">
      <c r="A216" s="65" t="s">
        <v>895</v>
      </c>
    </row>
    <row r="217" spans="1:1" x14ac:dyDescent="0.25">
      <c r="A217" s="65" t="s">
        <v>896</v>
      </c>
    </row>
    <row r="219" spans="1:1" x14ac:dyDescent="0.25">
      <c r="A219" s="235" t="s">
        <v>897</v>
      </c>
    </row>
    <row r="220" spans="1:1" x14ac:dyDescent="0.25">
      <c r="A220" s="65" t="s">
        <v>898</v>
      </c>
    </row>
    <row r="221" spans="1:1" x14ac:dyDescent="0.25">
      <c r="A221" s="65" t="s">
        <v>899</v>
      </c>
    </row>
    <row r="223" spans="1:1" x14ac:dyDescent="0.25">
      <c r="A223" s="235" t="s">
        <v>900</v>
      </c>
    </row>
    <row r="224" spans="1:1" x14ac:dyDescent="0.25">
      <c r="A224" s="65" t="s">
        <v>901</v>
      </c>
    </row>
    <row r="225" spans="1:1" ht="31.5" x14ac:dyDescent="0.25">
      <c r="A225" s="137" t="s">
        <v>902</v>
      </c>
    </row>
    <row r="226" spans="1:1" x14ac:dyDescent="0.25">
      <c r="A226" s="65" t="s">
        <v>903</v>
      </c>
    </row>
    <row r="227" spans="1:1" x14ac:dyDescent="0.25">
      <c r="A227" s="65" t="s">
        <v>904</v>
      </c>
    </row>
    <row r="228" spans="1:1" x14ac:dyDescent="0.25">
      <c r="A228" s="65" t="s">
        <v>905</v>
      </c>
    </row>
    <row r="229" spans="1:1" x14ac:dyDescent="0.25">
      <c r="A229" s="65" t="s">
        <v>906</v>
      </c>
    </row>
    <row r="230" spans="1:1" ht="31.5" x14ac:dyDescent="0.25">
      <c r="A230" s="137" t="s">
        <v>907</v>
      </c>
    </row>
    <row r="231" spans="1:1" ht="31.5" x14ac:dyDescent="0.25">
      <c r="A231" s="137" t="s">
        <v>908</v>
      </c>
    </row>
    <row r="232" spans="1:1" ht="31.5" x14ac:dyDescent="0.25">
      <c r="A232" s="137" t="s">
        <v>909</v>
      </c>
    </row>
    <row r="233" spans="1:1" x14ac:dyDescent="0.25">
      <c r="A233" s="137" t="s">
        <v>910</v>
      </c>
    </row>
    <row r="234" spans="1:1" ht="31.5" x14ac:dyDescent="0.25">
      <c r="A234" s="137" t="s">
        <v>911</v>
      </c>
    </row>
    <row r="235" spans="1:1" x14ac:dyDescent="0.25">
      <c r="A235" s="65" t="s">
        <v>912</v>
      </c>
    </row>
    <row r="236" spans="1:1" x14ac:dyDescent="0.25">
      <c r="A236" s="65" t="s">
        <v>913</v>
      </c>
    </row>
    <row r="237" spans="1:1" x14ac:dyDescent="0.25">
      <c r="A237" s="65" t="s">
        <v>914</v>
      </c>
    </row>
    <row r="238" spans="1:1" x14ac:dyDescent="0.25">
      <c r="A238" s="65" t="s">
        <v>915</v>
      </c>
    </row>
    <row r="239" spans="1:1" ht="31.5" x14ac:dyDescent="0.25">
      <c r="A239" s="137" t="s">
        <v>916</v>
      </c>
    </row>
    <row r="240" spans="1:1" x14ac:dyDescent="0.25">
      <c r="A240" s="137" t="s">
        <v>917</v>
      </c>
    </row>
    <row r="241" spans="1:1" ht="31.5" x14ac:dyDescent="0.25">
      <c r="A241" s="137" t="s">
        <v>918</v>
      </c>
    </row>
    <row r="242" spans="1:1" x14ac:dyDescent="0.25">
      <c r="A242" s="137" t="s">
        <v>919</v>
      </c>
    </row>
    <row r="243" spans="1:1" x14ac:dyDescent="0.25">
      <c r="A243" s="137" t="s">
        <v>920</v>
      </c>
    </row>
    <row r="244" spans="1:1" x14ac:dyDescent="0.25">
      <c r="A244" s="137" t="s">
        <v>921</v>
      </c>
    </row>
    <row r="245" spans="1:1" ht="31.5" x14ac:dyDescent="0.25">
      <c r="A245" s="137" t="s">
        <v>922</v>
      </c>
    </row>
    <row r="246" spans="1:1" ht="31.5" x14ac:dyDescent="0.25">
      <c r="A246" s="137" t="s">
        <v>923</v>
      </c>
    </row>
    <row r="247" spans="1:1" ht="31.5" x14ac:dyDescent="0.25">
      <c r="A247" s="137" t="s">
        <v>924</v>
      </c>
    </row>
    <row r="248" spans="1:1" ht="31.5" x14ac:dyDescent="0.25">
      <c r="A248" s="137" t="s">
        <v>925</v>
      </c>
    </row>
    <row r="249" spans="1:1" x14ac:dyDescent="0.25">
      <c r="A249" s="137" t="s">
        <v>926</v>
      </c>
    </row>
    <row r="250" spans="1:1" x14ac:dyDescent="0.25">
      <c r="A250" s="137"/>
    </row>
    <row r="251" spans="1:1" x14ac:dyDescent="0.25">
      <c r="A251" s="235" t="s">
        <v>927</v>
      </c>
    </row>
    <row r="252" spans="1:1" ht="47.25" x14ac:dyDescent="0.25">
      <c r="A252" s="137" t="s">
        <v>928</v>
      </c>
    </row>
    <row r="253" spans="1:1" x14ac:dyDescent="0.25">
      <c r="A253" s="65" t="s">
        <v>929</v>
      </c>
    </row>
    <row r="254" spans="1:1" x14ac:dyDescent="0.25">
      <c r="A254" s="65" t="s">
        <v>930</v>
      </c>
    </row>
    <row r="255" spans="1:1" x14ac:dyDescent="0.25">
      <c r="A255" s="65" t="s">
        <v>931</v>
      </c>
    </row>
    <row r="256" spans="1:1" ht="15.75" customHeight="1" x14ac:dyDescent="0.25">
      <c r="A256" s="65" t="s">
        <v>932</v>
      </c>
    </row>
    <row r="257" spans="1:1" ht="15.75" customHeight="1" x14ac:dyDescent="0.25">
      <c r="A257" s="65" t="s">
        <v>933</v>
      </c>
    </row>
    <row r="258" spans="1:1" x14ac:dyDescent="0.25">
      <c r="A258" s="65" t="s">
        <v>934</v>
      </c>
    </row>
    <row r="259" spans="1:1" x14ac:dyDescent="0.25">
      <c r="A259" s="137" t="s">
        <v>935</v>
      </c>
    </row>
    <row r="260" spans="1:1" x14ac:dyDescent="0.25">
      <c r="A260" s="65" t="s">
        <v>936</v>
      </c>
    </row>
    <row r="261" spans="1:1" x14ac:dyDescent="0.25">
      <c r="A261" s="65" t="s">
        <v>937</v>
      </c>
    </row>
    <row r="262" spans="1:1" x14ac:dyDescent="0.25">
      <c r="A262" s="65" t="s">
        <v>938</v>
      </c>
    </row>
    <row r="263" spans="1:1" x14ac:dyDescent="0.25">
      <c r="A263" s="65" t="s">
        <v>939</v>
      </c>
    </row>
    <row r="264" spans="1:1" x14ac:dyDescent="0.25">
      <c r="A264" s="65" t="s">
        <v>940</v>
      </c>
    </row>
    <row r="265" spans="1:1" x14ac:dyDescent="0.25">
      <c r="A265" s="65" t="s">
        <v>941</v>
      </c>
    </row>
    <row r="266" spans="1:1" x14ac:dyDescent="0.25">
      <c r="A266" s="65" t="s">
        <v>942</v>
      </c>
    </row>
    <row r="267" spans="1:1" x14ac:dyDescent="0.25">
      <c r="A267" s="65" t="s">
        <v>943</v>
      </c>
    </row>
    <row r="268" spans="1:1" x14ac:dyDescent="0.25">
      <c r="A268" s="65" t="s">
        <v>944</v>
      </c>
    </row>
    <row r="269" spans="1:1" ht="31.5" x14ac:dyDescent="0.25">
      <c r="A269" s="137" t="s">
        <v>945</v>
      </c>
    </row>
    <row r="270" spans="1:1" x14ac:dyDescent="0.25">
      <c r="A270" s="65" t="s">
        <v>946</v>
      </c>
    </row>
    <row r="271" spans="1:1" x14ac:dyDescent="0.25">
      <c r="A271" s="65" t="s">
        <v>947</v>
      </c>
    </row>
    <row r="272" spans="1:1" x14ac:dyDescent="0.25">
      <c r="A272" s="65" t="s">
        <v>948</v>
      </c>
    </row>
    <row r="273" spans="1:1" x14ac:dyDescent="0.25">
      <c r="A273" s="65" t="s">
        <v>949</v>
      </c>
    </row>
    <row r="274" spans="1:1" x14ac:dyDescent="0.25">
      <c r="A274" s="65" t="s">
        <v>950</v>
      </c>
    </row>
    <row r="275" spans="1:1" x14ac:dyDescent="0.25">
      <c r="A275" s="65" t="s">
        <v>951</v>
      </c>
    </row>
    <row r="276" spans="1:1" x14ac:dyDescent="0.25">
      <c r="A276" s="65" t="s">
        <v>952</v>
      </c>
    </row>
    <row r="277" spans="1:1" x14ac:dyDescent="0.25">
      <c r="A277" s="65" t="s">
        <v>953</v>
      </c>
    </row>
    <row r="278" spans="1:1" x14ac:dyDescent="0.25">
      <c r="A278" s="65" t="s">
        <v>954</v>
      </c>
    </row>
    <row r="279" spans="1:1" x14ac:dyDescent="0.25">
      <c r="A279" s="65" t="s">
        <v>955</v>
      </c>
    </row>
    <row r="280" spans="1:1" x14ac:dyDescent="0.25">
      <c r="A280" s="65" t="s">
        <v>956</v>
      </c>
    </row>
  </sheetData>
  <sheetProtection sheet="1" objects="1" scenarios="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71633-D70F-410E-83BF-85BE76FEDB3C}">
  <dimension ref="A1:K49"/>
  <sheetViews>
    <sheetView zoomScale="80" zoomScaleNormal="80" workbookViewId="0">
      <selection activeCell="L2" sqref="L2"/>
    </sheetView>
  </sheetViews>
  <sheetFormatPr defaultRowHeight="15.75" x14ac:dyDescent="0.25"/>
  <cols>
    <col min="1" max="1" width="15.5" style="531" customWidth="1"/>
    <col min="2" max="2" width="14.5" style="531" customWidth="1"/>
    <col min="3" max="7" width="8.796875" style="531"/>
    <col min="8" max="8" width="11.3984375" style="532" customWidth="1"/>
    <col min="9" max="9" width="11.19921875" style="532" customWidth="1"/>
    <col min="10" max="11" width="8.796875" style="532"/>
    <col min="12" max="16384" width="8.796875" style="531"/>
  </cols>
  <sheetData>
    <row r="1" spans="1:11" x14ac:dyDescent="0.25">
      <c r="A1" s="710" t="s">
        <v>148</v>
      </c>
      <c r="B1" s="710"/>
      <c r="C1" s="710"/>
      <c r="D1" s="710"/>
      <c r="E1" s="710"/>
      <c r="F1" s="710"/>
      <c r="H1" s="702" t="s">
        <v>149</v>
      </c>
      <c r="I1" s="702"/>
      <c r="J1" s="702"/>
      <c r="K1" s="702"/>
    </row>
    <row r="2" spans="1:11" x14ac:dyDescent="0.25">
      <c r="A2" s="710"/>
      <c r="B2" s="710"/>
      <c r="C2" s="710"/>
      <c r="D2" s="710"/>
      <c r="E2" s="710"/>
      <c r="F2" s="710"/>
      <c r="H2" s="702"/>
      <c r="I2" s="702"/>
      <c r="J2" s="702"/>
      <c r="K2" s="702"/>
    </row>
    <row r="3" spans="1:11" ht="18" customHeight="1" x14ac:dyDescent="0.25">
      <c r="A3" s="711" t="s">
        <v>150</v>
      </c>
      <c r="B3" s="711"/>
      <c r="C3" s="711"/>
      <c r="D3" s="711"/>
      <c r="E3" s="711"/>
      <c r="F3" s="711"/>
      <c r="H3" s="307" t="s">
        <v>151</v>
      </c>
      <c r="I3" s="703" t="s">
        <v>152</v>
      </c>
      <c r="J3" s="704"/>
      <c r="K3" s="705"/>
    </row>
    <row r="4" spans="1:11" ht="18" customHeight="1" x14ac:dyDescent="0.25">
      <c r="A4" s="711"/>
      <c r="B4" s="711"/>
      <c r="C4" s="711"/>
      <c r="D4" s="711"/>
      <c r="E4" s="711"/>
      <c r="F4" s="711"/>
      <c r="H4" s="307"/>
      <c r="I4" s="307"/>
    </row>
    <row r="5" spans="1:11" ht="18" customHeight="1" x14ac:dyDescent="0.25">
      <c r="A5" s="711"/>
      <c r="B5" s="711"/>
      <c r="C5" s="711"/>
      <c r="D5" s="711"/>
      <c r="E5" s="711"/>
      <c r="F5" s="711"/>
      <c r="H5" s="307" t="s">
        <v>153</v>
      </c>
      <c r="I5" s="703" t="s">
        <v>154</v>
      </c>
      <c r="J5" s="704"/>
      <c r="K5" s="705"/>
    </row>
    <row r="6" spans="1:11" ht="18" customHeight="1" x14ac:dyDescent="0.25">
      <c r="A6" s="711"/>
      <c r="B6" s="711"/>
      <c r="C6" s="711"/>
      <c r="D6" s="711"/>
      <c r="E6" s="711"/>
      <c r="F6" s="711"/>
      <c r="H6" s="307"/>
      <c r="I6" s="307"/>
    </row>
    <row r="7" spans="1:11" ht="18" customHeight="1" x14ac:dyDescent="0.25">
      <c r="A7" s="711"/>
      <c r="B7" s="711"/>
      <c r="C7" s="711"/>
      <c r="D7" s="711"/>
      <c r="E7" s="711"/>
      <c r="F7" s="711"/>
      <c r="H7" s="307" t="s">
        <v>155</v>
      </c>
      <c r="I7" s="703" t="s">
        <v>156</v>
      </c>
      <c r="J7" s="704"/>
      <c r="K7" s="705"/>
    </row>
    <row r="8" spans="1:11" ht="18" customHeight="1" x14ac:dyDescent="0.25">
      <c r="A8" s="711"/>
      <c r="B8" s="711"/>
      <c r="C8" s="711"/>
      <c r="D8" s="711"/>
      <c r="E8" s="711"/>
      <c r="F8" s="711"/>
      <c r="H8" s="307"/>
      <c r="I8" s="307"/>
    </row>
    <row r="9" spans="1:11" ht="18" customHeight="1" x14ac:dyDescent="0.25">
      <c r="A9" s="711"/>
      <c r="B9" s="711"/>
      <c r="C9" s="711"/>
      <c r="D9" s="711"/>
      <c r="E9" s="711"/>
      <c r="F9" s="711"/>
      <c r="H9" s="307" t="s">
        <v>157</v>
      </c>
      <c r="I9" s="703" t="s">
        <v>158</v>
      </c>
      <c r="J9" s="704"/>
      <c r="K9" s="705"/>
    </row>
    <row r="10" spans="1:11" ht="18" customHeight="1" x14ac:dyDescent="0.25">
      <c r="A10" s="711"/>
      <c r="B10" s="711"/>
      <c r="C10" s="711"/>
      <c r="D10" s="711"/>
      <c r="E10" s="711"/>
      <c r="F10" s="711"/>
      <c r="H10" s="307"/>
      <c r="I10" s="307"/>
    </row>
    <row r="11" spans="1:11" ht="18" customHeight="1" x14ac:dyDescent="0.25">
      <c r="A11" s="711"/>
      <c r="B11" s="711"/>
      <c r="C11" s="711"/>
      <c r="D11" s="711"/>
      <c r="E11" s="711"/>
      <c r="F11" s="711"/>
      <c r="H11" s="307" t="s">
        <v>159</v>
      </c>
      <c r="I11" s="703" t="s">
        <v>158</v>
      </c>
      <c r="J11" s="704"/>
      <c r="K11" s="705"/>
    </row>
    <row r="12" spans="1:11" ht="18" customHeight="1" x14ac:dyDescent="0.25">
      <c r="A12" s="711"/>
      <c r="B12" s="711"/>
      <c r="C12" s="711"/>
      <c r="D12" s="711"/>
      <c r="E12" s="711"/>
      <c r="F12" s="711"/>
    </row>
    <row r="13" spans="1:11" ht="20.25" x14ac:dyDescent="0.25">
      <c r="A13" s="702" t="s">
        <v>160</v>
      </c>
      <c r="B13" s="702"/>
      <c r="C13" s="702"/>
      <c r="D13" s="702"/>
      <c r="E13" s="702"/>
      <c r="F13" s="702"/>
      <c r="G13" s="702"/>
      <c r="H13" s="702"/>
      <c r="I13" s="702"/>
      <c r="J13" s="702"/>
      <c r="K13" s="702"/>
    </row>
    <row r="14" spans="1:11" x14ac:dyDescent="0.25">
      <c r="A14" s="533" t="s">
        <v>161</v>
      </c>
      <c r="B14" s="703"/>
      <c r="C14" s="704"/>
      <c r="D14" s="704"/>
      <c r="E14" s="705"/>
      <c r="H14" s="706" t="s">
        <v>162</v>
      </c>
      <c r="I14" s="706"/>
      <c r="J14" s="706"/>
      <c r="K14" s="706"/>
    </row>
    <row r="15" spans="1:11" x14ac:dyDescent="0.25">
      <c r="A15" s="533"/>
      <c r="B15" s="534"/>
      <c r="C15" s="535"/>
      <c r="D15" s="535"/>
      <c r="E15" s="535"/>
      <c r="H15" s="706"/>
      <c r="I15" s="706"/>
      <c r="J15" s="706"/>
      <c r="K15" s="706"/>
    </row>
    <row r="16" spans="1:11" x14ac:dyDescent="0.25">
      <c r="A16" s="533" t="s">
        <v>151</v>
      </c>
      <c r="B16" s="703"/>
      <c r="C16" s="704"/>
      <c r="D16" s="704"/>
      <c r="E16" s="705"/>
      <c r="H16" s="706"/>
      <c r="I16" s="706"/>
      <c r="J16" s="706"/>
      <c r="K16" s="706"/>
    </row>
    <row r="17" spans="1:11" x14ac:dyDescent="0.25">
      <c r="A17" s="536"/>
      <c r="B17" s="535"/>
      <c r="C17" s="535"/>
      <c r="D17" s="535"/>
      <c r="E17" s="535"/>
      <c r="H17" s="706"/>
      <c r="I17" s="706"/>
      <c r="J17" s="706"/>
      <c r="K17" s="706"/>
    </row>
    <row r="18" spans="1:11" x14ac:dyDescent="0.25">
      <c r="A18" s="537" t="s">
        <v>153</v>
      </c>
      <c r="B18" s="703"/>
      <c r="C18" s="704"/>
      <c r="D18" s="704"/>
      <c r="E18" s="705"/>
      <c r="H18" s="706"/>
      <c r="I18" s="706"/>
      <c r="J18" s="706"/>
      <c r="K18" s="706"/>
    </row>
    <row r="19" spans="1:11" x14ac:dyDescent="0.25">
      <c r="A19" s="538" t="s">
        <v>163</v>
      </c>
      <c r="B19" s="535"/>
      <c r="C19" s="535"/>
      <c r="D19" s="307"/>
      <c r="E19" s="535"/>
      <c r="H19" s="706"/>
      <c r="I19" s="706"/>
      <c r="J19" s="706"/>
      <c r="K19" s="706"/>
    </row>
    <row r="20" spans="1:11" x14ac:dyDescent="0.25">
      <c r="A20" s="537" t="s">
        <v>155</v>
      </c>
      <c r="B20" s="703"/>
      <c r="C20" s="704"/>
      <c r="D20" s="704"/>
      <c r="E20" s="705"/>
      <c r="H20" s="706"/>
      <c r="I20" s="706"/>
      <c r="J20" s="706"/>
      <c r="K20" s="706"/>
    </row>
    <row r="21" spans="1:11" x14ac:dyDescent="0.25">
      <c r="A21" s="537"/>
      <c r="B21" s="307"/>
      <c r="C21" s="307"/>
      <c r="D21" s="307"/>
      <c r="E21" s="535"/>
      <c r="H21" s="706"/>
      <c r="I21" s="706"/>
      <c r="J21" s="706"/>
      <c r="K21" s="706"/>
    </row>
    <row r="22" spans="1:11" x14ac:dyDescent="0.25">
      <c r="A22" s="537" t="s">
        <v>157</v>
      </c>
      <c r="B22" s="707"/>
      <c r="C22" s="708"/>
      <c r="D22" s="708"/>
      <c r="E22" s="709"/>
      <c r="H22" s="706"/>
      <c r="I22" s="706"/>
      <c r="J22" s="706"/>
      <c r="K22" s="706"/>
    </row>
    <row r="23" spans="1:11" x14ac:dyDescent="0.25">
      <c r="A23" s="537"/>
      <c r="B23" s="307"/>
      <c r="C23" s="307"/>
      <c r="D23" s="307"/>
      <c r="E23" s="535"/>
      <c r="H23" s="706"/>
      <c r="I23" s="706"/>
      <c r="J23" s="706"/>
      <c r="K23" s="706"/>
    </row>
    <row r="24" spans="1:11" x14ac:dyDescent="0.25">
      <c r="A24" s="537" t="s">
        <v>164</v>
      </c>
      <c r="B24" s="707"/>
      <c r="C24" s="708"/>
      <c r="D24" s="708"/>
      <c r="E24" s="709"/>
      <c r="H24" s="706"/>
      <c r="I24" s="706"/>
      <c r="J24" s="706"/>
      <c r="K24" s="706"/>
    </row>
    <row r="27" spans="1:11" ht="20.25" x14ac:dyDescent="0.25">
      <c r="A27" s="702" t="s">
        <v>165</v>
      </c>
      <c r="B27" s="702"/>
      <c r="C27" s="702"/>
      <c r="D27" s="702"/>
      <c r="E27" s="702"/>
      <c r="F27" s="702"/>
      <c r="G27" s="702"/>
      <c r="H27" s="702"/>
      <c r="I27" s="702"/>
      <c r="J27" s="702"/>
      <c r="K27" s="702"/>
    </row>
    <row r="28" spans="1:11" x14ac:dyDescent="0.25">
      <c r="A28" s="533" t="s">
        <v>161</v>
      </c>
      <c r="B28" s="703"/>
      <c r="C28" s="704"/>
      <c r="D28" s="704"/>
      <c r="E28" s="705"/>
      <c r="H28" s="706" t="s">
        <v>166</v>
      </c>
      <c r="I28" s="706"/>
      <c r="J28" s="706"/>
      <c r="K28" s="706"/>
    </row>
    <row r="29" spans="1:11" x14ac:dyDescent="0.25">
      <c r="A29" s="533"/>
      <c r="B29" s="534"/>
      <c r="H29" s="706"/>
      <c r="I29" s="706"/>
      <c r="J29" s="706"/>
      <c r="K29" s="706"/>
    </row>
    <row r="30" spans="1:11" x14ac:dyDescent="0.25">
      <c r="A30" s="533" t="s">
        <v>151</v>
      </c>
      <c r="B30" s="703"/>
      <c r="C30" s="704"/>
      <c r="D30" s="704"/>
      <c r="E30" s="705"/>
      <c r="H30" s="706"/>
      <c r="I30" s="706"/>
      <c r="J30" s="706"/>
      <c r="K30" s="706"/>
    </row>
    <row r="31" spans="1:11" x14ac:dyDescent="0.25">
      <c r="A31" s="536"/>
      <c r="H31" s="706"/>
      <c r="I31" s="706"/>
      <c r="J31" s="706"/>
      <c r="K31" s="706"/>
    </row>
    <row r="32" spans="1:11" x14ac:dyDescent="0.25">
      <c r="A32" s="537" t="s">
        <v>153</v>
      </c>
      <c r="B32" s="703"/>
      <c r="C32" s="704"/>
      <c r="D32" s="704"/>
      <c r="E32" s="705"/>
      <c r="H32" s="706"/>
      <c r="I32" s="706"/>
      <c r="J32" s="706"/>
      <c r="K32" s="706"/>
    </row>
    <row r="33" spans="1:11" x14ac:dyDescent="0.25">
      <c r="A33" s="538" t="s">
        <v>163</v>
      </c>
      <c r="D33" s="307"/>
      <c r="H33" s="706"/>
      <c r="I33" s="706"/>
      <c r="J33" s="706"/>
      <c r="K33" s="706"/>
    </row>
    <row r="34" spans="1:11" x14ac:dyDescent="0.25">
      <c r="A34" s="537" t="s">
        <v>155</v>
      </c>
      <c r="B34" s="703"/>
      <c r="C34" s="704"/>
      <c r="D34" s="704"/>
      <c r="E34" s="705"/>
      <c r="H34" s="706"/>
      <c r="I34" s="706"/>
      <c r="J34" s="706"/>
      <c r="K34" s="706"/>
    </row>
    <row r="35" spans="1:11" x14ac:dyDescent="0.25">
      <c r="A35" s="537"/>
      <c r="B35" s="307"/>
      <c r="C35" s="307"/>
      <c r="D35" s="307"/>
      <c r="H35" s="706"/>
      <c r="I35" s="706"/>
      <c r="J35" s="706"/>
      <c r="K35" s="706"/>
    </row>
    <row r="36" spans="1:11" x14ac:dyDescent="0.25">
      <c r="A36" s="537" t="s">
        <v>157</v>
      </c>
      <c r="B36" s="707"/>
      <c r="C36" s="708"/>
      <c r="D36" s="708"/>
      <c r="E36" s="709"/>
      <c r="H36" s="706"/>
      <c r="I36" s="706"/>
      <c r="J36" s="706"/>
      <c r="K36" s="706"/>
    </row>
    <row r="37" spans="1:11" x14ac:dyDescent="0.25">
      <c r="A37" s="537"/>
      <c r="B37" s="307"/>
      <c r="C37" s="307"/>
      <c r="D37" s="307"/>
      <c r="H37" s="706"/>
      <c r="I37" s="706"/>
      <c r="J37" s="706"/>
      <c r="K37" s="706"/>
    </row>
    <row r="38" spans="1:11" x14ac:dyDescent="0.25">
      <c r="A38" s="537" t="s">
        <v>164</v>
      </c>
      <c r="B38" s="707"/>
      <c r="C38" s="708"/>
      <c r="D38" s="708"/>
      <c r="E38" s="709"/>
      <c r="H38" s="706"/>
      <c r="I38" s="706"/>
      <c r="J38" s="706"/>
      <c r="K38" s="706"/>
    </row>
    <row r="39" spans="1:11" x14ac:dyDescent="0.25">
      <c r="H39" s="706"/>
      <c r="I39" s="706"/>
      <c r="J39" s="706"/>
      <c r="K39" s="706"/>
    </row>
    <row r="41" spans="1:11" ht="20.25" x14ac:dyDescent="0.25">
      <c r="A41" s="702" t="s">
        <v>167</v>
      </c>
      <c r="B41" s="702"/>
      <c r="C41" s="702"/>
      <c r="D41" s="702"/>
      <c r="E41" s="702"/>
      <c r="F41" s="702"/>
      <c r="G41" s="702"/>
      <c r="H41" s="702"/>
      <c r="I41" s="702"/>
      <c r="J41" s="702"/>
      <c r="K41" s="702"/>
    </row>
    <row r="42" spans="1:11" x14ac:dyDescent="0.25">
      <c r="A42" s="537" t="s">
        <v>153</v>
      </c>
      <c r="B42" s="703"/>
      <c r="C42" s="704"/>
      <c r="D42" s="704"/>
      <c r="E42" s="705"/>
      <c r="H42" s="706" t="s">
        <v>168</v>
      </c>
      <c r="I42" s="706"/>
      <c r="J42" s="706"/>
      <c r="K42" s="706"/>
    </row>
    <row r="43" spans="1:11" x14ac:dyDescent="0.25">
      <c r="A43" s="538" t="s">
        <v>163</v>
      </c>
      <c r="B43" s="535"/>
      <c r="C43" s="535"/>
      <c r="D43" s="307"/>
      <c r="E43" s="535"/>
      <c r="H43" s="706"/>
      <c r="I43" s="706"/>
      <c r="J43" s="706"/>
      <c r="K43" s="706"/>
    </row>
    <row r="44" spans="1:11" x14ac:dyDescent="0.25">
      <c r="A44" s="537" t="s">
        <v>155</v>
      </c>
      <c r="B44" s="703"/>
      <c r="C44" s="704"/>
      <c r="D44" s="704"/>
      <c r="E44" s="705"/>
      <c r="H44" s="706"/>
      <c r="I44" s="706"/>
      <c r="J44" s="706"/>
      <c r="K44" s="706"/>
    </row>
    <row r="45" spans="1:11" x14ac:dyDescent="0.25">
      <c r="A45" s="537"/>
      <c r="B45" s="307"/>
      <c r="C45" s="307"/>
      <c r="D45" s="307"/>
      <c r="E45" s="535"/>
      <c r="H45" s="706"/>
      <c r="I45" s="706"/>
      <c r="J45" s="706"/>
      <c r="K45" s="706"/>
    </row>
    <row r="46" spans="1:11" x14ac:dyDescent="0.25">
      <c r="A46" s="537" t="s">
        <v>157</v>
      </c>
      <c r="B46" s="707"/>
      <c r="C46" s="708"/>
      <c r="D46" s="708"/>
      <c r="E46" s="709"/>
      <c r="H46" s="706"/>
      <c r="I46" s="706"/>
      <c r="J46" s="706"/>
      <c r="K46" s="706"/>
    </row>
    <row r="47" spans="1:11" x14ac:dyDescent="0.25">
      <c r="H47" s="706"/>
      <c r="I47" s="706"/>
      <c r="J47" s="706"/>
      <c r="K47" s="706"/>
    </row>
    <row r="48" spans="1:11" x14ac:dyDescent="0.25">
      <c r="H48" s="706"/>
      <c r="I48" s="706"/>
      <c r="J48" s="706"/>
      <c r="K48" s="706"/>
    </row>
    <row r="49" spans="8:11" x14ac:dyDescent="0.25">
      <c r="H49" s="706"/>
      <c r="I49" s="706"/>
      <c r="J49" s="706"/>
      <c r="K49" s="706"/>
    </row>
  </sheetData>
  <sheetProtection sheet="1"/>
  <mergeCells count="29">
    <mergeCell ref="A1:F2"/>
    <mergeCell ref="H1:K2"/>
    <mergeCell ref="A3:F12"/>
    <mergeCell ref="I3:K3"/>
    <mergeCell ref="I5:K5"/>
    <mergeCell ref="I7:K7"/>
    <mergeCell ref="I9:K9"/>
    <mergeCell ref="I11:K11"/>
    <mergeCell ref="A13:K13"/>
    <mergeCell ref="B14:E14"/>
    <mergeCell ref="H14:K24"/>
    <mergeCell ref="B16:E16"/>
    <mergeCell ref="B18:E18"/>
    <mergeCell ref="B20:E20"/>
    <mergeCell ref="B22:E22"/>
    <mergeCell ref="B24:E24"/>
    <mergeCell ref="A27:K27"/>
    <mergeCell ref="B28:E28"/>
    <mergeCell ref="H28:K39"/>
    <mergeCell ref="B30:E30"/>
    <mergeCell ref="B32:E32"/>
    <mergeCell ref="B34:E34"/>
    <mergeCell ref="B36:E36"/>
    <mergeCell ref="B38:E38"/>
    <mergeCell ref="A41:K41"/>
    <mergeCell ref="B42:E42"/>
    <mergeCell ref="H42:K49"/>
    <mergeCell ref="B44:E44"/>
    <mergeCell ref="B46:E4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rgb="FF00B0F0"/>
  </sheetPr>
  <dimension ref="A1:A46"/>
  <sheetViews>
    <sheetView workbookViewId="0">
      <selection sqref="A1:A40"/>
    </sheetView>
  </sheetViews>
  <sheetFormatPr defaultRowHeight="15.75" x14ac:dyDescent="0.25"/>
  <cols>
    <col min="1" max="1" width="87.8984375" customWidth="1"/>
  </cols>
  <sheetData>
    <row r="1" spans="1:1" x14ac:dyDescent="0.25">
      <c r="A1" s="712" t="s">
        <v>169</v>
      </c>
    </row>
    <row r="2" spans="1:1" x14ac:dyDescent="0.25">
      <c r="A2" s="712"/>
    </row>
    <row r="3" spans="1:1" x14ac:dyDescent="0.25">
      <c r="A3" s="712"/>
    </row>
    <row r="4" spans="1:1" x14ac:dyDescent="0.25">
      <c r="A4" s="712"/>
    </row>
    <row r="5" spans="1:1" x14ac:dyDescent="0.25">
      <c r="A5" s="712"/>
    </row>
    <row r="6" spans="1:1" x14ac:dyDescent="0.25">
      <c r="A6" s="712"/>
    </row>
    <row r="7" spans="1:1" x14ac:dyDescent="0.25">
      <c r="A7" s="712"/>
    </row>
    <row r="8" spans="1:1" x14ac:dyDescent="0.25">
      <c r="A8" s="712"/>
    </row>
    <row r="9" spans="1:1" x14ac:dyDescent="0.25">
      <c r="A9" s="712"/>
    </row>
    <row r="10" spans="1:1" x14ac:dyDescent="0.25">
      <c r="A10" s="712"/>
    </row>
    <row r="11" spans="1:1" x14ac:dyDescent="0.25">
      <c r="A11" s="712"/>
    </row>
    <row r="12" spans="1:1" x14ac:dyDescent="0.25">
      <c r="A12" s="712"/>
    </row>
    <row r="13" spans="1:1" x14ac:dyDescent="0.25">
      <c r="A13" s="712"/>
    </row>
    <row r="14" spans="1:1" x14ac:dyDescent="0.25">
      <c r="A14" s="712"/>
    </row>
    <row r="15" spans="1:1" x14ac:dyDescent="0.25">
      <c r="A15" s="712"/>
    </row>
    <row r="16" spans="1:1" x14ac:dyDescent="0.25">
      <c r="A16" s="712"/>
    </row>
    <row r="17" spans="1:1" x14ac:dyDescent="0.25">
      <c r="A17" s="712"/>
    </row>
    <row r="18" spans="1:1" x14ac:dyDescent="0.25">
      <c r="A18" s="712"/>
    </row>
    <row r="19" spans="1:1" x14ac:dyDescent="0.25">
      <c r="A19" s="712"/>
    </row>
    <row r="20" spans="1:1" x14ac:dyDescent="0.25">
      <c r="A20" s="712"/>
    </row>
    <row r="21" spans="1:1" x14ac:dyDescent="0.25">
      <c r="A21" s="712"/>
    </row>
    <row r="22" spans="1:1" x14ac:dyDescent="0.25">
      <c r="A22" s="712"/>
    </row>
    <row r="23" spans="1:1" x14ac:dyDescent="0.25">
      <c r="A23" s="712"/>
    </row>
    <row r="24" spans="1:1" x14ac:dyDescent="0.25">
      <c r="A24" s="712"/>
    </row>
    <row r="25" spans="1:1" x14ac:dyDescent="0.25">
      <c r="A25" s="712"/>
    </row>
    <row r="26" spans="1:1" x14ac:dyDescent="0.25">
      <c r="A26" s="712"/>
    </row>
    <row r="27" spans="1:1" x14ac:dyDescent="0.25">
      <c r="A27" s="712"/>
    </row>
    <row r="28" spans="1:1" x14ac:dyDescent="0.25">
      <c r="A28" s="712"/>
    </row>
    <row r="29" spans="1:1" x14ac:dyDescent="0.25">
      <c r="A29" s="712"/>
    </row>
    <row r="30" spans="1:1" x14ac:dyDescent="0.25">
      <c r="A30" s="712"/>
    </row>
    <row r="31" spans="1:1" x14ac:dyDescent="0.25">
      <c r="A31" s="712"/>
    </row>
    <row r="32" spans="1:1" x14ac:dyDescent="0.25">
      <c r="A32" s="712"/>
    </row>
    <row r="33" spans="1:1" x14ac:dyDescent="0.25">
      <c r="A33" s="712"/>
    </row>
    <row r="34" spans="1:1" x14ac:dyDescent="0.25">
      <c r="A34" s="712"/>
    </row>
    <row r="35" spans="1:1" x14ac:dyDescent="0.25">
      <c r="A35" s="712"/>
    </row>
    <row r="36" spans="1:1" x14ac:dyDescent="0.25">
      <c r="A36" s="712"/>
    </row>
    <row r="37" spans="1:1" x14ac:dyDescent="0.25">
      <c r="A37" s="712"/>
    </row>
    <row r="38" spans="1:1" x14ac:dyDescent="0.25">
      <c r="A38" s="712"/>
    </row>
    <row r="39" spans="1:1" x14ac:dyDescent="0.25">
      <c r="A39" s="712"/>
    </row>
    <row r="40" spans="1:1" x14ac:dyDescent="0.25">
      <c r="A40" s="712"/>
    </row>
    <row r="41" spans="1:1" x14ac:dyDescent="0.25">
      <c r="A41" s="137"/>
    </row>
    <row r="42" spans="1:1" x14ac:dyDescent="0.25">
      <c r="A42" s="137"/>
    </row>
    <row r="43" spans="1:1" x14ac:dyDescent="0.25">
      <c r="A43" s="137"/>
    </row>
    <row r="44" spans="1:1" x14ac:dyDescent="0.25">
      <c r="A44" s="137"/>
    </row>
    <row r="45" spans="1:1" x14ac:dyDescent="0.25">
      <c r="A45" s="137"/>
    </row>
    <row r="46" spans="1:1" x14ac:dyDescent="0.25">
      <c r="A46" s="137"/>
    </row>
  </sheetData>
  <sheetProtection sheet="1" objects="1" scenarios="1"/>
  <mergeCells count="1">
    <mergeCell ref="A1:A4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B0F0"/>
    <pageSetUpPr fitToPage="1"/>
  </sheetPr>
  <dimension ref="A1:AH76"/>
  <sheetViews>
    <sheetView workbookViewId="0">
      <selection activeCell="F49" sqref="F49"/>
    </sheetView>
  </sheetViews>
  <sheetFormatPr defaultRowHeight="15.75" x14ac:dyDescent="0.25"/>
  <cols>
    <col min="1" max="1" width="22.3984375" style="65" customWidth="1"/>
    <col min="2" max="2" width="10.8984375" style="65" customWidth="1"/>
    <col min="3" max="3" width="5.69921875" style="65" customWidth="1"/>
    <col min="4" max="4" width="12.8984375" style="65" customWidth="1"/>
    <col min="5" max="5" width="12.69921875" style="65" customWidth="1"/>
    <col min="6" max="6" width="12.5" style="65" customWidth="1"/>
    <col min="7" max="16384" width="8.796875" style="65"/>
  </cols>
  <sheetData>
    <row r="1" spans="1:34" s="35" customFormat="1" x14ac:dyDescent="0.25">
      <c r="A1" s="720" t="s">
        <v>170</v>
      </c>
      <c r="B1" s="720"/>
      <c r="C1" s="720"/>
      <c r="D1" s="720"/>
      <c r="E1" s="720"/>
      <c r="F1" s="720"/>
      <c r="G1" s="35">
        <f>inputPrYr!D10</f>
        <v>2025</v>
      </c>
      <c r="H1" s="65"/>
      <c r="I1" s="65"/>
      <c r="J1" s="65"/>
      <c r="K1" s="65"/>
      <c r="L1" s="65"/>
      <c r="M1" s="65"/>
      <c r="N1" s="65"/>
      <c r="O1" s="65"/>
      <c r="P1" s="65"/>
      <c r="Q1" s="65"/>
      <c r="R1" s="65"/>
      <c r="S1" s="65"/>
      <c r="T1" s="65"/>
      <c r="U1" s="65"/>
      <c r="V1" s="65"/>
      <c r="W1" s="65"/>
      <c r="X1" s="65"/>
      <c r="Y1" s="65"/>
      <c r="Z1" s="65"/>
      <c r="AA1" s="65"/>
      <c r="AB1" s="65"/>
      <c r="AC1" s="65"/>
      <c r="AD1" s="65"/>
      <c r="AE1" s="65"/>
      <c r="AF1" s="65"/>
      <c r="AG1" s="65"/>
      <c r="AH1" s="65"/>
    </row>
    <row r="2" spans="1:34" s="35" customFormat="1" x14ac:dyDescent="0.25">
      <c r="B2" s="36"/>
      <c r="C2" s="36"/>
      <c r="D2" s="36"/>
      <c r="E2" s="36"/>
      <c r="F2" s="37"/>
      <c r="H2" s="65"/>
      <c r="I2" s="65"/>
      <c r="J2" s="65"/>
      <c r="K2" s="65"/>
      <c r="L2" s="65"/>
      <c r="M2" s="65"/>
      <c r="N2" s="65"/>
      <c r="O2" s="65"/>
      <c r="P2" s="65"/>
      <c r="Q2" s="65"/>
      <c r="R2" s="65"/>
      <c r="S2" s="65"/>
      <c r="T2" s="65"/>
      <c r="U2" s="65"/>
      <c r="V2" s="65"/>
      <c r="W2" s="65"/>
      <c r="X2" s="65"/>
      <c r="Y2" s="65"/>
      <c r="Z2" s="65"/>
      <c r="AA2" s="65"/>
      <c r="AB2" s="65"/>
      <c r="AC2" s="65"/>
      <c r="AD2" s="65"/>
      <c r="AE2" s="65"/>
      <c r="AF2" s="65"/>
      <c r="AG2" s="65"/>
      <c r="AH2" s="65"/>
    </row>
    <row r="3" spans="1:34" s="35" customFormat="1" x14ac:dyDescent="0.25">
      <c r="A3" s="729" t="str">
        <f>CONCATENATE("To the Clerk of ",inputPrYr!D5,", State of Kansas")</f>
        <v>To the Clerk of , State of Kansas</v>
      </c>
      <c r="B3" s="728"/>
      <c r="C3" s="728"/>
      <c r="D3" s="728"/>
      <c r="E3" s="728"/>
      <c r="F3" s="728"/>
      <c r="H3" s="65"/>
      <c r="I3" s="65"/>
      <c r="J3" s="65"/>
      <c r="K3" s="65"/>
      <c r="L3" s="65"/>
      <c r="M3" s="65"/>
      <c r="N3" s="65"/>
      <c r="O3" s="65"/>
      <c r="P3" s="65"/>
      <c r="Q3" s="65"/>
      <c r="R3" s="65"/>
      <c r="S3" s="65"/>
      <c r="T3" s="65"/>
      <c r="U3" s="65"/>
      <c r="V3" s="65"/>
      <c r="W3" s="65"/>
      <c r="X3" s="65"/>
      <c r="Y3" s="65"/>
      <c r="Z3" s="65"/>
      <c r="AA3" s="65"/>
      <c r="AB3" s="65"/>
      <c r="AC3" s="65"/>
      <c r="AD3" s="65"/>
      <c r="AE3" s="65"/>
      <c r="AF3" s="65"/>
      <c r="AG3" s="65"/>
      <c r="AH3" s="65"/>
    </row>
    <row r="4" spans="1:34" s="35" customFormat="1" x14ac:dyDescent="0.25">
      <c r="A4" s="729" t="s">
        <v>171</v>
      </c>
      <c r="B4" s="677"/>
      <c r="C4" s="677"/>
      <c r="D4" s="677"/>
      <c r="E4" s="677"/>
      <c r="F4" s="677"/>
      <c r="H4" s="65"/>
      <c r="I4" s="65"/>
      <c r="J4" s="65"/>
      <c r="K4" s="65"/>
      <c r="L4" s="65"/>
      <c r="M4" s="65"/>
      <c r="N4" s="65"/>
      <c r="O4" s="65"/>
      <c r="P4" s="65"/>
      <c r="Q4" s="65"/>
      <c r="R4" s="65"/>
      <c r="S4" s="65"/>
      <c r="T4" s="65"/>
      <c r="U4" s="65"/>
      <c r="V4" s="65"/>
      <c r="W4" s="65"/>
      <c r="X4" s="65"/>
      <c r="Y4" s="65"/>
      <c r="Z4" s="65"/>
      <c r="AA4" s="65"/>
      <c r="AB4" s="65"/>
      <c r="AC4" s="65"/>
      <c r="AD4" s="65"/>
      <c r="AE4" s="65"/>
      <c r="AF4" s="65"/>
      <c r="AG4" s="65"/>
      <c r="AH4" s="65"/>
    </row>
    <row r="5" spans="1:34" s="35" customFormat="1" x14ac:dyDescent="0.25">
      <c r="A5" s="676">
        <f>inputPrYr!D4</f>
        <v>0</v>
      </c>
      <c r="B5" s="677"/>
      <c r="C5" s="677"/>
      <c r="D5" s="677"/>
      <c r="E5" s="677"/>
      <c r="F5" s="677"/>
      <c r="H5" s="65"/>
      <c r="I5" s="65"/>
      <c r="J5" s="65"/>
      <c r="K5" s="65"/>
      <c r="L5" s="65"/>
      <c r="M5" s="65"/>
      <c r="N5" s="65"/>
      <c r="O5" s="65"/>
      <c r="P5" s="65"/>
      <c r="Q5" s="65"/>
      <c r="R5" s="65"/>
      <c r="S5" s="65"/>
      <c r="T5" s="65"/>
      <c r="U5" s="65"/>
      <c r="V5" s="65"/>
      <c r="W5" s="65"/>
      <c r="X5" s="65"/>
      <c r="Y5" s="65"/>
      <c r="Z5" s="65"/>
      <c r="AA5" s="65"/>
      <c r="AB5" s="65"/>
      <c r="AC5" s="65"/>
      <c r="AD5" s="65"/>
      <c r="AE5" s="65"/>
      <c r="AF5" s="65"/>
      <c r="AG5" s="65"/>
      <c r="AH5" s="65"/>
    </row>
    <row r="6" spans="1:34" s="35" customFormat="1" x14ac:dyDescent="0.25">
      <c r="A6" s="727" t="s">
        <v>172</v>
      </c>
      <c r="B6" s="728"/>
      <c r="C6" s="728"/>
      <c r="D6" s="728"/>
      <c r="E6" s="728"/>
      <c r="F6" s="728"/>
      <c r="H6" s="65"/>
      <c r="I6" s="65"/>
      <c r="J6" s="65"/>
      <c r="K6" s="65"/>
      <c r="L6" s="65"/>
      <c r="M6" s="65"/>
      <c r="N6" s="65"/>
      <c r="O6" s="65"/>
      <c r="P6" s="65"/>
      <c r="Q6" s="65"/>
      <c r="R6" s="65"/>
      <c r="S6" s="65"/>
      <c r="T6" s="65"/>
      <c r="U6" s="65"/>
      <c r="V6" s="65"/>
      <c r="W6" s="65"/>
      <c r="X6" s="65"/>
      <c r="Y6" s="65"/>
      <c r="Z6" s="65"/>
      <c r="AA6" s="65"/>
      <c r="AB6" s="65"/>
      <c r="AC6" s="65"/>
      <c r="AD6" s="65"/>
      <c r="AE6" s="65"/>
      <c r="AF6" s="65"/>
      <c r="AG6" s="65"/>
      <c r="AH6" s="65"/>
    </row>
    <row r="7" spans="1:34" s="35" customFormat="1" ht="15.75" customHeight="1" x14ac:dyDescent="0.25">
      <c r="A7" s="729" t="s">
        <v>173</v>
      </c>
      <c r="B7" s="677"/>
      <c r="C7" s="677"/>
      <c r="D7" s="677"/>
      <c r="E7" s="677"/>
      <c r="F7" s="677"/>
      <c r="H7" s="65"/>
      <c r="I7" s="65"/>
      <c r="J7" s="65"/>
      <c r="K7" s="65"/>
      <c r="L7" s="65"/>
      <c r="M7" s="65"/>
      <c r="N7" s="65"/>
      <c r="O7" s="65"/>
      <c r="P7" s="65"/>
      <c r="Q7" s="65"/>
      <c r="R7" s="65"/>
      <c r="S7" s="65"/>
      <c r="T7" s="65"/>
      <c r="U7" s="65"/>
      <c r="V7" s="65"/>
      <c r="W7" s="65"/>
      <c r="X7" s="65"/>
      <c r="Y7" s="65"/>
      <c r="Z7" s="65"/>
      <c r="AA7" s="65"/>
      <c r="AB7" s="65"/>
      <c r="AC7" s="65"/>
      <c r="AD7" s="65"/>
      <c r="AE7" s="65"/>
      <c r="AF7" s="65"/>
      <c r="AG7" s="65"/>
      <c r="AH7" s="65"/>
    </row>
    <row r="8" spans="1:34" s="35" customFormat="1" ht="15.75" customHeight="1" x14ac:dyDescent="0.25">
      <c r="A8" s="729" t="str">
        <f>CONCATENATE("maximum expenditures for the various funds for the year ",G1,"; and (3) the")</f>
        <v>maximum expenditures for the various funds for the year 2025; and (3) the</v>
      </c>
      <c r="B8" s="677"/>
      <c r="C8" s="677"/>
      <c r="D8" s="677"/>
      <c r="E8" s="677"/>
      <c r="F8" s="677"/>
      <c r="H8" s="65"/>
      <c r="I8" s="65"/>
      <c r="J8" s="65"/>
      <c r="K8" s="65"/>
      <c r="L8" s="65"/>
      <c r="M8" s="65"/>
      <c r="N8" s="65"/>
      <c r="O8" s="65"/>
      <c r="P8" s="65"/>
      <c r="Q8" s="65"/>
      <c r="R8" s="65"/>
      <c r="S8" s="65"/>
      <c r="T8" s="65"/>
      <c r="U8" s="65"/>
      <c r="V8" s="65"/>
      <c r="W8" s="65"/>
      <c r="X8" s="65"/>
      <c r="Y8" s="65"/>
      <c r="Z8" s="65"/>
      <c r="AA8" s="65"/>
      <c r="AB8" s="65"/>
      <c r="AC8" s="65"/>
      <c r="AD8" s="65"/>
      <c r="AE8" s="65"/>
      <c r="AF8" s="65"/>
      <c r="AG8" s="65"/>
      <c r="AH8" s="65"/>
    </row>
    <row r="9" spans="1:34" s="35" customFormat="1" ht="15.75" customHeight="1" x14ac:dyDescent="0.25">
      <c r="A9" s="729" t="str">
        <f>CONCATENATE("Amount(s) of ",G1-1," Ad Valorem Tax are within statutory limitations for the ",G1," Budget.")</f>
        <v>Amount(s) of 2024 Ad Valorem Tax are within statutory limitations for the 2025 Budget.</v>
      </c>
      <c r="B9" s="677"/>
      <c r="C9" s="677"/>
      <c r="D9" s="677"/>
      <c r="E9" s="677"/>
      <c r="F9" s="677"/>
      <c r="H9" s="65"/>
      <c r="I9" s="65"/>
      <c r="J9" s="65"/>
      <c r="K9" s="65"/>
      <c r="L9" s="65"/>
      <c r="M9" s="65"/>
      <c r="N9" s="65"/>
      <c r="O9" s="65"/>
      <c r="P9" s="65"/>
      <c r="Q9" s="65"/>
      <c r="R9" s="65"/>
      <c r="S9" s="65"/>
      <c r="T9" s="65"/>
      <c r="U9" s="65"/>
      <c r="V9" s="65"/>
      <c r="W9" s="65"/>
      <c r="X9" s="65"/>
      <c r="Y9" s="65"/>
      <c r="Z9" s="65"/>
      <c r="AA9" s="65"/>
      <c r="AB9" s="65"/>
      <c r="AC9" s="65"/>
      <c r="AD9" s="65"/>
      <c r="AE9" s="65"/>
      <c r="AF9" s="65"/>
      <c r="AG9" s="65"/>
      <c r="AH9" s="65"/>
    </row>
    <row r="10" spans="1:34" s="35" customFormat="1" ht="15.75" customHeight="1" x14ac:dyDescent="0.25">
      <c r="D10" s="38"/>
      <c r="E10" s="38"/>
      <c r="F10" s="38"/>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row>
    <row r="11" spans="1:34" s="35" customFormat="1" x14ac:dyDescent="0.25">
      <c r="D11" s="724" t="str">
        <f>CONCATENATE("",G1," Adopted Budget")</f>
        <v>2025 Adopted Budget</v>
      </c>
      <c r="E11" s="725"/>
      <c r="F11" s="726"/>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row>
    <row r="12" spans="1:34" s="35" customFormat="1" x14ac:dyDescent="0.25">
      <c r="A12" s="39"/>
      <c r="C12" s="38"/>
      <c r="D12" s="721" t="s">
        <v>174</v>
      </c>
      <c r="E12" s="721" t="str">
        <f>CONCATENATE("Amount of ",G1-1," Ad Valorem Tax")</f>
        <v>Amount of 2024 Ad Valorem Tax</v>
      </c>
      <c r="F12" s="721" t="s">
        <v>175</v>
      </c>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row>
    <row r="13" spans="1:34" s="35" customFormat="1" x14ac:dyDescent="0.25">
      <c r="C13" s="625" t="s">
        <v>176</v>
      </c>
      <c r="D13" s="730"/>
      <c r="E13" s="722"/>
      <c r="F13" s="730"/>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row>
    <row r="14" spans="1:34" s="35" customFormat="1" x14ac:dyDescent="0.25">
      <c r="A14" s="41" t="s">
        <v>177</v>
      </c>
      <c r="B14" s="42"/>
      <c r="C14" s="626" t="s">
        <v>178</v>
      </c>
      <c r="D14" s="731"/>
      <c r="E14" s="723"/>
      <c r="F14" s="731"/>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row>
    <row r="15" spans="1:34" s="35" customFormat="1" x14ac:dyDescent="0.25">
      <c r="A15" s="43" t="s">
        <v>179</v>
      </c>
      <c r="B15" s="44"/>
      <c r="C15" s="46">
        <v>2</v>
      </c>
      <c r="F15" s="47"/>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row>
    <row r="16" spans="1:34" s="35" customFormat="1" x14ac:dyDescent="0.25">
      <c r="A16" s="48" t="s">
        <v>180</v>
      </c>
      <c r="B16" s="44"/>
      <c r="C16" s="46">
        <v>3</v>
      </c>
      <c r="F16" s="47"/>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row>
    <row r="17" spans="1:34" s="35" customFormat="1" x14ac:dyDescent="0.25">
      <c r="A17" s="48" t="s">
        <v>181</v>
      </c>
      <c r="B17" s="44"/>
      <c r="C17" s="46">
        <v>4</v>
      </c>
      <c r="F17" s="47"/>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row>
    <row r="18" spans="1:34" s="35" customFormat="1" x14ac:dyDescent="0.25">
      <c r="A18" s="48" t="str">
        <f>IF(inputPrYr!D23="","","Computation to Determine State Library Grant")</f>
        <v/>
      </c>
      <c r="B18" s="44"/>
      <c r="C18" s="46" t="str">
        <f>IF(inputPrYr!D23="","",'Library Grant'!F40)</f>
        <v/>
      </c>
      <c r="F18" s="47"/>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row>
    <row r="19" spans="1:34" s="35" customFormat="1" x14ac:dyDescent="0.25">
      <c r="A19" s="49" t="s">
        <v>124</v>
      </c>
      <c r="B19" s="50" t="s">
        <v>182</v>
      </c>
      <c r="C19" s="51"/>
      <c r="F19" s="52"/>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row>
    <row r="20" spans="1:34" s="35" customFormat="1" x14ac:dyDescent="0.25">
      <c r="A20" s="53" t="str">
        <f>inputPrYr!B21</f>
        <v>General</v>
      </c>
      <c r="B20" s="46" t="str">
        <f>inputPrYr!C21</f>
        <v>79-1962</v>
      </c>
      <c r="C20" s="54" t="str">
        <f>IF(General!C62&gt;0,General!C62,"  ")</f>
        <v xml:space="preserve">  </v>
      </c>
      <c r="D20" s="308" t="str">
        <f>IF(General!$E$49&lt;&gt;0,General!$E$49,"  ")</f>
        <v xml:space="preserve">  </v>
      </c>
      <c r="E20" s="308">
        <f>IF(General!$E$56&lt;&gt;0,General!$E$56,0)</f>
        <v>0</v>
      </c>
      <c r="F20" s="309" t="str">
        <f>IF(AND(General!E56=0,$F$44&gt;=0)," ",IF(AND(E20&gt;0,$F$44=0)," ",IF(AND(E20&gt;0,$F$44&gt;0),ROUND(E20/$F$44*1000,3))))</f>
        <v xml:space="preserve"> </v>
      </c>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row>
    <row r="21" spans="1:34" s="35" customFormat="1" x14ac:dyDescent="0.25">
      <c r="A21" s="53" t="s">
        <v>101</v>
      </c>
      <c r="B21" s="46" t="str">
        <f>IF(inputPrYr!C22&gt;0,inputPrYr!C22,"")</f>
        <v>10-113</v>
      </c>
      <c r="C21" s="54" t="str">
        <f>IF('DebtSvs-Library'!C88&gt;0,'DebtSvs-Library'!C88,"  ")</f>
        <v xml:space="preserve">  </v>
      </c>
      <c r="D21" s="308" t="str">
        <f>IF('DebtSvs-Library'!E34&lt;&gt;0,'DebtSvs-Library'!E34,"  ")</f>
        <v xml:space="preserve">  </v>
      </c>
      <c r="E21" s="308" t="str">
        <f>IF('DebtSvs-Library'!E41&lt;&gt;0,'DebtSvs-Library'!E41,"  ")</f>
        <v xml:space="preserve">  </v>
      </c>
      <c r="F21" s="309" t="str">
        <f>IF(AND('DebtSvs-Library'!E41=0,$F$44&gt;=0)," ",IF(AND(E21&gt;0,$F$44=0)," ",IF(AND(E21&gt;0,$F$44&gt;0),ROUND(E21/$F$44*1000,3))))</f>
        <v xml:space="preserve"> </v>
      </c>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row>
    <row r="22" spans="1:34" s="35" customFormat="1" x14ac:dyDescent="0.25">
      <c r="A22" s="53" t="str">
        <f>IF(inputPrYr!$B23&gt;"  ",inputPrYr!$B23,"  ")</f>
        <v>Library</v>
      </c>
      <c r="B22" s="46" t="str">
        <f>IF(inputPrYr!C23&gt;0,inputPrYr!C23,"")</f>
        <v>12-1220</v>
      </c>
      <c r="C22" s="54" t="str">
        <f>IF('DebtSvs-Library'!C88&gt;0,'DebtSvs-Library'!C88,"  ")</f>
        <v xml:space="preserve">  </v>
      </c>
      <c r="D22" s="308" t="str">
        <f>IF('DebtSvs-Library'!E75&lt;&gt;0,'DebtSvs-Library'!E75,"  ")</f>
        <v xml:space="preserve">  </v>
      </c>
      <c r="E22" s="308" t="str">
        <f>IF('DebtSvs-Library'!E82&lt;&gt;0,'DebtSvs-Library'!E82,"  ")</f>
        <v xml:space="preserve">  </v>
      </c>
      <c r="F22" s="309" t="str">
        <f>IF(AND('DebtSvs-Library'!E82=0,$F$44&gt;=0)," ",IF(AND(E22&gt;0,$F$44=0)," ",IF(AND(E22&gt;0,$F$44&gt;0),ROUND(E22/$F$44*1000,3))))</f>
        <v xml:space="preserve"> </v>
      </c>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row>
    <row r="23" spans="1:34" s="35" customFormat="1" x14ac:dyDescent="0.25">
      <c r="A23" s="53" t="str">
        <f>IF(inputPrYr!$B24&gt;"  ",inputPrYr!$B24,"  ")</f>
        <v>Road</v>
      </c>
      <c r="B23" s="46" t="str">
        <f>IF(inputPrYr!C24&gt;0,inputPrYr!C24,"  ")</f>
        <v>68-518c</v>
      </c>
      <c r="C23" s="54" t="str">
        <f>IF(Road!C71&gt;0,Road!C71,"  ")</f>
        <v xml:space="preserve">  </v>
      </c>
      <c r="D23" s="308" t="str">
        <f>IF(Road!$E$43&lt;&gt;0,Road!$E$43,"  ")</f>
        <v xml:space="preserve">  </v>
      </c>
      <c r="E23" s="308" t="str">
        <f>IF(Road!$E$50&lt;&gt;0,Road!$E$50,"  ")</f>
        <v xml:space="preserve">  </v>
      </c>
      <c r="F23" s="309" t="str">
        <f>IF(AND(Road!E50=0,$F$41&gt;=0)," ",IF(AND(E23&gt;0,$F$41=0)," ",IF(AND(E23&gt;0,$F$41&gt;0),ROUND(E23/$F$41*1000,3))))</f>
        <v xml:space="preserve"> </v>
      </c>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row>
    <row r="24" spans="1:34" s="35" customFormat="1" x14ac:dyDescent="0.25">
      <c r="A24" s="53" t="str">
        <f>IF(inputPrYr!$B25&gt;"  ",inputPrYr!$B25,"  ")</f>
        <v>Special Road</v>
      </c>
      <c r="B24" s="46" t="str">
        <f>IF(inputPrYr!C25&gt;0,inputPrYr!C25,"  ")</f>
        <v>80-1413</v>
      </c>
      <c r="C24" s="54" t="str">
        <f>IF('Spec Road &amp; Noxious Weed'!C88&gt;0,'Spec Road &amp; Noxious Weed'!C88,"  ")</f>
        <v xml:space="preserve">  </v>
      </c>
      <c r="D24" s="308" t="str">
        <f>IF('Spec Road &amp; Noxious Weed'!$E$34&lt;&gt;0,'Spec Road &amp; Noxious Weed'!$E$34,"  ")</f>
        <v xml:space="preserve">  </v>
      </c>
      <c r="E24" s="308" t="str">
        <f>IF('Spec Road &amp; Noxious Weed'!$E$41&lt;&gt;0,'Spec Road &amp; Noxious Weed'!$E$41,"  ")</f>
        <v xml:space="preserve">  </v>
      </c>
      <c r="F24" s="309" t="str">
        <f>IF(AND('Spec Road &amp; Noxious Weed'!E41=0,$F$41&gt;=0)," ",IF(AND(E24&gt;0,$F$41=0)," ",IF(AND(E24&gt;0,$F$41&gt;0),ROUND(E24/$F$41*1000,3))))</f>
        <v xml:space="preserve"> </v>
      </c>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row>
    <row r="25" spans="1:34" s="35" customFormat="1" x14ac:dyDescent="0.25">
      <c r="A25" s="53" t="str">
        <f>IF(inputPrYr!$B26&gt;"  ",inputPrYr!$B26,"  ")</f>
        <v>Noxious Weed</v>
      </c>
      <c r="B25" s="46" t="str">
        <f>IF(inputPrYr!C26&gt;0,inputPrYr!C26,"  ")</f>
        <v>2-1318</v>
      </c>
      <c r="C25" s="54" t="str">
        <f>IF('Spec Road &amp; Noxious Weed'!C88&gt;0,'Spec Road &amp; Noxious Weed'!C88,"  ")</f>
        <v xml:space="preserve">  </v>
      </c>
      <c r="D25" s="308" t="str">
        <f>IF('Spec Road &amp; Noxious Weed'!$E$75&lt;&gt;0,'Spec Road &amp; Noxious Weed'!$E$75,"  ")</f>
        <v xml:space="preserve">  </v>
      </c>
      <c r="E25" s="308" t="str">
        <f>IF('Spec Road &amp; Noxious Weed'!$E$82&lt;&gt;0,'Spec Road &amp; Noxious Weed'!$E$82,"  ")</f>
        <v xml:space="preserve">  </v>
      </c>
      <c r="F25" s="309" t="str">
        <f>IF(AND('Spec Road &amp; Noxious Weed'!E82=0,$F$41&gt;=0)," ",IF(AND(E25&gt;0,$F$41=0)," ",IF(AND(E25&gt;0,$F$41&gt;0),ROUND(E25/$F$41*1000,3))))</f>
        <v xml:space="preserve"> </v>
      </c>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row>
    <row r="26" spans="1:34" s="35" customFormat="1" x14ac:dyDescent="0.25">
      <c r="A26" s="53" t="str">
        <f>IF(inputPrYr!$B27&gt;"  ",inputPrYr!$B27,"  ")</f>
        <v>Fire Protection</v>
      </c>
      <c r="B26" s="46" t="str">
        <f>IF(inputPrYr!C27&gt;0,inputPrYr!C27,"  ")</f>
        <v>80-1503</v>
      </c>
      <c r="C26" s="54" t="str">
        <f>IF('Levy Page 10'!C88&gt;0,'Levy Page 10'!C88,"  ")</f>
        <v xml:space="preserve">  </v>
      </c>
      <c r="D26" s="308" t="str">
        <f>IF('Levy Page 10'!$E$34&lt;&gt;0,'Levy Page 10'!$E$34,"  ")</f>
        <v xml:space="preserve">  </v>
      </c>
      <c r="E26" s="308" t="str">
        <f>IF('Levy Page 10'!$E$41&lt;&gt;0,'Levy Page 10'!$E$41,"  ")</f>
        <v xml:space="preserve">  </v>
      </c>
      <c r="F26" s="309" t="str">
        <f>IF(AND('Levy Page 10'!$E$41=0,$F$41&gt;=0)," ",IF(AND(E26&gt;0,$F$41=0)," ",IF(AND(E26&gt;0,$F$41&gt;0),ROUND(E26/$F$41*1000,3))))</f>
        <v xml:space="preserve"> </v>
      </c>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row>
    <row r="27" spans="1:34" s="35" customFormat="1" x14ac:dyDescent="0.25">
      <c r="A27" s="53" t="str">
        <f>IF(inputPrYr!$B28&gt;"  ",inputPrYr!$B28,"  ")</f>
        <v xml:space="preserve">  </v>
      </c>
      <c r="B27" s="46" t="str">
        <f>IF(inputPrYr!C28&gt;0,inputPrYr!C28,"  ")</f>
        <v xml:space="preserve">  </v>
      </c>
      <c r="C27" s="54" t="str">
        <f>IF('Levy Page 10'!C88&gt;0,'Levy Page 10'!C88,"  ")</f>
        <v xml:space="preserve">  </v>
      </c>
      <c r="D27" s="308" t="str">
        <f>IF('Levy Page 10'!$E$75&lt;&gt;0,'Levy Page 10'!$E$75,"  ")</f>
        <v xml:space="preserve">  </v>
      </c>
      <c r="E27" s="308" t="str">
        <f>IF('Levy Page 10'!$E$82&lt;&gt;0,'Levy Page 10'!$E$82,"  ")</f>
        <v xml:space="preserve">  </v>
      </c>
      <c r="F27" s="309" t="str">
        <f>IF(AND('Levy Page 10'!$E$82=0,$F$44&gt;=0)," ",IF(AND(E27&gt;0,$F$44=0)," ",IF(AND(E27&gt;0,$F$44&gt;0),ROUND(E27/$F$44*1000,3))))</f>
        <v xml:space="preserve"> </v>
      </c>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row>
    <row r="28" spans="1:34" s="35" customFormat="1" x14ac:dyDescent="0.25">
      <c r="A28" s="53" t="str">
        <f>IF(inputPrYr!$B29&gt;"  ",inputPrYr!$B29,"  ")</f>
        <v xml:space="preserve">  </v>
      </c>
      <c r="B28" s="46" t="str">
        <f>IF(inputPrYr!C29&gt;0,inputPrYr!C29,"  ")</f>
        <v xml:space="preserve">  </v>
      </c>
      <c r="C28" s="54" t="str">
        <f>IF('Levy Page 11'!C88&gt;0,'Levy Page 11'!C88,"  ")</f>
        <v xml:space="preserve">  </v>
      </c>
      <c r="D28" s="308" t="str">
        <f>IF('Levy Page 11'!$E$34&lt;&gt;0,'Levy Page 11'!$E$34,"  ")</f>
        <v xml:space="preserve">  </v>
      </c>
      <c r="E28" s="308" t="str">
        <f>IF('Levy Page 11'!$E$41&lt;&gt;0,'Levy Page 11'!$E$41,"  ")</f>
        <v xml:space="preserve">  </v>
      </c>
      <c r="F28" s="309" t="str">
        <f>IF(AND('Levy Page 11'!$E$41=0,$F$44&gt;=0)," ",IF(AND(E28&gt;0,$F$44=0)," ",IF(AND(E28&gt;0,$F$44&gt;0),ROUND(E28/$F$44*1000,3))))</f>
        <v xml:space="preserve"> </v>
      </c>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row>
    <row r="29" spans="1:34" s="35" customFormat="1" x14ac:dyDescent="0.25">
      <c r="A29" s="53" t="str">
        <f>IF(inputPrYr!$B30&gt;"  ",inputPrYr!$B30,"  ")</f>
        <v xml:space="preserve">  </v>
      </c>
      <c r="B29" s="46" t="str">
        <f>IF(inputPrYr!C30&gt;0,inputPrYr!C30,"  ")</f>
        <v xml:space="preserve">  </v>
      </c>
      <c r="C29" s="54" t="str">
        <f>IF('Levy Page 11'!C88&gt;0,'Levy Page 11'!C88,"  ")</f>
        <v xml:space="preserve">  </v>
      </c>
      <c r="D29" s="308" t="str">
        <f>IF('Levy Page 11'!$E$75&lt;&gt;0,'Levy Page 11'!$E$75,"  ")</f>
        <v xml:space="preserve">  </v>
      </c>
      <c r="E29" s="308" t="str">
        <f>IF('Levy Page 11'!$E$82&lt;&gt;0,'Levy Page 11'!$E$82,"  ")</f>
        <v xml:space="preserve">  </v>
      </c>
      <c r="F29" s="309" t="str">
        <f>IF(AND('Levy Page 11'!$E$82=0,$F$44&gt;=0)," ",IF(AND(E29&gt;0,$F$44=0)," ",IF(AND(E29&gt;0,$F$44&gt;0),ROUND(E29/$F$44*1000,3))))</f>
        <v xml:space="preserve"> </v>
      </c>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row>
    <row r="30" spans="1:34" s="35" customFormat="1" x14ac:dyDescent="0.25">
      <c r="A30" s="53" t="str">
        <f>IF(inputPrYr!$B31&gt;"  ",inputPrYr!$B31,"  ")</f>
        <v xml:space="preserve">  </v>
      </c>
      <c r="B30" s="46" t="str">
        <f>IF(inputPrYr!C31&gt;0,inputPrYr!C31,"  ")</f>
        <v xml:space="preserve">  </v>
      </c>
      <c r="C30" s="54" t="str">
        <f>IF('Levy Page 12'!C89&gt;0,'Levy Page 12'!C89,"  ")</f>
        <v xml:space="preserve">  </v>
      </c>
      <c r="D30" s="308" t="str">
        <f>IF('Levy Page 12'!$E$34&lt;&gt;0,'Levy Page 12'!$E$34,"  ")</f>
        <v xml:space="preserve">  </v>
      </c>
      <c r="E30" s="308" t="str">
        <f>IF('Levy Page 12'!$E$41&lt;&gt;0,'Levy Page 12'!$E$41,"  ")</f>
        <v xml:space="preserve">  </v>
      </c>
      <c r="F30" s="309" t="str">
        <f>IF(AND('Levy Page 12'!$E$41=0,$F$44&gt;=0)," ",IF(AND(E30&gt;0,$F$44=0)," ",IF(AND(E30&gt;0,$F$44&gt;0),ROUND(E30/$F$44*1000,3))))</f>
        <v xml:space="preserve"> </v>
      </c>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row>
    <row r="31" spans="1:34" s="35" customFormat="1" x14ac:dyDescent="0.25">
      <c r="A31" s="53" t="str">
        <f>IF(inputPrYr!$B32&gt;"  ",inputPrYr!$B32,"  ")</f>
        <v xml:space="preserve">  </v>
      </c>
      <c r="B31" s="46" t="str">
        <f>IF(inputPrYr!C32&gt;0,inputPrYr!C32,"  ")</f>
        <v xml:space="preserve">  </v>
      </c>
      <c r="C31" s="54" t="str">
        <f>IF('Levy Page 12'!C89&gt;0,'Levy Page 12'!C89,"  ")</f>
        <v xml:space="preserve">  </v>
      </c>
      <c r="D31" s="308" t="str">
        <f>IF('Levy Page 12'!$E$75&lt;&gt;0,'Levy Page 12'!$E$75,"  ")</f>
        <v xml:space="preserve">  </v>
      </c>
      <c r="E31" s="308" t="str">
        <f>IF('Levy Page 12'!$E$82&lt;&gt;0,'Levy Page 12'!$E$82,"  ")</f>
        <v xml:space="preserve">  </v>
      </c>
      <c r="F31" s="309" t="str">
        <f>IF(AND('Levy Page 12'!$E$82=0,$F$44&gt;=0)," ",IF(AND(E31&gt;0,$F$44=0)," ",IF(AND(E31&gt;0,$F$44&gt;0),ROUND(E31/$F$44*1000,3))))</f>
        <v xml:space="preserve"> </v>
      </c>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row>
    <row r="32" spans="1:34" s="35" customFormat="1" x14ac:dyDescent="0.25">
      <c r="A32" s="56" t="str">
        <f>IF(inputPrYr!$B36&gt;"  ",inputPrYr!$B36,"  ")</f>
        <v xml:space="preserve">  </v>
      </c>
      <c r="B32" s="57"/>
      <c r="C32" s="58" t="str">
        <f>IF('No Levy Page 13'!$C$65&gt;0,'No Levy Page 13'!$C$65,"  ")</f>
        <v xml:space="preserve">  </v>
      </c>
      <c r="D32" s="308" t="str">
        <f>IF('No Levy Page 13'!$E$27&lt;&gt;0,'No Levy Page 13'!$E$27,"  ")</f>
        <v xml:space="preserve">  </v>
      </c>
      <c r="E32" s="308"/>
      <c r="F32" s="309"/>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row>
    <row r="33" spans="1:34" s="35" customFormat="1" x14ac:dyDescent="0.25">
      <c r="A33" s="56" t="str">
        <f>IF(inputPrYr!$B37&gt;"  ",inputPrYr!$B37,"  ")</f>
        <v xml:space="preserve">  </v>
      </c>
      <c r="B33" s="59"/>
      <c r="C33" s="58" t="str">
        <f>IF('No Levy Page 13'!$C$65&gt;0,'No Levy Page 13'!$C$65,"  ")</f>
        <v xml:space="preserve">  </v>
      </c>
      <c r="D33" s="308" t="str">
        <f>IF('No Levy Page 13'!$E$57&lt;&gt;0,'No Levy Page 13'!$E$57,"  ")</f>
        <v xml:space="preserve">  </v>
      </c>
      <c r="E33" s="308"/>
      <c r="F33" s="309"/>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row>
    <row r="34" spans="1:34" s="35" customFormat="1" x14ac:dyDescent="0.25">
      <c r="A34" s="56" t="str">
        <f>IF(inputPrYr!$B38&gt;"  ",inputPrYr!$B38,"  ")</f>
        <v xml:space="preserve">  </v>
      </c>
      <c r="B34" s="57"/>
      <c r="C34" s="58" t="str">
        <f>IF('No Levy Page 14'!$C$65&gt;0,'No Levy Page 14'!$C$65,"  ")</f>
        <v xml:space="preserve">  </v>
      </c>
      <c r="D34" s="308" t="str">
        <f>IF('No Levy Page 14'!$E$27&lt;&gt;0,'No Levy Page 14'!$E$27,"  ")</f>
        <v xml:space="preserve">  </v>
      </c>
      <c r="E34" s="308"/>
      <c r="F34" s="309"/>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row>
    <row r="35" spans="1:34" s="35" customFormat="1" x14ac:dyDescent="0.25">
      <c r="A35" s="56" t="str">
        <f>IF(inputPrYr!$B39&gt;"  ",inputPrYr!$B39,"  ")</f>
        <v xml:space="preserve">  </v>
      </c>
      <c r="B35" s="57"/>
      <c r="C35" s="58" t="str">
        <f>IF('No Levy Page 14'!$C$65&gt;0,'No Levy Page 14'!$C$65,"  ")</f>
        <v xml:space="preserve">  </v>
      </c>
      <c r="D35" s="308" t="str">
        <f>IF('No Levy Page 14'!$E$57&lt;&gt;0,'No Levy Page 14'!$E$57,"  ")</f>
        <v xml:space="preserve">  </v>
      </c>
      <c r="E35" s="308"/>
      <c r="F35" s="309"/>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row>
    <row r="36" spans="1:34" s="35" customFormat="1" x14ac:dyDescent="0.25">
      <c r="A36" s="56" t="str">
        <f>IF(inputPrYr!B42&gt;"",'Non-Budgeted Funds'!A3,"")</f>
        <v/>
      </c>
      <c r="B36" s="59"/>
      <c r="C36" s="58" t="str">
        <f>IF('Non-Budgeted Funds'!F37&gt;0,'Non-Budgeted Funds'!F37,"  ")</f>
        <v xml:space="preserve">  </v>
      </c>
      <c r="D36" s="308"/>
      <c r="E36" s="308"/>
      <c r="F36" s="309"/>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row>
    <row r="37" spans="1:34" s="35" customFormat="1" ht="16.5" thickBot="1" x14ac:dyDescent="0.3">
      <c r="A37" s="43" t="s">
        <v>183</v>
      </c>
      <c r="B37" s="57"/>
      <c r="C37" s="58" t="str">
        <f>IF(Road!C71&gt;0,Road!C71,"  ")</f>
        <v xml:space="preserve">  </v>
      </c>
      <c r="D37" s="614"/>
      <c r="E37" s="614"/>
      <c r="F37" s="61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row>
    <row r="38" spans="1:34" s="35" customFormat="1" x14ac:dyDescent="0.25">
      <c r="A38" s="60" t="s">
        <v>184</v>
      </c>
      <c r="B38" s="44"/>
      <c r="C38" s="616" t="s">
        <v>185</v>
      </c>
      <c r="D38" s="617">
        <f>SUM(D20:D37)</f>
        <v>0</v>
      </c>
      <c r="E38" s="617">
        <f>SUM(E20:E37)</f>
        <v>0</v>
      </c>
      <c r="F38" s="617" t="str">
        <f>IF(SUM(F20:F37)&gt;0,SUM(F20:F37),"")</f>
        <v/>
      </c>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row>
    <row r="39" spans="1:34" s="35" customFormat="1" x14ac:dyDescent="0.25">
      <c r="A39" s="48" t="s">
        <v>186</v>
      </c>
      <c r="B39" s="52"/>
      <c r="C39" s="608" t="str">
        <f>IF('Budget Hearing Notice'!C57&gt;0,'Budget Hearing Notice'!C57, " ")</f>
        <v xml:space="preserve"> </v>
      </c>
      <c r="D39" s="136"/>
      <c r="E39" s="715" t="s">
        <v>187</v>
      </c>
      <c r="F39" s="713" t="s">
        <v>188</v>
      </c>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row>
    <row r="40" spans="1:34" s="35" customFormat="1" x14ac:dyDescent="0.25">
      <c r="A40" s="568" t="s">
        <v>189</v>
      </c>
      <c r="B40" s="44"/>
      <c r="C40" s="569" t="str">
        <f>IF('Combined Rate-Bud Hearing Notic'!C57&gt;0, 'Combined Rate-Bud Hearing Notic'!C57, " ")</f>
        <v xml:space="preserve"> </v>
      </c>
      <c r="D40" s="136"/>
      <c r="E40" s="715"/>
      <c r="F40" s="714"/>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row>
    <row r="41" spans="1:34" s="35" customFormat="1" x14ac:dyDescent="0.25">
      <c r="A41" s="568" t="s">
        <v>190</v>
      </c>
      <c r="B41" s="47"/>
      <c r="C41" s="569" t="str">
        <f>IF('RNR Hearing Notice'!E21&gt;0, 'RNR Hearing Notice'!E21, " ")</f>
        <v xml:space="preserve"> </v>
      </c>
      <c r="E41" s="61">
        <f>inputPrYr!D4</f>
        <v>0</v>
      </c>
      <c r="F41" s="154"/>
      <c r="H41" s="65"/>
      <c r="I41" s="65"/>
      <c r="J41" s="65"/>
      <c r="K41" s="65"/>
      <c r="L41" s="65"/>
      <c r="M41" s="618"/>
      <c r="N41" s="65"/>
      <c r="O41" s="65"/>
      <c r="P41" s="65"/>
      <c r="Q41" s="65"/>
      <c r="R41" s="65"/>
      <c r="S41" s="65"/>
      <c r="T41" s="65"/>
      <c r="U41" s="65"/>
      <c r="V41" s="65"/>
      <c r="W41" s="65"/>
      <c r="X41" s="65"/>
      <c r="Y41" s="65"/>
      <c r="Z41" s="65"/>
      <c r="AA41" s="65"/>
      <c r="AB41" s="65"/>
      <c r="AC41" s="65"/>
      <c r="AD41" s="65"/>
      <c r="AE41" s="65"/>
      <c r="AF41" s="65"/>
      <c r="AG41" s="65"/>
      <c r="AH41" s="65"/>
    </row>
    <row r="42" spans="1:34" s="35" customFormat="1" ht="15.75" customHeight="1" x14ac:dyDescent="0.25">
      <c r="A42" s="43" t="s">
        <v>191</v>
      </c>
      <c r="B42" s="44"/>
      <c r="C42" s="58" t="str">
        <f>IF('NR Rebate'!C40&gt;0,'NR Rebate'!C40," ")</f>
        <v xml:space="preserve"> </v>
      </c>
      <c r="E42" s="61">
        <f>inputPrYr!D7</f>
        <v>0</v>
      </c>
      <c r="F42" s="154"/>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row>
    <row r="43" spans="1:34" s="35" customFormat="1" ht="15.75" customHeight="1" thickBot="1" x14ac:dyDescent="0.3">
      <c r="A43" s="39"/>
      <c r="C43" s="570"/>
      <c r="E43" s="647">
        <f>inputPrYr!D8</f>
        <v>0</v>
      </c>
      <c r="F43" s="648"/>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row>
    <row r="44" spans="1:34" s="35" customFormat="1" ht="15" customHeight="1" x14ac:dyDescent="0.25">
      <c r="A44" s="39"/>
      <c r="C44" s="570"/>
      <c r="E44" s="716" t="str">
        <f>CONCATENATE("Nov 1, ", inputPrYr!D10-1, " Total Assessed Valuation")</f>
        <v>Nov 1, 2024 Total Assessed Valuation</v>
      </c>
      <c r="F44" s="718">
        <f>SUM(F41:F43)</f>
        <v>0</v>
      </c>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row>
    <row r="45" spans="1:34" s="35" customFormat="1" ht="15" customHeight="1" x14ac:dyDescent="0.25">
      <c r="A45" s="39"/>
      <c r="C45" s="570"/>
      <c r="E45" s="717"/>
      <c r="F45" s="719"/>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row>
    <row r="46" spans="1:34" s="35" customFormat="1" x14ac:dyDescent="0.25">
      <c r="A46" s="39"/>
      <c r="C46" s="570"/>
      <c r="D46" s="39"/>
      <c r="E46" s="39"/>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row>
    <row r="47" spans="1:34" s="35" customFormat="1" x14ac:dyDescent="0.25">
      <c r="A47" s="39"/>
      <c r="C47" s="570"/>
      <c r="D47" s="571"/>
      <c r="E47" s="140" t="s">
        <v>192</v>
      </c>
      <c r="F47" s="572">
        <f>inputOth!D36</f>
        <v>0</v>
      </c>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row>
    <row r="48" spans="1:34" s="35" customFormat="1" x14ac:dyDescent="0.25">
      <c r="A48" s="39"/>
      <c r="C48" s="570"/>
      <c r="D48" s="571"/>
      <c r="E48" s="140" t="s">
        <v>193</v>
      </c>
      <c r="F48" s="572">
        <f>inputOth!E36</f>
        <v>0</v>
      </c>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row>
    <row r="49" spans="1:34" s="35" customFormat="1" x14ac:dyDescent="0.25">
      <c r="A49" s="853" t="s">
        <v>997</v>
      </c>
      <c r="B49" s="854"/>
      <c r="C49" s="854"/>
      <c r="D49" s="854"/>
      <c r="E49" s="854"/>
      <c r="F49" s="572" t="str">
        <f>IF(E38&gt;inputPrYr!E33,"YES","NO")</f>
        <v>NO</v>
      </c>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row>
    <row r="50" spans="1:34" s="35" customFormat="1" x14ac:dyDescent="0.25">
      <c r="A50" s="39"/>
      <c r="C50" s="570"/>
      <c r="D50" s="571"/>
      <c r="E50" s="140"/>
      <c r="F50" s="852"/>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row>
    <row r="51" spans="1:34" s="35" customFormat="1" x14ac:dyDescent="0.25">
      <c r="A51" s="39" t="s">
        <v>194</v>
      </c>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row>
    <row r="52" spans="1:34" s="35" customFormat="1" x14ac:dyDescent="0.25">
      <c r="A52" s="63"/>
      <c r="B52" s="63"/>
      <c r="D52" s="4" t="s">
        <v>195</v>
      </c>
      <c r="E52" s="4"/>
      <c r="F52" s="39"/>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row>
    <row r="53" spans="1:34" s="35" customFormat="1" x14ac:dyDescent="0.25">
      <c r="A53" s="64"/>
      <c r="B53" s="64"/>
      <c r="D53" s="4"/>
      <c r="E53" s="4"/>
      <c r="F53" s="4"/>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row>
    <row r="54" spans="1:34" s="35" customFormat="1" x14ac:dyDescent="0.25">
      <c r="A54" s="39" t="s">
        <v>196</v>
      </c>
      <c r="D54" s="4" t="s">
        <v>195</v>
      </c>
      <c r="E54" s="4"/>
      <c r="F54" s="4"/>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row>
    <row r="55" spans="1:34" s="35" customFormat="1" x14ac:dyDescent="0.25">
      <c r="A55" s="63"/>
      <c r="B55" s="63"/>
      <c r="C55" s="39"/>
      <c r="D55" s="4"/>
      <c r="E55" s="4"/>
      <c r="F55" s="4"/>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row>
    <row r="56" spans="1:34" s="35" customFormat="1" x14ac:dyDescent="0.25">
      <c r="A56" s="64"/>
      <c r="B56" s="64"/>
      <c r="C56" s="39"/>
      <c r="D56" s="4" t="s">
        <v>195</v>
      </c>
      <c r="E56" s="573"/>
      <c r="F56" s="4"/>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row>
    <row r="57" spans="1:34" x14ac:dyDescent="0.25">
      <c r="A57" s="39" t="s">
        <v>197</v>
      </c>
      <c r="B57" s="35"/>
      <c r="C57" s="39"/>
      <c r="D57" s="5"/>
      <c r="E57" s="4"/>
      <c r="F57" s="573"/>
      <c r="G57" s="35"/>
    </row>
    <row r="58" spans="1:34" x14ac:dyDescent="0.25">
      <c r="A58" s="63"/>
      <c r="B58" s="63"/>
      <c r="C58" s="39"/>
      <c r="D58" s="4" t="s">
        <v>195</v>
      </c>
      <c r="E58" s="573"/>
      <c r="F58" s="4"/>
      <c r="G58" s="35"/>
    </row>
    <row r="59" spans="1:34" x14ac:dyDescent="0.25">
      <c r="A59" s="38"/>
      <c r="B59" s="35"/>
      <c r="C59" s="39"/>
      <c r="D59" s="5"/>
      <c r="E59" s="4"/>
      <c r="F59" s="573"/>
      <c r="G59" s="35"/>
    </row>
    <row r="60" spans="1:34" x14ac:dyDescent="0.25">
      <c r="A60" s="244" t="s">
        <v>198</v>
      </c>
      <c r="B60" s="68">
        <f>G1-1</f>
        <v>2024</v>
      </c>
      <c r="C60" s="39"/>
      <c r="D60" s="4" t="s">
        <v>195</v>
      </c>
      <c r="E60" s="573"/>
      <c r="F60" s="4"/>
      <c r="G60" s="35"/>
    </row>
    <row r="61" spans="1:34" x14ac:dyDescent="0.25">
      <c r="A61" s="35"/>
      <c r="B61" s="35"/>
      <c r="C61" s="35"/>
      <c r="D61" s="4"/>
      <c r="E61" s="5"/>
      <c r="F61" s="573"/>
      <c r="G61" s="35"/>
    </row>
    <row r="62" spans="1:34" x14ac:dyDescent="0.25">
      <c r="A62" s="624"/>
      <c r="B62" s="35"/>
      <c r="C62" s="35"/>
      <c r="D62" s="4" t="s">
        <v>195</v>
      </c>
      <c r="E62" s="4"/>
      <c r="F62" s="4"/>
      <c r="G62" s="35"/>
    </row>
    <row r="63" spans="1:34" x14ac:dyDescent="0.25">
      <c r="A63" s="574" t="s">
        <v>199</v>
      </c>
      <c r="B63" s="35"/>
      <c r="C63" s="35"/>
      <c r="D63" s="574" t="s">
        <v>200</v>
      </c>
      <c r="E63" s="35"/>
      <c r="F63" s="35"/>
      <c r="G63" s="35"/>
    </row>
    <row r="64" spans="1:34" x14ac:dyDescent="0.25">
      <c r="A64" s="35"/>
      <c r="B64" s="35"/>
      <c r="C64" s="35"/>
      <c r="D64" s="35"/>
      <c r="E64" s="35"/>
      <c r="F64" s="35"/>
      <c r="G64" s="35"/>
    </row>
    <row r="65" spans="1:7" x14ac:dyDescent="0.25">
      <c r="A65" s="35"/>
      <c r="B65" s="35"/>
      <c r="C65" s="35"/>
      <c r="D65" s="35"/>
      <c r="E65" s="35"/>
      <c r="F65" s="35"/>
      <c r="G65" s="35"/>
    </row>
    <row r="66" spans="1:7" x14ac:dyDescent="0.25">
      <c r="A66" s="67" t="s">
        <v>201</v>
      </c>
      <c r="B66" s="66"/>
      <c r="C66" s="66"/>
      <c r="D66" s="66"/>
      <c r="E66" s="119"/>
      <c r="F66" s="35"/>
      <c r="G66" s="35"/>
    </row>
    <row r="67" spans="1:7" x14ac:dyDescent="0.25">
      <c r="A67" s="67" t="s">
        <v>202</v>
      </c>
      <c r="B67" s="66"/>
      <c r="C67" s="66"/>
      <c r="D67" s="66"/>
      <c r="E67" s="119"/>
      <c r="F67" s="35"/>
      <c r="G67" s="35"/>
    </row>
    <row r="68" spans="1:7" x14ac:dyDescent="0.25">
      <c r="A68" s="67"/>
      <c r="B68" s="66"/>
      <c r="C68" s="66"/>
      <c r="D68" s="66"/>
      <c r="E68" s="119"/>
      <c r="F68" s="35"/>
      <c r="G68" s="35"/>
    </row>
    <row r="69" spans="1:7" x14ac:dyDescent="0.25">
      <c r="A69" s="35"/>
      <c r="B69" s="35"/>
      <c r="C69" s="35"/>
      <c r="D69" s="35"/>
      <c r="E69" s="35"/>
      <c r="F69" s="35"/>
      <c r="G69" s="35"/>
    </row>
    <row r="70" spans="1:7" x14ac:dyDescent="0.25">
      <c r="A70" s="575" t="s">
        <v>203</v>
      </c>
      <c r="B70" s="576"/>
      <c r="C70" s="576"/>
      <c r="D70" s="576"/>
      <c r="E70" s="576"/>
      <c r="F70" s="577"/>
      <c r="G70" s="578"/>
    </row>
    <row r="71" spans="1:7" x14ac:dyDescent="0.25">
      <c r="A71" s="578"/>
      <c r="B71" s="139"/>
      <c r="C71" s="139"/>
      <c r="D71" s="139"/>
      <c r="E71" s="139"/>
      <c r="F71" s="579"/>
      <c r="G71" s="578"/>
    </row>
    <row r="72" spans="1:7" x14ac:dyDescent="0.25">
      <c r="A72" s="578"/>
      <c r="B72" s="139"/>
      <c r="C72" s="139"/>
      <c r="D72" s="139"/>
      <c r="E72" s="139"/>
      <c r="F72" s="579"/>
      <c r="G72" s="578"/>
    </row>
    <row r="73" spans="1:7" x14ac:dyDescent="0.25">
      <c r="A73" s="580"/>
      <c r="B73" s="581"/>
      <c r="C73" s="581"/>
      <c r="D73" s="581"/>
      <c r="E73" s="581"/>
      <c r="F73" s="582"/>
      <c r="G73" s="578"/>
    </row>
    <row r="74" spans="1:7" x14ac:dyDescent="0.25">
      <c r="A74" s="300"/>
    </row>
    <row r="75" spans="1:7" x14ac:dyDescent="0.25">
      <c r="A75" s="300"/>
    </row>
    <row r="76" spans="1:7" x14ac:dyDescent="0.25">
      <c r="A76" s="300"/>
      <c r="D76" s="301"/>
      <c r="E76" s="299"/>
    </row>
  </sheetData>
  <sheetProtection sheet="1"/>
  <mergeCells count="17">
    <mergeCell ref="A49:E49"/>
    <mergeCell ref="F39:F40"/>
    <mergeCell ref="E39:E40"/>
    <mergeCell ref="E44:E45"/>
    <mergeCell ref="F44:F45"/>
    <mergeCell ref="A1:F1"/>
    <mergeCell ref="E12:E14"/>
    <mergeCell ref="D11:F11"/>
    <mergeCell ref="A6:F6"/>
    <mergeCell ref="A7:F7"/>
    <mergeCell ref="A3:F3"/>
    <mergeCell ref="D12:D14"/>
    <mergeCell ref="F12:F14"/>
    <mergeCell ref="A9:F9"/>
    <mergeCell ref="A4:F4"/>
    <mergeCell ref="A5:F5"/>
    <mergeCell ref="A8:F8"/>
  </mergeCells>
  <phoneticPr fontId="0" type="noConversion"/>
  <conditionalFormatting sqref="E20">
    <cfRule type="cellIs" dxfId="199" priority="2" stopIfTrue="1" operator="equal">
      <formula>0</formula>
    </cfRule>
  </conditionalFormatting>
  <conditionalFormatting sqref="F49">
    <cfRule type="containsText" dxfId="0" priority="1" operator="containsText" text="YES">
      <formula>NOT(ISERROR(SEARCH("YES",F49)))</formula>
    </cfRule>
  </conditionalFormatting>
  <pageMargins left="0.91" right="0.56000000000000005" top="0.83" bottom="0.85" header="0.3" footer="0.6"/>
  <pageSetup scale="67" orientation="portrait" blackAndWhite="1" r:id="rId1"/>
  <headerFooter alignWithMargins="0">
    <oddHeader xml:space="preserve">&amp;RState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F0"/>
    <pageSetUpPr fitToPage="1"/>
  </sheetPr>
  <dimension ref="A1:N34"/>
  <sheetViews>
    <sheetView zoomScale="80" zoomScaleNormal="80" workbookViewId="0">
      <selection activeCell="O1" sqref="O1"/>
    </sheetView>
  </sheetViews>
  <sheetFormatPr defaultRowHeight="15.75" x14ac:dyDescent="0.25"/>
  <cols>
    <col min="1" max="1" width="6.3984375" style="65" customWidth="1"/>
    <col min="2" max="2" width="24.3984375" style="65" customWidth="1"/>
    <col min="3" max="3" width="12.8984375" style="65" customWidth="1"/>
    <col min="4" max="5" width="14.69921875" style="65" customWidth="1"/>
    <col min="6" max="13" width="14.796875" style="65" customWidth="1"/>
    <col min="14" max="14" width="6.3984375" style="65" customWidth="1"/>
    <col min="15" max="16384" width="8.796875" style="65"/>
  </cols>
  <sheetData>
    <row r="1" spans="1:14" x14ac:dyDescent="0.25">
      <c r="A1" s="35"/>
      <c r="B1" s="72">
        <f>inputPrYr!D4</f>
        <v>0</v>
      </c>
      <c r="C1" s="35"/>
      <c r="D1" s="35"/>
      <c r="E1" s="35"/>
      <c r="F1" s="35"/>
      <c r="G1" s="35"/>
      <c r="H1" s="35"/>
      <c r="I1" s="35"/>
      <c r="J1" s="35"/>
      <c r="K1" s="35"/>
      <c r="L1" s="35"/>
      <c r="M1" s="35"/>
      <c r="N1" s="140">
        <f>inputPrYr!D10</f>
        <v>2025</v>
      </c>
    </row>
    <row r="2" spans="1:14" x14ac:dyDescent="0.25">
      <c r="A2" s="35"/>
      <c r="B2" s="72"/>
      <c r="C2" s="35"/>
      <c r="D2" s="35"/>
      <c r="E2" s="35"/>
      <c r="F2" s="35"/>
      <c r="G2" s="35"/>
      <c r="H2" s="136"/>
      <c r="I2" s="136"/>
      <c r="J2" s="136"/>
      <c r="K2" s="136"/>
      <c r="L2" s="136"/>
      <c r="M2" s="136"/>
      <c r="N2" s="136"/>
    </row>
    <row r="3" spans="1:14" x14ac:dyDescent="0.25">
      <c r="A3" s="35"/>
      <c r="B3" s="72"/>
      <c r="C3" s="35"/>
      <c r="D3" s="35"/>
      <c r="E3" s="35"/>
      <c r="F3" s="35"/>
      <c r="G3" s="35"/>
      <c r="H3" s="136"/>
      <c r="I3" s="136"/>
      <c r="J3" s="136"/>
      <c r="K3" s="136"/>
      <c r="L3" s="136"/>
      <c r="M3" s="136"/>
      <c r="N3" s="136"/>
    </row>
    <row r="4" spans="1:14" x14ac:dyDescent="0.25">
      <c r="A4" s="35"/>
      <c r="B4" s="72"/>
      <c r="C4" s="35"/>
      <c r="D4" s="35"/>
      <c r="E4" s="35"/>
      <c r="F4" s="35"/>
      <c r="G4" s="35"/>
      <c r="H4" s="136"/>
      <c r="I4" s="136"/>
      <c r="J4" s="136"/>
      <c r="K4" s="136"/>
      <c r="L4" s="136"/>
      <c r="M4" s="136"/>
      <c r="N4" s="136"/>
    </row>
    <row r="5" spans="1:14" x14ac:dyDescent="0.25">
      <c r="A5" s="35"/>
      <c r="B5" s="35"/>
      <c r="C5" s="35"/>
      <c r="D5" s="35"/>
      <c r="E5" s="35"/>
      <c r="F5" s="35"/>
      <c r="G5" s="35"/>
      <c r="H5" s="35"/>
      <c r="I5" s="35"/>
      <c r="J5" s="35"/>
      <c r="K5" s="35"/>
      <c r="L5" s="35"/>
      <c r="M5" s="35"/>
      <c r="N5" s="35"/>
    </row>
    <row r="6" spans="1:14" x14ac:dyDescent="0.25">
      <c r="A6" s="735" t="s">
        <v>204</v>
      </c>
      <c r="B6" s="735"/>
      <c r="C6" s="735"/>
      <c r="D6" s="735"/>
      <c r="E6" s="735"/>
      <c r="F6" s="735"/>
      <c r="G6" s="735"/>
      <c r="H6" s="735"/>
      <c r="I6" s="735"/>
      <c r="J6" s="735"/>
      <c r="K6" s="735"/>
      <c r="L6" s="735"/>
      <c r="M6" s="735"/>
      <c r="N6" s="736"/>
    </row>
    <row r="7" spans="1:14" ht="16.5" x14ac:dyDescent="0.25">
      <c r="A7" s="35"/>
      <c r="B7" s="720"/>
      <c r="C7" s="732"/>
      <c r="D7" s="732"/>
      <c r="E7" s="732"/>
      <c r="F7" s="732"/>
      <c r="G7" s="732"/>
      <c r="H7" s="732"/>
      <c r="I7" s="732"/>
      <c r="J7" s="732"/>
      <c r="K7" s="732"/>
      <c r="L7" s="732"/>
      <c r="M7" s="732"/>
      <c r="N7" s="732"/>
    </row>
    <row r="8" spans="1:14" x14ac:dyDescent="0.25">
      <c r="A8" s="35"/>
      <c r="B8" s="35"/>
      <c r="C8" s="141"/>
      <c r="D8" s="36"/>
      <c r="E8" s="36"/>
      <c r="F8" s="36"/>
      <c r="G8" s="36"/>
      <c r="H8" s="35"/>
      <c r="I8" s="35"/>
      <c r="J8" s="35"/>
      <c r="K8" s="35"/>
      <c r="L8" s="35"/>
      <c r="M8" s="35"/>
      <c r="N8" s="35"/>
    </row>
    <row r="9" spans="1:14" ht="21" customHeight="1" x14ac:dyDescent="0.25">
      <c r="A9" s="35"/>
      <c r="B9" s="142" t="s">
        <v>205</v>
      </c>
      <c r="C9" s="733" t="str">
        <f>CONCATENATE("Tax Levies in the ",N1-1," Budget")</f>
        <v>Tax Levies in the 2024 Budget</v>
      </c>
      <c r="D9" s="724" t="str">
        <f>CONCATENATE("Allocation for Year ",N1,"")</f>
        <v>Allocation for Year 2025</v>
      </c>
      <c r="E9" s="737"/>
      <c r="F9" s="738"/>
      <c r="G9" s="738"/>
      <c r="H9" s="738"/>
      <c r="I9" s="738"/>
      <c r="J9" s="738"/>
      <c r="K9" s="738"/>
      <c r="L9" s="738"/>
      <c r="M9" s="739"/>
      <c r="N9" s="480"/>
    </row>
    <row r="10" spans="1:14" x14ac:dyDescent="0.25">
      <c r="A10" s="35"/>
      <c r="B10" s="626" t="str">
        <f>CONCATENATE("for ",N1-1,"")</f>
        <v>for 2024</v>
      </c>
      <c r="C10" s="734"/>
      <c r="D10" s="626" t="s">
        <v>206</v>
      </c>
      <c r="E10" s="626" t="s">
        <v>207</v>
      </c>
      <c r="F10" s="626" t="s">
        <v>208</v>
      </c>
      <c r="G10" s="626" t="s">
        <v>209</v>
      </c>
      <c r="H10" s="626" t="s">
        <v>210</v>
      </c>
      <c r="I10" s="626" t="s">
        <v>211</v>
      </c>
      <c r="J10" s="470" t="s">
        <v>212</v>
      </c>
      <c r="K10" s="470" t="s">
        <v>213</v>
      </c>
      <c r="L10" s="470" t="s">
        <v>214</v>
      </c>
      <c r="M10" s="470" t="s">
        <v>215</v>
      </c>
      <c r="N10" s="136"/>
    </row>
    <row r="11" spans="1:14" x14ac:dyDescent="0.25">
      <c r="A11" s="474" t="s">
        <v>216</v>
      </c>
      <c r="B11" s="53" t="str">
        <f>inputPrYr!B21</f>
        <v>General</v>
      </c>
      <c r="C11" s="475">
        <f>inputOth!D40</f>
        <v>0</v>
      </c>
      <c r="D11" s="53">
        <f>IF(C11=0,0,(C11/C23*inputOth!E62))</f>
        <v>0</v>
      </c>
      <c r="E11" s="53">
        <f>IF(C11=0,0,(C11/C24*(inputOth!E68+inputOth!E74)))</f>
        <v>0</v>
      </c>
      <c r="F11" s="53">
        <f>IF(C11=0,0,(C11/C23*inputOth!E63))</f>
        <v>0</v>
      </c>
      <c r="G11" s="53">
        <f>IF(C11=0,0,(C11/C24*(inputOth!E69+inputOth!E75)))</f>
        <v>0</v>
      </c>
      <c r="H11" s="53">
        <f>IF(C11=0,0,(C11/C23*inputOth!E64))</f>
        <v>0</v>
      </c>
      <c r="I11" s="53">
        <f>IF(C11=0,0,(C11/C24*(inputOth!E70+inputOth!E76)))</f>
        <v>0</v>
      </c>
      <c r="J11" s="53">
        <f>IF(C11=0,0,(C11/C23*inputOth!E65))</f>
        <v>0</v>
      </c>
      <c r="K11" s="53">
        <f>IF(C11=0,0,(C11/C24*(inputOth!E71+inputOth!E77)))</f>
        <v>0</v>
      </c>
      <c r="L11" s="53">
        <f>IF(C11=0,0,(C11/C23*inputOth!E66))</f>
        <v>0</v>
      </c>
      <c r="M11" s="53">
        <f>IF(C11=0,0,(C11/C24*(inputOth!E72+inputOth!E78)))</f>
        <v>0</v>
      </c>
      <c r="N11" s="136"/>
    </row>
    <row r="12" spans="1:14" x14ac:dyDescent="0.25">
      <c r="A12" s="474" t="s">
        <v>216</v>
      </c>
      <c r="B12" s="53" t="str">
        <f>inputPrYr!B22</f>
        <v>Debt Service</v>
      </c>
      <c r="C12" s="475">
        <f>inputOth!D41</f>
        <v>0</v>
      </c>
      <c r="D12" s="53">
        <f>IF(C12=0,0,(C12/C23*inputOth!E62))</f>
        <v>0</v>
      </c>
      <c r="E12" s="53">
        <f>IF(C12=0,0,(C12/C24*(inputOth!E68+inputOth!E74)))</f>
        <v>0</v>
      </c>
      <c r="F12" s="53">
        <f>IF(C12=0,0,(C12/C23*inputOth!E63))</f>
        <v>0</v>
      </c>
      <c r="G12" s="53">
        <f>IF(C12=0,0,(C12/C24*(inputOth!E69+inputOth!E75)))</f>
        <v>0</v>
      </c>
      <c r="H12" s="53">
        <f>IF(C12=0,0,(C12/C23*inputOth!E64))</f>
        <v>0</v>
      </c>
      <c r="I12" s="53">
        <f>IF(C12=0,0,(C12/C24*(inputOth!E70+inputOth!E76)))</f>
        <v>0</v>
      </c>
      <c r="J12" s="53">
        <f>IF(C12=0,0,(C12/C23*inputOth!E65))</f>
        <v>0</v>
      </c>
      <c r="K12" s="53">
        <f>IF(C12=0,0,(C12/C24*(inputOth!E71+inputOth!E77)))</f>
        <v>0</v>
      </c>
      <c r="L12" s="53">
        <f>IF(C12=0,0,(C12/C23*inputOth!E66))</f>
        <v>0</v>
      </c>
      <c r="M12" s="53">
        <f>IF(C12=0,0,(C12/C24*(inputOth!E72+inputOth!E78)))</f>
        <v>0</v>
      </c>
      <c r="N12" s="136"/>
    </row>
    <row r="13" spans="1:14" x14ac:dyDescent="0.25">
      <c r="A13" s="474" t="s">
        <v>216</v>
      </c>
      <c r="B13" s="53" t="str">
        <f>IF(inputPrYr!$B23&gt;"  ",inputPrYr!$B23,"  ")</f>
        <v>Library</v>
      </c>
      <c r="C13" s="475">
        <f>inputOth!D42</f>
        <v>0</v>
      </c>
      <c r="D13" s="53">
        <f>IF(C13=0,0,(C13/C23*inputOth!E62))</f>
        <v>0</v>
      </c>
      <c r="E13" s="53">
        <f>IF(C13=0,0,(C13/C24*(inputOth!E68+inputOth!E74)))</f>
        <v>0</v>
      </c>
      <c r="F13" s="53">
        <f>IF(C13=0,0,(C13/C23*inputOth!E63))</f>
        <v>0</v>
      </c>
      <c r="G13" s="53">
        <f>IF(C13=0,0,(C13/C24*(inputOth!E69+inputOth!E75)))</f>
        <v>0</v>
      </c>
      <c r="H13" s="53">
        <f>IF(C13=0,0,(C13/C23*inputOth!E64))</f>
        <v>0</v>
      </c>
      <c r="I13" s="53">
        <f>IF(C13=0,0,(C13/C24*(inputOth!E70+inputOth!E76)))</f>
        <v>0</v>
      </c>
      <c r="J13" s="53">
        <f>IF(C13=0,0,(C13/C23*inputOth!E65))</f>
        <v>0</v>
      </c>
      <c r="K13" s="53">
        <f>IF(C13=0,0,(C13/C24*(inputOth!E71+inputOth!E77)))</f>
        <v>0</v>
      </c>
      <c r="L13" s="53">
        <f>IF(C13=0,0,(C13/C23*inputOth!E66))</f>
        <v>0</v>
      </c>
      <c r="M13" s="53">
        <f>IF(C13=0,0,(C13/C24*(inputOth!E72+inputOth!E78)))</f>
        <v>0</v>
      </c>
      <c r="N13" s="136"/>
    </row>
    <row r="14" spans="1:14" x14ac:dyDescent="0.25">
      <c r="A14" s="474"/>
      <c r="B14" s="53" t="str">
        <f>IF(inputPrYr!$B24&gt;"  ",inputPrYr!$B24,"  ")</f>
        <v>Road</v>
      </c>
      <c r="C14" s="475">
        <f>inputOth!D43</f>
        <v>0</v>
      </c>
      <c r="D14" s="53">
        <f>IF(C14=0,0,(C14/C23*inputOth!E62))</f>
        <v>0</v>
      </c>
      <c r="E14" s="53"/>
      <c r="F14" s="53">
        <f>IF(C14=0,0,(C14/C23*inputOth!E63))</f>
        <v>0</v>
      </c>
      <c r="G14" s="53"/>
      <c r="H14" s="53">
        <f>IF(C14=0,0,(C14/C23*inputOth!E64))</f>
        <v>0</v>
      </c>
      <c r="I14" s="53"/>
      <c r="J14" s="53">
        <f>IF(C14=0,0,(C14/C23*inputOth!E65))</f>
        <v>0</v>
      </c>
      <c r="K14" s="53"/>
      <c r="L14" s="53">
        <f>IF(C14=0,0,(C14/C23*inputOth!E66))</f>
        <v>0</v>
      </c>
      <c r="M14" s="53"/>
      <c r="N14" s="136"/>
    </row>
    <row r="15" spans="1:14" x14ac:dyDescent="0.25">
      <c r="A15" s="474"/>
      <c r="B15" s="53" t="str">
        <f>IF(inputPrYr!$B25&gt;"  ",inputPrYr!$B25,"  ")</f>
        <v>Special Road</v>
      </c>
      <c r="C15" s="475">
        <f>inputOth!D44</f>
        <v>0</v>
      </c>
      <c r="D15" s="53">
        <f>IF(C15=0,0,(C15/C23*inputOth!E62))</f>
        <v>0</v>
      </c>
      <c r="E15" s="53"/>
      <c r="F15" s="53">
        <f>IF(C15=0,0,(C15/C23*inputOth!E63))</f>
        <v>0</v>
      </c>
      <c r="G15" s="53"/>
      <c r="H15" s="53">
        <f>IF(C15=0,0,(C15/C23*inputOth!E64))</f>
        <v>0</v>
      </c>
      <c r="I15" s="53"/>
      <c r="J15" s="53">
        <f>IF(C15=0,0,(C15/C23*inputOth!E65))</f>
        <v>0</v>
      </c>
      <c r="K15" s="53"/>
      <c r="L15" s="53">
        <f>IF(C15=0,0,(C15/C23*inputOth!E66))</f>
        <v>0</v>
      </c>
      <c r="M15" s="53"/>
      <c r="N15" s="136"/>
    </row>
    <row r="16" spans="1:14" x14ac:dyDescent="0.25">
      <c r="A16" s="474"/>
      <c r="B16" s="53" t="str">
        <f>IF(inputPrYr!$B26&gt;"  ",inputPrYr!$B26,"  ")</f>
        <v>Noxious Weed</v>
      </c>
      <c r="C16" s="475">
        <f>inputOth!D45</f>
        <v>0</v>
      </c>
      <c r="D16" s="53">
        <f>IF(C16=0,0,(C16/C23*inputOth!E62))</f>
        <v>0</v>
      </c>
      <c r="E16" s="53"/>
      <c r="F16" s="53">
        <f>IF(C16=0,0,(C16/C23*inputOth!E63))</f>
        <v>0</v>
      </c>
      <c r="G16" s="53"/>
      <c r="H16" s="53">
        <f>IF(C16=0,0,(C16/C23*inputOth!E64))</f>
        <v>0</v>
      </c>
      <c r="I16" s="53"/>
      <c r="J16" s="53">
        <f>IF(C16=0,0,(C16/C23*inputOth!E65))</f>
        <v>0</v>
      </c>
      <c r="K16" s="53"/>
      <c r="L16" s="53">
        <f>IF(C16=0,0,(C16/C23*inputOth!E66))</f>
        <v>0</v>
      </c>
      <c r="M16" s="53"/>
      <c r="N16" s="136"/>
    </row>
    <row r="17" spans="1:14" x14ac:dyDescent="0.25">
      <c r="A17" s="474"/>
      <c r="B17" s="53" t="str">
        <f>IF(inputPrYr!$B27&gt;"  ",inputPrYr!$B27,"  ")</f>
        <v>Fire Protection</v>
      </c>
      <c r="C17" s="475">
        <f>inputOth!D46</f>
        <v>0</v>
      </c>
      <c r="D17" s="53">
        <f>IF(C17=0,0,(C17/C23*inputOth!E62))</f>
        <v>0</v>
      </c>
      <c r="E17" s="53"/>
      <c r="F17" s="53">
        <f>IF(C17=0,0,(C17/C23*inputOth!E63))</f>
        <v>0</v>
      </c>
      <c r="G17" s="53"/>
      <c r="H17" s="53">
        <f>IF(C17=0,0,(C17/C23*inputOth!E64))</f>
        <v>0</v>
      </c>
      <c r="I17" s="53"/>
      <c r="J17" s="53">
        <f>IF(C17=0,0,(C17/C23*inputOth!E65))</f>
        <v>0</v>
      </c>
      <c r="K17" s="53"/>
      <c r="L17" s="53">
        <f>IF(C17=0,0,(C17/C23*inputOth!E66))</f>
        <v>0</v>
      </c>
      <c r="M17" s="53"/>
      <c r="N17" s="136"/>
    </row>
    <row r="18" spans="1:14" x14ac:dyDescent="0.25">
      <c r="A18" s="474" t="s">
        <v>216</v>
      </c>
      <c r="B18" s="53" t="str">
        <f>IF(inputPrYr!$B28&gt;"  ",inputPrYr!$B28,"  ")</f>
        <v xml:space="preserve">  </v>
      </c>
      <c r="C18" s="475">
        <f>inputOth!D47</f>
        <v>0</v>
      </c>
      <c r="D18" s="53">
        <f>IF(C18=0,0,(C18/C23*inputOth!E62))</f>
        <v>0</v>
      </c>
      <c r="E18" s="53">
        <f>IF(C18=0,0,(C18/C24*(inputOth!E68+inputOth!E74)))</f>
        <v>0</v>
      </c>
      <c r="F18" s="53">
        <f>IF(C18=0,0,(C18/C23*inputOth!E63))</f>
        <v>0</v>
      </c>
      <c r="G18" s="53">
        <f>IF(C18=0,0,(C18/C24*(inputOth!E69+inputOth!E75)))</f>
        <v>0</v>
      </c>
      <c r="H18" s="53">
        <f>IF(C18=0,0,(C18/C23*inputOth!E64))</f>
        <v>0</v>
      </c>
      <c r="I18" s="53">
        <f>IF(C18=0,0,(C18/C24*(inputOth!E70+inputOth!E76)))</f>
        <v>0</v>
      </c>
      <c r="J18" s="53">
        <f>IF(C18=0,0,(C18/C23*inputOth!E65))</f>
        <v>0</v>
      </c>
      <c r="K18" s="53">
        <f>IF(C18=0,0,(C18/C24*(inputOth!E71+inputOth!E77)))</f>
        <v>0</v>
      </c>
      <c r="L18" s="53">
        <f>IF(C18=0,0,(C18/C23*inputOth!E66))</f>
        <v>0</v>
      </c>
      <c r="M18" s="53">
        <f>IF(C18=0,0,(C18/C24*(inputOth!E72+inputOth!E78)))</f>
        <v>0</v>
      </c>
      <c r="N18" s="136"/>
    </row>
    <row r="19" spans="1:14" x14ac:dyDescent="0.25">
      <c r="A19" s="474" t="s">
        <v>216</v>
      </c>
      <c r="B19" s="53" t="str">
        <f>IF(inputPrYr!$B29&gt;"  ",inputPrYr!$B29,"  ")</f>
        <v xml:space="preserve">  </v>
      </c>
      <c r="C19" s="475">
        <f>inputOth!D48</f>
        <v>0</v>
      </c>
      <c r="D19" s="53">
        <f>IF(C19=0,0,(C19/C23*inputOth!E62))</f>
        <v>0</v>
      </c>
      <c r="E19" s="53">
        <f>IF(C19=0,0,(C19/C24*(inputOth!E68+inputOth!E74)))</f>
        <v>0</v>
      </c>
      <c r="F19" s="53">
        <f>IF(C19=0,0,(C19/C23*inputOth!E63))</f>
        <v>0</v>
      </c>
      <c r="G19" s="53">
        <f>IF(C19=0,0,(C19/C24*(inputOth!E69+inputOth!E75)))</f>
        <v>0</v>
      </c>
      <c r="H19" s="53">
        <f>IF(C19=0,0,(C19/C23*inputOth!E64))</f>
        <v>0</v>
      </c>
      <c r="I19" s="53">
        <f>IF(C19=0,0,(C19/C24*(inputOth!E70+inputOth!E76)))</f>
        <v>0</v>
      </c>
      <c r="J19" s="53">
        <f>IF(C19=0,0,(C19/C23*inputOth!E65))</f>
        <v>0</v>
      </c>
      <c r="K19" s="53">
        <f>IF(C19=0,0,(C19/C24*(inputOth!E71+inputOth!E77)))</f>
        <v>0</v>
      </c>
      <c r="L19" s="53">
        <f>IF(C19=0,0,(C19/C23*inputOth!E66))</f>
        <v>0</v>
      </c>
      <c r="M19" s="53">
        <f>IF(C19=0,0,(C19/C24*(inputOth!E72+inputOth!E78)))</f>
        <v>0</v>
      </c>
      <c r="N19" s="136"/>
    </row>
    <row r="20" spans="1:14" x14ac:dyDescent="0.25">
      <c r="A20" s="474" t="s">
        <v>216</v>
      </c>
      <c r="B20" s="53" t="str">
        <f>IF(inputPrYr!$B30&gt;"  ",inputPrYr!$B30,"  ")</f>
        <v xml:space="preserve">  </v>
      </c>
      <c r="C20" s="475">
        <f>inputOth!D49</f>
        <v>0</v>
      </c>
      <c r="D20" s="53">
        <f>IF(C20=0,0,(C20/C23*inputOth!E62))</f>
        <v>0</v>
      </c>
      <c r="E20" s="53">
        <f>IF(C20=0,0,(C20/C24*(inputOth!E68+inputOth!E74)))</f>
        <v>0</v>
      </c>
      <c r="F20" s="53">
        <f>IF(C20=0,0,(C20/C23*inputOth!E63))</f>
        <v>0</v>
      </c>
      <c r="G20" s="53">
        <f>IF(C20=0,0,(C20/C24*(inputOth!E69+inputOth!E75)))</f>
        <v>0</v>
      </c>
      <c r="H20" s="53">
        <f>IF(C20=0,0,(C20/C23*inputOth!E64))</f>
        <v>0</v>
      </c>
      <c r="I20" s="53">
        <f>IF(C20=0,0,(C20/C24*(inputOth!E70+inputOth!E76)))</f>
        <v>0</v>
      </c>
      <c r="J20" s="53">
        <f>IF(C20=0,0,(C20/C23*inputOth!E65))</f>
        <v>0</v>
      </c>
      <c r="K20" s="53">
        <f>IF(C20=0,0,(C20/C24*(inputOth!E71+inputOth!E77)))</f>
        <v>0</v>
      </c>
      <c r="L20" s="53">
        <f>IF(C20=0,0,(C20/C23*inputOth!E66))</f>
        <v>0</v>
      </c>
      <c r="M20" s="53">
        <f>IF(C20=0,0,(C20/C24*(inputOth!E72+inputOth!E78)))</f>
        <v>0</v>
      </c>
      <c r="N20" s="136"/>
    </row>
    <row r="21" spans="1:14" x14ac:dyDescent="0.25">
      <c r="A21" s="474" t="s">
        <v>216</v>
      </c>
      <c r="B21" s="53" t="str">
        <f>IF(inputPrYr!$B31&gt;"  ",inputPrYr!$B31,"  ")</f>
        <v xml:space="preserve">  </v>
      </c>
      <c r="C21" s="475">
        <f>inputOth!D50</f>
        <v>0</v>
      </c>
      <c r="D21" s="53">
        <f>IF(C21=0,0,(C21/C23*inputOth!E62))</f>
        <v>0</v>
      </c>
      <c r="E21" s="53">
        <f>IF(C21=0,0,(C21/C24*(inputOth!E68+inputOth!E74)))</f>
        <v>0</v>
      </c>
      <c r="F21" s="53">
        <f>IF(C21=0,0,(C21/C23*inputOth!E63))</f>
        <v>0</v>
      </c>
      <c r="G21" s="53">
        <f>IF(C21=0,0,(C21/C24*(inputOth!E69+inputOth!E75)))</f>
        <v>0</v>
      </c>
      <c r="H21" s="53">
        <f>IF(C21=0,0,(C21/C23*inputOth!E64))</f>
        <v>0</v>
      </c>
      <c r="I21" s="53">
        <f>IF(C21=0,0,(C21/C24*(inputOth!E70+inputOth!E76)))</f>
        <v>0</v>
      </c>
      <c r="J21" s="53">
        <f>IF(C21=0,0,(C21/C23*inputOth!E65))</f>
        <v>0</v>
      </c>
      <c r="K21" s="53">
        <f>IF(C21=0,0,(C21/C24*(inputOth!E71+inputOth!E77)))</f>
        <v>0</v>
      </c>
      <c r="L21" s="53">
        <f>IF(C21=0,0,(C21/C23*inputOth!E66))</f>
        <v>0</v>
      </c>
      <c r="M21" s="53">
        <f>IF(C21=0,0,(C21/C24*(inputOth!E72+inputOth!E78)))</f>
        <v>0</v>
      </c>
      <c r="N21" s="136"/>
    </row>
    <row r="22" spans="1:14" x14ac:dyDescent="0.25">
      <c r="A22" s="474" t="s">
        <v>216</v>
      </c>
      <c r="B22" s="476" t="str">
        <f>IF(inputPrYr!$B32&gt;"  ",inputPrYr!$B32,"  ")</f>
        <v xml:space="preserve">  </v>
      </c>
      <c r="C22" s="477">
        <f>inputOth!D51</f>
        <v>0</v>
      </c>
      <c r="D22" s="53">
        <f>IF(C22=0,0,(C22/C23*inputOth!E62))</f>
        <v>0</v>
      </c>
      <c r="E22" s="53">
        <f>IF(C22=0,0,(C22/C24*(inputOth!E68+inputOth!E74)))</f>
        <v>0</v>
      </c>
      <c r="F22" s="53">
        <f>IF(C22=0,0,(C22/C23*inputOth!E63))</f>
        <v>0</v>
      </c>
      <c r="G22" s="53">
        <f>IF(C22=0,0,(C22/C24*(inputOth!E69+inputOth!E75)))</f>
        <v>0</v>
      </c>
      <c r="H22" s="53">
        <f>IF(C22=0,0,(C22/C23*inputOth!E64))</f>
        <v>0</v>
      </c>
      <c r="I22" s="53">
        <f>IF(C22=0,0,(C22/C24*(inputOth!E70+inputOth!E76)))</f>
        <v>0</v>
      </c>
      <c r="J22" s="53">
        <f>IF(C22=0,0,(C22/C23*inputOth!E65))</f>
        <v>0</v>
      </c>
      <c r="K22" s="53">
        <f>IF(C22=0,0,(C22/C24*(inputOth!E71+inputOth!E77)))</f>
        <v>0</v>
      </c>
      <c r="L22" s="53">
        <f>IF(C22=0,0,(C22/C23*inputOth!E66))</f>
        <v>0</v>
      </c>
      <c r="M22" s="53">
        <f>IF(C22=0,0,(C22/C24*(inputOth!E72+inputOth!E78)))</f>
        <v>0</v>
      </c>
      <c r="N22" s="136"/>
    </row>
    <row r="23" spans="1:14" ht="16.5" thickBot="1" x14ac:dyDescent="0.3">
      <c r="A23" s="35"/>
      <c r="B23" s="485" t="s">
        <v>126</v>
      </c>
      <c r="C23" s="484">
        <f t="shared" ref="C23:L23" si="0">SUM(C11:C22)</f>
        <v>0</v>
      </c>
      <c r="D23" s="481">
        <f t="shared" si="0"/>
        <v>0</v>
      </c>
      <c r="E23" s="476"/>
      <c r="F23" s="481">
        <f t="shared" si="0"/>
        <v>0</v>
      </c>
      <c r="G23" s="486"/>
      <c r="H23" s="481">
        <f t="shared" si="0"/>
        <v>0</v>
      </c>
      <c r="I23" s="486"/>
      <c r="J23" s="481">
        <f t="shared" si="0"/>
        <v>0</v>
      </c>
      <c r="K23" s="486"/>
      <c r="L23" s="481">
        <f t="shared" si="0"/>
        <v>0</v>
      </c>
      <c r="M23" s="486"/>
      <c r="N23" s="136"/>
    </row>
    <row r="24" spans="1:14" ht="17.25" thickTop="1" thickBot="1" x14ac:dyDescent="0.3">
      <c r="A24" s="35"/>
      <c r="B24" s="483" t="s">
        <v>217</v>
      </c>
      <c r="C24" s="482">
        <f>SUM(C11+C12+C13+C18+C19+C20+C21+C22)</f>
        <v>0</v>
      </c>
      <c r="D24" s="478"/>
      <c r="E24" s="481">
        <f>SUM(E11:E22)</f>
        <v>0</v>
      </c>
      <c r="F24" s="478"/>
      <c r="G24" s="481">
        <f>SUM(G11:G23)</f>
        <v>0</v>
      </c>
      <c r="H24" s="478"/>
      <c r="I24" s="481">
        <f>SUM(I11:I23)</f>
        <v>0</v>
      </c>
      <c r="J24" s="478"/>
      <c r="K24" s="481">
        <f>SUM(K11:K23)</f>
        <v>0</v>
      </c>
      <c r="L24" s="478"/>
      <c r="M24" s="481">
        <f>SUM(M11:M23)</f>
        <v>0</v>
      </c>
      <c r="N24" s="136"/>
    </row>
    <row r="25" spans="1:14" ht="16.5" thickTop="1" x14ac:dyDescent="0.25">
      <c r="A25" s="35"/>
      <c r="B25" s="479"/>
      <c r="C25" s="478"/>
      <c r="D25" s="478"/>
      <c r="E25" s="478"/>
      <c r="F25" s="478"/>
      <c r="G25" s="478"/>
      <c r="H25" s="478"/>
      <c r="I25" s="478"/>
      <c r="J25" s="478"/>
      <c r="K25" s="478"/>
      <c r="L25" s="478"/>
      <c r="M25" s="478"/>
      <c r="N25" s="136"/>
    </row>
    <row r="26" spans="1:14" x14ac:dyDescent="0.25">
      <c r="A26" s="35"/>
      <c r="B26" s="479"/>
      <c r="C26" s="478"/>
      <c r="D26" s="478"/>
      <c r="E26" s="478"/>
      <c r="F26" s="478"/>
      <c r="G26" s="478"/>
      <c r="H26" s="478"/>
      <c r="I26" s="478"/>
      <c r="J26" s="478"/>
      <c r="K26" s="478"/>
      <c r="L26" s="478"/>
      <c r="M26" s="478"/>
      <c r="N26" s="136"/>
    </row>
    <row r="27" spans="1:14" x14ac:dyDescent="0.25">
      <c r="A27" s="35"/>
      <c r="B27" s="479"/>
      <c r="C27" s="478"/>
      <c r="D27" s="478"/>
      <c r="E27" s="478"/>
      <c r="F27" s="478"/>
      <c r="G27" s="478"/>
      <c r="H27" s="478"/>
      <c r="I27" s="478"/>
      <c r="J27" s="478"/>
      <c r="K27" s="478"/>
      <c r="L27" s="478"/>
      <c r="M27" s="478"/>
      <c r="N27" s="136"/>
    </row>
    <row r="28" spans="1:14" x14ac:dyDescent="0.25">
      <c r="A28" s="35"/>
      <c r="B28" s="471"/>
      <c r="C28" s="471"/>
      <c r="D28" s="471"/>
      <c r="E28" s="471"/>
      <c r="F28" s="471"/>
      <c r="G28" s="471"/>
      <c r="H28" s="471"/>
      <c r="I28" s="471"/>
      <c r="J28" s="471"/>
      <c r="K28" s="471"/>
      <c r="L28" s="471"/>
      <c r="M28" s="471"/>
      <c r="N28" s="35"/>
    </row>
    <row r="29" spans="1:14" x14ac:dyDescent="0.25">
      <c r="A29" s="35"/>
      <c r="B29" s="35"/>
      <c r="C29" s="35"/>
      <c r="D29" s="471"/>
      <c r="E29" s="471"/>
      <c r="F29" s="471"/>
      <c r="G29" s="471"/>
      <c r="H29" s="471"/>
      <c r="I29" s="471"/>
      <c r="J29" s="471"/>
      <c r="K29" s="471"/>
      <c r="L29" s="471"/>
      <c r="M29" s="471"/>
      <c r="N29" s="35"/>
    </row>
    <row r="30" spans="1:14" x14ac:dyDescent="0.25">
      <c r="A30" s="35"/>
      <c r="B30" s="35"/>
      <c r="C30" s="35"/>
      <c r="D30" s="35"/>
      <c r="E30" s="35"/>
      <c r="F30" s="35"/>
      <c r="G30" s="35"/>
      <c r="H30" s="35"/>
      <c r="I30" s="35"/>
      <c r="J30" s="35"/>
      <c r="K30" s="35"/>
      <c r="L30" s="35"/>
      <c r="M30" s="35"/>
      <c r="N30" s="35"/>
    </row>
    <row r="34" spans="2:5" x14ac:dyDescent="0.25">
      <c r="B34" s="145"/>
      <c r="C34" s="145"/>
      <c r="D34" s="145"/>
      <c r="E34" s="145"/>
    </row>
  </sheetData>
  <sheetProtection sheet="1"/>
  <mergeCells count="4">
    <mergeCell ref="B7:N7"/>
    <mergeCell ref="C9:C10"/>
    <mergeCell ref="A6:N6"/>
    <mergeCell ref="D9:M9"/>
  </mergeCells>
  <phoneticPr fontId="0" type="noConversion"/>
  <pageMargins left="0.4" right="0.67" top="0.83" bottom="0.85" header="0.3" footer="0.6"/>
  <pageSetup scale="50" orientation="landscape"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B0F0"/>
    <pageSetUpPr fitToPage="1"/>
  </sheetPr>
  <dimension ref="A1:F29"/>
  <sheetViews>
    <sheetView workbookViewId="0">
      <selection activeCell="F36" sqref="F36"/>
    </sheetView>
  </sheetViews>
  <sheetFormatPr defaultRowHeight="15.75" x14ac:dyDescent="0.25"/>
  <cols>
    <col min="1" max="2" width="16" style="99" customWidth="1"/>
    <col min="3" max="6" width="11.5" style="99" customWidth="1"/>
    <col min="7" max="16384" width="8.796875" style="99"/>
  </cols>
  <sheetData>
    <row r="1" spans="1:6" x14ac:dyDescent="0.25">
      <c r="A1" s="72"/>
      <c r="B1" s="35"/>
      <c r="C1" s="35"/>
      <c r="D1" s="35"/>
      <c r="E1" s="136"/>
      <c r="F1" s="35">
        <f>inputPrYr!D10</f>
        <v>2025</v>
      </c>
    </row>
    <row r="2" spans="1:6" x14ac:dyDescent="0.25">
      <c r="A2" s="72">
        <f>inputPrYr!D4</f>
        <v>0</v>
      </c>
      <c r="B2" s="72"/>
      <c r="C2" s="35"/>
      <c r="D2" s="35"/>
      <c r="E2" s="136"/>
      <c r="F2" s="35"/>
    </row>
    <row r="3" spans="1:6" x14ac:dyDescent="0.25">
      <c r="A3" s="72"/>
      <c r="B3" s="72"/>
      <c r="C3" s="35"/>
      <c r="D3" s="35"/>
      <c r="E3" s="136"/>
      <c r="F3" s="35"/>
    </row>
    <row r="4" spans="1:6" x14ac:dyDescent="0.25">
      <c r="A4" s="72"/>
      <c r="B4" s="35"/>
      <c r="C4" s="35"/>
      <c r="D4" s="35"/>
      <c r="E4" s="136"/>
      <c r="F4" s="35"/>
    </row>
    <row r="5" spans="1:6" ht="15" customHeight="1" x14ac:dyDescent="0.25">
      <c r="A5" s="720" t="s">
        <v>180</v>
      </c>
      <c r="B5" s="720"/>
      <c r="C5" s="720"/>
      <c r="D5" s="720"/>
      <c r="E5" s="720"/>
      <c r="F5" s="720"/>
    </row>
    <row r="6" spans="1:6" ht="14.25" customHeight="1" x14ac:dyDescent="0.25">
      <c r="A6" s="70"/>
      <c r="B6" s="146"/>
      <c r="C6" s="146"/>
      <c r="D6" s="146"/>
      <c r="E6" s="146"/>
      <c r="F6" s="146"/>
    </row>
    <row r="7" spans="1:6" ht="15" customHeight="1" x14ac:dyDescent="0.25">
      <c r="A7" s="147" t="s">
        <v>218</v>
      </c>
      <c r="B7" s="147" t="s">
        <v>219</v>
      </c>
      <c r="C7" s="148" t="s">
        <v>220</v>
      </c>
      <c r="D7" s="148" t="s">
        <v>221</v>
      </c>
      <c r="E7" s="147" t="s">
        <v>222</v>
      </c>
      <c r="F7" s="147" t="s">
        <v>223</v>
      </c>
    </row>
    <row r="8" spans="1:6" ht="15" customHeight="1" x14ac:dyDescent="0.25">
      <c r="A8" s="149" t="s">
        <v>224</v>
      </c>
      <c r="B8" s="149" t="s">
        <v>225</v>
      </c>
      <c r="C8" s="150" t="s">
        <v>226</v>
      </c>
      <c r="D8" s="150" t="s">
        <v>226</v>
      </c>
      <c r="E8" s="150" t="s">
        <v>226</v>
      </c>
      <c r="F8" s="150" t="s">
        <v>227</v>
      </c>
    </row>
    <row r="9" spans="1:6" s="153" customFormat="1" ht="15" customHeight="1" thickBot="1" x14ac:dyDescent="0.3">
      <c r="A9" s="151" t="s">
        <v>228</v>
      </c>
      <c r="B9" s="152" t="s">
        <v>229</v>
      </c>
      <c r="C9" s="152">
        <f>F1-2</f>
        <v>2023</v>
      </c>
      <c r="D9" s="152">
        <f>F1-1</f>
        <v>2024</v>
      </c>
      <c r="E9" s="152">
        <f>F1</f>
        <v>2025</v>
      </c>
      <c r="F9" s="152" t="s">
        <v>94</v>
      </c>
    </row>
    <row r="10" spans="1:6" ht="15" customHeight="1" thickTop="1" x14ac:dyDescent="0.25">
      <c r="A10" s="132" t="s">
        <v>957</v>
      </c>
      <c r="B10" s="132" t="s">
        <v>183</v>
      </c>
      <c r="C10" s="649">
        <f>General!C43</f>
        <v>0</v>
      </c>
      <c r="D10" s="649">
        <f>General!D43</f>
        <v>0</v>
      </c>
      <c r="E10" s="649">
        <f>General!E43</f>
        <v>0</v>
      </c>
      <c r="F10" s="132" t="str">
        <f>IF(C10+D10+E10&gt;0,"KSA 80-1406b","")</f>
        <v/>
      </c>
    </row>
    <row r="11" spans="1:6" ht="15" customHeight="1" x14ac:dyDescent="0.25">
      <c r="A11" s="132" t="s">
        <v>957</v>
      </c>
      <c r="B11" s="132" t="s">
        <v>183</v>
      </c>
      <c r="C11" s="649">
        <f>General!C45</f>
        <v>0</v>
      </c>
      <c r="D11" s="649">
        <f>General!D45</f>
        <v>0</v>
      </c>
      <c r="E11" s="649">
        <f>General!E45</f>
        <v>0</v>
      </c>
      <c r="F11" s="132" t="str">
        <f>IF(C11+D11+E11&gt;0,"KSA 80-122","")</f>
        <v/>
      </c>
    </row>
    <row r="12" spans="1:6" ht="15" customHeight="1" x14ac:dyDescent="0.25">
      <c r="A12" s="132" t="s">
        <v>105</v>
      </c>
      <c r="B12" s="132" t="s">
        <v>183</v>
      </c>
      <c r="C12" s="649">
        <f>Road!C39</f>
        <v>0</v>
      </c>
      <c r="D12" s="649">
        <f>Road!D39</f>
        <v>0</v>
      </c>
      <c r="E12" s="649">
        <f>Road!E39</f>
        <v>0</v>
      </c>
      <c r="F12" s="132" t="str">
        <f>IF(C12+D12+E12&gt;0,"KSA 68-141g","")</f>
        <v/>
      </c>
    </row>
    <row r="13" spans="1:6" ht="15" customHeight="1" x14ac:dyDescent="0.25">
      <c r="A13" s="114"/>
      <c r="B13" s="114"/>
      <c r="C13" s="155"/>
      <c r="D13" s="155"/>
      <c r="E13" s="155"/>
      <c r="F13" s="114"/>
    </row>
    <row r="14" spans="1:6" ht="15" customHeight="1" x14ac:dyDescent="0.25">
      <c r="A14" s="114"/>
      <c r="B14" s="114"/>
      <c r="C14" s="155"/>
      <c r="D14" s="155"/>
      <c r="E14" s="155"/>
      <c r="F14" s="114"/>
    </row>
    <row r="15" spans="1:6" ht="15" customHeight="1" x14ac:dyDescent="0.25">
      <c r="A15" s="114"/>
      <c r="B15" s="114"/>
      <c r="C15" s="155"/>
      <c r="D15" s="155"/>
      <c r="E15" s="155"/>
      <c r="F15" s="114"/>
    </row>
    <row r="16" spans="1:6" ht="15" customHeight="1" x14ac:dyDescent="0.25">
      <c r="A16" s="114"/>
      <c r="B16" s="156"/>
      <c r="C16" s="155"/>
      <c r="D16" s="155"/>
      <c r="E16" s="155"/>
      <c r="F16" s="114"/>
    </row>
    <row r="17" spans="1:6" ht="15" customHeight="1" x14ac:dyDescent="0.25">
      <c r="A17" s="114"/>
      <c r="B17" s="114"/>
      <c r="C17" s="155"/>
      <c r="D17" s="155"/>
      <c r="E17" s="155"/>
      <c r="F17" s="114"/>
    </row>
    <row r="18" spans="1:6" ht="15" customHeight="1" x14ac:dyDescent="0.25">
      <c r="A18" s="114"/>
      <c r="B18" s="114"/>
      <c r="C18" s="155"/>
      <c r="D18" s="155"/>
      <c r="E18" s="155"/>
      <c r="F18" s="114"/>
    </row>
    <row r="19" spans="1:6" ht="15" customHeight="1" x14ac:dyDescent="0.25">
      <c r="A19" s="114"/>
      <c r="B19" s="114"/>
      <c r="C19" s="155"/>
      <c r="D19" s="155"/>
      <c r="E19" s="155"/>
      <c r="F19" s="114"/>
    </row>
    <row r="20" spans="1:6" ht="15" customHeight="1" x14ac:dyDescent="0.25">
      <c r="A20" s="114"/>
      <c r="B20" s="114"/>
      <c r="C20" s="155"/>
      <c r="D20" s="155"/>
      <c r="E20" s="155"/>
      <c r="F20" s="114"/>
    </row>
    <row r="21" spans="1:6" ht="15" customHeight="1" x14ac:dyDescent="0.25">
      <c r="A21" s="114"/>
      <c r="B21" s="114"/>
      <c r="C21" s="155"/>
      <c r="D21" s="155"/>
      <c r="E21" s="155"/>
      <c r="F21" s="114"/>
    </row>
    <row r="22" spans="1:6" ht="15" customHeight="1" x14ac:dyDescent="0.25">
      <c r="A22" s="114"/>
      <c r="B22" s="114"/>
      <c r="C22" s="155"/>
      <c r="D22" s="155"/>
      <c r="E22" s="155"/>
      <c r="F22" s="114"/>
    </row>
    <row r="23" spans="1:6" ht="15" customHeight="1" x14ac:dyDescent="0.25">
      <c r="A23" s="114"/>
      <c r="B23" s="114"/>
      <c r="C23" s="155"/>
      <c r="D23" s="155"/>
      <c r="E23" s="155"/>
      <c r="F23" s="114"/>
    </row>
    <row r="24" spans="1:6" ht="15" customHeight="1" x14ac:dyDescent="0.25">
      <c r="A24" s="119"/>
      <c r="B24" s="51" t="s">
        <v>126</v>
      </c>
      <c r="C24" s="157">
        <f>SUM(C10:C23)</f>
        <v>0</v>
      </c>
      <c r="D24" s="157">
        <f>SUM(D10:D23)</f>
        <v>0</v>
      </c>
      <c r="E24" s="157">
        <f>SUM(E10:E23)</f>
        <v>0</v>
      </c>
      <c r="F24" s="119"/>
    </row>
    <row r="25" spans="1:6" ht="15" customHeight="1" x14ac:dyDescent="0.25">
      <c r="A25" s="119"/>
      <c r="B25" s="51" t="s">
        <v>230</v>
      </c>
      <c r="C25" s="35"/>
      <c r="D25" s="114"/>
      <c r="E25" s="114"/>
      <c r="F25" s="119"/>
    </row>
    <row r="26" spans="1:6" ht="15" customHeight="1" x14ac:dyDescent="0.25">
      <c r="A26" s="119"/>
      <c r="B26" s="51" t="s">
        <v>231</v>
      </c>
      <c r="C26" s="157">
        <f>C24</f>
        <v>0</v>
      </c>
      <c r="D26" s="157">
        <f>SUM(D24-D25)</f>
        <v>0</v>
      </c>
      <c r="E26" s="157">
        <f>SUM(E24-E25)</f>
        <v>0</v>
      </c>
      <c r="F26" s="119"/>
    </row>
    <row r="27" spans="1:6" x14ac:dyDescent="0.25">
      <c r="A27" s="119"/>
      <c r="B27" s="35"/>
      <c r="C27" s="35"/>
      <c r="D27" s="35"/>
      <c r="E27" s="35"/>
      <c r="F27" s="119"/>
    </row>
    <row r="28" spans="1:6" x14ac:dyDescent="0.25">
      <c r="A28" s="119"/>
      <c r="B28" s="35"/>
      <c r="C28" s="35"/>
      <c r="D28" s="35"/>
      <c r="E28" s="35"/>
      <c r="F28" s="119"/>
    </row>
    <row r="29" spans="1:6" x14ac:dyDescent="0.25">
      <c r="A29" s="740" t="str">
        <f>CONCATENATE("*Note: Adjustments are required only if the transfer is being made in ",D9," and/or ",E9," from a non-budgeted fund.")</f>
        <v>*Note: Adjustments are required only if the transfer is being made in 2024 and/or 2025 from a non-budgeted fund.</v>
      </c>
      <c r="B29" s="740"/>
      <c r="C29" s="740"/>
      <c r="D29" s="740"/>
      <c r="E29" s="740"/>
      <c r="F29" s="740"/>
    </row>
  </sheetData>
  <sheetProtection sheet="1"/>
  <mergeCells count="2">
    <mergeCell ref="A5:F5"/>
    <mergeCell ref="A29:F29"/>
  </mergeCells>
  <phoneticPr fontId="10" type="noConversion"/>
  <pageMargins left="0.75" right="0.75" top="1" bottom="1" header="0.5" footer="0.5"/>
  <pageSetup scale="89" orientation="portrait" blackAndWhite="1" r:id="rId1"/>
  <headerFooter alignWithMargins="0">
    <oddHeader>&amp;RState of Kansas
Township</oddHeader>
    <oddFooter>&amp;CPage No. 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dimension ref="A1:A27"/>
  <sheetViews>
    <sheetView workbookViewId="0">
      <selection activeCell="L63" sqref="L63"/>
    </sheetView>
  </sheetViews>
  <sheetFormatPr defaultRowHeight="15.75" x14ac:dyDescent="0.25"/>
  <cols>
    <col min="1" max="1" width="70.09765625" style="62" customWidth="1"/>
    <col min="2" max="16384" width="8.796875" style="62"/>
  </cols>
  <sheetData>
    <row r="1" spans="1:1" ht="18.75" x14ac:dyDescent="0.25">
      <c r="A1" s="229" t="s">
        <v>232</v>
      </c>
    </row>
    <row r="2" spans="1:1" x14ac:dyDescent="0.25">
      <c r="A2" s="65"/>
    </row>
    <row r="3" spans="1:1" x14ac:dyDescent="0.25">
      <c r="A3" s="65"/>
    </row>
    <row r="4" spans="1:1" ht="52.5" customHeight="1" x14ac:dyDescent="0.25">
      <c r="A4" s="138" t="s">
        <v>233</v>
      </c>
    </row>
    <row r="5" spans="1:1" x14ac:dyDescent="0.25">
      <c r="A5" s="65"/>
    </row>
    <row r="6" spans="1:1" x14ac:dyDescent="0.25">
      <c r="A6" s="65"/>
    </row>
    <row r="7" spans="1:1" ht="70.5" customHeight="1" x14ac:dyDescent="0.25">
      <c r="A7" s="138" t="s">
        <v>234</v>
      </c>
    </row>
    <row r="8" spans="1:1" x14ac:dyDescent="0.25">
      <c r="A8" s="629"/>
    </row>
    <row r="9" spans="1:1" x14ac:dyDescent="0.25">
      <c r="A9" s="65"/>
    </row>
    <row r="10" spans="1:1" ht="56.25" customHeight="1" x14ac:dyDescent="0.25">
      <c r="A10" s="138" t="s">
        <v>235</v>
      </c>
    </row>
    <row r="11" spans="1:1" x14ac:dyDescent="0.25">
      <c r="A11" s="629"/>
    </row>
    <row r="12" spans="1:1" x14ac:dyDescent="0.25">
      <c r="A12" s="629"/>
    </row>
    <row r="13" spans="1:1" ht="57.75" customHeight="1" x14ac:dyDescent="0.25">
      <c r="A13" s="138" t="s">
        <v>236</v>
      </c>
    </row>
    <row r="14" spans="1:1" x14ac:dyDescent="0.25">
      <c r="A14" s="629"/>
    </row>
    <row r="15" spans="1:1" x14ac:dyDescent="0.25">
      <c r="A15" s="629"/>
    </row>
    <row r="16" spans="1:1" ht="87.75" customHeight="1" x14ac:dyDescent="0.25">
      <c r="A16" s="138" t="s">
        <v>237</v>
      </c>
    </row>
    <row r="17" spans="1:1" x14ac:dyDescent="0.25">
      <c r="A17" s="629"/>
    </row>
    <row r="18" spans="1:1" x14ac:dyDescent="0.25">
      <c r="A18" s="65"/>
    </row>
    <row r="19" spans="1:1" ht="54.75" customHeight="1" x14ac:dyDescent="0.25">
      <c r="A19" s="138" t="s">
        <v>238</v>
      </c>
    </row>
    <row r="20" spans="1:1" x14ac:dyDescent="0.25">
      <c r="A20" s="65"/>
    </row>
    <row r="21" spans="1:1" x14ac:dyDescent="0.25">
      <c r="A21" s="65"/>
    </row>
    <row r="22" spans="1:1" ht="69" customHeight="1" x14ac:dyDescent="0.25">
      <c r="A22" s="138" t="s">
        <v>239</v>
      </c>
    </row>
    <row r="23" spans="1:1" x14ac:dyDescent="0.25">
      <c r="A23" s="65"/>
    </row>
    <row r="24" spans="1:1" x14ac:dyDescent="0.25">
      <c r="A24" s="227"/>
    </row>
    <row r="25" spans="1:1" ht="47.25" customHeight="1" x14ac:dyDescent="0.25">
      <c r="A25" s="228" t="s">
        <v>240</v>
      </c>
    </row>
    <row r="26" spans="1:1" x14ac:dyDescent="0.25">
      <c r="A26" s="630"/>
    </row>
    <row r="27" spans="1:1" x14ac:dyDescent="0.25">
      <c r="A27" s="227"/>
    </row>
  </sheetData>
  <sheetProtection sheet="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C9DC4551578746BB2D5CB3C7D70B0F" ma:contentTypeVersion="12" ma:contentTypeDescription="Create a new document." ma:contentTypeScope="" ma:versionID="7651c3249043c5a1de3dbca765d0b8ca">
  <xsd:schema xmlns:xsd="http://www.w3.org/2001/XMLSchema" xmlns:xs="http://www.w3.org/2001/XMLSchema" xmlns:p="http://schemas.microsoft.com/office/2006/metadata/properties" xmlns:ns2="1895758b-fcac-4748-aa0a-5720d2d7d486" xmlns:ns3="7e2d0d8f-ac74-4d4c-8884-aff3748a733a" xmlns:ns4="a9343af4-2466-41a9-9238-9dddcc3e6066" xmlns:ns5="eda53aa1-44b3-4cd7-9bce-6d7e34741e47" targetNamespace="http://schemas.microsoft.com/office/2006/metadata/properties" ma:root="true" ma:fieldsID="db0d394f9a5513f0d824e2dca6eb113c" ns2:_="" ns3:_="" ns4:_="" ns5:_="">
    <xsd:import namespace="1895758b-fcac-4748-aa0a-5720d2d7d486"/>
    <xsd:import namespace="7e2d0d8f-ac74-4d4c-8884-aff3748a733a"/>
    <xsd:import namespace="a9343af4-2466-41a9-9238-9dddcc3e6066"/>
    <xsd:import namespace="eda53aa1-44b3-4cd7-9bce-6d7e34741e4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4:SharedWithDetails"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5758b-fcac-4748-aa0a-5720d2d7d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d0d8f-ac74-4d4c-8884-aff3748a733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343af4-2466-41a9-9238-9dddcc3e6066"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a53aa1-44b3-4cd7-9bce-6d7e34741e4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3e2891e4-6779-4a5a-9225-82d50eb2cf56}" ma:internalName="TaxCatchAll" ma:showField="CatchAllData" ma:web="eda53aa1-44b3-4cd7-9bce-6d7e34741e4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da53aa1-44b3-4cd7-9bce-6d7e34741e4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1DC2A4-C52B-4C94-8603-4A322C8604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5758b-fcac-4748-aa0a-5720d2d7d486"/>
    <ds:schemaRef ds:uri="7e2d0d8f-ac74-4d4c-8884-aff3748a733a"/>
    <ds:schemaRef ds:uri="a9343af4-2466-41a9-9238-9dddcc3e6066"/>
    <ds:schemaRef ds:uri="eda53aa1-44b3-4cd7-9bce-6d7e34741e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8B0BAE-264E-4D3C-B392-BF09F4E4FFC0}">
  <ds:schemaRefs>
    <ds:schemaRef ds:uri="http://schemas.microsoft.com/office/2006/metadata/properties"/>
    <ds:schemaRef ds:uri="http://schemas.microsoft.com/office/infopath/2007/PartnerControls"/>
    <ds:schemaRef ds:uri="eda53aa1-44b3-4cd7-9bce-6d7e34741e47"/>
  </ds:schemaRefs>
</ds:datastoreItem>
</file>

<file path=customXml/itemProps3.xml><?xml version="1.0" encoding="utf-8"?>
<ds:datastoreItem xmlns:ds="http://schemas.openxmlformats.org/officeDocument/2006/customXml" ds:itemID="{B49B2969-09E1-41BE-BE6E-FC418AF84D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15</vt:i4>
      </vt:variant>
    </vt:vector>
  </HeadingPairs>
  <TitlesOfParts>
    <vt:vector size="51" baseType="lpstr">
      <vt:lpstr>Instructions</vt:lpstr>
      <vt:lpstr>inputPrYr</vt:lpstr>
      <vt:lpstr>inputOth</vt:lpstr>
      <vt:lpstr>inputHearing</vt:lpstr>
      <vt:lpstr>CPA Summary</vt:lpstr>
      <vt:lpstr>Cert</vt:lpstr>
      <vt:lpstr>Mvalloc</vt:lpstr>
      <vt:lpstr>Transfers</vt:lpstr>
      <vt:lpstr>Transfer Statutes</vt:lpstr>
      <vt:lpstr>Debt-LP Form</vt:lpstr>
      <vt:lpstr>Library Grant</vt:lpstr>
      <vt:lpstr>General</vt:lpstr>
      <vt:lpstr>DebtSvs-Library</vt:lpstr>
      <vt:lpstr>Road</vt:lpstr>
      <vt:lpstr>Spec Road &amp; Noxious Weed</vt:lpstr>
      <vt:lpstr>Levy Page 10</vt:lpstr>
      <vt:lpstr>Levy Page 11</vt:lpstr>
      <vt:lpstr>Levy Page 12</vt:lpstr>
      <vt:lpstr>No Levy Page 13</vt:lpstr>
      <vt:lpstr>No Levy Page 14</vt:lpstr>
      <vt:lpstr>Non-Budgeted Funds</vt:lpstr>
      <vt:lpstr>Non-Bud Funds Statutes</vt:lpstr>
      <vt:lpstr>Budget Hearing Notice</vt:lpstr>
      <vt:lpstr>Combined Rate-Bud Hearing Notic</vt:lpstr>
      <vt:lpstr>RNR Hearing Notice</vt:lpstr>
      <vt:lpstr>NR Rebate</vt:lpstr>
      <vt:lpstr>SAMPLE Notice to County Clerk</vt:lpstr>
      <vt:lpstr>SAMPLE Roll Call to Exceed RNR</vt:lpstr>
      <vt:lpstr>SAMPLE Twp RNR Resolution</vt:lpstr>
      <vt:lpstr>Tab A</vt:lpstr>
      <vt:lpstr>Tab B</vt:lpstr>
      <vt:lpstr>Tab C</vt:lpstr>
      <vt:lpstr>Tab D</vt:lpstr>
      <vt:lpstr>Tab E</vt:lpstr>
      <vt:lpstr>Budget Tools</vt:lpstr>
      <vt:lpstr>Legend</vt:lpstr>
      <vt:lpstr>'Budget Hearing Notice'!Print_Area</vt:lpstr>
      <vt:lpstr>Cert!Print_Area</vt:lpstr>
      <vt:lpstr>'Combined Rate-Bud Hearing Notic'!Print_Area</vt:lpstr>
      <vt:lpstr>'CPA Summary'!Print_Area</vt:lpstr>
      <vt:lpstr>'DebtSvs-Library'!Print_Area</vt:lpstr>
      <vt:lpstr>General!Print_Area</vt:lpstr>
      <vt:lpstr>inputPrYr!Print_Area</vt:lpstr>
      <vt:lpstr>'Levy Page 10'!Print_Area</vt:lpstr>
      <vt:lpstr>'Levy Page 11'!Print_Area</vt:lpstr>
      <vt:lpstr>'Levy Page 12'!Print_Area</vt:lpstr>
      <vt:lpstr>'Library Grant'!Print_Area</vt:lpstr>
      <vt:lpstr>Mvalloc!Print_Area</vt:lpstr>
      <vt:lpstr>'RNR Hearing Notice'!Print_Area</vt:lpstr>
      <vt:lpstr>Road!Print_Area</vt:lpstr>
      <vt:lpstr>'Spec Road &amp; Noxious Weed'!Print_Area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Lindsay A. Olson [DAAR]</cp:lastModifiedBy>
  <cp:revision/>
  <dcterms:created xsi:type="dcterms:W3CDTF">1998-08-26T16:30:41Z</dcterms:created>
  <dcterms:modified xsi:type="dcterms:W3CDTF">2024-05-02T14:05:26Z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0x010100DAC9DC4551578746BB2D5CB3C7D70B0F</vt:lpwstr>
  </property>
</Properties>
</file>