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39" documentId="8_{95D03023-7639-4DFE-BF22-E0F702E46DB1}" xr6:coauthVersionLast="47" xr6:coauthVersionMax="47" xr10:uidLastSave="{0B3931CA-B1CD-47F4-9781-F7E90D67A314}"/>
  <bookViews>
    <workbookView xWindow="3450" yWindow="1305" windowWidth="16515" windowHeight="12390" tabRatio="850" xr2:uid="{00000000-000D-0000-FFFF-FFFF00000000}"/>
  </bookViews>
  <sheets>
    <sheet name="Instructions" sheetId="41" r:id="rId1"/>
    <sheet name="inputPrYr" sheetId="2" r:id="rId2"/>
    <sheet name="inputOth" sheetId="20" r:id="rId3"/>
    <sheet name="inputHearing" sheetId="42" r:id="rId4"/>
    <sheet name="CPA Summary" sheetId="40" r:id="rId5"/>
    <sheet name="Cert" sheetId="3" r:id="rId6"/>
    <sheet name="Mvalloc" sheetId="4" r:id="rId7"/>
    <sheet name="Transfers" sheetId="21" r:id="rId8"/>
    <sheet name="Transfer Statutes" sheetId="23" r:id="rId9"/>
    <sheet name="Debt-LP Form" sheetId="13" r:id="rId10"/>
    <sheet name="Library Grant" sheetId="34" r:id="rId11"/>
    <sheet name="General" sheetId="6" r:id="rId12"/>
    <sheet name="DebtSvs-Library" sheetId="35" r:id="rId13"/>
    <sheet name="Road" sheetId="7" r:id="rId14"/>
    <sheet name="Levy Page 9" sheetId="8" r:id="rId15"/>
    <sheet name="Levy Page 10" sheetId="9" r:id="rId16"/>
    <sheet name="Levy Page 11" sheetId="10" r:id="rId17"/>
    <sheet name="Levy Page 12" sheetId="11" r:id="rId18"/>
    <sheet name="No Levy Page 13" sheetId="17" r:id="rId19"/>
    <sheet name="No Levy Page 14" sheetId="18" r:id="rId20"/>
    <sheet name="Non-Budgeted Funds" sheetId="24" r:id="rId21"/>
    <sheet name="Non-Bud Fund Statutes" sheetId="30" r:id="rId22"/>
    <sheet name="Budget Hearing Notice" sheetId="12" r:id="rId23"/>
    <sheet name="Combined Rate-Bud Hearing Notic" sheetId="45" r:id="rId24"/>
    <sheet name="RNR Hearing Notice" sheetId="46" r:id="rId25"/>
    <sheet name="NR Rebate" sheetId="22" r:id="rId26"/>
    <sheet name="SAMPLE Notice to County Clerk" sheetId="48" r:id="rId27"/>
    <sheet name="SAMPLE Roll Call to Exceed RNR" sheetId="51" r:id="rId28"/>
    <sheet name="SAMPLE Twp RNR Resolution" sheetId="47" r:id="rId29"/>
    <sheet name="Tab A" sheetId="25" r:id="rId30"/>
    <sheet name="Tab B" sheetId="26" r:id="rId31"/>
    <sheet name="Tab C" sheetId="27" r:id="rId32"/>
    <sheet name="Tab D" sheetId="28" r:id="rId33"/>
    <sheet name="Tab E" sheetId="29" r:id="rId34"/>
    <sheet name="Budget Tools" sheetId="50" r:id="rId35"/>
    <sheet name="Legend" sheetId="15" r:id="rId36"/>
  </sheets>
  <definedNames>
    <definedName name="_xlnm.Print_Area" localSheetId="22">'Budget Hearing Notice'!$B$2:$I$56</definedName>
    <definedName name="_xlnm.Print_Area" localSheetId="23">'Combined Rate-Bud Hearing Notic'!$B$2:$I$56</definedName>
    <definedName name="_xlnm.Print_Area" localSheetId="4">'CPA Summary'!$A$1:$A$40</definedName>
    <definedName name="_xlnm.Print_Area" localSheetId="12">'DebtSvs-Library'!$B$1:$E$88</definedName>
    <definedName name="_xlnm.Print_Area" localSheetId="11">General!$B$1:$E$62</definedName>
    <definedName name="_xlnm.Print_Area" localSheetId="1">inputPrYr!$A$1:$E$92</definedName>
    <definedName name="_xlnm.Print_Area" localSheetId="10">'Library Grant'!$A$1:$J$40</definedName>
    <definedName name="_xlnm.Print_Area" localSheetId="24">'RNR Hearing Notice'!$A$1:$H$17</definedName>
    <definedName name="_xlnm.Print_Area" localSheetId="13">Road!$B$1:$F$72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3" l="1"/>
  <c r="B54" i="18" l="1"/>
  <c r="B24" i="18"/>
  <c r="B54" i="17"/>
  <c r="B24" i="17"/>
  <c r="B72" i="11"/>
  <c r="B31" i="11"/>
  <c r="B72" i="10"/>
  <c r="B31" i="10"/>
  <c r="B72" i="9"/>
  <c r="B31" i="9"/>
  <c r="B72" i="8"/>
  <c r="B31" i="8"/>
  <c r="B38" i="7"/>
  <c r="B42" i="6"/>
  <c r="B31" i="35"/>
  <c r="F45" i="3" l="1"/>
  <c r="E12" i="21" l="1"/>
  <c r="D12" i="21"/>
  <c r="C12" i="21"/>
  <c r="E11" i="21"/>
  <c r="D11" i="21"/>
  <c r="C11" i="21"/>
  <c r="E10" i="21"/>
  <c r="D10" i="21"/>
  <c r="C10" i="21"/>
  <c r="H1" i="46"/>
  <c r="C42" i="3"/>
  <c r="C41" i="3"/>
  <c r="C40" i="3"/>
  <c r="C39" i="3"/>
  <c r="A10" i="46"/>
  <c r="A6" i="46"/>
  <c r="A5" i="46"/>
  <c r="B54" i="45"/>
  <c r="B53" i="45"/>
  <c r="B9" i="45"/>
  <c r="B7" i="45"/>
  <c r="N48" i="45"/>
  <c r="G48" i="45"/>
  <c r="E48" i="45"/>
  <c r="C48" i="45"/>
  <c r="G47" i="45"/>
  <c r="E47" i="45"/>
  <c r="C47" i="45"/>
  <c r="G46" i="45"/>
  <c r="G49" i="45" s="1"/>
  <c r="E46" i="45"/>
  <c r="E49" i="45" s="1"/>
  <c r="C46" i="45"/>
  <c r="C49" i="45" s="1"/>
  <c r="G45" i="45"/>
  <c r="G42" i="45"/>
  <c r="N47" i="45" s="1"/>
  <c r="E42" i="45"/>
  <c r="C42" i="45"/>
  <c r="E40" i="45"/>
  <c r="C40" i="45"/>
  <c r="I37" i="45"/>
  <c r="N44" i="45" s="1"/>
  <c r="C35" i="45"/>
  <c r="C34" i="45"/>
  <c r="B34" i="45"/>
  <c r="B33" i="45"/>
  <c r="B32" i="45"/>
  <c r="B31" i="45"/>
  <c r="B30" i="45"/>
  <c r="F29" i="45"/>
  <c r="D29" i="45"/>
  <c r="B29" i="45"/>
  <c r="F28" i="45"/>
  <c r="D28" i="45"/>
  <c r="B28" i="45"/>
  <c r="N27" i="45"/>
  <c r="F27" i="45"/>
  <c r="D27" i="45"/>
  <c r="B27" i="45"/>
  <c r="F26" i="45"/>
  <c r="D26" i="45"/>
  <c r="B26" i="45"/>
  <c r="F25" i="45"/>
  <c r="D25" i="45"/>
  <c r="B25" i="45"/>
  <c r="F24" i="45"/>
  <c r="D24" i="45"/>
  <c r="B24" i="45"/>
  <c r="F23" i="45"/>
  <c r="D23" i="45"/>
  <c r="B23" i="45"/>
  <c r="F22" i="45"/>
  <c r="D22" i="45"/>
  <c r="B22" i="45"/>
  <c r="F21" i="45"/>
  <c r="D21" i="45"/>
  <c r="B21" i="45"/>
  <c r="F20" i="45"/>
  <c r="D20" i="45"/>
  <c r="B20" i="45"/>
  <c r="F19" i="45"/>
  <c r="D19" i="45"/>
  <c r="F18" i="45"/>
  <c r="F36" i="45" s="1"/>
  <c r="N31" i="45" s="1"/>
  <c r="N39" i="45" s="1"/>
  <c r="D18" i="45"/>
  <c r="D36" i="45" s="1"/>
  <c r="B18" i="45"/>
  <c r="B6" i="45"/>
  <c r="B5" i="45"/>
  <c r="I1" i="45"/>
  <c r="K48" i="45" s="1"/>
  <c r="B54" i="12"/>
  <c r="B53" i="12"/>
  <c r="B9" i="12"/>
  <c r="B7" i="12"/>
  <c r="F42" i="3"/>
  <c r="K32" i="45" l="1"/>
  <c r="H15" i="45"/>
  <c r="K38" i="45"/>
  <c r="F11" i="21"/>
  <c r="F10" i="21"/>
  <c r="F12" i="21"/>
  <c r="K29" i="45"/>
  <c r="K45" i="45"/>
  <c r="B11" i="45"/>
  <c r="K31" i="45"/>
  <c r="K47" i="45"/>
  <c r="B12" i="45"/>
  <c r="K36" i="45"/>
  <c r="C14" i="45"/>
  <c r="E14" i="45"/>
  <c r="K39" i="45"/>
  <c r="G14" i="45"/>
  <c r="C45" i="45"/>
  <c r="K46" i="45"/>
  <c r="K25" i="45"/>
  <c r="E45" i="45"/>
  <c r="I37" i="12" l="1"/>
  <c r="C35" i="12"/>
  <c r="E11" i="22"/>
  <c r="E75" i="8"/>
  <c r="D25" i="3" s="1"/>
  <c r="E10" i="22"/>
  <c r="E19" i="8" s="1"/>
  <c r="E34" i="8"/>
  <c r="E8" i="22"/>
  <c r="E60" i="35" s="1"/>
  <c r="E7" i="22"/>
  <c r="E19" i="35"/>
  <c r="E6" i="22"/>
  <c r="I33" i="4"/>
  <c r="H31" i="4"/>
  <c r="C18" i="3"/>
  <c r="B19" i="34"/>
  <c r="B18" i="34"/>
  <c r="B17" i="34"/>
  <c r="B16" i="34"/>
  <c r="B15" i="34"/>
  <c r="D49" i="11"/>
  <c r="D63" i="11" s="1"/>
  <c r="D62" i="11" s="1"/>
  <c r="D8" i="11"/>
  <c r="D22" i="11" s="1"/>
  <c r="D49" i="10"/>
  <c r="D63" i="10"/>
  <c r="D8" i="10"/>
  <c r="D22" i="10" s="1"/>
  <c r="D49" i="9"/>
  <c r="D63" i="9" s="1"/>
  <c r="D62" i="9" s="1"/>
  <c r="D8" i="9"/>
  <c r="D22" i="9" s="1"/>
  <c r="D21" i="9" s="1"/>
  <c r="D49" i="8"/>
  <c r="D63" i="8" s="1"/>
  <c r="D8" i="8"/>
  <c r="D22" i="8" s="1"/>
  <c r="D21" i="8" s="1"/>
  <c r="D8" i="7"/>
  <c r="D24" i="7" s="1"/>
  <c r="D23" i="7" s="1"/>
  <c r="D8" i="6"/>
  <c r="D26" i="6" s="1"/>
  <c r="D25" i="6" s="1"/>
  <c r="D81" i="35"/>
  <c r="D40" i="35"/>
  <c r="E40" i="35" s="1"/>
  <c r="E15" i="7"/>
  <c r="D8" i="22"/>
  <c r="E75" i="35"/>
  <c r="B8" i="22"/>
  <c r="C77" i="35"/>
  <c r="C36" i="35"/>
  <c r="E15" i="6"/>
  <c r="A53" i="20"/>
  <c r="C13" i="4"/>
  <c r="B13" i="4"/>
  <c r="C22" i="3"/>
  <c r="C21" i="3"/>
  <c r="B22" i="3"/>
  <c r="A22" i="3"/>
  <c r="F20" i="12"/>
  <c r="G72" i="35" s="1"/>
  <c r="D20" i="12"/>
  <c r="B20" i="12"/>
  <c r="G16" i="34"/>
  <c r="E19" i="34"/>
  <c r="E18" i="34"/>
  <c r="E17" i="34"/>
  <c r="E16" i="34"/>
  <c r="D77" i="35"/>
  <c r="A21" i="20"/>
  <c r="D36" i="35"/>
  <c r="B46" i="35"/>
  <c r="B5" i="35"/>
  <c r="B1" i="35"/>
  <c r="E1" i="35"/>
  <c r="D75" i="35"/>
  <c r="E20" i="45" s="1"/>
  <c r="C75" i="35"/>
  <c r="C20" i="12" s="1"/>
  <c r="C63" i="35"/>
  <c r="C62" i="35" s="1"/>
  <c r="D34" i="35"/>
  <c r="C34" i="35"/>
  <c r="C22" i="35"/>
  <c r="C23" i="35" s="1"/>
  <c r="G14" i="34"/>
  <c r="B78" i="34" s="1"/>
  <c r="E14" i="34"/>
  <c r="B89" i="34" s="1"/>
  <c r="B8" i="34"/>
  <c r="B7" i="34"/>
  <c r="B5" i="34"/>
  <c r="A18" i="3"/>
  <c r="G30" i="2"/>
  <c r="G29" i="2"/>
  <c r="G28" i="2"/>
  <c r="G27" i="2"/>
  <c r="G26" i="2"/>
  <c r="G25" i="2"/>
  <c r="G24" i="2"/>
  <c r="G23" i="2"/>
  <c r="G22" i="2"/>
  <c r="G21" i="2"/>
  <c r="D49" i="35"/>
  <c r="D63" i="35" s="1"/>
  <c r="D62" i="35" s="1"/>
  <c r="G20" i="2"/>
  <c r="D8" i="35"/>
  <c r="D22" i="35" s="1"/>
  <c r="D21" i="35" s="1"/>
  <c r="G19" i="2"/>
  <c r="B49" i="2"/>
  <c r="C31" i="3"/>
  <c r="C30" i="3"/>
  <c r="C29" i="3"/>
  <c r="C28" i="3"/>
  <c r="C27" i="3"/>
  <c r="C26" i="3"/>
  <c r="C25" i="3"/>
  <c r="C24" i="3"/>
  <c r="C20" i="3"/>
  <c r="C23" i="3"/>
  <c r="C37" i="3"/>
  <c r="D81" i="11"/>
  <c r="E81" i="11" s="1"/>
  <c r="D40" i="11"/>
  <c r="E40" i="11" s="1"/>
  <c r="D81" i="10"/>
  <c r="E81" i="10" s="1"/>
  <c r="D40" i="10"/>
  <c r="E40" i="10" s="1"/>
  <c r="D40" i="9"/>
  <c r="E40" i="9" s="1"/>
  <c r="D81" i="9"/>
  <c r="E81" i="9" s="1"/>
  <c r="D81" i="8"/>
  <c r="E81" i="8" s="1"/>
  <c r="D40" i="8"/>
  <c r="E40" i="8" s="1"/>
  <c r="D49" i="7"/>
  <c r="E49" i="7"/>
  <c r="D55" i="6"/>
  <c r="E55" i="6" s="1"/>
  <c r="C77" i="11"/>
  <c r="D77" i="11"/>
  <c r="C36" i="11"/>
  <c r="D36" i="11"/>
  <c r="B1" i="10"/>
  <c r="B5" i="10"/>
  <c r="B46" i="10"/>
  <c r="C77" i="10"/>
  <c r="D77" i="10"/>
  <c r="C36" i="10"/>
  <c r="D36" i="10"/>
  <c r="C77" i="9"/>
  <c r="D77" i="9"/>
  <c r="C36" i="9"/>
  <c r="D36" i="9"/>
  <c r="C77" i="8"/>
  <c r="D77" i="8"/>
  <c r="C36" i="8"/>
  <c r="D36" i="8"/>
  <c r="C45" i="7"/>
  <c r="D45" i="7"/>
  <c r="C59" i="7"/>
  <c r="C58" i="7"/>
  <c r="C57" i="7"/>
  <c r="C44" i="6"/>
  <c r="C51" i="6"/>
  <c r="D51" i="6"/>
  <c r="A8" i="29"/>
  <c r="A46" i="28"/>
  <c r="A41" i="28"/>
  <c r="A6" i="28"/>
  <c r="A38" i="27"/>
  <c r="A33" i="27"/>
  <c r="A19" i="27"/>
  <c r="A6" i="27"/>
  <c r="A34" i="26"/>
  <c r="A33" i="26"/>
  <c r="A6" i="26"/>
  <c r="A77" i="25"/>
  <c r="A74" i="25"/>
  <c r="A33" i="25"/>
  <c r="A28" i="25"/>
  <c r="A25" i="25"/>
  <c r="A16" i="25"/>
  <c r="A6" i="25"/>
  <c r="D21" i="22"/>
  <c r="D23" i="22" s="1"/>
  <c r="B34" i="12"/>
  <c r="A36" i="3"/>
  <c r="C36" i="3"/>
  <c r="I5" i="24"/>
  <c r="G5" i="24"/>
  <c r="E5" i="24"/>
  <c r="C5" i="24"/>
  <c r="A5" i="24"/>
  <c r="K1" i="24"/>
  <c r="F2" i="24" s="1"/>
  <c r="A1" i="24"/>
  <c r="J28" i="24"/>
  <c r="K28" i="24" s="1"/>
  <c r="C34" i="12" s="1"/>
  <c r="H28" i="24"/>
  <c r="F28" i="24"/>
  <c r="D28" i="24"/>
  <c r="B28" i="24"/>
  <c r="J17" i="24"/>
  <c r="J18" i="24" s="1"/>
  <c r="H17" i="24"/>
  <c r="H18" i="24"/>
  <c r="H29" i="24"/>
  <c r="H30" i="24" s="1"/>
  <c r="F17" i="24"/>
  <c r="D17" i="24"/>
  <c r="B17" i="24"/>
  <c r="K7" i="24"/>
  <c r="E15" i="2"/>
  <c r="G18" i="2"/>
  <c r="D15" i="2"/>
  <c r="C14" i="4"/>
  <c r="C22" i="4"/>
  <c r="C21" i="4"/>
  <c r="C20" i="4"/>
  <c r="C19" i="4"/>
  <c r="C18" i="4"/>
  <c r="C17" i="4"/>
  <c r="C16" i="4"/>
  <c r="C15" i="4"/>
  <c r="C12" i="4"/>
  <c r="C11" i="4"/>
  <c r="A29" i="2"/>
  <c r="D43" i="7"/>
  <c r="E21" i="12" s="1"/>
  <c r="C43" i="7"/>
  <c r="C26" i="6"/>
  <c r="C27" i="6" s="1"/>
  <c r="C46" i="6" s="1"/>
  <c r="E29" i="2"/>
  <c r="E40" i="12" s="1"/>
  <c r="C22" i="11"/>
  <c r="C23" i="11" s="1"/>
  <c r="C35" i="11" s="1"/>
  <c r="C34" i="11"/>
  <c r="C28" i="45" s="1"/>
  <c r="D34" i="11"/>
  <c r="E28" i="45" s="1"/>
  <c r="D25" i="4"/>
  <c r="F27" i="4"/>
  <c r="G29" i="4"/>
  <c r="C63" i="11"/>
  <c r="C62" i="11" s="1"/>
  <c r="C64" i="11"/>
  <c r="C75" i="11"/>
  <c r="D75" i="11"/>
  <c r="D74" i="11" s="1"/>
  <c r="C22" i="10"/>
  <c r="C23" i="10" s="1"/>
  <c r="C34" i="10"/>
  <c r="D34" i="10"/>
  <c r="E26" i="45" s="1"/>
  <c r="C63" i="10"/>
  <c r="C64" i="10"/>
  <c r="C75" i="10"/>
  <c r="C27" i="45" s="1"/>
  <c r="D75" i="10"/>
  <c r="C22" i="9"/>
  <c r="C34" i="9"/>
  <c r="C24" i="45" s="1"/>
  <c r="D34" i="9"/>
  <c r="C75" i="9"/>
  <c r="G66" i="9" s="1"/>
  <c r="C63" i="9"/>
  <c r="D75" i="9"/>
  <c r="E25" i="45" s="1"/>
  <c r="C22" i="8"/>
  <c r="C21" i="8" s="1"/>
  <c r="C34" i="8"/>
  <c r="C22" i="45" s="1"/>
  <c r="D34" i="8"/>
  <c r="C75" i="8"/>
  <c r="C63" i="8"/>
  <c r="C62" i="8" s="1"/>
  <c r="E24" i="21"/>
  <c r="E26" i="21" s="1"/>
  <c r="C24" i="7"/>
  <c r="C23" i="7" s="1"/>
  <c r="D75" i="8"/>
  <c r="E1" i="11"/>
  <c r="H19" i="11" s="1"/>
  <c r="E1" i="10"/>
  <c r="H19" i="10" s="1"/>
  <c r="E1" i="9"/>
  <c r="E1" i="8"/>
  <c r="E1" i="7"/>
  <c r="H34" i="7" s="1"/>
  <c r="E1" i="6"/>
  <c r="C5" i="6" s="1"/>
  <c r="C5" i="9" s="1"/>
  <c r="C46" i="9" s="1"/>
  <c r="D59" i="18"/>
  <c r="D29" i="18"/>
  <c r="D27" i="17"/>
  <c r="C27" i="17"/>
  <c r="C30" i="45" s="1"/>
  <c r="D57" i="17"/>
  <c r="E31" i="45" s="1"/>
  <c r="C57" i="17"/>
  <c r="C31" i="45" s="1"/>
  <c r="E1" i="17"/>
  <c r="D27" i="18"/>
  <c r="C27" i="18"/>
  <c r="C32" i="45" s="1"/>
  <c r="C26" i="18"/>
  <c r="D57" i="18"/>
  <c r="E33" i="45" s="1"/>
  <c r="C57" i="18"/>
  <c r="C33" i="45" s="1"/>
  <c r="C29" i="17"/>
  <c r="D59" i="17"/>
  <c r="C59" i="17"/>
  <c r="D29" i="17"/>
  <c r="C59" i="18"/>
  <c r="D36" i="2"/>
  <c r="A36" i="2"/>
  <c r="A62" i="2"/>
  <c r="A61" i="2"/>
  <c r="D45" i="2"/>
  <c r="C29" i="18"/>
  <c r="C30" i="18" s="1"/>
  <c r="E1" i="18"/>
  <c r="E1" i="20"/>
  <c r="A44" i="20" s="1"/>
  <c r="D6" i="22"/>
  <c r="E49" i="6"/>
  <c r="D16" i="22"/>
  <c r="E16" i="22"/>
  <c r="E19" i="11" s="1"/>
  <c r="E34" i="11"/>
  <c r="D30" i="3" s="1"/>
  <c r="D17" i="22"/>
  <c r="E17" i="22"/>
  <c r="E60" i="11" s="1"/>
  <c r="E75" i="11"/>
  <c r="D15" i="22"/>
  <c r="E15" i="22"/>
  <c r="E60" i="10" s="1"/>
  <c r="E75" i="10"/>
  <c r="F78" i="10" s="1"/>
  <c r="D7" i="22"/>
  <c r="D25" i="22"/>
  <c r="D27" i="22"/>
  <c r="E45" i="17"/>
  <c r="E44" i="17"/>
  <c r="D45" i="17"/>
  <c r="D44" i="17"/>
  <c r="C45" i="17"/>
  <c r="C44" i="17"/>
  <c r="E57" i="17"/>
  <c r="G31" i="12" s="1"/>
  <c r="E27" i="17"/>
  <c r="G30" i="45" s="1"/>
  <c r="E15" i="17"/>
  <c r="E14" i="17"/>
  <c r="D15" i="17"/>
  <c r="D14" i="17"/>
  <c r="C15" i="17"/>
  <c r="E57" i="18"/>
  <c r="E45" i="18"/>
  <c r="E44" i="18"/>
  <c r="D45" i="18"/>
  <c r="D44" i="18"/>
  <c r="C45" i="18"/>
  <c r="C44" i="18" s="1"/>
  <c r="C46" i="18"/>
  <c r="E27" i="18"/>
  <c r="G32" i="12"/>
  <c r="E15" i="18"/>
  <c r="E14" i="18" s="1"/>
  <c r="D15" i="18"/>
  <c r="D14" i="18"/>
  <c r="C15" i="18"/>
  <c r="F1" i="22"/>
  <c r="A31" i="22" s="1"/>
  <c r="A1" i="22"/>
  <c r="B17" i="22"/>
  <c r="B16" i="22"/>
  <c r="B15" i="22"/>
  <c r="B14" i="22"/>
  <c r="B13" i="22"/>
  <c r="B12" i="22"/>
  <c r="B11" i="22"/>
  <c r="B10" i="22"/>
  <c r="B9" i="22"/>
  <c r="B7" i="22"/>
  <c r="B6" i="22"/>
  <c r="C18" i="22"/>
  <c r="A66" i="20"/>
  <c r="A65" i="20"/>
  <c r="A64" i="20"/>
  <c r="A63" i="20"/>
  <c r="A62" i="20"/>
  <c r="A61" i="20"/>
  <c r="A60" i="20"/>
  <c r="A59" i="20"/>
  <c r="A58" i="20"/>
  <c r="A57" i="20"/>
  <c r="A56" i="20"/>
  <c r="A55" i="20"/>
  <c r="A54" i="20"/>
  <c r="A52" i="20"/>
  <c r="A51" i="20"/>
  <c r="J1" i="4"/>
  <c r="G42" i="12"/>
  <c r="N47" i="12" s="1"/>
  <c r="D31" i="20"/>
  <c r="F29" i="12"/>
  <c r="G71" i="11" s="1"/>
  <c r="F28" i="12"/>
  <c r="G30" i="11" s="1"/>
  <c r="F27" i="12"/>
  <c r="G71" i="10" s="1"/>
  <c r="F26" i="12"/>
  <c r="G30" i="10" s="1"/>
  <c r="F25" i="12"/>
  <c r="G72" i="9" s="1"/>
  <c r="F24" i="12"/>
  <c r="G31" i="9" s="1"/>
  <c r="F23" i="12"/>
  <c r="G71" i="8" s="1"/>
  <c r="F22" i="12"/>
  <c r="G30" i="8" s="1"/>
  <c r="F21" i="12"/>
  <c r="G40" i="7" s="1"/>
  <c r="F19" i="12"/>
  <c r="G32" i="35" s="1"/>
  <c r="F18" i="12"/>
  <c r="G47" i="6" s="1"/>
  <c r="C42" i="12"/>
  <c r="A30" i="20"/>
  <c r="A29" i="20"/>
  <c r="A28" i="20"/>
  <c r="A27" i="20"/>
  <c r="A26" i="20"/>
  <c r="A25" i="20"/>
  <c r="A24" i="20"/>
  <c r="A23" i="20"/>
  <c r="A22" i="20"/>
  <c r="A20" i="20"/>
  <c r="A19" i="20"/>
  <c r="E27" i="4"/>
  <c r="F15" i="13"/>
  <c r="F1" i="21"/>
  <c r="C9" i="21" s="1"/>
  <c r="D9" i="21"/>
  <c r="A2" i="21"/>
  <c r="E42" i="12"/>
  <c r="E27" i="34" s="1"/>
  <c r="G1" i="3"/>
  <c r="A59" i="2"/>
  <c r="E48" i="12"/>
  <c r="E47" i="12"/>
  <c r="C48" i="12"/>
  <c r="C49" i="12" s="1"/>
  <c r="C47" i="12"/>
  <c r="E46" i="12"/>
  <c r="C46" i="12"/>
  <c r="E65" i="2"/>
  <c r="D65" i="2"/>
  <c r="A2" i="20"/>
  <c r="A1" i="20"/>
  <c r="A46" i="2"/>
  <c r="A14" i="2"/>
  <c r="F11" i="13"/>
  <c r="G46" i="12"/>
  <c r="L15" i="13"/>
  <c r="L16" i="13"/>
  <c r="K15" i="13"/>
  <c r="J15" i="13"/>
  <c r="I15" i="13"/>
  <c r="L11" i="13"/>
  <c r="K11" i="13"/>
  <c r="K16" i="13"/>
  <c r="J11" i="13"/>
  <c r="J16" i="13"/>
  <c r="I11" i="13"/>
  <c r="I16" i="13"/>
  <c r="I1" i="12"/>
  <c r="C45" i="12" s="1"/>
  <c r="D19" i="12"/>
  <c r="B12" i="4"/>
  <c r="L1" i="13"/>
  <c r="F7" i="13" s="1"/>
  <c r="B48" i="2"/>
  <c r="B21" i="3"/>
  <c r="A3" i="3"/>
  <c r="C35" i="3"/>
  <c r="C34" i="3"/>
  <c r="C33" i="3"/>
  <c r="C32" i="3"/>
  <c r="B33" i="12"/>
  <c r="B32" i="12"/>
  <c r="B31" i="12"/>
  <c r="B30" i="12"/>
  <c r="A35" i="3"/>
  <c r="A34" i="3"/>
  <c r="A33" i="3"/>
  <c r="A32" i="3"/>
  <c r="B1" i="18"/>
  <c r="B1" i="17"/>
  <c r="B35" i="18"/>
  <c r="B5" i="18"/>
  <c r="B35" i="17"/>
  <c r="B5" i="17"/>
  <c r="B31" i="3"/>
  <c r="B30" i="3"/>
  <c r="B29" i="3"/>
  <c r="B28" i="3"/>
  <c r="B27" i="3"/>
  <c r="B26" i="3"/>
  <c r="B25" i="3"/>
  <c r="B24" i="3"/>
  <c r="B23" i="3"/>
  <c r="A31" i="3"/>
  <c r="A30" i="3"/>
  <c r="A29" i="3"/>
  <c r="A28" i="3"/>
  <c r="A27" i="3"/>
  <c r="A26" i="3"/>
  <c r="A25" i="3"/>
  <c r="A24" i="3"/>
  <c r="A23" i="3"/>
  <c r="B20" i="3"/>
  <c r="A20" i="3"/>
  <c r="A5" i="3"/>
  <c r="I36" i="13"/>
  <c r="H36" i="13"/>
  <c r="G36" i="13"/>
  <c r="G48" i="12"/>
  <c r="B2" i="13"/>
  <c r="B1" i="13"/>
  <c r="B5" i="6"/>
  <c r="B1" i="6"/>
  <c r="D59" i="2"/>
  <c r="B58" i="2"/>
  <c r="B57" i="2"/>
  <c r="B56" i="2"/>
  <c r="B55" i="2"/>
  <c r="B54" i="2"/>
  <c r="B53" i="2"/>
  <c r="B52" i="2"/>
  <c r="B51" i="2"/>
  <c r="B50" i="2"/>
  <c r="B47" i="2"/>
  <c r="B22" i="4"/>
  <c r="B21" i="4"/>
  <c r="B20" i="4"/>
  <c r="B19" i="4"/>
  <c r="B18" i="4"/>
  <c r="B17" i="4"/>
  <c r="B16" i="4"/>
  <c r="B15" i="4"/>
  <c r="B14" i="4"/>
  <c r="B11" i="4"/>
  <c r="B1" i="4"/>
  <c r="B1" i="7"/>
  <c r="B5" i="7"/>
  <c r="B29" i="12"/>
  <c r="B28" i="12"/>
  <c r="B27" i="12"/>
  <c r="B26" i="12"/>
  <c r="B25" i="12"/>
  <c r="B24" i="12"/>
  <c r="B23" i="12"/>
  <c r="B22" i="12"/>
  <c r="B21" i="12"/>
  <c r="D29" i="12"/>
  <c r="D28" i="12"/>
  <c r="D27" i="12"/>
  <c r="D26" i="12"/>
  <c r="D25" i="12"/>
  <c r="D24" i="12"/>
  <c r="D23" i="12"/>
  <c r="D22" i="12"/>
  <c r="D21" i="12"/>
  <c r="D18" i="12"/>
  <c r="C40" i="12"/>
  <c r="B18" i="12"/>
  <c r="B6" i="12"/>
  <c r="B5" i="12"/>
  <c r="B1" i="8"/>
  <c r="B46" i="8"/>
  <c r="B5" i="8"/>
  <c r="B46" i="9"/>
  <c r="B5" i="9"/>
  <c r="B1" i="9"/>
  <c r="B46" i="11"/>
  <c r="B5" i="11"/>
  <c r="B1" i="11"/>
  <c r="N48" i="12"/>
  <c r="E34" i="35"/>
  <c r="D13" i="22"/>
  <c r="E13" i="22"/>
  <c r="E60" i="9" s="1"/>
  <c r="E75" i="9"/>
  <c r="G25" i="45" s="1"/>
  <c r="D12" i="22"/>
  <c r="E12" i="22"/>
  <c r="E34" i="9"/>
  <c r="G24" i="45" s="1"/>
  <c r="D11" i="22"/>
  <c r="D10" i="22"/>
  <c r="D9" i="22"/>
  <c r="E9" i="22"/>
  <c r="E21" i="7" s="1"/>
  <c r="E43" i="7"/>
  <c r="E42" i="7" s="1"/>
  <c r="D14" i="22"/>
  <c r="E14" i="22"/>
  <c r="E19" i="10" s="1"/>
  <c r="E34" i="10"/>
  <c r="G26" i="45" s="1"/>
  <c r="J16" i="35"/>
  <c r="J17" i="35"/>
  <c r="J55" i="11"/>
  <c r="J56" i="11"/>
  <c r="J55" i="8"/>
  <c r="J56" i="8"/>
  <c r="J15" i="35"/>
  <c r="J54" i="11"/>
  <c r="J54" i="8"/>
  <c r="J56" i="9"/>
  <c r="J57" i="9"/>
  <c r="J24" i="7"/>
  <c r="J25" i="7"/>
  <c r="J14" i="11"/>
  <c r="J15" i="11"/>
  <c r="J14" i="10"/>
  <c r="J15" i="10"/>
  <c r="J15" i="9"/>
  <c r="J16" i="9"/>
  <c r="J13" i="11"/>
  <c r="J13" i="10"/>
  <c r="J55" i="9"/>
  <c r="J14" i="9"/>
  <c r="J23" i="7"/>
  <c r="J31" i="6"/>
  <c r="J32" i="6"/>
  <c r="J55" i="10"/>
  <c r="J56" i="10"/>
  <c r="J54" i="10"/>
  <c r="J14" i="8"/>
  <c r="J15" i="8"/>
  <c r="J13" i="8"/>
  <c r="J30" i="6"/>
  <c r="J56" i="35"/>
  <c r="J57" i="35"/>
  <c r="J55" i="35"/>
  <c r="F18" i="24"/>
  <c r="F29" i="24"/>
  <c r="F30" i="24"/>
  <c r="F17" i="4"/>
  <c r="E11" i="9"/>
  <c r="F21" i="4"/>
  <c r="E11" i="11" s="1"/>
  <c r="F16" i="4"/>
  <c r="E52" i="8" s="1"/>
  <c r="F15" i="4"/>
  <c r="E11" i="8"/>
  <c r="F12" i="4"/>
  <c r="E11" i="35"/>
  <c r="F13" i="4"/>
  <c r="E52" i="35" s="1"/>
  <c r="G18" i="34" s="1"/>
  <c r="F19" i="4"/>
  <c r="E11" i="10"/>
  <c r="H21" i="4"/>
  <c r="E13" i="11" s="1"/>
  <c r="H20" i="4"/>
  <c r="E54" i="10" s="1"/>
  <c r="H22" i="4"/>
  <c r="E54" i="11" s="1"/>
  <c r="H18" i="4"/>
  <c r="E54" i="9"/>
  <c r="H14" i="4"/>
  <c r="E13" i="7" s="1"/>
  <c r="H13" i="4"/>
  <c r="E54" i="35" s="1"/>
  <c r="H16" i="4"/>
  <c r="E54" i="8" s="1"/>
  <c r="H17" i="4"/>
  <c r="E13" i="9" s="1"/>
  <c r="H12" i="4"/>
  <c r="E13" i="35" s="1"/>
  <c r="H19" i="4"/>
  <c r="E13" i="10" s="1"/>
  <c r="H15" i="4"/>
  <c r="H11" i="4"/>
  <c r="E13" i="6" s="1"/>
  <c r="F14" i="4"/>
  <c r="E11" i="7"/>
  <c r="I22" i="4"/>
  <c r="E55" i="11" s="1"/>
  <c r="I18" i="4"/>
  <c r="E55" i="9"/>
  <c r="I14" i="4"/>
  <c r="E14" i="7" s="1"/>
  <c r="I20" i="4"/>
  <c r="E55" i="10"/>
  <c r="I21" i="4"/>
  <c r="E14" i="11" s="1"/>
  <c r="I17" i="4"/>
  <c r="E14" i="9"/>
  <c r="I13" i="4"/>
  <c r="E55" i="35"/>
  <c r="I19" i="4"/>
  <c r="E14" i="10" s="1"/>
  <c r="I15" i="4"/>
  <c r="E14" i="8" s="1"/>
  <c r="I16" i="4"/>
  <c r="E55" i="8" s="1"/>
  <c r="I12" i="4"/>
  <c r="F18" i="4"/>
  <c r="E52" i="9" s="1"/>
  <c r="F20" i="4"/>
  <c r="E52" i="10"/>
  <c r="F22" i="4"/>
  <c r="E52" i="11" s="1"/>
  <c r="G21" i="4"/>
  <c r="E12" i="11" s="1"/>
  <c r="G19" i="4"/>
  <c r="E12" i="10" s="1"/>
  <c r="G13" i="4"/>
  <c r="E53" i="35"/>
  <c r="G19" i="34" s="1"/>
  <c r="G15" i="4"/>
  <c r="E12" i="8"/>
  <c r="G17" i="4"/>
  <c r="E12" i="9"/>
  <c r="G20" i="4"/>
  <c r="E53" i="10"/>
  <c r="G14" i="4"/>
  <c r="E12" i="7" s="1"/>
  <c r="G12" i="4"/>
  <c r="G11" i="4"/>
  <c r="G22" i="4"/>
  <c r="E53" i="11" s="1"/>
  <c r="G18" i="4"/>
  <c r="E53" i="9" s="1"/>
  <c r="G16" i="4"/>
  <c r="E53" i="8" s="1"/>
  <c r="D21" i="4"/>
  <c r="E10" i="11" s="1"/>
  <c r="D22" i="4"/>
  <c r="E51" i="11" s="1"/>
  <c r="D13" i="4"/>
  <c r="E51" i="35"/>
  <c r="G17" i="34" s="1"/>
  <c r="D15" i="4"/>
  <c r="E10" i="8"/>
  <c r="D19" i="4"/>
  <c r="E10" i="10"/>
  <c r="D12" i="4"/>
  <c r="E10" i="35"/>
  <c r="D11" i="4"/>
  <c r="D14" i="4"/>
  <c r="E10" i="7" s="1"/>
  <c r="D16" i="4"/>
  <c r="E51" i="8" s="1"/>
  <c r="D20" i="4"/>
  <c r="E51" i="10" s="1"/>
  <c r="D17" i="4"/>
  <c r="E10" i="9" s="1"/>
  <c r="D18" i="4"/>
  <c r="E51" i="9" s="1"/>
  <c r="E26" i="12"/>
  <c r="E60" i="8"/>
  <c r="E19" i="9"/>
  <c r="C21" i="11"/>
  <c r="D5" i="35"/>
  <c r="E5" i="35"/>
  <c r="H27" i="35"/>
  <c r="C5" i="35"/>
  <c r="C64" i="35"/>
  <c r="C76" i="35" s="1"/>
  <c r="A17" i="20"/>
  <c r="G23" i="13"/>
  <c r="F11" i="4"/>
  <c r="I11" i="4"/>
  <c r="E14" i="6" s="1"/>
  <c r="B59" i="18"/>
  <c r="E32" i="12"/>
  <c r="B18" i="24"/>
  <c r="B29" i="24" s="1"/>
  <c r="C14" i="17"/>
  <c r="C16" i="17"/>
  <c r="C31" i="12"/>
  <c r="C56" i="17"/>
  <c r="D33" i="3"/>
  <c r="C46" i="17"/>
  <c r="C58" i="17"/>
  <c r="C21" i="10"/>
  <c r="C62" i="10"/>
  <c r="E25" i="12"/>
  <c r="F78" i="8"/>
  <c r="G23" i="12"/>
  <c r="C25" i="7"/>
  <c r="D24" i="21"/>
  <c r="D26" i="21" s="1"/>
  <c r="C24" i="21"/>
  <c r="C26" i="21" s="1"/>
  <c r="C23" i="9"/>
  <c r="C35" i="9" s="1"/>
  <c r="C21" i="9"/>
  <c r="B29" i="18"/>
  <c r="D18" i="24"/>
  <c r="A11" i="20"/>
  <c r="A13" i="20"/>
  <c r="B29" i="17"/>
  <c r="E14" i="35"/>
  <c r="D60" i="18"/>
  <c r="K29" i="12"/>
  <c r="E59" i="17"/>
  <c r="D29" i="24"/>
  <c r="D30" i="24" s="1"/>
  <c r="E14" i="12"/>
  <c r="N27" i="12"/>
  <c r="G27" i="34"/>
  <c r="D28" i="3"/>
  <c r="E36" i="10"/>
  <c r="D74" i="9"/>
  <c r="E38" i="9"/>
  <c r="D26" i="3"/>
  <c r="E33" i="9"/>
  <c r="D74" i="8"/>
  <c r="B36" i="35"/>
  <c r="E15" i="34"/>
  <c r="C82" i="35"/>
  <c r="G56" i="35"/>
  <c r="C21" i="35"/>
  <c r="G59" i="35"/>
  <c r="H61" i="35"/>
  <c r="H62" i="35"/>
  <c r="G19" i="35"/>
  <c r="E5" i="6"/>
  <c r="E5" i="8" s="1"/>
  <c r="E46" i="8" s="1"/>
  <c r="A9" i="20"/>
  <c r="B49" i="20"/>
  <c r="A8" i="20"/>
  <c r="A10" i="20"/>
  <c r="A12" i="20"/>
  <c r="A33" i="20"/>
  <c r="A7" i="20"/>
  <c r="A48" i="20"/>
  <c r="G58" i="11"/>
  <c r="B59" i="17"/>
  <c r="H62" i="10"/>
  <c r="E12" i="35"/>
  <c r="B84" i="34"/>
  <c r="E13" i="8"/>
  <c r="D44" i="6" l="1"/>
  <c r="I23" i="4"/>
  <c r="D18" i="22"/>
  <c r="B5" i="22"/>
  <c r="A35" i="20"/>
  <c r="B45" i="7"/>
  <c r="C5" i="22"/>
  <c r="E9" i="21"/>
  <c r="G27" i="7"/>
  <c r="B91" i="34"/>
  <c r="H29" i="7"/>
  <c r="D56" i="18"/>
  <c r="E33" i="12"/>
  <c r="E59" i="18"/>
  <c r="G33" i="45"/>
  <c r="E56" i="18"/>
  <c r="C58" i="18"/>
  <c r="D36" i="18" s="1"/>
  <c r="D46" i="18" s="1"/>
  <c r="D58" i="18" s="1"/>
  <c r="C33" i="12"/>
  <c r="C60" i="18"/>
  <c r="C56" i="18"/>
  <c r="E29" i="18"/>
  <c r="G32" i="45"/>
  <c r="D34" i="3"/>
  <c r="E26" i="18"/>
  <c r="D30" i="18"/>
  <c r="E32" i="45"/>
  <c r="C32" i="12"/>
  <c r="C60" i="17"/>
  <c r="E56" i="17"/>
  <c r="G31" i="45"/>
  <c r="E29" i="17"/>
  <c r="D32" i="3"/>
  <c r="E26" i="17"/>
  <c r="G30" i="12"/>
  <c r="D26" i="17"/>
  <c r="E30" i="45"/>
  <c r="D30" i="17"/>
  <c r="E30" i="12"/>
  <c r="C28" i="17"/>
  <c r="D6" i="17" s="1"/>
  <c r="D16" i="17" s="1"/>
  <c r="D28" i="17" s="1"/>
  <c r="G29" i="12"/>
  <c r="G29" i="45"/>
  <c r="D103" i="11"/>
  <c r="E29" i="12"/>
  <c r="E29" i="45"/>
  <c r="G65" i="11"/>
  <c r="C29" i="45"/>
  <c r="C76" i="11"/>
  <c r="D47" i="11" s="1"/>
  <c r="D64" i="11" s="1"/>
  <c r="D76" i="11" s="1"/>
  <c r="C103" i="11"/>
  <c r="B79" i="11" s="1"/>
  <c r="C29" i="12"/>
  <c r="G28" i="12"/>
  <c r="G28" i="45"/>
  <c r="E38" i="11"/>
  <c r="E33" i="11"/>
  <c r="E36" i="11"/>
  <c r="F37" i="11"/>
  <c r="G24" i="11"/>
  <c r="E74" i="10"/>
  <c r="G27" i="12"/>
  <c r="C74" i="10"/>
  <c r="D29" i="3"/>
  <c r="E77" i="10"/>
  <c r="E79" i="10"/>
  <c r="G27" i="45"/>
  <c r="D103" i="10"/>
  <c r="E27" i="45"/>
  <c r="C103" i="10"/>
  <c r="B79" i="10" s="1"/>
  <c r="G65" i="10"/>
  <c r="C27" i="12"/>
  <c r="C76" i="10"/>
  <c r="C104" i="10" s="1"/>
  <c r="C26" i="45"/>
  <c r="C33" i="10"/>
  <c r="C35" i="10"/>
  <c r="C102" i="10" s="1"/>
  <c r="E33" i="10"/>
  <c r="G24" i="10"/>
  <c r="C25" i="12"/>
  <c r="C25" i="45"/>
  <c r="G24" i="12"/>
  <c r="F37" i="9"/>
  <c r="E36" i="9"/>
  <c r="E24" i="12"/>
  <c r="E24" i="45"/>
  <c r="E74" i="8"/>
  <c r="E77" i="8"/>
  <c r="G23" i="45"/>
  <c r="E79" i="8"/>
  <c r="E23" i="12"/>
  <c r="E23" i="45"/>
  <c r="G65" i="8"/>
  <c r="C23" i="45"/>
  <c r="G24" i="8"/>
  <c r="E36" i="8"/>
  <c r="G22" i="45"/>
  <c r="D33" i="8"/>
  <c r="E22" i="45"/>
  <c r="E47" i="7"/>
  <c r="F46" i="7"/>
  <c r="G21" i="12"/>
  <c r="E45" i="7"/>
  <c r="D22" i="3"/>
  <c r="G20" i="45"/>
  <c r="E20" i="12"/>
  <c r="C74" i="35"/>
  <c r="C20" i="45"/>
  <c r="F37" i="35"/>
  <c r="G19" i="45"/>
  <c r="D98" i="35"/>
  <c r="E19" i="45"/>
  <c r="C33" i="35"/>
  <c r="C19" i="45"/>
  <c r="K31" i="12"/>
  <c r="C53" i="7"/>
  <c r="K48" i="12"/>
  <c r="B46" i="34"/>
  <c r="H25" i="11"/>
  <c r="C14" i="12"/>
  <c r="H32" i="7"/>
  <c r="H72" i="35"/>
  <c r="H71" i="35"/>
  <c r="H34" i="35"/>
  <c r="H32" i="35"/>
  <c r="H31" i="35"/>
  <c r="H75" i="35"/>
  <c r="H35" i="35"/>
  <c r="H74" i="35"/>
  <c r="G51" i="11"/>
  <c r="K45" i="12"/>
  <c r="H30" i="7"/>
  <c r="H63" i="35"/>
  <c r="H42" i="6"/>
  <c r="H50" i="6"/>
  <c r="H49" i="6"/>
  <c r="H47" i="6"/>
  <c r="H46" i="6"/>
  <c r="H43" i="7"/>
  <c r="H42" i="7"/>
  <c r="H40" i="7"/>
  <c r="H39" i="7"/>
  <c r="B12" i="12"/>
  <c r="C50" i="7"/>
  <c r="G58" i="8"/>
  <c r="H74" i="8"/>
  <c r="H73" i="8"/>
  <c r="H71" i="8"/>
  <c r="H70" i="8"/>
  <c r="H32" i="8"/>
  <c r="H29" i="8"/>
  <c r="H33" i="8"/>
  <c r="H30" i="8"/>
  <c r="D5" i="6"/>
  <c r="D5" i="8" s="1"/>
  <c r="D46" i="8" s="1"/>
  <c r="E45" i="12"/>
  <c r="G24" i="7"/>
  <c r="H30" i="9"/>
  <c r="H34" i="9"/>
  <c r="H33" i="9"/>
  <c r="H31" i="9"/>
  <c r="H75" i="9"/>
  <c r="H74" i="9"/>
  <c r="H72" i="9"/>
  <c r="H71" i="9"/>
  <c r="K47" i="12"/>
  <c r="G14" i="12"/>
  <c r="H25" i="10"/>
  <c r="H70" i="10"/>
  <c r="H30" i="10"/>
  <c r="H29" i="10"/>
  <c r="H73" i="10"/>
  <c r="H32" i="10"/>
  <c r="H74" i="10"/>
  <c r="H71" i="10"/>
  <c r="H33" i="10"/>
  <c r="H30" i="11"/>
  <c r="H29" i="11"/>
  <c r="H74" i="11"/>
  <c r="H73" i="11"/>
  <c r="H71" i="11"/>
  <c r="H33" i="11"/>
  <c r="H70" i="11"/>
  <c r="H32" i="11"/>
  <c r="H66" i="11"/>
  <c r="H60" i="11"/>
  <c r="H24" i="11"/>
  <c r="H25" i="8"/>
  <c r="K36" i="12"/>
  <c r="A8" i="3"/>
  <c r="B57" i="3"/>
  <c r="H63" i="8"/>
  <c r="G14" i="11"/>
  <c r="K46" i="12"/>
  <c r="G20" i="7"/>
  <c r="A6" i="20"/>
  <c r="K32" i="12"/>
  <c r="H35" i="7"/>
  <c r="H23" i="35"/>
  <c r="K39" i="12"/>
  <c r="B11" i="12"/>
  <c r="H61" i="8"/>
  <c r="H62" i="8"/>
  <c r="H15" i="12"/>
  <c r="E5" i="22"/>
  <c r="D5" i="22"/>
  <c r="K25" i="12"/>
  <c r="C49" i="20"/>
  <c r="G45" i="12"/>
  <c r="H31" i="7"/>
  <c r="B47" i="34"/>
  <c r="K38" i="12"/>
  <c r="H41" i="6"/>
  <c r="G27" i="6"/>
  <c r="D23" i="3"/>
  <c r="G21" i="45"/>
  <c r="D42" i="7"/>
  <c r="E21" i="45"/>
  <c r="D78" i="7"/>
  <c r="G34" i="7"/>
  <c r="C21" i="45"/>
  <c r="F53" i="6"/>
  <c r="G18" i="45"/>
  <c r="E51" i="6"/>
  <c r="C49" i="6"/>
  <c r="C18" i="45" s="1"/>
  <c r="C38" i="45"/>
  <c r="C38" i="12"/>
  <c r="G38" i="12"/>
  <c r="G38" i="45"/>
  <c r="E38" i="12"/>
  <c r="E38" i="45"/>
  <c r="D12" i="46"/>
  <c r="N44" i="12"/>
  <c r="G33" i="35"/>
  <c r="G31" i="11"/>
  <c r="G32" i="9"/>
  <c r="G72" i="8"/>
  <c r="G48" i="6"/>
  <c r="G31" i="8"/>
  <c r="G31" i="10"/>
  <c r="G73" i="35"/>
  <c r="G72" i="11"/>
  <c r="G73" i="9"/>
  <c r="G72" i="10"/>
  <c r="G41" i="7"/>
  <c r="E28" i="34"/>
  <c r="C102" i="11"/>
  <c r="D6" i="11"/>
  <c r="D23" i="11" s="1"/>
  <c r="D35" i="11" s="1"/>
  <c r="C74" i="11"/>
  <c r="H23" i="9"/>
  <c r="H21" i="9"/>
  <c r="C103" i="9"/>
  <c r="G15" i="9"/>
  <c r="C74" i="9"/>
  <c r="B77" i="9"/>
  <c r="C82" i="9"/>
  <c r="D33" i="9"/>
  <c r="D103" i="9"/>
  <c r="G11" i="9"/>
  <c r="D101" i="9"/>
  <c r="C41" i="9"/>
  <c r="E63" i="9"/>
  <c r="G62" i="9" s="1"/>
  <c r="H67" i="9"/>
  <c r="E22" i="9"/>
  <c r="G21" i="9" s="1"/>
  <c r="H20" i="9"/>
  <c r="H61" i="9"/>
  <c r="G52" i="9"/>
  <c r="B36" i="9"/>
  <c r="G59" i="9"/>
  <c r="H26" i="9"/>
  <c r="H25" i="9"/>
  <c r="H66" i="9"/>
  <c r="H62" i="9"/>
  <c r="H22" i="9"/>
  <c r="G56" i="9"/>
  <c r="H64" i="9"/>
  <c r="H63" i="9"/>
  <c r="G18" i="9"/>
  <c r="G10" i="10"/>
  <c r="H66" i="10"/>
  <c r="E22" i="10"/>
  <c r="G20" i="10" s="1"/>
  <c r="H61" i="10"/>
  <c r="H65" i="10"/>
  <c r="C101" i="10"/>
  <c r="H63" i="10"/>
  <c r="E63" i="10"/>
  <c r="G61" i="10" s="1"/>
  <c r="C64" i="8"/>
  <c r="C76" i="8" s="1"/>
  <c r="C82" i="8"/>
  <c r="C103" i="8"/>
  <c r="C74" i="8"/>
  <c r="C23" i="12"/>
  <c r="C41" i="8"/>
  <c r="D101" i="8"/>
  <c r="C101" i="8"/>
  <c r="D103" i="8"/>
  <c r="E22" i="12"/>
  <c r="E63" i="8"/>
  <c r="C23" i="8"/>
  <c r="C35" i="8" s="1"/>
  <c r="E24" i="7"/>
  <c r="G30" i="7" s="1"/>
  <c r="E22" i="34"/>
  <c r="E29" i="34"/>
  <c r="E79" i="35"/>
  <c r="G66" i="35"/>
  <c r="E77" i="35"/>
  <c r="G20" i="12"/>
  <c r="E74" i="35"/>
  <c r="G19" i="12"/>
  <c r="E36" i="35"/>
  <c r="E38" i="35"/>
  <c r="D21" i="3"/>
  <c r="F78" i="35"/>
  <c r="E33" i="35"/>
  <c r="D100" i="35"/>
  <c r="C35" i="35"/>
  <c r="D6" i="35" s="1"/>
  <c r="D23" i="35" s="1"/>
  <c r="D35" i="35" s="1"/>
  <c r="C19" i="12"/>
  <c r="C100" i="35"/>
  <c r="E22" i="35"/>
  <c r="G22" i="35" s="1"/>
  <c r="C98" i="35"/>
  <c r="B38" i="35" s="1"/>
  <c r="G26" i="35"/>
  <c r="D74" i="35"/>
  <c r="C5" i="11"/>
  <c r="C46" i="11" s="1"/>
  <c r="C63" i="7"/>
  <c r="C65" i="7" s="1"/>
  <c r="H37" i="6"/>
  <c r="H38" i="6"/>
  <c r="B51" i="6"/>
  <c r="G34" i="6"/>
  <c r="H39" i="6"/>
  <c r="C56" i="6"/>
  <c r="H36" i="6"/>
  <c r="G31" i="6"/>
  <c r="C5" i="17"/>
  <c r="C35" i="17" s="1"/>
  <c r="C5" i="10"/>
  <c r="C46" i="10" s="1"/>
  <c r="C5" i="7"/>
  <c r="D58" i="7"/>
  <c r="C5" i="8"/>
  <c r="C46" i="8" s="1"/>
  <c r="C25" i="6"/>
  <c r="E5" i="18"/>
  <c r="E35" i="18" s="1"/>
  <c r="D5" i="10"/>
  <c r="D46" i="10" s="1"/>
  <c r="D5" i="11"/>
  <c r="D46" i="11" s="1"/>
  <c r="E12" i="3"/>
  <c r="A9" i="3"/>
  <c r="D11" i="3"/>
  <c r="C5" i="18"/>
  <c r="C35" i="18" s="1"/>
  <c r="E63" i="35"/>
  <c r="E10" i="6"/>
  <c r="D23" i="4"/>
  <c r="E63" i="11"/>
  <c r="D74" i="10"/>
  <c r="E27" i="12"/>
  <c r="D21" i="10"/>
  <c r="E77" i="11"/>
  <c r="D47" i="35"/>
  <c r="D64" i="35" s="1"/>
  <c r="D76" i="35" s="1"/>
  <c r="C101" i="35"/>
  <c r="C9" i="4"/>
  <c r="D9" i="4"/>
  <c r="B10" i="4"/>
  <c r="D62" i="10"/>
  <c r="E33" i="8"/>
  <c r="E38" i="8"/>
  <c r="F37" i="8"/>
  <c r="G22" i="12"/>
  <c r="D24" i="3"/>
  <c r="D31" i="3"/>
  <c r="E74" i="11"/>
  <c r="E79" i="11"/>
  <c r="F78" i="11"/>
  <c r="E74" i="9"/>
  <c r="E79" i="9"/>
  <c r="E77" i="9"/>
  <c r="G25" i="12"/>
  <c r="F78" i="9"/>
  <c r="D27" i="3"/>
  <c r="E12" i="6"/>
  <c r="G23" i="4"/>
  <c r="F16" i="13"/>
  <c r="G47" i="12"/>
  <c r="G49" i="12" s="1"/>
  <c r="D62" i="8"/>
  <c r="F36" i="12"/>
  <c r="G61" i="8"/>
  <c r="H23" i="4"/>
  <c r="K18" i="24"/>
  <c r="D57" i="7"/>
  <c r="C40" i="7"/>
  <c r="C44" i="7"/>
  <c r="C62" i="9"/>
  <c r="C64" i="9"/>
  <c r="C76" i="9" s="1"/>
  <c r="D36" i="12"/>
  <c r="E22" i="11"/>
  <c r="C26" i="17"/>
  <c r="C30" i="17"/>
  <c r="C30" i="12"/>
  <c r="D33" i="11"/>
  <c r="D101" i="11"/>
  <c r="J29" i="24"/>
  <c r="J30" i="24" s="1"/>
  <c r="E49" i="12"/>
  <c r="H22" i="8"/>
  <c r="H21" i="8"/>
  <c r="H65" i="8"/>
  <c r="G17" i="8"/>
  <c r="H66" i="8"/>
  <c r="H19" i="8"/>
  <c r="G14" i="8"/>
  <c r="G10" i="8"/>
  <c r="B77" i="8"/>
  <c r="H60" i="8"/>
  <c r="B36" i="8"/>
  <c r="H20" i="8"/>
  <c r="G55" i="8"/>
  <c r="G51" i="8"/>
  <c r="H24" i="8"/>
  <c r="C22" i="12"/>
  <c r="C33" i="8"/>
  <c r="C28" i="12"/>
  <c r="C33" i="11"/>
  <c r="C101" i="11"/>
  <c r="D33" i="35"/>
  <c r="E19" i="12"/>
  <c r="H21" i="35"/>
  <c r="B77" i="35"/>
  <c r="H66" i="35"/>
  <c r="H22" i="35"/>
  <c r="E46" i="35"/>
  <c r="G16" i="35"/>
  <c r="H24" i="35"/>
  <c r="H64" i="35"/>
  <c r="G12" i="35"/>
  <c r="H26" i="35"/>
  <c r="D46" i="35"/>
  <c r="H67" i="35"/>
  <c r="C41" i="35"/>
  <c r="C46" i="35"/>
  <c r="G52" i="35"/>
  <c r="E5" i="7"/>
  <c r="E5" i="11"/>
  <c r="E46" i="11" s="1"/>
  <c r="E5" i="9"/>
  <c r="E46" i="9" s="1"/>
  <c r="E5" i="17"/>
  <c r="E35" i="17" s="1"/>
  <c r="I23" i="13"/>
  <c r="I6" i="13"/>
  <c r="K6" i="13"/>
  <c r="H23" i="13"/>
  <c r="D60" i="17"/>
  <c r="D56" i="17"/>
  <c r="E31" i="12"/>
  <c r="C42" i="7"/>
  <c r="C78" i="7"/>
  <c r="C21" i="12"/>
  <c r="D21" i="11"/>
  <c r="G33" i="12"/>
  <c r="D6" i="9"/>
  <c r="D23" i="9" s="1"/>
  <c r="D35" i="9" s="1"/>
  <c r="C102" i="9"/>
  <c r="B30" i="24"/>
  <c r="K29" i="24"/>
  <c r="E22" i="8"/>
  <c r="G26" i="12"/>
  <c r="F37" i="10"/>
  <c r="E38" i="10"/>
  <c r="B29" i="21"/>
  <c r="A21" i="22"/>
  <c r="B3" i="22"/>
  <c r="D26" i="18"/>
  <c r="K17" i="24"/>
  <c r="K30" i="24" s="1"/>
  <c r="E18" i="22"/>
  <c r="E23" i="6"/>
  <c r="E5" i="10"/>
  <c r="E46" i="10" s="1"/>
  <c r="D35" i="3"/>
  <c r="D6" i="8"/>
  <c r="D23" i="8" s="1"/>
  <c r="D35" i="8" s="1"/>
  <c r="C102" i="8"/>
  <c r="E28" i="12"/>
  <c r="C16" i="18"/>
  <c r="C28" i="18" s="1"/>
  <c r="C14" i="18"/>
  <c r="G58" i="10"/>
  <c r="H21" i="10"/>
  <c r="H20" i="10"/>
  <c r="C41" i="10"/>
  <c r="G17" i="10"/>
  <c r="G51" i="10"/>
  <c r="H60" i="10"/>
  <c r="B36" i="10"/>
  <c r="H24" i="10"/>
  <c r="H22" i="10"/>
  <c r="B77" i="10"/>
  <c r="G55" i="10"/>
  <c r="G14" i="10"/>
  <c r="C82" i="10"/>
  <c r="C33" i="9"/>
  <c r="G25" i="9"/>
  <c r="C24" i="12"/>
  <c r="C101" i="9"/>
  <c r="D33" i="10"/>
  <c r="D101" i="10"/>
  <c r="C63" i="17"/>
  <c r="D36" i="17"/>
  <c r="D46" i="17" s="1"/>
  <c r="D58" i="17" s="1"/>
  <c r="E11" i="6"/>
  <c r="F23" i="4"/>
  <c r="D20" i="3"/>
  <c r="E53" i="6"/>
  <c r="E48" i="6"/>
  <c r="G18" i="12"/>
  <c r="C41" i="11"/>
  <c r="H62" i="11"/>
  <c r="H22" i="11"/>
  <c r="H63" i="11"/>
  <c r="H21" i="11"/>
  <c r="H20" i="11"/>
  <c r="G10" i="11"/>
  <c r="H65" i="11"/>
  <c r="C82" i="11"/>
  <c r="G55" i="11"/>
  <c r="H61" i="11"/>
  <c r="G17" i="11"/>
  <c r="B36" i="11"/>
  <c r="B77" i="11"/>
  <c r="C26" i="12"/>
  <c r="C23" i="4"/>
  <c r="D5" i="17"/>
  <c r="D35" i="17" s="1"/>
  <c r="D5" i="7" l="1"/>
  <c r="D5" i="18"/>
  <c r="D35" i="18" s="1"/>
  <c r="D5" i="9"/>
  <c r="D46" i="9" s="1"/>
  <c r="C63" i="18"/>
  <c r="E36" i="18"/>
  <c r="E46" i="18" s="1"/>
  <c r="E58" i="18" s="1"/>
  <c r="E60" i="18" s="1"/>
  <c r="D63" i="18"/>
  <c r="C31" i="17"/>
  <c r="C104" i="11"/>
  <c r="D47" i="10"/>
  <c r="D64" i="10" s="1"/>
  <c r="D76" i="10" s="1"/>
  <c r="G60" i="10" s="1"/>
  <c r="D6" i="10"/>
  <c r="D23" i="10" s="1"/>
  <c r="D35" i="10" s="1"/>
  <c r="G19" i="10" s="1"/>
  <c r="B38" i="9"/>
  <c r="B79" i="8"/>
  <c r="B47" i="7"/>
  <c r="C36" i="45"/>
  <c r="C39" i="45" s="1"/>
  <c r="C50" i="6"/>
  <c r="D6" i="6" s="1"/>
  <c r="D27" i="6" s="1"/>
  <c r="C18" i="12"/>
  <c r="C36" i="12" s="1"/>
  <c r="C39" i="12" s="1"/>
  <c r="G41" i="6"/>
  <c r="G36" i="45"/>
  <c r="G39" i="45" s="1"/>
  <c r="C72" i="6"/>
  <c r="C48" i="6"/>
  <c r="G74" i="11"/>
  <c r="G33" i="11"/>
  <c r="G75" i="9"/>
  <c r="G34" i="9"/>
  <c r="B38" i="11"/>
  <c r="B79" i="9"/>
  <c r="G74" i="10"/>
  <c r="G33" i="10"/>
  <c r="G43" i="7"/>
  <c r="G33" i="8"/>
  <c r="G74" i="8"/>
  <c r="B38" i="10"/>
  <c r="C104" i="8"/>
  <c r="D47" i="8"/>
  <c r="D64" i="8" s="1"/>
  <c r="D76" i="8" s="1"/>
  <c r="D104" i="8" s="1"/>
  <c r="B80" i="8" s="1"/>
  <c r="B38" i="8"/>
  <c r="G75" i="35"/>
  <c r="G35" i="35"/>
  <c r="C99" i="35"/>
  <c r="B79" i="35"/>
  <c r="G50" i="6"/>
  <c r="E26" i="6"/>
  <c r="G37" i="6" s="1"/>
  <c r="N31" i="12"/>
  <c r="N39" i="12" s="1"/>
  <c r="G20" i="11"/>
  <c r="G19" i="8"/>
  <c r="E6" i="8"/>
  <c r="E23" i="8" s="1"/>
  <c r="E39" i="8" s="1"/>
  <c r="E41" i="8" s="1"/>
  <c r="D102" i="8"/>
  <c r="B39" i="8" s="1"/>
  <c r="D38" i="3"/>
  <c r="D47" i="9"/>
  <c r="D64" i="9" s="1"/>
  <c r="D76" i="9" s="1"/>
  <c r="C104" i="9"/>
  <c r="D104" i="10"/>
  <c r="B80" i="10" s="1"/>
  <c r="E47" i="10"/>
  <c r="E64" i="10" s="1"/>
  <c r="E80" i="10" s="1"/>
  <c r="E82" i="10" s="1"/>
  <c r="G60" i="8"/>
  <c r="E47" i="8"/>
  <c r="E64" i="8" s="1"/>
  <c r="E80" i="8" s="1"/>
  <c r="E82" i="8" s="1"/>
  <c r="D101" i="35"/>
  <c r="B80" i="35" s="1"/>
  <c r="E47" i="35"/>
  <c r="E64" i="35" s="1"/>
  <c r="E80" i="35" s="1"/>
  <c r="G61" i="35"/>
  <c r="D102" i="9"/>
  <c r="B39" i="9" s="1"/>
  <c r="G20" i="9"/>
  <c r="E6" i="9"/>
  <c r="E23" i="9" s="1"/>
  <c r="E39" i="9" s="1"/>
  <c r="E41" i="9" s="1"/>
  <c r="E6" i="17"/>
  <c r="E16" i="17" s="1"/>
  <c r="E28" i="17" s="1"/>
  <c r="E30" i="17" s="1"/>
  <c r="D31" i="17"/>
  <c r="G62" i="35"/>
  <c r="G21" i="35"/>
  <c r="D99" i="35"/>
  <c r="E6" i="35"/>
  <c r="E23" i="35" s="1"/>
  <c r="E39" i="35" s="1"/>
  <c r="E41" i="35" s="1"/>
  <c r="G20" i="8"/>
  <c r="I43" i="4"/>
  <c r="D35" i="4"/>
  <c r="G39" i="4"/>
  <c r="H41" i="4"/>
  <c r="E37" i="4"/>
  <c r="F37" i="4"/>
  <c r="E36" i="17"/>
  <c r="E46" i="17" s="1"/>
  <c r="E58" i="17" s="1"/>
  <c r="E60" i="17" s="1"/>
  <c r="D63" i="17"/>
  <c r="D6" i="18"/>
  <c r="D16" i="18" s="1"/>
  <c r="D28" i="18" s="1"/>
  <c r="C31" i="18"/>
  <c r="C79" i="7"/>
  <c r="D6" i="7"/>
  <c r="D25" i="7" s="1"/>
  <c r="G36" i="12"/>
  <c r="G39" i="12" s="1"/>
  <c r="G60" i="11"/>
  <c r="D104" i="11"/>
  <c r="E47" i="11"/>
  <c r="E64" i="11" s="1"/>
  <c r="E80" i="11" s="1"/>
  <c r="E82" i="11" s="1"/>
  <c r="G19" i="11"/>
  <c r="D102" i="11"/>
  <c r="B39" i="11" s="1"/>
  <c r="E6" i="11"/>
  <c r="E23" i="11" s="1"/>
  <c r="E39" i="11" s="1"/>
  <c r="E41" i="11" s="1"/>
  <c r="G61" i="11"/>
  <c r="B80" i="11" l="1"/>
  <c r="H29" i="45"/>
  <c r="I29" i="45" s="1"/>
  <c r="H28" i="45"/>
  <c r="I28" i="45" s="1"/>
  <c r="H27" i="45"/>
  <c r="I27" i="45" s="1"/>
  <c r="E6" i="10"/>
  <c r="E23" i="10" s="1"/>
  <c r="E39" i="10" s="1"/>
  <c r="E41" i="10" s="1"/>
  <c r="G21" i="10" s="1"/>
  <c r="K21" i="10" s="1"/>
  <c r="D102" i="10"/>
  <c r="B39" i="10" s="1"/>
  <c r="H24" i="45"/>
  <c r="I24" i="45" s="1"/>
  <c r="H23" i="45"/>
  <c r="I23" i="45" s="1"/>
  <c r="H22" i="45"/>
  <c r="I22" i="45" s="1"/>
  <c r="H19" i="45"/>
  <c r="I19" i="45" s="1"/>
  <c r="C73" i="6"/>
  <c r="B39" i="35"/>
  <c r="H29" i="12"/>
  <c r="I29" i="12" s="1"/>
  <c r="G70" i="11" s="1"/>
  <c r="E62" i="11"/>
  <c r="G62" i="11"/>
  <c r="K62" i="11" s="1"/>
  <c r="E31" i="3"/>
  <c r="F31" i="3" s="1"/>
  <c r="E21" i="8"/>
  <c r="H22" i="12"/>
  <c r="E24" i="3"/>
  <c r="F24" i="3" s="1"/>
  <c r="I22" i="12"/>
  <c r="G29" i="8" s="1"/>
  <c r="G21" i="8"/>
  <c r="K21" i="8" s="1"/>
  <c r="D40" i="7"/>
  <c r="D44" i="7"/>
  <c r="H27" i="12"/>
  <c r="E29" i="3"/>
  <c r="F29" i="3" s="1"/>
  <c r="E62" i="10"/>
  <c r="I27" i="12"/>
  <c r="G70" i="10" s="1"/>
  <c r="G62" i="10"/>
  <c r="K62" i="10" s="1"/>
  <c r="D31" i="18"/>
  <c r="E6" i="18"/>
  <c r="E16" i="18" s="1"/>
  <c r="E28" i="18" s="1"/>
  <c r="E30" i="18" s="1"/>
  <c r="E81" i="35"/>
  <c r="E82" i="35" s="1"/>
  <c r="D46" i="6"/>
  <c r="D49" i="6" s="1"/>
  <c r="E25" i="3"/>
  <c r="F25" i="3" s="1"/>
  <c r="E62" i="8"/>
  <c r="H23" i="12"/>
  <c r="I23" i="12" s="1"/>
  <c r="G70" i="8" s="1"/>
  <c r="G62" i="8"/>
  <c r="K62" i="8" s="1"/>
  <c r="E47" i="9"/>
  <c r="E64" i="9" s="1"/>
  <c r="E80" i="9" s="1"/>
  <c r="E82" i="9" s="1"/>
  <c r="D104" i="9"/>
  <c r="B80" i="9" s="1"/>
  <c r="G61" i="9"/>
  <c r="E21" i="35"/>
  <c r="H19" i="12"/>
  <c r="I19" i="12" s="1"/>
  <c r="G31" i="35" s="1"/>
  <c r="E21" i="3"/>
  <c r="F21" i="3" s="1"/>
  <c r="G23" i="35"/>
  <c r="K23" i="35" s="1"/>
  <c r="E21" i="11"/>
  <c r="H28" i="12"/>
  <c r="E30" i="3"/>
  <c r="F30" i="3" s="1"/>
  <c r="I28" i="12"/>
  <c r="G29" i="11" s="1"/>
  <c r="G21" i="11"/>
  <c r="K21" i="11" s="1"/>
  <c r="E21" i="9"/>
  <c r="H24" i="12"/>
  <c r="I24" i="12" s="1"/>
  <c r="G30" i="9" s="1"/>
  <c r="G22" i="9"/>
  <c r="K22" i="9" s="1"/>
  <c r="E26" i="3"/>
  <c r="F26" i="3" s="1"/>
  <c r="H26" i="45" l="1"/>
  <c r="I26" i="45" s="1"/>
  <c r="H26" i="12"/>
  <c r="I26" i="12" s="1"/>
  <c r="G29" i="10" s="1"/>
  <c r="E21" i="10"/>
  <c r="E28" i="3"/>
  <c r="F28" i="3" s="1"/>
  <c r="H25" i="45"/>
  <c r="I25" i="45" s="1"/>
  <c r="H20" i="45"/>
  <c r="I20" i="45" s="1"/>
  <c r="D50" i="6"/>
  <c r="G36" i="6" s="1"/>
  <c r="E18" i="45"/>
  <c r="E36" i="45" s="1"/>
  <c r="E39" i="45" s="1"/>
  <c r="G63" i="11"/>
  <c r="G66" i="11" s="1"/>
  <c r="G22" i="11"/>
  <c r="G25" i="11" s="1"/>
  <c r="G63" i="10"/>
  <c r="G66" i="10" s="1"/>
  <c r="G22" i="10"/>
  <c r="G25" i="10" s="1"/>
  <c r="G22" i="8"/>
  <c r="G25" i="8" s="1"/>
  <c r="G15" i="34"/>
  <c r="G22" i="34" s="1"/>
  <c r="H20" i="12"/>
  <c r="I20" i="12" s="1"/>
  <c r="G71" i="35" s="1"/>
  <c r="E22" i="3"/>
  <c r="F22" i="3" s="1"/>
  <c r="E62" i="35"/>
  <c r="G63" i="8"/>
  <c r="G66" i="8" s="1"/>
  <c r="G23" i="9"/>
  <c r="G26" i="9" s="1"/>
  <c r="D72" i="6"/>
  <c r="B53" i="6" s="1"/>
  <c r="E18" i="12"/>
  <c r="E36" i="12" s="1"/>
  <c r="E39" i="12" s="1"/>
  <c r="D48" i="6"/>
  <c r="G24" i="35"/>
  <c r="G27" i="35" s="1"/>
  <c r="E62" i="9"/>
  <c r="E27" i="3"/>
  <c r="F27" i="3" s="1"/>
  <c r="H25" i="12"/>
  <c r="I25" i="12" s="1"/>
  <c r="G71" i="9" s="1"/>
  <c r="G63" i="9"/>
  <c r="K63" i="9" s="1"/>
  <c r="E6" i="7"/>
  <c r="E25" i="7" s="1"/>
  <c r="G29" i="7"/>
  <c r="D79" i="7"/>
  <c r="B48" i="7" s="1"/>
  <c r="G63" i="35"/>
  <c r="D73" i="6" l="1"/>
  <c r="B54" i="6" s="1"/>
  <c r="E6" i="6"/>
  <c r="E27" i="6" s="1"/>
  <c r="E54" i="6" s="1"/>
  <c r="E56" i="6" s="1"/>
  <c r="E23" i="34"/>
  <c r="D24" i="34"/>
  <c r="F33" i="34" s="1"/>
  <c r="F82" i="35" s="1"/>
  <c r="G64" i="9"/>
  <c r="G67" i="9" s="1"/>
  <c r="E48" i="7"/>
  <c r="E50" i="7" s="1"/>
  <c r="G29" i="34"/>
  <c r="E30" i="34" s="1"/>
  <c r="D31" i="34" s="1"/>
  <c r="K64" i="35"/>
  <c r="G64" i="35"/>
  <c r="G67" i="35" s="1"/>
  <c r="H21" i="45" l="1"/>
  <c r="I21" i="45" s="1"/>
  <c r="H18" i="45"/>
  <c r="E23" i="3"/>
  <c r="F23" i="3" s="1"/>
  <c r="G31" i="7"/>
  <c r="H21" i="12"/>
  <c r="I21" i="12" s="1"/>
  <c r="G39" i="7" s="1"/>
  <c r="E23" i="7"/>
  <c r="H18" i="12"/>
  <c r="E20" i="3"/>
  <c r="F20" i="3" s="1"/>
  <c r="G38" i="6"/>
  <c r="I18" i="12"/>
  <c r="E25" i="6"/>
  <c r="E46" i="6"/>
  <c r="E40" i="7"/>
  <c r="H36" i="45" l="1"/>
  <c r="N38" i="45" s="1"/>
  <c r="N40" i="45" s="1"/>
  <c r="N33" i="45" s="1"/>
  <c r="K33" i="45" s="1"/>
  <c r="G46" i="6"/>
  <c r="I36" i="12"/>
  <c r="I18" i="45"/>
  <c r="I36" i="45" s="1"/>
  <c r="H36" i="12"/>
  <c r="N38" i="12" s="1"/>
  <c r="N40" i="12" s="1"/>
  <c r="N34" i="12" s="1"/>
  <c r="K34" i="12" s="1"/>
  <c r="E38" i="3"/>
  <c r="E44" i="6"/>
  <c r="F38" i="3"/>
  <c r="K35" i="7"/>
  <c r="G32" i="7"/>
  <c r="G35" i="7" s="1"/>
  <c r="K38" i="6"/>
  <c r="G39" i="6"/>
  <c r="G42" i="6" s="1"/>
  <c r="N34" i="45" l="1"/>
  <c r="K34" i="45" s="1"/>
  <c r="N45" i="45"/>
  <c r="N50" i="45"/>
  <c r="K52" i="45" s="1"/>
  <c r="G12" i="46"/>
  <c r="N50" i="12"/>
  <c r="K52" i="12" s="1"/>
  <c r="G32" i="11"/>
  <c r="J35" i="11" s="1"/>
  <c r="G37" i="11" s="1"/>
  <c r="G73" i="11"/>
  <c r="J76" i="11" s="1"/>
  <c r="G78" i="11" s="1"/>
  <c r="G33" i="9"/>
  <c r="J36" i="9" s="1"/>
  <c r="G38" i="9" s="1"/>
  <c r="G74" i="9"/>
  <c r="J77" i="9" s="1"/>
  <c r="G79" i="9" s="1"/>
  <c r="G73" i="10"/>
  <c r="J76" i="10" s="1"/>
  <c r="G78" i="10" s="1"/>
  <c r="G32" i="10"/>
  <c r="J35" i="10" s="1"/>
  <c r="G37" i="10" s="1"/>
  <c r="G42" i="7"/>
  <c r="J45" i="7" s="1"/>
  <c r="G47" i="7" s="1"/>
  <c r="G32" i="8"/>
  <c r="J35" i="8" s="1"/>
  <c r="G37" i="8" s="1"/>
  <c r="G73" i="8"/>
  <c r="J76" i="8" s="1"/>
  <c r="G78" i="8" s="1"/>
  <c r="N33" i="12"/>
  <c r="K33" i="12" s="1"/>
  <c r="G34" i="35"/>
  <c r="J37" i="35" s="1"/>
  <c r="G39" i="35" s="1"/>
  <c r="G74" i="35"/>
  <c r="J77" i="35" s="1"/>
  <c r="G79" i="35" s="1"/>
  <c r="G49" i="6"/>
  <c r="J52" i="6" s="1"/>
  <c r="G54" i="6" s="1"/>
  <c r="N45" i="12"/>
</calcChain>
</file>

<file path=xl/sharedStrings.xml><?xml version="1.0" encoding="utf-8"?>
<sst xmlns="http://schemas.openxmlformats.org/spreadsheetml/2006/main" count="1673" uniqueCount="961">
  <si>
    <t>Special Road Election held ___________ for ___Mills for ___ years.</t>
  </si>
  <si>
    <t>First levy in ______.</t>
  </si>
  <si>
    <t>Rate</t>
  </si>
  <si>
    <t>Amount</t>
  </si>
  <si>
    <t>Page No.</t>
  </si>
  <si>
    <t>Adopted Budget</t>
  </si>
  <si>
    <t>Prior Year</t>
  </si>
  <si>
    <t>Current Year</t>
  </si>
  <si>
    <t>Proposed Budget</t>
  </si>
  <si>
    <t>Unencumbered Cash Balance, Jan 1</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</si>
  <si>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</si>
  <si>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</si>
  <si>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</si>
  <si>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</si>
  <si>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</si>
  <si>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</si>
  <si>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</si>
  <si>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</si>
  <si>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</si>
  <si>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</si>
  <si>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</si>
  <si>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</si>
  <si>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</si>
  <si>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</si>
  <si>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</si>
  <si>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</si>
  <si>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</si>
  <si>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</si>
  <si>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</si>
  <si>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</si>
  <si>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</si>
  <si>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</si>
  <si>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</si>
  <si>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</si>
  <si>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Expenditures</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</si>
  <si>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</si>
  <si>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</si>
  <si>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</si>
  <si>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</si>
  <si>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</si>
  <si>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</si>
  <si>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</si>
  <si>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</si>
  <si>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</si>
  <si>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</si>
  <si>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</si>
  <si>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</si>
  <si>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</si>
  <si>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</si>
  <si>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</si>
  <si>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</si>
  <si>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</si>
  <si>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</si>
  <si>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</si>
  <si>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</si>
  <si>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</si>
  <si>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</si>
  <si>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</si>
  <si>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</si>
  <si>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</si>
  <si>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</si>
  <si>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</si>
  <si>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</si>
  <si>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</si>
  <si>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</si>
  <si>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</si>
  <si>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</si>
  <si>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 xml:space="preserve">Total </t>
  </si>
  <si>
    <t>MVT</t>
  </si>
  <si>
    <t>RVT</t>
  </si>
  <si>
    <t>16/20M Vehicle Tax</t>
  </si>
  <si>
    <t>Special Highway/Gasoline Tax</t>
  </si>
  <si>
    <t>Officers Pay</t>
  </si>
  <si>
    <t>Employee Benefits</t>
  </si>
  <si>
    <t>Equipment</t>
  </si>
  <si>
    <t>Transfer to Special Machinery</t>
  </si>
  <si>
    <t>Road Materials</t>
  </si>
  <si>
    <t>Balance On</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</si>
  <si>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</si>
  <si>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</si>
  <si>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</si>
  <si>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</si>
  <si>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</si>
  <si>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</si>
  <si>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</si>
  <si>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</si>
  <si>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</si>
  <si>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</si>
  <si>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</si>
  <si>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</si>
  <si>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</si>
  <si>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</si>
  <si>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</si>
  <si>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</si>
  <si>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</si>
  <si>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</si>
  <si>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</si>
  <si>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</si>
  <si>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</si>
  <si>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</si>
  <si>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</si>
  <si>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</si>
  <si>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</si>
  <si>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</si>
  <si>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</si>
  <si>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</si>
  <si>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</si>
  <si>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</si>
  <si>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</si>
  <si>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</si>
  <si>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</si>
  <si>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Schedule of Transfers</t>
  </si>
  <si>
    <t>Current</t>
  </si>
  <si>
    <t>Proposed</t>
  </si>
  <si>
    <t>Transfers</t>
  </si>
  <si>
    <t>Amount for</t>
  </si>
  <si>
    <t xml:space="preserve">Authorized by </t>
  </si>
  <si>
    <t>From:</t>
  </si>
  <si>
    <t xml:space="preserve">  To:</t>
  </si>
  <si>
    <t>Adjusted Totals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</si>
  <si>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</si>
  <si>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</si>
  <si>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</si>
  <si>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</si>
  <si>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</si>
  <si>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</si>
  <si>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</si>
  <si>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</si>
  <si>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</si>
  <si>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</si>
  <si>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</si>
  <si>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</si>
  <si>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</si>
  <si>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Outstanding Indebtedness, January 1:</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</si>
  <si>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</si>
  <si>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</si>
  <si>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</si>
  <si>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</si>
  <si>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</si>
  <si>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</si>
  <si>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</si>
  <si>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</si>
  <si>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</si>
  <si>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</si>
  <si>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</si>
  <si>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</si>
  <si>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</si>
  <si>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</si>
  <si>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</si>
  <si>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</si>
  <si>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</si>
  <si>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</si>
  <si>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</si>
  <si>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28. Added 9a to the instruction to explain about County Treasurers Jan 1 and Dec 31 balances.</t>
  </si>
  <si>
    <t>14. If road transfer funds to special machinery, the transfers are linked and to the Schedule of Transfers.</t>
  </si>
  <si>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</si>
  <si>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</si>
  <si>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</si>
  <si>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</si>
  <si>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</si>
  <si>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</si>
  <si>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</si>
  <si>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</si>
  <si>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</si>
  <si>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</si>
  <si>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</si>
  <si>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</si>
  <si>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</si>
  <si>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 xml:space="preserve">  General Fund(No Levy)</t>
  </si>
  <si>
    <t xml:space="preserve">  General Fund(Gen has Levy)</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</si>
  <si>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</si>
  <si>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</si>
  <si>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</si>
  <si>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</si>
  <si>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</si>
  <si>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</si>
  <si>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</si>
  <si>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</si>
  <si>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</si>
  <si>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</si>
  <si>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</si>
  <si>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</si>
  <si>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</si>
  <si>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</si>
  <si>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</si>
  <si>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</si>
  <si>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</si>
  <si>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</si>
  <si>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</si>
  <si>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Statute</t>
  </si>
  <si>
    <t>Fund name for all funds with a tax levy:</t>
  </si>
  <si>
    <t>General</t>
  </si>
  <si>
    <t>79-1962</t>
  </si>
  <si>
    <t>Road</t>
  </si>
  <si>
    <t>Total</t>
  </si>
  <si>
    <t>Recreational Vehicle Tax Estimate</t>
  </si>
  <si>
    <t>Page</t>
  </si>
  <si>
    <t>Table of Contents:</t>
  </si>
  <si>
    <t>No.</t>
  </si>
  <si>
    <t>Expenditure</t>
  </si>
  <si>
    <t>Fund</t>
  </si>
  <si>
    <t>K.S.A.</t>
  </si>
  <si>
    <t>Special Machinery</t>
  </si>
  <si>
    <t>Totals</t>
  </si>
  <si>
    <t>x</t>
  </si>
  <si>
    <t>Assisted by:</t>
  </si>
  <si>
    <t xml:space="preserve">    Governing Body</t>
  </si>
  <si>
    <t>County Clerk</t>
  </si>
  <si>
    <t>1. General fund cell c51formula changed to calulate the Unecumber Cash Balance correctly.</t>
  </si>
  <si>
    <t>1. Instruction under Submitting of Budget ….required electronic submission.</t>
  </si>
  <si>
    <t>2. Input other tab line 45 change from Budget Summary to Budget Certificate.</t>
  </si>
  <si>
    <t>Debt Service</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</si>
  <si>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</si>
  <si>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</si>
  <si>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</si>
  <si>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</si>
  <si>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</si>
  <si>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</si>
  <si>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</si>
  <si>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</si>
  <si>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</si>
  <si>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</si>
  <si>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</si>
  <si>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</si>
  <si>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</si>
  <si>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</si>
  <si>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</si>
  <si>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</si>
  <si>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</si>
  <si>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</si>
  <si>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</si>
  <si>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</si>
  <si>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</si>
  <si>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</si>
  <si>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</si>
  <si>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</si>
  <si>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</si>
  <si>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</si>
  <si>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</si>
  <si>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</si>
  <si>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</si>
  <si>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</si>
  <si>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</si>
  <si>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</si>
  <si>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</si>
  <si>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</si>
  <si>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</si>
  <si>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</si>
  <si>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</si>
  <si>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</si>
  <si>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</si>
  <si>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</si>
  <si>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Date:</t>
  </si>
  <si>
    <t>Time:</t>
  </si>
  <si>
    <t>Location:</t>
  </si>
  <si>
    <t>Available at:</t>
  </si>
  <si>
    <t>7:00 PM or 7:00 AM</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</si>
  <si>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</si>
  <si>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</si>
  <si>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</si>
  <si>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</si>
  <si>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</si>
  <si>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</si>
  <si>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</si>
  <si>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</si>
  <si>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</si>
  <si>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</si>
  <si>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</si>
  <si>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</si>
  <si>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</si>
  <si>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</si>
  <si>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</si>
  <si>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</si>
  <si>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</si>
  <si>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</si>
  <si>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</si>
  <si>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</si>
  <si>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</si>
  <si>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</si>
  <si>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</si>
  <si>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</si>
  <si>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</si>
  <si>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</si>
  <si>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</si>
  <si>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</si>
  <si>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</si>
  <si>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</si>
  <si>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</si>
  <si>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</si>
  <si>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</si>
  <si>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</si>
  <si>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</si>
  <si>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</si>
  <si>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</si>
  <si>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</si>
  <si>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</si>
  <si>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</si>
  <si>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</si>
  <si>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</si>
  <si>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</si>
  <si>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</si>
  <si>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</si>
  <si>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</si>
  <si>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</si>
  <si>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</si>
  <si>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</si>
  <si>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</si>
  <si>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</si>
  <si>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</si>
  <si>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</si>
  <si>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</si>
  <si>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</si>
  <si>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</si>
  <si>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</si>
  <si>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</si>
  <si>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</si>
  <si>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</si>
  <si>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</si>
  <si>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</si>
  <si>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</si>
  <si>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</si>
  <si>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</si>
  <si>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</si>
  <si>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</si>
  <si>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</si>
  <si>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</si>
  <si>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</si>
  <si>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</si>
  <si>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</si>
  <si>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</si>
  <si>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</si>
  <si>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</si>
  <si>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</si>
  <si>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</si>
  <si>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</si>
  <si>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</si>
  <si>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</si>
  <si>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</si>
  <si>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</si>
  <si>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</si>
  <si>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</si>
  <si>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</si>
  <si>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</si>
  <si>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</si>
  <si>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</si>
  <si>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</si>
  <si>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</si>
  <si>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</si>
  <si>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</si>
  <si>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</si>
  <si>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</si>
  <si>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</si>
  <si>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</si>
  <si>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</si>
  <si>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</si>
  <si>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</si>
  <si>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</si>
  <si>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</si>
  <si>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</si>
  <si>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</si>
  <si>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</si>
  <si>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</si>
  <si>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</si>
  <si>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</si>
  <si>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</si>
  <si>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</si>
  <si>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</si>
  <si>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</si>
  <si>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</si>
  <si>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</si>
  <si>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</si>
  <si>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</si>
  <si>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</si>
  <si>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</si>
  <si>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</si>
  <si>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</si>
  <si>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</si>
  <si>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</si>
  <si>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</si>
  <si>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</si>
  <si>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</si>
  <si>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</si>
  <si>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</si>
  <si>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</si>
  <si>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</si>
  <si>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</si>
  <si>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</si>
  <si>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</si>
  <si>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</si>
  <si>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</si>
  <si>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</si>
  <si>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</si>
  <si>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</si>
  <si>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</si>
  <si>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</si>
  <si>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</si>
  <si>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</si>
  <si>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</si>
  <si>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</si>
  <si>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</si>
  <si>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</si>
  <si>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</si>
  <si>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</si>
  <si>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</si>
  <si>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</si>
  <si>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</si>
  <si>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</si>
  <si>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</si>
  <si>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</si>
  <si>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</si>
  <si>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</si>
  <si>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</si>
  <si>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</si>
  <si>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</si>
  <si>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</si>
  <si>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</si>
  <si>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</si>
  <si>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</si>
  <si>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</si>
  <si>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</si>
  <si>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</si>
  <si>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</si>
  <si>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</si>
  <si>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</si>
  <si>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</si>
  <si>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</si>
  <si>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</si>
  <si>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</si>
  <si>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</si>
  <si>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</si>
  <si>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</si>
  <si>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</si>
  <si>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</si>
  <si>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</si>
  <si>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</si>
  <si>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</si>
  <si>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</si>
  <si>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</si>
  <si>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</si>
  <si>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</si>
  <si>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</si>
  <si>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</si>
  <si>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</si>
  <si>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</si>
  <si>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</si>
  <si>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</si>
  <si>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</si>
  <si>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</si>
  <si>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</si>
  <si>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</si>
  <si>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</si>
  <si>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</si>
  <si>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</si>
  <si>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</si>
  <si>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</si>
  <si>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</si>
  <si>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</si>
  <si>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</si>
  <si>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</si>
  <si>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</si>
  <si>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</si>
  <si>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</si>
  <si>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</si>
  <si>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r>
      <t>Adjustments</t>
    </r>
    <r>
      <rPr>
        <sz val="12"/>
        <color indexed="10"/>
        <rFont val="Times New Roman"/>
        <family val="1"/>
      </rPr>
      <t>*</t>
    </r>
  </si>
  <si>
    <t>Receipt</t>
  </si>
  <si>
    <t xml:space="preserve">Fund Transferred </t>
  </si>
  <si>
    <t>Fund Transferred</t>
  </si>
  <si>
    <t>*Note:</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</si>
  <si>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</si>
  <si>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</si>
  <si>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</si>
  <si>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</si>
  <si>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</si>
  <si>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</si>
  <si>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</si>
  <si>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</si>
  <si>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</si>
  <si>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</si>
  <si>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</si>
  <si>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</si>
  <si>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</si>
  <si>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</si>
  <si>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</si>
  <si>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</si>
  <si>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</si>
  <si>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</si>
  <si>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</si>
  <si>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</si>
  <si>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</si>
  <si>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</si>
  <si>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</si>
  <si>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Transfer can not exceed 25% Resources Available</t>
  </si>
  <si>
    <t>Library</t>
  </si>
  <si>
    <t>12-1220</t>
  </si>
  <si>
    <t xml:space="preserve">Amounts used in lieu of </t>
  </si>
  <si>
    <t>Alloc of MVT, RVT, 16/20M Vehicles Tax</t>
  </si>
  <si>
    <t>WORKSHEET FOR STATE GRANT-IN-AID TO PUBLIC LIBRARIES AND</t>
  </si>
  <si>
    <t>REGIONAL LIBRARY SYSTEMS</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</si>
  <si>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</si>
  <si>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</si>
  <si>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</si>
  <si>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</si>
  <si>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</si>
  <si>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</si>
  <si>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</si>
  <si>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</si>
  <si>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</si>
  <si>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</si>
  <si>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</si>
  <si>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</si>
  <si>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</si>
  <si>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</si>
  <si>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</si>
  <si>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</si>
  <si>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</si>
  <si>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</si>
  <si>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</si>
  <si>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</si>
  <si>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</si>
  <si>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</si>
  <si>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</si>
  <si>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</si>
  <si>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</si>
  <si>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</si>
  <si>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</si>
  <si>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</si>
  <si>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</si>
  <si>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</si>
  <si>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</si>
  <si>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</si>
  <si>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</si>
  <si>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</si>
  <si>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</si>
  <si>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</si>
  <si>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</si>
  <si>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</si>
  <si>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</si>
  <si>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</si>
  <si>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</si>
  <si>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</si>
  <si>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</si>
  <si>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</si>
  <si>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</si>
  <si>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</si>
  <si>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</si>
  <si>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</si>
  <si>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</si>
  <si>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</si>
  <si>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</si>
  <si>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</si>
  <si>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</si>
  <si>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</si>
  <si>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
  </si>
  <si>
    <t>Budgeted Funds</t>
  </si>
  <si>
    <t>Type</t>
  </si>
  <si>
    <t>Debt</t>
  </si>
  <si>
    <t>Items</t>
  </si>
  <si>
    <t>Purchased</t>
  </si>
  <si>
    <t>Email:</t>
  </si>
  <si>
    <t>Official Name:</t>
  </si>
  <si>
    <t>Official Title:</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</si>
  <si>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</si>
  <si>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</si>
  <si>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1.  Corrected formula in cell e28 of Library Grant tab</t>
  </si>
  <si>
    <t>1.  "Budget Authority Amount" cell added to budget year column of all funds.</t>
  </si>
  <si>
    <t>1.  Several changes to workbook associated with 2014 HB 2047.</t>
  </si>
  <si>
    <t xml:space="preserve">1.  Added the ROUND function to cell J38 in the computation tab so result will be a whole number.  </t>
  </si>
  <si>
    <t>Enter township name followed by "Township":</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</si>
  <si>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</si>
  <si>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</si>
  <si>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</si>
  <si>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</si>
  <si>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</si>
  <si>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</si>
  <si>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1.  Update of State Library contact name on library grant tab.</t>
  </si>
  <si>
    <t>Input Sheet for Township1 Budget Workbook</t>
  </si>
  <si>
    <t>Commercial Vehicle Tax Estimate</t>
  </si>
  <si>
    <t>Watercraft Tax Estimate</t>
  </si>
  <si>
    <t>Comm Veh</t>
  </si>
  <si>
    <t>Watercraft</t>
  </si>
  <si>
    <t xml:space="preserve">Allocation of MV, RV, 16/20M, Commercial Vehicle, and Watercraft Tax Estimates </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</si>
  <si>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</si>
  <si>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</si>
  <si>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</si>
  <si>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</si>
  <si>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</si>
  <si>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</si>
  <si>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</si>
  <si>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</si>
  <si>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</si>
  <si>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</si>
  <si>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</si>
  <si>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</si>
  <si>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</si>
  <si>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</si>
  <si>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</si>
  <si>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The following changes were made to this workbook on 10/5/2015</t>
  </si>
  <si>
    <t>The following changes were made to this workbook on 1/25/2016</t>
  </si>
  <si>
    <t>1.  On tax levy funds NR estimate shown as a negative receipt.</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</si>
  <si>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</si>
  <si>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</si>
  <si>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</si>
  <si>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</si>
  <si>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</si>
  <si>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</si>
  <si>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10/30/2014</t>
  </si>
  <si>
    <t>The following changes were made to this workbook on 8/28/2014</t>
  </si>
  <si>
    <t>The following changes were made to this workbook on 7/15/2014</t>
  </si>
  <si>
    <t>The following changes were made to this workbook on 5/23/2014</t>
  </si>
  <si>
    <t>The following changes were made to this workbook on 4/23/2014</t>
  </si>
  <si>
    <t>The following changes were made to this workbook on 3/27/2013</t>
  </si>
  <si>
    <t>1.  Instruction tab narrative modification.</t>
  </si>
  <si>
    <t>The following changes were made to this workbook on 1/31/2013</t>
  </si>
  <si>
    <t>The following changes were made to this workbook on 1/15/2013</t>
  </si>
  <si>
    <t>1.  Corrected formula in cell g29 on Library Grant tab page.</t>
  </si>
  <si>
    <t>The following changes were made to this workbook on 10/10/2012</t>
  </si>
  <si>
    <t>1.  Added "resolution required?  yes/no" message to area adjacent to each tax levy fund.</t>
  </si>
  <si>
    <t>The following changes were made to this workbook on 2/22/2012</t>
  </si>
  <si>
    <t>1.  Corrected formula in cell e29 on Library Grant tab page.</t>
  </si>
  <si>
    <t>1. Library Grant tab, updated State Library e-mail contact address.</t>
  </si>
  <si>
    <t>The following changes were made to this workbook on 2/6/2012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</si>
  <si>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</si>
  <si>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</si>
  <si>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</si>
  <si>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</si>
  <si>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</si>
  <si>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</si>
  <si>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</si>
  <si>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</si>
  <si>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</si>
  <si>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</si>
  <si>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</si>
  <si>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</si>
  <si>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</si>
  <si>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</si>
  <si>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</si>
  <si>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</si>
  <si>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</si>
  <si>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</si>
  <si>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</si>
  <si>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</si>
  <si>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</si>
  <si>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</si>
  <si>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</si>
  <si>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</si>
  <si>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</si>
  <si>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</si>
  <si>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</si>
  <si>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</si>
  <si>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</si>
  <si>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changes were made to this workbook on 5/4/2011</t>
  </si>
  <si>
    <t>1. Gen tab cell B46 corrected spelling of Resources.</t>
  </si>
  <si>
    <t>The following changes were made to this workbook on 4/19/2011</t>
  </si>
  <si>
    <t>1. Summ tab changed proposed year expenditure column to 'Budget Authority for Expenditures.'</t>
  </si>
  <si>
    <t>The following changes were made to this workbook on 3/21/2011</t>
  </si>
  <si>
    <t>Road tab corrected cell G42 from E24 to E23.</t>
  </si>
  <si>
    <t>The following changes were made to this workbook on 10/15/2010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</si>
  <si>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</si>
  <si>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</si>
  <si>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</si>
  <si>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</si>
  <si>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</si>
  <si>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</si>
  <si>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</si>
  <si>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</si>
  <si>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</si>
  <si>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</si>
  <si>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</si>
  <si>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</si>
  <si>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</si>
  <si>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</si>
  <si>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</si>
  <si>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</si>
  <si>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</si>
  <si>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</si>
  <si>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</si>
  <si>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</si>
  <si>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</si>
  <si>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</si>
  <si>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the w-2 infro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</si>
  <si>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</si>
  <si>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</si>
  <si>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</si>
  <si>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</si>
  <si>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</si>
  <si>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</si>
  <si>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</si>
  <si>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</si>
  <si>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</si>
  <si>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</si>
  <si>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</si>
  <si>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</si>
  <si>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</si>
  <si>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8/25/2009</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</si>
  <si>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</si>
  <si>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</si>
  <si>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</si>
  <si>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</si>
  <si>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</si>
  <si>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7. Instruction tab added 9m to explain about Non-Budgeted Form.</t>
  </si>
  <si>
    <t>8. Cert tab added Non-Budgeted Funds line A35.</t>
  </si>
  <si>
    <t>9. Added nonbud tab for the Non-Budgeted Funds.</t>
  </si>
  <si>
    <t>10. Summ tab added A34 for Non-Budgeted Funds.</t>
  </si>
  <si>
    <t>11. Change each fund page taking out the 'Yes' and 'No' and replacing them with 'See Tab' for possible violation.</t>
  </si>
  <si>
    <t>12. NonBud tab changed the Net Valution to July 1.</t>
  </si>
  <si>
    <t>13. Certificate tab moved the Assisted By: and added more lines for governing body signatures.</t>
  </si>
  <si>
    <t>The following changes were made to this workbook on 5/14/2009</t>
  </si>
  <si>
    <t>1. Mvalloc tab, changed cell d10  to -2 vs -1 to reflect correct year to tax.</t>
  </si>
  <si>
    <t>2. Mvalloc tab, changed cells d12-21 to add = in formula to prevent VALUE error - affects very few townships.</t>
  </si>
  <si>
    <t>The following changes were made to this workbook on 5/13/2009</t>
  </si>
  <si>
    <t>1. Transfer tab, changed cells c12, d12, and e12 to reflect link on the gen tab transfer from 43 to 45.</t>
  </si>
  <si>
    <t>The following changes were made to this workbook on 5/5/2009</t>
  </si>
  <si>
    <t>1. Summ tab, the special machinery's expenditure block B34 link was changed from C63 to B63.</t>
  </si>
  <si>
    <t>The following were changed to this spreadsheet on 4/3/2009</t>
  </si>
  <si>
    <t>1. Corrected mvalloc column d for ad valorem tax as was picking up expenditures instead.</t>
  </si>
  <si>
    <t>2. Corrected gen unencumbered cash balances for both actual and current columns.</t>
  </si>
  <si>
    <t>The following were changed to this spreadsheet on 3/19/2009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</si>
  <si>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</si>
  <si>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</si>
  <si>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</si>
  <si>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2/23/2009</t>
  </si>
  <si>
    <t>The following were changed to this spreadsheet on 2/02/2009</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</si>
  <si>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</si>
  <si>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</si>
  <si>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</si>
  <si>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On summ tab corrected link in cell c35.</t>
  </si>
  <si>
    <t>The following changes were made to this workbook on 3/8/2016</t>
  </si>
  <si>
    <t>The following changes were made to this workbook on 3/7/2017</t>
  </si>
  <si>
    <t>1.  inputPrYr tab, inserted CPI percentage, linked the percentage to the Computation tab.</t>
  </si>
  <si>
    <t>CPA Summary</t>
  </si>
  <si>
    <t>The following changes were made to this workbook in April 2018</t>
  </si>
  <si>
    <t xml:space="preserve">1.  Added the CPA Summary tab.  </t>
  </si>
  <si>
    <t>2.  Added the CPA Summary comment box on the Certification Page and all fund pages.</t>
  </si>
  <si>
    <t xml:space="preserve">3.  Changed Megan Schulz email address on the Library Grant tab.  </t>
  </si>
  <si>
    <t>4.  Renamed the Pub. Notice Option 1 tab to Notice of Vote.</t>
  </si>
  <si>
    <t>5.  Removed the Pub. Notice Option 2 and 3 tabs.</t>
  </si>
  <si>
    <t xml:space="preserve">CPA Summary of Assumptions </t>
  </si>
  <si>
    <t>The following changes were made to this workbook in April 2019</t>
  </si>
  <si>
    <t>2.  Entered 2020 for the Budget Year and 2.5% for the CPI percentage on the InputPrYr tab</t>
  </si>
  <si>
    <t>1.  Updated Municipal Services' contact information on the Instruction tab</t>
  </si>
  <si>
    <t>3.  Highlighed tabs (pages) in blue if the page is to be printed and submitted as part of the budget</t>
  </si>
  <si>
    <t>Alice.Smith@ks.gov</t>
  </si>
  <si>
    <t>The following changes were made to this workbook during March 2020</t>
  </si>
  <si>
    <t>1. CPI Percentages were entered for the 2021 budget year</t>
  </si>
  <si>
    <t>2. Updated the Helpful Links to correct weblinks</t>
  </si>
  <si>
    <t>3. Used format painter to make all pages consistent in color and layout</t>
  </si>
  <si>
    <t>Revenue Neutral Rate</t>
  </si>
  <si>
    <t>Revenue Neutral Rate**</t>
  </si>
  <si>
    <t>**Revenue Neutral Rate as defined by 2021 Kansas Senate Bill 13</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</si>
  <si>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</si>
  <si>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</si>
  <si>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</si>
  <si>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</si>
  <si>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</si>
  <si>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 xml:space="preserve">5. Updated Cert (Table of Contents) and page numbering. </t>
  </si>
  <si>
    <t>6. Delete Notice of Vote/Resolution Sample worksheets</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</si>
  <si>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</si>
  <si>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</si>
  <si>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</si>
  <si>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</si>
  <si>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</si>
  <si>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</si>
  <si>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</si>
  <si>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</si>
  <si>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</si>
  <si>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</si>
  <si>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</si>
  <si>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</si>
  <si>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</si>
  <si>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</si>
  <si>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</si>
  <si>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</si>
  <si>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</si>
  <si>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</si>
  <si>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</si>
  <si>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</si>
  <si>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</si>
  <si>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</si>
  <si>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</si>
  <si>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</si>
  <si>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</si>
  <si>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</si>
  <si>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</si>
  <si>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</si>
  <si>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</si>
  <si>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</si>
  <si>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</si>
  <si>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</si>
  <si>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</si>
  <si>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</si>
  <si>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</si>
  <si>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</si>
  <si>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</si>
  <si>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</si>
  <si>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</si>
  <si>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</si>
  <si>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</si>
  <si>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</si>
  <si>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</si>
  <si>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</si>
  <si>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</si>
  <si>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</si>
  <si>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</si>
  <si>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</si>
  <si>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</si>
  <si>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</si>
  <si>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</si>
  <si>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</si>
  <si>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</si>
  <si>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</si>
  <si>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</si>
  <si>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</si>
  <si>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</si>
  <si>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</si>
  <si>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</si>
  <si>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</si>
  <si>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</si>
  <si>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</si>
  <si>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</si>
  <si>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</si>
  <si>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</si>
  <si>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</si>
  <si>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</si>
  <si>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</si>
  <si>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</si>
  <si>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</si>
  <si>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</si>
  <si>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</si>
  <si>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</si>
  <si>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</si>
  <si>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</si>
  <si>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</si>
  <si>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</si>
  <si>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</si>
  <si>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</si>
  <si>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 xml:space="preserve">Reminder: The notice of hearing must be published at least 10 days prior to hearing date. </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</si>
  <si>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</si>
  <si>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Hearing to Exceed the Revenue Neutral Rate Notice Only</t>
  </si>
  <si>
    <t>Budget Available at:</t>
  </si>
  <si>
    <t>`</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</si>
  <si>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</si>
  <si>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Combined Revenue Neutral Rate &amp; Budget Hearing Notice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</si>
  <si>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</si>
  <si>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Budget Hearing Notice Only</t>
  </si>
  <si>
    <t>City Hall</t>
  </si>
  <si>
    <t>August 12, 2022</t>
  </si>
  <si>
    <t>City Clerk, City Treasurer, Mayor</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</si>
  <si>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</si>
  <si>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Input Examples</t>
  </si>
  <si>
    <t>Public Hearing Input Options</t>
  </si>
  <si>
    <t>Budget Hearing Notice</t>
  </si>
  <si>
    <t>Combined Rate and Budget Hearing Notice</t>
  </si>
  <si>
    <t>Rate Hearing Notice</t>
  </si>
  <si>
    <t xml:space="preserve">Revenue Neutral Rate </t>
  </si>
  <si>
    <t>________________________  _______________________</t>
  </si>
  <si>
    <t>Final Tax Rate (County Clerk's Use Only)</t>
  </si>
  <si>
    <t>Budget Authority for Expenditures</t>
  </si>
  <si>
    <t>***If  leasing/renting with no intent to purchase, do not list--such transactions are not lease-purchases.</t>
  </si>
  <si>
    <t>Estimated Mill Rate &amp;
 Revenue Neutral Rate Comparison</t>
  </si>
  <si>
    <t>Revenue Neutral Rate (KSA 79-2988)</t>
  </si>
  <si>
    <t>Is a rate hearing/resolution required:</t>
  </si>
  <si>
    <t xml:space="preserve">The governing body of </t>
  </si>
  <si>
    <t xml:space="preserve">Is rate hearing/resolution required to exceed Revenue Neutral Rate? </t>
  </si>
  <si>
    <t>Actual Tax Rate*</t>
  </si>
  <si>
    <t>Estimate Tax Rate*</t>
  </si>
  <si>
    <t>NOTICE OF HEARING TO EXCEED REVENUE NEUTRAL RATE</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</si>
  <si>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</si>
  <si>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</si>
  <si>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</si>
  <si>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</si>
  <si>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</si>
  <si>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</si>
  <si>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Resolution No. ______</t>
  </si>
  <si>
    <t>A RESOLUTION OF THE __________ TOWNSHIP, KANSAS TO LEVY A PROPERTY TAX RATE EXCEEDING THE REVENUE NEUTRAL RATE;</t>
  </si>
  <si>
    <r>
      <t xml:space="preserve">           </t>
    </r>
    <r>
      <rPr>
        <b/>
        <sz val="12"/>
        <rFont val="Times New Roman"/>
        <family val="1"/>
      </rPr>
      <t>WHEREAS</t>
    </r>
    <r>
      <rPr>
        <sz val="12"/>
        <rFont val="Times New Roman"/>
        <family val="1"/>
      </rPr>
      <t>, the Revenue Neutral Rate for the  __________  Township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</si>
  <si>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__________ Township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</si>
  <si>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</si>
  <si>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____________ Township, having heard testimony, still finds it necessary to exceed the Revenue Neutral Rate.</t>
    </r>
  </si>
  <si>
    <t xml:space="preserve">          NOW, THEREFORE, BE IT RESOLVED BY THE GOVERNING BODY OF THE  __________ TOWNSHIP: </t>
  </si>
  <si>
    <t xml:space="preserve">          The  _________ Township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</si>
  <si>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</si>
  <si>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</si>
  <si>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t>
  </si>
  <si>
    <t xml:space="preserve">          Attested:</t>
  </si>
  <si>
    <t xml:space="preserve">          ______________________________</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</si>
  <si>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</si>
  <si>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</si>
  <si>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</si>
  <si>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</si>
  <si>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</si>
  <si>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</si>
  <si>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</si>
  <si>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r>
      <t xml:space="preserve">If the municipality financial records have </t>
    </r>
    <r>
      <rPr>
        <b/>
        <u/>
        <sz val="12"/>
        <rFont val="Times New Roman"/>
        <family val="1"/>
      </rPr>
      <t>not been</t>
    </r>
    <r>
      <rPr>
        <sz val="12"/>
        <rFont val="Times New Roman"/>
        <family val="1"/>
      </rPr>
      <t xml:space="preserve"> closed</t>
    </r>
  </si>
  <si>
    <r>
      <t xml:space="preserve">receipt, show the reimbursement as a negative </t>
    </r>
    <r>
      <rPr>
        <i/>
        <sz val="12"/>
        <rFont val="Times New Roman"/>
        <family val="1"/>
      </rPr>
      <t>expenditure</t>
    </r>
    <r>
      <rPr>
        <sz val="12"/>
        <rFont val="Times New Roman"/>
        <family val="1"/>
      </rPr>
      <t>.</t>
    </r>
  </si>
  <si>
    <r>
      <t>left of the 'See Tab B' as follows:  "</t>
    </r>
    <r>
      <rPr>
        <i/>
        <u/>
        <sz val="12"/>
        <rFont val="Times New Roman"/>
        <family val="1"/>
      </rPr>
      <t>10-1116 applies.</t>
    </r>
    <r>
      <rPr>
        <sz val="12"/>
        <rFont val="Times New Roman"/>
        <family val="1"/>
      </rPr>
      <t>"</t>
    </r>
  </si>
  <si>
    <t>Tab E</t>
  </si>
  <si>
    <t>Tab D</t>
  </si>
  <si>
    <t>Tab C</t>
  </si>
  <si>
    <t>Tab B</t>
  </si>
  <si>
    <t>Tab A</t>
  </si>
  <si>
    <t>The following changes were made to this workbook during February 2022</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</si>
  <si>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</si>
  <si>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</si>
  <si>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</si>
  <si>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</si>
  <si>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</si>
  <si>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</si>
  <si>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</si>
  <si>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</si>
  <si>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</si>
  <si>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</si>
  <si>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</si>
  <si>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</si>
  <si>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</si>
  <si>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</si>
  <si>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</si>
  <si>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</si>
  <si>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</si>
  <si>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</si>
  <si>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</si>
  <si>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</si>
  <si>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r>
      <t xml:space="preserve">As provided in KSA 75-2553 </t>
    </r>
    <r>
      <rPr>
        <i/>
        <sz val="12"/>
        <rFont val="Times New Roman"/>
        <family val="1"/>
      </rPr>
      <t>et seq.,</t>
    </r>
    <r>
      <rPr>
        <sz val="12"/>
        <rFont val="Times New Roman"/>
        <family val="1"/>
      </rPr>
      <t xml:space="preserve"> two tests are used to determine eligibility for State Library Grant.  If the grant is approved, then the municipality's library will be paid the grant on February 15 of  each year.</t>
    </r>
  </si>
  <si>
    <t xml:space="preserve">General </t>
  </si>
  <si>
    <t>Municipal Budget Tools/Explainers for Various Situations</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</si>
  <si>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</si>
  <si>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</si>
  <si>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</si>
  <si>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</si>
  <si>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</si>
  <si>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</si>
  <si>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</si>
  <si>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</si>
  <si>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</si>
  <si>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</si>
  <si>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</si>
  <si>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</si>
  <si>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</si>
  <si>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</si>
  <si>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</si>
  <si>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</si>
  <si>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</si>
  <si>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</si>
  <si>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</si>
  <si>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 xml:space="preserve">The following changes were made to this workbook during April 2023: </t>
  </si>
  <si>
    <t>Reprogram final rate computation on Certificate page</t>
  </si>
  <si>
    <t>Corrected transfer programming for General/Special Machinery and Road/Special Machinery</t>
  </si>
  <si>
    <t>Created Budget Tools, removed 'helpful links' and 'mill rate computation' (those tabs are now located in 'Budget Tools'</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</si>
  <si>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</si>
  <si>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</si>
  <si>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</si>
  <si>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</si>
  <si>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</si>
  <si>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</si>
  <si>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</si>
  <si>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</si>
  <si>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</si>
  <si>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1. Removed LAVTR from inputOth, Library Grant and General fund tabs.</t>
  </si>
  <si>
    <t>2. Renamed Cash Forward/Cash-Basis Reserve to Cash Reserve on all fund pages.</t>
  </si>
  <si>
    <t>The following changes were made to this workbook during April-May 2024</t>
  </si>
  <si>
    <t>3. Added RNR Resolution YES/NO formula to certificate page.</t>
  </si>
  <si>
    <t>Does budget require a resolution to exceed the Revenue Neutral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</si>
</sst>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quot;$&quot;#,##0"/>
    <numFmt numFmtId="176" formatCode="&quot;$&quot;#,##0.00"/>
    <numFmt numFmtId="177" formatCode="0.0%"/>
    <numFmt numFmtId="178" formatCode="#,##0.000_);[Red]\(#,##0.000\)"/>
    <numFmt numFmtId="179" formatCode="#,##0.00000_);\(#,##0.00000\)"/>
  </numFmts>
  <fonts count="71"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10"/>
      <name val="Times New Roman"/>
      <family val="1"/>
    </font>
    <font>
      <u/>
      <sz val="12"/>
      <color indexed="12"/>
      <name val="Courier New"/>
      <family val="3"/>
    </font>
    <font>
      <sz val="8"/>
      <name val="Courier New"/>
      <family val="3"/>
    </font>
    <font>
      <b/>
      <sz val="11"/>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8"/>
      <color indexed="10"/>
      <name val="Times New Roman"/>
      <family val="1"/>
    </font>
    <font>
      <b/>
      <u/>
      <sz val="14"/>
      <name val="Times New Roman"/>
      <family val="1"/>
    </font>
    <font>
      <u/>
      <sz val="12"/>
      <color indexed="12"/>
      <name val="Courier"/>
      <family val="3"/>
    </font>
    <font>
      <b/>
      <u/>
      <sz val="12"/>
      <name val="Courier"/>
      <family val="3"/>
    </font>
    <font>
      <sz val="12"/>
      <name val="Courier New"/>
      <family val="3"/>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sz val="10"/>
      <name val="Courier"/>
      <family val="3"/>
    </font>
    <font>
      <sz val="10"/>
      <color indexed="10"/>
      <name val="Times New Roman"/>
      <family val="1"/>
    </font>
    <font>
      <b/>
      <sz val="12"/>
      <name val="Courier New"/>
      <family val="3"/>
    </font>
    <font>
      <sz val="12"/>
      <name val="Courier"/>
      <family val="3"/>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2"/>
      <color rgb="FF000000"/>
      <name val="Times New Roman"/>
      <family val="1"/>
    </font>
    <font>
      <sz val="12"/>
      <color rgb="FFFF0000"/>
      <name val="Times New Roman"/>
      <family val="1"/>
    </font>
    <font>
      <sz val="10"/>
      <color rgb="FFFF0000"/>
      <name val="Times New Roman"/>
      <family val="1"/>
    </font>
    <font>
      <b/>
      <sz val="14"/>
      <name val="Times New Roman"/>
      <family val="1"/>
    </font>
    <font>
      <u/>
      <vertAlign val="superscript"/>
      <sz val="12"/>
      <name val="Times New Roman"/>
      <family val="1"/>
    </font>
    <font>
      <sz val="11"/>
      <name val="Calibri"/>
      <family val="2"/>
    </font>
    <font>
      <sz val="7"/>
      <name val="Times New Roman"/>
      <family val="1"/>
    </font>
    <font>
      <b/>
      <u/>
      <sz val="16"/>
      <name val="Times New Roman"/>
      <family val="1"/>
    </font>
    <font>
      <b/>
      <sz val="16"/>
      <name val="Times New Roman"/>
      <family val="1"/>
    </font>
    <font>
      <sz val="14"/>
      <name val="Times New Roman"/>
      <family val="1"/>
    </font>
    <font>
      <i/>
      <u/>
      <sz val="12"/>
      <name val="Times New Roman"/>
      <family val="1"/>
    </font>
    <font>
      <sz val="12"/>
      <name val="Courier New"/>
      <family val="3"/>
    </font>
    <font>
      <b/>
      <sz val="20"/>
      <color rgb="FF000000"/>
      <name val="Cambria"/>
      <family val="1"/>
      <scheme val="major"/>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2"/>
      <name val="Courier"/>
    </font>
    <font>
      <b/>
      <sz val="14"/>
      <name val="Cambria"/>
      <family val="1"/>
      <scheme val="major"/>
    </font>
    <font>
      <sz val="12"/>
      <name val="Calibri"/>
      <family val="2"/>
      <scheme val="minor"/>
    </font>
    <font>
      <b/>
      <sz val="14"/>
      <name val="Calibri"/>
      <family val="2"/>
      <scheme val="minor"/>
    </font>
    <font>
      <u/>
      <sz val="12"/>
      <name val="Calibri"/>
      <family val="2"/>
      <scheme val="minor"/>
    </font>
    <font>
      <b/>
      <sz val="12"/>
      <name val="Calibri"/>
      <family val="2"/>
      <scheme val="minor"/>
    </font>
  </fonts>
  <fills count="20">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34"/>
        <bgColor indexed="64"/>
      </patternFill>
    </fill>
    <fill>
      <patternFill patternType="solid">
        <fgColor indexed="10"/>
        <bgColor indexed="64"/>
      </patternFill>
    </fill>
    <fill>
      <patternFill patternType="solid">
        <fgColor indexed="13"/>
        <bgColor indexed="64"/>
      </patternFill>
    </fill>
    <fill>
      <patternFill patternType="solid">
        <fgColor indexed="35"/>
        <bgColor indexed="64"/>
      </patternFill>
    </fill>
    <fill>
      <patternFill patternType="solid">
        <fgColor indexed="41"/>
        <bgColor indexed="64"/>
      </patternFill>
    </fill>
    <fill>
      <patternFill patternType="solid">
        <fgColor theme="0"/>
        <bgColor indexed="64"/>
      </patternFill>
    </fill>
    <fill>
      <patternFill patternType="solid">
        <fgColor rgb="FFFFFFC0"/>
        <bgColor indexed="64"/>
      </patternFill>
    </fill>
    <fill>
      <patternFill patternType="solid">
        <fgColor rgb="FF00FF0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52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39"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3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44" fontId="56" fillId="0" borderId="0" applyFont="0" applyFill="0" applyBorder="0" applyAlignment="0" applyProtection="0"/>
    <xf numFmtId="0" fontId="4" fillId="0" borderId="0"/>
  </cellStyleXfs>
  <cellXfs count="857">
    <xf numFmtId="0" fontId="0" fillId="0" borderId="0" xfId="0"/>
    <xf numFmtId="0" fontId="4" fillId="0" borderId="0" xfId="0" applyFont="1"/>
    <xf numFmtId="0" fontId="4" fillId="0" borderId="0" xfId="0" applyFont="1" applyAlignment="1">
      <alignment wrapText="1"/>
    </xf>
    <xf numFmtId="0" fontId="4" fillId="0" borderId="0" xfId="0" applyFont="1" applyProtection="1">
      <protection locked="0"/>
    </xf>
    <xf numFmtId="37" fontId="4" fillId="2" borderId="1" xfId="0" applyNumberFormat="1" applyFont="1" applyFill="1" applyBorder="1" applyProtection="1">
      <protection locked="0"/>
    </xf>
    <xf numFmtId="165" fontId="4" fillId="2" borderId="1" xfId="0" applyNumberFormat="1" applyFont="1" applyFill="1" applyBorder="1" applyProtection="1">
      <protection locked="0"/>
    </xf>
    <xf numFmtId="37" fontId="4" fillId="2" borderId="1" xfId="0" applyNumberFormat="1" applyFont="1" applyFill="1" applyBorder="1" applyAlignment="1" applyProtection="1">
      <alignment horizontal="left"/>
      <protection locked="0"/>
    </xf>
    <xf numFmtId="0" fontId="3" fillId="0" borderId="0" xfId="0" applyFont="1" applyProtection="1">
      <protection locked="0"/>
    </xf>
    <xf numFmtId="3" fontId="4" fillId="3" borderId="1" xfId="0" applyNumberFormat="1" applyFont="1" applyFill="1" applyBorder="1" applyProtection="1">
      <protection locked="0"/>
    </xf>
    <xf numFmtId="37" fontId="4" fillId="4" borderId="1" xfId="0" applyNumberFormat="1" applyFont="1" applyFill="1" applyBorder="1"/>
    <xf numFmtId="0" fontId="4" fillId="4" borderId="0" xfId="0" applyFont="1" applyFill="1"/>
    <xf numFmtId="37" fontId="4" fillId="4" borderId="0" xfId="0" applyNumberFormat="1" applyFont="1" applyFill="1" applyAlignment="1">
      <alignment horizontal="left"/>
    </xf>
    <xf numFmtId="37" fontId="4" fillId="4" borderId="0" xfId="0" applyNumberFormat="1" applyFont="1" applyFill="1" applyAlignment="1">
      <alignment horizontal="center"/>
    </xf>
    <xf numFmtId="37" fontId="4" fillId="4" borderId="0" xfId="0" applyNumberFormat="1" applyFont="1" applyFill="1"/>
    <xf numFmtId="3" fontId="4" fillId="4" borderId="0" xfId="0" applyNumberFormat="1" applyFont="1" applyFill="1"/>
    <xf numFmtId="0" fontId="3" fillId="4" borderId="0" xfId="0" applyFont="1" applyFill="1"/>
    <xf numFmtId="37" fontId="4" fillId="4" borderId="0" xfId="0" applyNumberFormat="1" applyFont="1" applyFill="1" applyAlignment="1">
      <alignment horizontal="right"/>
    </xf>
    <xf numFmtId="0" fontId="4" fillId="4" borderId="0" xfId="0" applyFont="1" applyFill="1" applyAlignment="1">
      <alignment horizontal="centerContinuous"/>
    </xf>
    <xf numFmtId="37" fontId="4" fillId="4" borderId="3" xfId="0" applyNumberFormat="1" applyFont="1" applyFill="1" applyBorder="1" applyAlignment="1">
      <alignment horizontal="center"/>
    </xf>
    <xf numFmtId="164" fontId="4" fillId="4" borderId="0" xfId="0" applyNumberFormat="1" applyFont="1" applyFill="1"/>
    <xf numFmtId="0" fontId="4" fillId="4" borderId="1" xfId="0" applyFont="1" applyFill="1" applyBorder="1" applyAlignment="1">
      <alignment horizontal="center"/>
    </xf>
    <xf numFmtId="0" fontId="4" fillId="4" borderId="2" xfId="0" applyFont="1" applyFill="1" applyBorder="1"/>
    <xf numFmtId="37" fontId="4" fillId="4" borderId="1" xfId="0" applyNumberFormat="1" applyFont="1" applyFill="1" applyBorder="1" applyAlignment="1">
      <alignment horizontal="left"/>
    </xf>
    <xf numFmtId="0" fontId="4" fillId="4" borderId="1" xfId="0" applyFont="1" applyFill="1" applyBorder="1"/>
    <xf numFmtId="37" fontId="3" fillId="4" borderId="0" xfId="0" applyNumberFormat="1" applyFont="1" applyFill="1" applyAlignment="1">
      <alignment horizontal="left"/>
    </xf>
    <xf numFmtId="37" fontId="4" fillId="4" borderId="4" xfId="0" applyNumberFormat="1" applyFont="1" applyFill="1" applyBorder="1" applyAlignment="1">
      <alignment horizontal="left"/>
    </xf>
    <xf numFmtId="1" fontId="4" fillId="4" borderId="5" xfId="0" applyNumberFormat="1" applyFont="1" applyFill="1" applyBorder="1" applyAlignment="1">
      <alignment horizontal="centerContinuous"/>
    </xf>
    <xf numFmtId="1" fontId="4" fillId="4" borderId="6" xfId="0" applyNumberFormat="1" applyFont="1" applyFill="1" applyBorder="1" applyAlignment="1">
      <alignment horizontal="centerContinuous"/>
    </xf>
    <xf numFmtId="0" fontId="4" fillId="4" borderId="6" xfId="0" applyFont="1" applyFill="1" applyBorder="1" applyAlignment="1">
      <alignment horizontal="centerContinuous"/>
    </xf>
    <xf numFmtId="37" fontId="4" fillId="4" borderId="5" xfId="0" applyNumberFormat="1" applyFont="1" applyFill="1" applyBorder="1" applyAlignment="1">
      <alignment horizontal="centerContinuous"/>
    </xf>
    <xf numFmtId="0" fontId="4" fillId="4" borderId="7" xfId="0" applyFont="1" applyFill="1" applyBorder="1" applyAlignment="1">
      <alignment horizontal="centerContinuous"/>
    </xf>
    <xf numFmtId="1" fontId="4" fillId="4" borderId="4" xfId="0" applyNumberFormat="1" applyFont="1" applyFill="1" applyBorder="1" applyAlignment="1">
      <alignment horizontal="center"/>
    </xf>
    <xf numFmtId="0" fontId="4" fillId="4" borderId="4" xfId="0" applyFont="1" applyFill="1" applyBorder="1"/>
    <xf numFmtId="0" fontId="4" fillId="4" borderId="9" xfId="0" applyFont="1" applyFill="1" applyBorder="1"/>
    <xf numFmtId="0" fontId="4" fillId="4" borderId="7" xfId="0" applyFont="1" applyFill="1" applyBorder="1"/>
    <xf numFmtId="0" fontId="4" fillId="4" borderId="0" xfId="0" applyFont="1" applyFill="1" applyProtection="1">
      <protection locked="0"/>
    </xf>
    <xf numFmtId="0" fontId="4" fillId="4" borderId="6" xfId="0" applyFont="1" applyFill="1" applyBorder="1"/>
    <xf numFmtId="37" fontId="4" fillId="4" borderId="1" xfId="0" applyNumberFormat="1" applyFont="1" applyFill="1" applyBorder="1" applyAlignment="1">
      <alignment horizontal="center"/>
    </xf>
    <xf numFmtId="0" fontId="4" fillId="4" borderId="0" xfId="0" applyFont="1" applyFill="1" applyAlignment="1">
      <alignment horizontal="right"/>
    </xf>
    <xf numFmtId="0" fontId="4" fillId="4" borderId="0" xfId="0" applyFont="1" applyFill="1" applyAlignment="1">
      <alignment horizontal="center"/>
    </xf>
    <xf numFmtId="0" fontId="5" fillId="4" borderId="0" xfId="0" applyFont="1" applyFill="1" applyAlignment="1">
      <alignment horizontal="center"/>
    </xf>
    <xf numFmtId="0" fontId="0" fillId="4" borderId="0" xfId="0" applyFill="1"/>
    <xf numFmtId="165" fontId="4" fillId="2" borderId="3" xfId="0" applyNumberFormat="1" applyFont="1" applyFill="1" applyBorder="1" applyProtection="1">
      <protection locked="0"/>
    </xf>
    <xf numFmtId="0" fontId="4" fillId="4" borderId="4" xfId="0" applyFont="1" applyFill="1" applyBorder="1" applyAlignment="1">
      <alignment horizontal="left"/>
    </xf>
    <xf numFmtId="37" fontId="4" fillId="4" borderId="0" xfId="0" applyNumberFormat="1" applyFont="1" applyFill="1" applyProtection="1">
      <protection locked="0"/>
    </xf>
    <xf numFmtId="0" fontId="4" fillId="4" borderId="4" xfId="0" applyFont="1" applyFill="1" applyBorder="1" applyAlignment="1">
      <alignment horizontal="center"/>
    </xf>
    <xf numFmtId="0" fontId="4" fillId="4" borderId="9" xfId="0" applyFont="1" applyFill="1" applyBorder="1" applyProtection="1">
      <protection locked="0"/>
    </xf>
    <xf numFmtId="0" fontId="4" fillId="4" borderId="6" xfId="0" applyFont="1" applyFill="1" applyBorder="1" applyProtection="1">
      <protection locked="0"/>
    </xf>
    <xf numFmtId="0" fontId="4" fillId="4" borderId="7" xfId="0" applyFont="1" applyFill="1" applyBorder="1" applyProtection="1">
      <protection locked="0"/>
    </xf>
    <xf numFmtId="165" fontId="4" fillId="4" borderId="4" xfId="0" applyNumberFormat="1" applyFont="1" applyFill="1" applyBorder="1"/>
    <xf numFmtId="0" fontId="4" fillId="3" borderId="1" xfId="0" applyFont="1" applyFill="1" applyBorder="1" applyProtection="1">
      <protection locked="0"/>
    </xf>
    <xf numFmtId="37" fontId="4" fillId="5" borderId="1" xfId="0" applyNumberFormat="1" applyFont="1" applyFill="1" applyBorder="1"/>
    <xf numFmtId="165" fontId="4" fillId="5" borderId="10" xfId="0" applyNumberFormat="1" applyFont="1" applyFill="1" applyBorder="1"/>
    <xf numFmtId="0" fontId="3" fillId="3" borderId="1" xfId="0" applyFont="1" applyFill="1" applyBorder="1" applyAlignment="1" applyProtection="1">
      <alignment horizontal="center"/>
      <protection locked="0"/>
    </xf>
    <xf numFmtId="37" fontId="4" fillId="5" borderId="10" xfId="0" applyNumberFormat="1" applyFont="1" applyFill="1" applyBorder="1" applyAlignment="1">
      <alignment horizontal="center"/>
    </xf>
    <xf numFmtId="3" fontId="4" fillId="3" borderId="1" xfId="0" applyNumberFormat="1" applyFont="1" applyFill="1" applyBorder="1" applyAlignment="1" applyProtection="1">
      <alignment horizontal="center"/>
      <protection locked="0"/>
    </xf>
    <xf numFmtId="174" fontId="4" fillId="4" borderId="1" xfId="0" applyNumberFormat="1" applyFont="1" applyFill="1" applyBorder="1" applyAlignment="1">
      <alignment horizontal="center"/>
    </xf>
    <xf numFmtId="3" fontId="4" fillId="4" borderId="1" xfId="0" applyNumberFormat="1" applyFont="1" applyFill="1" applyBorder="1" applyAlignment="1">
      <alignment horizontal="center"/>
    </xf>
    <xf numFmtId="3" fontId="4" fillId="3" borderId="2" xfId="0" applyNumberFormat="1" applyFont="1" applyFill="1" applyBorder="1" applyAlignment="1" applyProtection="1">
      <alignment horizontal="center"/>
      <protection locked="0"/>
    </xf>
    <xf numFmtId="3" fontId="4" fillId="4" borderId="10" xfId="0" applyNumberFormat="1" applyFont="1" applyFill="1" applyBorder="1" applyAlignment="1">
      <alignment horizontal="center"/>
    </xf>
    <xf numFmtId="174" fontId="4" fillId="4" borderId="10" xfId="0" applyNumberFormat="1" applyFont="1" applyFill="1" applyBorder="1" applyAlignment="1">
      <alignment horizontal="center"/>
    </xf>
    <xf numFmtId="3" fontId="4" fillId="4" borderId="4" xfId="0" applyNumberFormat="1" applyFont="1" applyFill="1" applyBorder="1" applyAlignment="1">
      <alignment horizontal="center"/>
    </xf>
    <xf numFmtId="174" fontId="4" fillId="4" borderId="4" xfId="0" applyNumberFormat="1" applyFont="1" applyFill="1" applyBorder="1" applyAlignment="1">
      <alignment horizontal="center"/>
    </xf>
    <xf numFmtId="174" fontId="4" fillId="4" borderId="0" xfId="0" applyNumberFormat="1" applyFont="1" applyFill="1" applyAlignment="1">
      <alignment horizontal="center"/>
    </xf>
    <xf numFmtId="0" fontId="0" fillId="4" borderId="0" xfId="0" applyFill="1" applyAlignment="1">
      <alignment horizontal="center"/>
    </xf>
    <xf numFmtId="172" fontId="4" fillId="4" borderId="0" xfId="0" applyNumberFormat="1" applyFont="1" applyFill="1"/>
    <xf numFmtId="37" fontId="4" fillId="6" borderId="3" xfId="0" applyNumberFormat="1" applyFont="1" applyFill="1" applyBorder="1" applyAlignment="1">
      <alignment horizontal="center"/>
    </xf>
    <xf numFmtId="0" fontId="5" fillId="6" borderId="2" xfId="0" applyFont="1" applyFill="1" applyBorder="1" applyAlignment="1">
      <alignment horizontal="center"/>
    </xf>
    <xf numFmtId="0" fontId="5" fillId="6" borderId="11" xfId="0" applyFont="1" applyFill="1" applyBorder="1" applyAlignment="1">
      <alignment horizontal="center"/>
    </xf>
    <xf numFmtId="0" fontId="4" fillId="6" borderId="12" xfId="0" applyFont="1" applyFill="1" applyBorder="1" applyAlignment="1">
      <alignment horizontal="center"/>
    </xf>
    <xf numFmtId="37" fontId="4" fillId="4" borderId="7" xfId="0" applyNumberFormat="1" applyFont="1" applyFill="1" applyBorder="1"/>
    <xf numFmtId="0" fontId="4" fillId="4" borderId="4" xfId="0" applyFont="1" applyFill="1" applyBorder="1" applyProtection="1">
      <protection locked="0"/>
    </xf>
    <xf numFmtId="0" fontId="3" fillId="4" borderId="0" xfId="0" applyFont="1" applyFill="1" applyAlignment="1">
      <alignment horizontal="center" vertical="center"/>
    </xf>
    <xf numFmtId="0" fontId="4" fillId="4" borderId="0" xfId="0" applyFont="1" applyFill="1" applyAlignment="1">
      <alignment vertical="center"/>
    </xf>
    <xf numFmtId="0" fontId="4" fillId="4" borderId="0" xfId="0" applyFont="1" applyFill="1" applyAlignment="1">
      <alignment horizontal="centerContinuous" vertical="center"/>
    </xf>
    <xf numFmtId="37" fontId="4" fillId="4" borderId="0" xfId="0" quotePrefix="1" applyNumberFormat="1" applyFont="1" applyFill="1" applyAlignment="1">
      <alignment horizontal="right" vertical="center"/>
    </xf>
    <xf numFmtId="37" fontId="4" fillId="4" borderId="0" xfId="0" applyNumberFormat="1" applyFont="1" applyFill="1" applyAlignment="1">
      <alignment horizontal="fill" vertical="center"/>
    </xf>
    <xf numFmtId="37" fontId="4" fillId="4" borderId="0" xfId="0" applyNumberFormat="1" applyFont="1" applyFill="1" applyAlignment="1">
      <alignment horizontal="left" vertical="center"/>
    </xf>
    <xf numFmtId="37" fontId="4" fillId="4" borderId="2" xfId="0" applyNumberFormat="1" applyFont="1" applyFill="1" applyBorder="1" applyAlignment="1">
      <alignment horizontal="center" vertical="center"/>
    </xf>
    <xf numFmtId="37" fontId="4" fillId="4" borderId="4" xfId="0" applyNumberFormat="1" applyFont="1" applyFill="1" applyBorder="1" applyAlignment="1">
      <alignment horizontal="left" vertical="center"/>
    </xf>
    <xf numFmtId="0" fontId="4" fillId="4" borderId="4" xfId="0" applyFont="1" applyFill="1" applyBorder="1" applyAlignment="1">
      <alignment vertical="center"/>
    </xf>
    <xf numFmtId="37" fontId="4" fillId="4" borderId="3" xfId="0" applyNumberFormat="1" applyFont="1" applyFill="1" applyBorder="1" applyAlignment="1">
      <alignment horizontal="center" vertical="center"/>
    </xf>
    <xf numFmtId="37" fontId="4" fillId="4" borderId="5" xfId="0" applyNumberFormat="1" applyFont="1" applyFill="1" applyBorder="1" applyAlignment="1">
      <alignment horizontal="left" vertical="center"/>
    </xf>
    <xf numFmtId="0" fontId="4" fillId="4" borderId="6" xfId="0" applyFont="1" applyFill="1" applyBorder="1" applyAlignment="1">
      <alignment vertical="center"/>
    </xf>
    <xf numFmtId="0" fontId="4" fillId="4" borderId="13" xfId="0" applyFont="1" applyFill="1" applyBorder="1" applyAlignment="1">
      <alignment vertical="center"/>
    </xf>
    <xf numFmtId="37" fontId="4" fillId="4" borderId="1" xfId="0" applyNumberFormat="1" applyFont="1" applyFill="1" applyBorder="1" applyAlignment="1">
      <alignment horizontal="center" vertical="center"/>
    </xf>
    <xf numFmtId="0" fontId="4" fillId="4" borderId="14" xfId="0" applyFont="1" applyFill="1" applyBorder="1" applyAlignment="1">
      <alignment vertical="center"/>
    </xf>
    <xf numFmtId="37" fontId="4" fillId="4" borderId="12" xfId="0" applyNumberFormat="1" applyFont="1" applyFill="1" applyBorder="1" applyAlignment="1">
      <alignment horizontal="left" vertical="center"/>
    </xf>
    <xf numFmtId="37" fontId="5" fillId="4" borderId="12" xfId="0" applyNumberFormat="1" applyFont="1" applyFill="1" applyBorder="1" applyAlignment="1">
      <alignment horizontal="left" vertical="center"/>
    </xf>
    <xf numFmtId="37" fontId="5" fillId="4" borderId="0" xfId="0" applyNumberFormat="1" applyFont="1" applyFill="1" applyAlignment="1">
      <alignment horizontal="center" vertical="center"/>
    </xf>
    <xf numFmtId="0" fontId="4" fillId="4" borderId="1" xfId="0" applyFont="1" applyFill="1" applyBorder="1" applyAlignment="1">
      <alignment horizontal="center" vertical="center"/>
    </xf>
    <xf numFmtId="0" fontId="4" fillId="4" borderId="9" xfId="0" applyFont="1" applyFill="1" applyBorder="1" applyAlignment="1">
      <alignment vertical="center"/>
    </xf>
    <xf numFmtId="37" fontId="4" fillId="4" borderId="1" xfId="0" applyNumberFormat="1" applyFont="1" applyFill="1" applyBorder="1" applyAlignment="1">
      <alignment vertical="center"/>
    </xf>
    <xf numFmtId="37" fontId="4" fillId="5"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37" fontId="4" fillId="4" borderId="5" xfId="0" applyNumberFormat="1" applyFont="1" applyFill="1" applyBorder="1" applyAlignment="1">
      <alignment vertical="center"/>
    </xf>
    <xf numFmtId="37" fontId="4" fillId="4" borderId="6" xfId="0" applyNumberFormat="1" applyFont="1" applyFill="1" applyBorder="1" applyAlignment="1">
      <alignment horizontal="center" vertical="center"/>
    </xf>
    <xf numFmtId="164" fontId="4" fillId="4" borderId="6" xfId="0" applyNumberFormat="1" applyFont="1" applyFill="1" applyBorder="1" applyAlignment="1">
      <alignment horizontal="center" vertical="center"/>
    </xf>
    <xf numFmtId="37" fontId="4" fillId="4" borderId="12" xfId="0" applyNumberFormat="1" applyFont="1" applyFill="1" applyBorder="1" applyAlignment="1">
      <alignment vertical="center"/>
    </xf>
    <xf numFmtId="37" fontId="4" fillId="4" borderId="9" xfId="0" applyNumberFormat="1" applyFont="1" applyFill="1" applyBorder="1" applyAlignment="1">
      <alignment horizontal="center" vertical="center"/>
    </xf>
    <xf numFmtId="37" fontId="3" fillId="4" borderId="11" xfId="0" applyNumberFormat="1" applyFont="1" applyFill="1" applyBorder="1" applyAlignment="1">
      <alignment horizontal="left" vertical="center"/>
    </xf>
    <xf numFmtId="0" fontId="4" fillId="4" borderId="7" xfId="0" applyFont="1" applyFill="1" applyBorder="1" applyAlignment="1">
      <alignment vertical="center"/>
    </xf>
    <xf numFmtId="37" fontId="4" fillId="4" borderId="1" xfId="0" applyNumberFormat="1" applyFont="1" applyFill="1" applyBorder="1" applyAlignment="1">
      <alignment horizontal="fill" vertical="center"/>
    </xf>
    <xf numFmtId="37" fontId="4" fillId="4" borderId="1" xfId="0" applyNumberFormat="1" applyFont="1" applyFill="1" applyBorder="1" applyAlignment="1">
      <alignment horizontal="left" vertical="center"/>
    </xf>
    <xf numFmtId="0" fontId="0" fillId="0" borderId="0" xfId="0" applyAlignment="1">
      <alignment vertical="center"/>
    </xf>
    <xf numFmtId="0" fontId="4" fillId="3" borderId="4"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0" borderId="0" xfId="0" applyFont="1" applyAlignment="1">
      <alignment vertical="center"/>
    </xf>
    <xf numFmtId="0" fontId="4" fillId="3" borderId="0" xfId="0" applyFont="1" applyFill="1" applyAlignment="1" applyProtection="1">
      <alignment vertical="center"/>
      <protection locked="0"/>
    </xf>
    <xf numFmtId="37" fontId="4" fillId="3" borderId="0" xfId="0" applyNumberFormat="1" applyFont="1" applyFill="1" applyAlignment="1" applyProtection="1">
      <alignment horizontal="left" vertical="center"/>
      <protection locked="0"/>
    </xf>
    <xf numFmtId="0" fontId="4" fillId="4" borderId="0" xfId="0" applyFont="1" applyFill="1" applyAlignment="1">
      <alignment horizontal="left" vertical="center"/>
    </xf>
    <xf numFmtId="0" fontId="4" fillId="4" borderId="0" xfId="0" applyFont="1" applyFill="1" applyAlignment="1">
      <alignment horizontal="right" vertical="center"/>
    </xf>
    <xf numFmtId="37" fontId="4" fillId="4" borderId="0" xfId="0" applyNumberFormat="1" applyFont="1" applyFill="1" applyAlignment="1">
      <alignment vertical="center"/>
    </xf>
    <xf numFmtId="3" fontId="4" fillId="4" borderId="0" xfId="0" applyNumberFormat="1" applyFont="1" applyFill="1" applyAlignment="1">
      <alignment vertical="center"/>
    </xf>
    <xf numFmtId="3" fontId="4" fillId="4" borderId="4" xfId="0" applyNumberFormat="1" applyFont="1" applyFill="1" applyBorder="1" applyAlignment="1">
      <alignment vertical="center"/>
    </xf>
    <xf numFmtId="0" fontId="3" fillId="4" borderId="0" xfId="0" applyFont="1" applyFill="1" applyAlignment="1">
      <alignment vertical="center"/>
    </xf>
    <xf numFmtId="0" fontId="4" fillId="4" borderId="15" xfId="0" applyFont="1" applyFill="1" applyBorder="1" applyAlignment="1">
      <alignment vertical="center"/>
    </xf>
    <xf numFmtId="37" fontId="4" fillId="4" borderId="0" xfId="0" applyNumberFormat="1" applyFont="1" applyFill="1" applyAlignment="1">
      <alignment horizontal="right" vertical="center"/>
    </xf>
    <xf numFmtId="37" fontId="3" fillId="4" borderId="0" xfId="0" applyNumberFormat="1" applyFont="1" applyFill="1" applyAlignment="1">
      <alignment horizontal="center" vertical="center"/>
    </xf>
    <xf numFmtId="0" fontId="0" fillId="4" borderId="0" xfId="0" applyFill="1" applyAlignment="1">
      <alignment vertical="center"/>
    </xf>
    <xf numFmtId="0" fontId="5" fillId="4" borderId="0" xfId="0" applyFont="1" applyFill="1" applyAlignment="1">
      <alignment horizontal="centerContinuous" vertical="center"/>
    </xf>
    <xf numFmtId="0" fontId="4" fillId="4" borderId="2" xfId="0" applyFont="1" applyFill="1" applyBorder="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2" borderId="1" xfId="0" applyFont="1" applyFill="1" applyBorder="1" applyAlignment="1">
      <alignment vertical="center"/>
    </xf>
    <xf numFmtId="0" fontId="4" fillId="4" borderId="1" xfId="0" applyFont="1" applyFill="1" applyBorder="1" applyAlignment="1">
      <alignment horizontal="right" vertical="center"/>
    </xf>
    <xf numFmtId="37" fontId="4" fillId="7" borderId="10" xfId="0" applyNumberFormat="1" applyFont="1" applyFill="1" applyBorder="1" applyAlignment="1">
      <alignment vertical="center"/>
    </xf>
    <xf numFmtId="164" fontId="4" fillId="4" borderId="0" xfId="0" applyNumberFormat="1" applyFont="1" applyFill="1" applyAlignment="1">
      <alignment vertical="center"/>
    </xf>
    <xf numFmtId="37" fontId="4" fillId="4" borderId="4" xfId="0" applyNumberFormat="1" applyFont="1" applyFill="1" applyBorder="1" applyAlignment="1">
      <alignment vertical="center"/>
    </xf>
    <xf numFmtId="37" fontId="4" fillId="0" borderId="0" xfId="0" applyNumberFormat="1" applyFont="1" applyAlignment="1" applyProtection="1">
      <alignment horizontal="fill" vertical="center"/>
      <protection locked="0"/>
    </xf>
    <xf numFmtId="0" fontId="4" fillId="0" borderId="0" xfId="0" applyFont="1" applyAlignment="1" applyProtection="1">
      <alignment vertical="center"/>
      <protection locked="0"/>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4" fillId="0" borderId="0" xfId="0" applyFont="1" applyAlignment="1" applyProtection="1">
      <alignment horizontal="center" vertical="center"/>
      <protection locked="0"/>
    </xf>
    <xf numFmtId="0" fontId="4" fillId="4" borderId="1" xfId="0" applyFont="1" applyFill="1" applyBorder="1" applyAlignment="1">
      <alignment vertical="center"/>
    </xf>
    <xf numFmtId="0" fontId="4" fillId="3" borderId="1" xfId="0" applyFont="1" applyFill="1" applyBorder="1" applyAlignment="1" applyProtection="1">
      <alignment vertical="center"/>
      <protection locked="0"/>
    </xf>
    <xf numFmtId="173" fontId="4" fillId="3" borderId="1" xfId="1"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 xfId="0" applyFont="1" applyFill="1" applyBorder="1" applyAlignment="1" applyProtection="1">
      <alignment horizontal="center" vertical="center"/>
      <protection locked="0"/>
    </xf>
    <xf numFmtId="3" fontId="4" fillId="4" borderId="1" xfId="0" applyNumberFormat="1" applyFont="1" applyFill="1" applyBorder="1" applyAlignment="1" applyProtection="1">
      <alignment vertical="center"/>
      <protection locked="0"/>
    </xf>
    <xf numFmtId="3" fontId="4" fillId="7" borderId="1" xfId="0" applyNumberFormat="1" applyFont="1" applyFill="1" applyBorder="1" applyAlignment="1">
      <alignment vertical="center"/>
    </xf>
    <xf numFmtId="37" fontId="4" fillId="4" borderId="0" xfId="518" applyNumberFormat="1" applyFont="1" applyFill="1" applyAlignment="1">
      <alignment vertical="center"/>
    </xf>
    <xf numFmtId="0" fontId="4" fillId="4" borderId="0" xfId="518" applyFont="1" applyFill="1" applyAlignment="1">
      <alignment vertical="center"/>
    </xf>
    <xf numFmtId="0" fontId="4" fillId="0" borderId="0" xfId="518" applyFont="1" applyAlignment="1" applyProtection="1">
      <alignment vertical="center"/>
      <protection locked="0"/>
    </xf>
    <xf numFmtId="0" fontId="3" fillId="4" borderId="0" xfId="519" applyFont="1" applyFill="1" applyAlignment="1">
      <alignment horizontal="centerContinuous" vertical="center"/>
    </xf>
    <xf numFmtId="0" fontId="4" fillId="4" borderId="0" xfId="518" applyFont="1" applyFill="1" applyAlignment="1">
      <alignment horizontal="centerContinuous" vertical="center"/>
    </xf>
    <xf numFmtId="0" fontId="4" fillId="4" borderId="11" xfId="0" applyFont="1" applyFill="1" applyBorder="1" applyAlignment="1">
      <alignment horizontal="centerContinuous" vertical="center"/>
    </xf>
    <xf numFmtId="0" fontId="4" fillId="4" borderId="13" xfId="0" applyFont="1" applyFill="1" applyBorder="1" applyAlignment="1">
      <alignment horizontal="centerContinuous" vertical="center"/>
    </xf>
    <xf numFmtId="0" fontId="4" fillId="4" borderId="8" xfId="0" applyFont="1" applyFill="1" applyBorder="1" applyAlignment="1">
      <alignment horizontal="center" vertical="center"/>
    </xf>
    <xf numFmtId="0" fontId="4" fillId="4" borderId="12" xfId="0" applyFont="1" applyFill="1" applyBorder="1" applyAlignment="1">
      <alignment horizontal="centerContinuous" vertical="center"/>
    </xf>
    <xf numFmtId="0" fontId="4" fillId="4" borderId="9" xfId="0" applyFont="1" applyFill="1" applyBorder="1" applyAlignment="1">
      <alignment horizontal="centerContinuous" vertical="center"/>
    </xf>
    <xf numFmtId="14" fontId="4" fillId="4" borderId="3" xfId="0" quotePrefix="1" applyNumberFormat="1" applyFont="1" applyFill="1" applyBorder="1" applyAlignment="1">
      <alignment horizontal="center" vertical="center"/>
    </xf>
    <xf numFmtId="0" fontId="4" fillId="4" borderId="1" xfId="0" applyFont="1" applyFill="1" applyBorder="1" applyAlignment="1">
      <alignment horizontal="left" vertical="center"/>
    </xf>
    <xf numFmtId="168" fontId="4" fillId="4" borderId="1" xfId="0" applyNumberFormat="1" applyFont="1" applyFill="1" applyBorder="1" applyAlignment="1">
      <alignment horizontal="left" vertical="center"/>
    </xf>
    <xf numFmtId="169" fontId="4" fillId="4" borderId="1" xfId="0" applyNumberFormat="1" applyFont="1" applyFill="1" applyBorder="1" applyAlignment="1">
      <alignment horizontal="left" vertical="center"/>
    </xf>
    <xf numFmtId="0" fontId="4" fillId="4" borderId="1"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2" fontId="4" fillId="2" borderId="1"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169" fontId="4" fillId="2" borderId="1" xfId="0" applyNumberFormat="1" applyFont="1" applyFill="1" applyBorder="1" applyAlignment="1" applyProtection="1">
      <alignment vertical="center"/>
      <protection locked="0"/>
    </xf>
    <xf numFmtId="168" fontId="4" fillId="4" borderId="1" xfId="0" applyNumberFormat="1" applyFont="1" applyFill="1" applyBorder="1" applyAlignment="1">
      <alignment vertical="center"/>
    </xf>
    <xf numFmtId="2" fontId="4" fillId="4" borderId="1" xfId="0" applyNumberFormat="1" applyFont="1" applyFill="1" applyBorder="1" applyAlignment="1">
      <alignment vertical="center"/>
    </xf>
    <xf numFmtId="3" fontId="4" fillId="4" borderId="1" xfId="0" applyNumberFormat="1" applyFont="1" applyFill="1" applyBorder="1" applyAlignment="1">
      <alignment vertical="center"/>
    </xf>
    <xf numFmtId="169" fontId="4" fillId="4" borderId="1" xfId="0" applyNumberFormat="1" applyFont="1" applyFill="1" applyBorder="1" applyAlignment="1">
      <alignment vertical="center"/>
    </xf>
    <xf numFmtId="0" fontId="3" fillId="4" borderId="1" xfId="518" applyFont="1" applyFill="1" applyBorder="1" applyAlignment="1">
      <alignment horizontal="left" vertical="center"/>
    </xf>
    <xf numFmtId="0" fontId="3" fillId="4" borderId="15" xfId="518" applyFont="1" applyFill="1" applyBorder="1" applyAlignment="1">
      <alignment vertical="center"/>
    </xf>
    <xf numFmtId="0" fontId="4" fillId="4" borderId="0" xfId="519" applyFont="1" applyFill="1" applyAlignment="1">
      <alignment horizontal="centerContinuous" vertical="center"/>
    </xf>
    <xf numFmtId="0" fontId="4" fillId="4" borderId="0" xfId="519" applyFont="1" applyFill="1" applyAlignment="1">
      <alignment vertical="center"/>
    </xf>
    <xf numFmtId="0" fontId="4" fillId="0" borderId="0" xfId="519" applyFont="1" applyAlignment="1">
      <alignment vertical="center"/>
    </xf>
    <xf numFmtId="0" fontId="4" fillId="4" borderId="4" xfId="0" applyFont="1" applyFill="1" applyBorder="1" applyAlignment="1">
      <alignment horizontal="fill" vertical="center"/>
    </xf>
    <xf numFmtId="0" fontId="4" fillId="4" borderId="0" xfId="0" applyFont="1" applyFill="1" applyAlignment="1">
      <alignment horizontal="fill" vertical="center"/>
    </xf>
    <xf numFmtId="0" fontId="4" fillId="4" borderId="18" xfId="519" applyFont="1" applyFill="1" applyBorder="1" applyAlignment="1">
      <alignment vertical="center"/>
    </xf>
    <xf numFmtId="0" fontId="6" fillId="4" borderId="3" xfId="0" applyFont="1" applyFill="1" applyBorder="1" applyAlignment="1">
      <alignment horizontal="center" vertical="center"/>
    </xf>
    <xf numFmtId="1" fontId="4" fillId="2" borderId="1" xfId="0" applyNumberFormat="1" applyFont="1" applyFill="1" applyBorder="1" applyAlignment="1" applyProtection="1">
      <alignment vertical="center"/>
      <protection locked="0"/>
    </xf>
    <xf numFmtId="3" fontId="3" fillId="4" borderId="15" xfId="518" applyNumberFormat="1" applyFont="1" applyFill="1" applyBorder="1" applyAlignment="1">
      <alignment vertical="center"/>
    </xf>
    <xf numFmtId="0" fontId="0" fillId="0" borderId="0" xfId="0" applyAlignment="1" applyProtection="1">
      <alignment vertical="center"/>
      <protection locked="0"/>
    </xf>
    <xf numFmtId="164" fontId="4" fillId="4" borderId="0" xfId="0" applyNumberFormat="1" applyFont="1" applyFill="1" applyAlignment="1">
      <alignment horizontal="right" vertical="center"/>
    </xf>
    <xf numFmtId="37" fontId="4" fillId="4" borderId="4" xfId="0" quotePrefix="1" applyNumberFormat="1" applyFont="1" applyFill="1" applyBorder="1" applyAlignment="1">
      <alignment horizontal="right"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4" fillId="4" borderId="6" xfId="0" applyNumberFormat="1" applyFont="1" applyFill="1" applyBorder="1" applyAlignment="1">
      <alignment vertical="center"/>
    </xf>
    <xf numFmtId="3" fontId="4" fillId="4" borderId="1" xfId="0" applyNumberFormat="1" applyFont="1" applyFill="1" applyBorder="1" applyAlignment="1">
      <alignment horizontal="fill" vertical="center"/>
    </xf>
    <xf numFmtId="0" fontId="4" fillId="4" borderId="5" xfId="0" applyFont="1" applyFill="1" applyBorder="1" applyAlignment="1">
      <alignment vertical="center"/>
    </xf>
    <xf numFmtId="3" fontId="4" fillId="3"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37" fontId="4" fillId="2" borderId="5" xfId="0" applyNumberFormat="1" applyFont="1" applyFill="1" applyBorder="1" applyAlignment="1" applyProtection="1">
      <alignment horizontal="left" vertical="center"/>
      <protection locked="0"/>
    </xf>
    <xf numFmtId="37" fontId="4" fillId="4" borderId="5" xfId="0" applyNumberFormat="1" applyFont="1" applyFill="1" applyBorder="1" applyAlignment="1" applyProtection="1">
      <alignment horizontal="left" vertical="center"/>
      <protection locked="0"/>
    </xf>
    <xf numFmtId="3" fontId="11" fillId="9" borderId="6" xfId="0" applyNumberFormat="1" applyFont="1" applyFill="1" applyBorder="1" applyAlignment="1">
      <alignment horizontal="center" vertical="center"/>
    </xf>
    <xf numFmtId="0" fontId="3" fillId="4" borderId="5" xfId="0" applyFont="1" applyFill="1" applyBorder="1" applyAlignment="1">
      <alignment vertical="center"/>
    </xf>
    <xf numFmtId="37" fontId="3" fillId="4" borderId="5" xfId="0" applyNumberFormat="1" applyFont="1" applyFill="1" applyBorder="1" applyAlignment="1">
      <alignment horizontal="left" vertical="center"/>
    </xf>
    <xf numFmtId="3" fontId="11" fillId="9" borderId="1" xfId="0" applyNumberFormat="1" applyFont="1" applyFill="1" applyBorder="1" applyAlignment="1" applyProtection="1">
      <alignment horizontal="center" vertical="center"/>
      <protection locked="0"/>
    </xf>
    <xf numFmtId="3" fontId="11" fillId="9"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11" fillId="0" borderId="0" xfId="0" applyFont="1" applyAlignment="1">
      <alignment vertical="center"/>
    </xf>
    <xf numFmtId="0" fontId="12" fillId="4" borderId="0" xfId="0" applyFont="1" applyFill="1" applyAlignment="1">
      <alignment horizontal="center" vertical="center"/>
    </xf>
    <xf numFmtId="3" fontId="4" fillId="0" borderId="0" xfId="0" applyNumberFormat="1" applyFont="1" applyAlignment="1" applyProtection="1">
      <alignment vertical="center"/>
      <protection locked="0"/>
    </xf>
    <xf numFmtId="3" fontId="4" fillId="0" borderId="0" xfId="0" applyNumberFormat="1" applyFont="1" applyAlignment="1">
      <alignment vertical="center"/>
    </xf>
    <xf numFmtId="3" fontId="11" fillId="7" borderId="1" xfId="0" applyNumberFormat="1" applyFont="1" applyFill="1" applyBorder="1" applyAlignment="1">
      <alignment horizontal="center" vertical="center"/>
    </xf>
    <xf numFmtId="37" fontId="3" fillId="4" borderId="0" xfId="0" applyNumberFormat="1" applyFont="1" applyFill="1" applyAlignment="1">
      <alignment horizontal="left" vertical="center"/>
    </xf>
    <xf numFmtId="1" fontId="4" fillId="4" borderId="2" xfId="0" applyNumberFormat="1" applyFont="1" applyFill="1" applyBorder="1" applyAlignment="1">
      <alignment horizontal="center" vertical="center"/>
    </xf>
    <xf numFmtId="0" fontId="11" fillId="4" borderId="0" xfId="0" applyFont="1" applyFill="1" applyAlignment="1">
      <alignment vertical="center"/>
    </xf>
    <xf numFmtId="37" fontId="4" fillId="4" borderId="1" xfId="0" applyNumberFormat="1" applyFont="1" applyFill="1" applyBorder="1" applyAlignment="1" applyProtection="1">
      <alignment horizontal="left" vertical="center"/>
      <protection locked="0"/>
    </xf>
    <xf numFmtId="37" fontId="4" fillId="2" borderId="1" xfId="0" applyNumberFormat="1" applyFont="1" applyFill="1" applyBorder="1" applyAlignment="1" applyProtection="1">
      <alignment horizontal="left" vertical="center"/>
      <protection locked="0"/>
    </xf>
    <xf numFmtId="37" fontId="3" fillId="4" borderId="1" xfId="0" applyNumberFormat="1" applyFont="1" applyFill="1" applyBorder="1" applyAlignment="1">
      <alignment horizontal="left" vertical="center"/>
    </xf>
    <xf numFmtId="1" fontId="4" fillId="4" borderId="0" xfId="0" applyNumberFormat="1" applyFont="1" applyFill="1" applyAlignment="1">
      <alignment horizontal="right" vertical="center"/>
    </xf>
    <xf numFmtId="0" fontId="4" fillId="4" borderId="5" xfId="0" applyFont="1" applyFill="1" applyBorder="1" applyAlignment="1">
      <alignment horizontal="left" vertical="center"/>
    </xf>
    <xf numFmtId="0" fontId="4" fillId="4" borderId="12" xfId="0" applyFont="1" applyFill="1" applyBorder="1" applyAlignment="1">
      <alignment horizontal="left" vertical="center"/>
    </xf>
    <xf numFmtId="0" fontId="4" fillId="2" borderId="5" xfId="0" applyFont="1" applyFill="1" applyBorder="1" applyAlignment="1" applyProtection="1">
      <alignment horizontal="left" vertical="center"/>
      <protection locked="0"/>
    </xf>
    <xf numFmtId="0" fontId="4" fillId="4" borderId="0" xfId="0" applyFont="1" applyFill="1" applyAlignment="1">
      <alignment horizontal="center" vertical="center"/>
    </xf>
    <xf numFmtId="0" fontId="19" fillId="4" borderId="0" xfId="0" applyFont="1" applyFill="1" applyAlignment="1">
      <alignment horizontal="center" vertical="center"/>
    </xf>
    <xf numFmtId="0" fontId="20" fillId="4" borderId="2" xfId="0" applyFont="1" applyFill="1" applyBorder="1" applyAlignment="1">
      <alignment vertical="center"/>
    </xf>
    <xf numFmtId="0" fontId="20" fillId="4" borderId="6" xfId="0" applyFont="1" applyFill="1" applyBorder="1" applyAlignment="1">
      <alignment horizontal="center" vertical="center"/>
    </xf>
    <xf numFmtId="0" fontId="20" fillId="4" borderId="13" xfId="0" applyFont="1" applyFill="1" applyBorder="1" applyAlignment="1">
      <alignment vertical="center"/>
    </xf>
    <xf numFmtId="0" fontId="20"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20" fillId="4" borderId="12" xfId="0" applyFont="1" applyFill="1" applyBorder="1" applyAlignment="1">
      <alignment vertical="center"/>
    </xf>
    <xf numFmtId="3" fontId="20" fillId="3" borderId="1" xfId="0" applyNumberFormat="1" applyFont="1" applyFill="1" applyBorder="1" applyAlignment="1" applyProtection="1">
      <alignment horizontal="center" vertical="center"/>
      <protection locked="0"/>
    </xf>
    <xf numFmtId="0" fontId="20" fillId="4" borderId="4" xfId="0" applyFont="1" applyFill="1" applyBorder="1" applyAlignment="1">
      <alignment vertical="center"/>
    </xf>
    <xf numFmtId="3" fontId="20" fillId="5" borderId="1" xfId="0" applyNumberFormat="1" applyFont="1" applyFill="1" applyBorder="1" applyAlignment="1">
      <alignment horizontal="center" vertical="center"/>
    </xf>
    <xf numFmtId="0" fontId="20" fillId="4" borderId="0" xfId="0" applyFont="1" applyFill="1" applyAlignment="1">
      <alignment vertical="center"/>
    </xf>
    <xf numFmtId="3" fontId="20" fillId="4" borderId="0" xfId="0" applyNumberFormat="1" applyFont="1" applyFill="1" applyAlignment="1">
      <alignment horizontal="center" vertical="center"/>
    </xf>
    <xf numFmtId="0" fontId="20" fillId="4" borderId="0" xfId="0" applyFont="1" applyFill="1" applyAlignment="1">
      <alignment horizontal="center" vertical="center"/>
    </xf>
    <xf numFmtId="0" fontId="20" fillId="3" borderId="1" xfId="0"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3" fontId="20" fillId="3" borderId="13" xfId="0" applyNumberFormat="1" applyFont="1" applyFill="1" applyBorder="1" applyAlignment="1" applyProtection="1">
      <alignment horizontal="center" vertical="center"/>
      <protection locked="0"/>
    </xf>
    <xf numFmtId="0" fontId="20" fillId="3" borderId="0" xfId="0" applyFont="1" applyFill="1" applyAlignment="1" applyProtection="1">
      <alignment vertical="center"/>
      <protection locked="0"/>
    </xf>
    <xf numFmtId="3" fontId="20" fillId="3" borderId="9" xfId="0" applyNumberFormat="1" applyFont="1" applyFill="1" applyBorder="1" applyAlignment="1" applyProtection="1">
      <alignment horizontal="center" vertical="center"/>
      <protection locked="0"/>
    </xf>
    <xf numFmtId="3" fontId="20" fillId="3" borderId="6" xfId="0" applyNumberFormat="1" applyFont="1" applyFill="1" applyBorder="1" applyAlignment="1" applyProtection="1">
      <alignment horizontal="center" vertical="center"/>
      <protection locked="0"/>
    </xf>
    <xf numFmtId="0" fontId="20" fillId="3" borderId="6" xfId="0" applyFont="1" applyFill="1" applyBorder="1" applyAlignment="1" applyProtection="1">
      <alignment vertical="center"/>
      <protection locked="0"/>
    </xf>
    <xf numFmtId="0" fontId="20" fillId="3" borderId="3" xfId="0" applyFont="1" applyFill="1" applyBorder="1" applyAlignment="1" applyProtection="1">
      <alignment vertical="center"/>
      <protection locked="0"/>
    </xf>
    <xf numFmtId="3" fontId="20" fillId="3" borderId="14" xfId="0" applyNumberFormat="1" applyFont="1" applyFill="1" applyBorder="1" applyAlignment="1" applyProtection="1">
      <alignment horizontal="center" vertical="center"/>
      <protection locked="0"/>
    </xf>
    <xf numFmtId="0" fontId="20" fillId="3" borderId="14" xfId="0" applyFont="1" applyFill="1" applyBorder="1" applyAlignment="1" applyProtection="1">
      <alignment vertical="center"/>
      <protection locked="0"/>
    </xf>
    <xf numFmtId="3" fontId="20" fillId="5" borderId="3" xfId="0" applyNumberFormat="1" applyFont="1" applyFill="1" applyBorder="1" applyAlignment="1">
      <alignment horizontal="center" vertical="center"/>
    </xf>
    <xf numFmtId="3" fontId="20" fillId="9" borderId="1" xfId="0" applyNumberFormat="1" applyFont="1" applyFill="1" applyBorder="1" applyAlignment="1">
      <alignment horizontal="center" vertical="center"/>
    </xf>
    <xf numFmtId="3" fontId="4" fillId="4" borderId="1" xfId="0" applyNumberFormat="1" applyFont="1" applyFill="1" applyBorder="1"/>
    <xf numFmtId="37" fontId="4" fillId="4" borderId="0" xfId="0" applyNumberFormat="1" applyFont="1" applyFill="1" applyAlignment="1" applyProtection="1">
      <alignment vertical="center"/>
      <protection locked="0"/>
    </xf>
    <xf numFmtId="37" fontId="5" fillId="4" borderId="0" xfId="0" applyNumberFormat="1" applyFont="1" applyFill="1" applyAlignment="1">
      <alignment horizontal="left" vertical="center"/>
    </xf>
    <xf numFmtId="3" fontId="4" fillId="4" borderId="0" xfId="0" applyNumberFormat="1" applyFont="1" applyFill="1" applyAlignment="1" applyProtection="1">
      <alignment vertical="center"/>
      <protection locked="0"/>
    </xf>
    <xf numFmtId="0" fontId="13" fillId="4" borderId="0" xfId="0" applyFont="1" applyFill="1" applyAlignment="1">
      <alignment horizontal="center" vertical="center"/>
    </xf>
    <xf numFmtId="172" fontId="4" fillId="5" borderId="1" xfId="0" applyNumberFormat="1" applyFont="1" applyFill="1" applyBorder="1" applyAlignment="1">
      <alignment vertical="center"/>
    </xf>
    <xf numFmtId="3" fontId="4" fillId="4" borderId="9" xfId="0" applyNumberFormat="1" applyFont="1" applyFill="1" applyBorder="1" applyAlignment="1">
      <alignment vertical="center"/>
    </xf>
    <xf numFmtId="37" fontId="4" fillId="4" borderId="7" xfId="0" applyNumberFormat="1" applyFont="1" applyFill="1" applyBorder="1" applyAlignment="1">
      <alignment horizontal="left" vertical="center"/>
    </xf>
    <xf numFmtId="37" fontId="4" fillId="8" borderId="0" xfId="0" applyNumberFormat="1" applyFont="1" applyFill="1" applyAlignment="1">
      <alignment horizontal="left" vertical="center"/>
    </xf>
    <xf numFmtId="0" fontId="4" fillId="8" borderId="0" xfId="0" applyFont="1" applyFill="1" applyAlignment="1">
      <alignment vertical="center"/>
    </xf>
    <xf numFmtId="171" fontId="4" fillId="8" borderId="0" xfId="0" applyNumberFormat="1" applyFont="1" applyFill="1" applyAlignment="1" applyProtection="1">
      <alignment vertical="center"/>
      <protection locked="0"/>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16" fillId="4" borderId="0" xfId="0" applyFont="1" applyFill="1" applyAlignment="1">
      <alignment vertical="center"/>
    </xf>
    <xf numFmtId="3" fontId="23" fillId="9" borderId="0" xfId="0" applyNumberFormat="1" applyFont="1" applyFill="1" applyAlignment="1">
      <alignment horizontal="center" vertical="center"/>
    </xf>
    <xf numFmtId="3" fontId="40" fillId="4" borderId="0" xfId="0" applyNumberFormat="1" applyFont="1" applyFill="1" applyAlignment="1">
      <alignment horizontal="center" vertical="center"/>
    </xf>
    <xf numFmtId="0" fontId="40" fillId="4" borderId="0" xfId="0" applyFont="1" applyFill="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1" fillId="0" borderId="0" xfId="0" applyFont="1" applyAlignment="1">
      <alignment vertical="center"/>
    </xf>
    <xf numFmtId="0" fontId="6" fillId="0" borderId="0" xfId="0" applyFont="1" applyAlignment="1">
      <alignment vertical="center"/>
    </xf>
    <xf numFmtId="0" fontId="10" fillId="0" borderId="0" xfId="0" applyFont="1" applyAlignment="1">
      <alignment vertical="center" wrapText="1"/>
    </xf>
    <xf numFmtId="0" fontId="42" fillId="0" borderId="0" xfId="0" applyFont="1" applyAlignment="1">
      <alignment vertical="center"/>
    </xf>
    <xf numFmtId="0" fontId="24" fillId="0" borderId="0" xfId="0" applyFont="1" applyAlignment="1">
      <alignment horizontal="center" vertical="center"/>
    </xf>
    <xf numFmtId="0" fontId="4" fillId="0" borderId="0" xfId="407" applyFont="1" applyAlignment="1">
      <alignment vertical="center"/>
    </xf>
    <xf numFmtId="0" fontId="4" fillId="0" borderId="0" xfId="483" applyFont="1" applyAlignment="1">
      <alignment horizontal="left" vertical="center"/>
    </xf>
    <xf numFmtId="0" fontId="5" fillId="0" borderId="0" xfId="0" applyFont="1"/>
    <xf numFmtId="0" fontId="5" fillId="0" borderId="0" xfId="96" applyFont="1" applyAlignment="1">
      <alignment vertical="center"/>
    </xf>
    <xf numFmtId="0" fontId="4" fillId="0" borderId="0" xfId="101" applyFont="1" applyAlignment="1">
      <alignment vertical="center"/>
    </xf>
    <xf numFmtId="0" fontId="4" fillId="0" borderId="0" xfId="503" applyFont="1" applyAlignment="1">
      <alignment vertical="center"/>
    </xf>
    <xf numFmtId="0" fontId="26" fillId="0" borderId="0" xfId="0" applyFont="1" applyAlignment="1">
      <alignment horizontal="center"/>
    </xf>
    <xf numFmtId="0" fontId="2" fillId="0" borderId="0" xfId="0" applyFont="1"/>
    <xf numFmtId="0" fontId="15" fillId="0" borderId="0" xfId="0" applyFont="1"/>
    <xf numFmtId="0" fontId="15" fillId="0" borderId="0" xfId="0" applyFont="1" applyAlignment="1">
      <alignment horizontal="center"/>
    </xf>
    <xf numFmtId="0" fontId="4" fillId="4" borderId="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95" applyFont="1" applyAlignment="1">
      <alignment vertical="center"/>
    </xf>
    <xf numFmtId="0" fontId="43" fillId="4" borderId="0" xfId="0" applyFont="1" applyFill="1" applyAlignment="1" applyProtection="1">
      <alignment horizontal="right" vertical="center"/>
      <protection locked="0"/>
    </xf>
    <xf numFmtId="0" fontId="6" fillId="4" borderId="0" xfId="0" applyFont="1" applyFill="1" applyAlignment="1" applyProtection="1">
      <alignment horizontal="left" vertical="center"/>
      <protection locked="0"/>
    </xf>
    <xf numFmtId="14" fontId="4" fillId="2" borderId="1" xfId="0" applyNumberFormat="1" applyFont="1" applyFill="1" applyBorder="1" applyAlignment="1" applyProtection="1">
      <alignment vertical="center"/>
      <protection locked="0"/>
    </xf>
    <xf numFmtId="3" fontId="11" fillId="9" borderId="5" xfId="0" applyNumberFormat="1" applyFont="1" applyFill="1" applyBorder="1" applyAlignment="1">
      <alignment horizontal="center" vertical="center"/>
    </xf>
    <xf numFmtId="3" fontId="4" fillId="4" borderId="5" xfId="0" applyNumberFormat="1" applyFont="1" applyFill="1" applyBorder="1" applyAlignment="1">
      <alignment vertical="center"/>
    </xf>
    <xf numFmtId="1" fontId="4" fillId="4" borderId="11" xfId="0" applyNumberFormat="1" applyFont="1" applyFill="1" applyBorder="1" applyAlignment="1">
      <alignment horizontal="center" vertical="center"/>
    </xf>
    <xf numFmtId="37" fontId="4" fillId="4" borderId="12" xfId="0" applyNumberFormat="1" applyFont="1" applyFill="1" applyBorder="1" applyAlignment="1">
      <alignment horizontal="center" vertical="center"/>
    </xf>
    <xf numFmtId="37" fontId="4" fillId="4" borderId="11" xfId="0" applyNumberFormat="1" applyFont="1" applyFill="1" applyBorder="1" applyAlignment="1">
      <alignment horizontal="center" vertical="center"/>
    </xf>
    <xf numFmtId="3" fontId="11" fillId="9" borderId="5" xfId="0" applyNumberFormat="1" applyFont="1" applyFill="1" applyBorder="1" applyAlignment="1" applyProtection="1">
      <alignment horizontal="center" vertical="center"/>
      <protection locked="0"/>
    </xf>
    <xf numFmtId="3" fontId="3" fillId="4" borderId="5" xfId="0" applyNumberFormat="1" applyFont="1" applyFill="1" applyBorder="1" applyAlignment="1">
      <alignment vertical="center"/>
    </xf>
    <xf numFmtId="3" fontId="11" fillId="7" borderId="5" xfId="0" applyNumberFormat="1" applyFont="1" applyFill="1" applyBorder="1" applyAlignment="1">
      <alignment horizontal="center" vertical="center"/>
    </xf>
    <xf numFmtId="0" fontId="10" fillId="0" borderId="0" xfId="0" applyFont="1" applyAlignment="1">
      <alignment wrapText="1"/>
    </xf>
    <xf numFmtId="0" fontId="44" fillId="4" borderId="0" xfId="0" applyFont="1" applyFill="1" applyAlignment="1">
      <alignment horizontal="center" vertical="center"/>
    </xf>
    <xf numFmtId="0" fontId="45" fillId="0" borderId="0" xfId="0" applyFont="1" applyAlignment="1">
      <alignment wrapText="1"/>
    </xf>
    <xf numFmtId="37" fontId="3" fillId="4" borderId="0" xfId="0" applyNumberFormat="1" applyFont="1" applyFill="1" applyAlignment="1">
      <alignment vertical="center"/>
    </xf>
    <xf numFmtId="37" fontId="3" fillId="4" borderId="4" xfId="0" applyNumberFormat="1" applyFont="1" applyFill="1" applyBorder="1" applyAlignment="1">
      <alignment vertical="center"/>
    </xf>
    <xf numFmtId="37" fontId="4" fillId="4" borderId="3" xfId="0" applyNumberFormat="1" applyFont="1" applyFill="1" applyBorder="1" applyAlignment="1">
      <alignment horizontal="fill"/>
    </xf>
    <xf numFmtId="0" fontId="4" fillId="4" borderId="0" xfId="60" applyFont="1" applyFill="1" applyAlignment="1">
      <alignment horizontal="right" vertical="center"/>
    </xf>
    <xf numFmtId="0" fontId="3" fillId="4" borderId="0" xfId="40" applyFont="1" applyFill="1" applyAlignment="1">
      <alignment vertical="center"/>
    </xf>
    <xf numFmtId="49" fontId="4" fillId="2" borderId="1" xfId="0" applyNumberFormat="1" applyFont="1" applyFill="1" applyBorder="1" applyAlignment="1" applyProtection="1">
      <alignment horizontal="center" vertical="center"/>
      <protection locked="0"/>
    </xf>
    <xf numFmtId="3" fontId="4" fillId="4" borderId="19" xfId="0" applyNumberFormat="1" applyFont="1" applyFill="1" applyBorder="1"/>
    <xf numFmtId="3" fontId="4" fillId="5" borderId="3" xfId="0" applyNumberFormat="1" applyFont="1" applyFill="1" applyBorder="1"/>
    <xf numFmtId="3" fontId="4" fillId="5" borderId="10" xfId="0" applyNumberFormat="1" applyFont="1" applyFill="1" applyBorder="1"/>
    <xf numFmtId="3" fontId="4" fillId="4" borderId="3" xfId="0" applyNumberFormat="1" applyFont="1" applyFill="1" applyBorder="1"/>
    <xf numFmtId="174" fontId="4" fillId="4" borderId="1" xfId="0" applyNumberFormat="1" applyFont="1" applyFill="1" applyBorder="1"/>
    <xf numFmtId="174" fontId="4" fillId="4" borderId="19" xfId="0" applyNumberFormat="1" applyFont="1" applyFill="1" applyBorder="1"/>
    <xf numFmtId="174" fontId="4" fillId="5" borderId="3" xfId="0" applyNumberFormat="1" applyFont="1" applyFill="1" applyBorder="1"/>
    <xf numFmtId="174" fontId="4" fillId="5" borderId="1" xfId="0" applyNumberFormat="1" applyFont="1" applyFill="1" applyBorder="1"/>
    <xf numFmtId="0" fontId="4" fillId="13" borderId="18" xfId="0" applyFont="1" applyFill="1" applyBorder="1" applyAlignment="1">
      <alignment vertical="center"/>
    </xf>
    <xf numFmtId="0" fontId="4" fillId="13" borderId="0" xfId="0" applyFont="1" applyFill="1" applyAlignment="1">
      <alignment vertical="center"/>
    </xf>
    <xf numFmtId="0" fontId="4" fillId="13" borderId="14" xfId="0" applyFont="1" applyFill="1" applyBorder="1" applyAlignment="1">
      <alignment vertical="center"/>
    </xf>
    <xf numFmtId="175" fontId="7" fillId="13" borderId="18" xfId="0" applyNumberFormat="1" applyFont="1" applyFill="1" applyBorder="1" applyAlignment="1">
      <alignment horizontal="center" vertical="center"/>
    </xf>
    <xf numFmtId="0" fontId="7" fillId="13" borderId="0" xfId="0" applyFont="1" applyFill="1" applyAlignment="1">
      <alignment horizontal="left" vertical="center"/>
    </xf>
    <xf numFmtId="0" fontId="7" fillId="13" borderId="14" xfId="0" applyFont="1" applyFill="1" applyBorder="1" applyAlignment="1">
      <alignment vertical="center"/>
    </xf>
    <xf numFmtId="0" fontId="7" fillId="13" borderId="0" xfId="0" applyFont="1" applyFill="1" applyAlignment="1">
      <alignment vertical="center"/>
    </xf>
    <xf numFmtId="175" fontId="7" fillId="13" borderId="12" xfId="0" applyNumberFormat="1" applyFont="1" applyFill="1" applyBorder="1" applyAlignment="1">
      <alignment horizontal="center" vertical="center"/>
    </xf>
    <xf numFmtId="175" fontId="7" fillId="13" borderId="18" xfId="0" applyNumberFormat="1" applyFont="1" applyFill="1" applyBorder="1" applyAlignment="1">
      <alignment vertical="center"/>
    </xf>
    <xf numFmtId="175" fontId="31" fillId="15" borderId="12" xfId="0" applyNumberFormat="1" applyFont="1" applyFill="1" applyBorder="1" applyAlignment="1">
      <alignment horizontal="center" vertical="center"/>
    </xf>
    <xf numFmtId="0" fontId="31" fillId="15" borderId="4" xfId="0" applyFont="1" applyFill="1" applyBorder="1" applyAlignment="1">
      <alignment vertical="center"/>
    </xf>
    <xf numFmtId="0" fontId="7" fillId="15" borderId="9" xfId="0" applyFont="1" applyFill="1" applyBorder="1" applyAlignment="1">
      <alignment vertical="center"/>
    </xf>
    <xf numFmtId="0" fontId="4" fillId="15" borderId="9" xfId="0" applyFont="1" applyFill="1" applyBorder="1" applyAlignment="1">
      <alignment vertical="center"/>
    </xf>
    <xf numFmtId="0" fontId="7" fillId="13" borderId="18" xfId="0" applyFont="1" applyFill="1" applyBorder="1" applyAlignment="1">
      <alignment vertical="center"/>
    </xf>
    <xf numFmtId="175" fontId="7" fillId="13" borderId="14" xfId="0" applyNumberFormat="1" applyFont="1" applyFill="1" applyBorder="1" applyAlignment="1">
      <alignment horizontal="center" vertical="center"/>
    </xf>
    <xf numFmtId="0" fontId="7" fillId="13" borderId="18" xfId="0" applyFont="1" applyFill="1" applyBorder="1" applyAlignment="1">
      <alignment horizontal="left" vertical="center"/>
    </xf>
    <xf numFmtId="175" fontId="7" fillId="14" borderId="1" xfId="0" applyNumberFormat="1" applyFont="1" applyFill="1" applyBorder="1" applyAlignment="1" applyProtection="1">
      <alignment horizontal="center" vertical="center"/>
      <protection locked="0"/>
    </xf>
    <xf numFmtId="0" fontId="4" fillId="15" borderId="4" xfId="0" applyFont="1" applyFill="1" applyBorder="1" applyAlignment="1">
      <alignment vertical="center"/>
    </xf>
    <xf numFmtId="0" fontId="7" fillId="13" borderId="18" xfId="0" applyFont="1" applyFill="1" applyBorder="1"/>
    <xf numFmtId="0" fontId="4" fillId="13" borderId="0" xfId="0" applyFont="1" applyFill="1"/>
    <xf numFmtId="175" fontId="4" fillId="13" borderId="14" xfId="0" applyNumberFormat="1" applyFont="1" applyFill="1" applyBorder="1" applyAlignment="1">
      <alignment horizontal="center"/>
    </xf>
    <xf numFmtId="0" fontId="4" fillId="13" borderId="12" xfId="0" applyFont="1" applyFill="1" applyBorder="1"/>
    <xf numFmtId="0" fontId="4" fillId="13" borderId="4" xfId="0" applyFont="1" applyFill="1" applyBorder="1"/>
    <xf numFmtId="175" fontId="4" fillId="15" borderId="9" xfId="0" applyNumberFormat="1" applyFont="1" applyFill="1" applyBorder="1" applyAlignment="1">
      <alignment horizontal="center"/>
    </xf>
    <xf numFmtId="0" fontId="4" fillId="13" borderId="18" xfId="0" applyFont="1" applyFill="1" applyBorder="1"/>
    <xf numFmtId="0" fontId="4" fillId="13" borderId="14" xfId="0" applyFont="1" applyFill="1" applyBorder="1"/>
    <xf numFmtId="172" fontId="4" fillId="13" borderId="14" xfId="0" applyNumberFormat="1" applyFont="1" applyFill="1" applyBorder="1" applyAlignment="1">
      <alignment horizontal="center"/>
    </xf>
    <xf numFmtId="0" fontId="4" fillId="15" borderId="18" xfId="0" applyFont="1" applyFill="1" applyBorder="1"/>
    <xf numFmtId="0" fontId="4" fillId="15" borderId="0" xfId="0" applyFont="1" applyFill="1"/>
    <xf numFmtId="175" fontId="4" fillId="15" borderId="14" xfId="0" applyNumberFormat="1" applyFont="1" applyFill="1" applyBorder="1" applyAlignment="1">
      <alignment horizontal="center"/>
    </xf>
    <xf numFmtId="0" fontId="4" fillId="15" borderId="12" xfId="0" applyFont="1" applyFill="1" applyBorder="1" applyAlignment="1">
      <alignment vertical="center"/>
    </xf>
    <xf numFmtId="175" fontId="4" fillId="15" borderId="9" xfId="0" applyNumberFormat="1" applyFont="1" applyFill="1" applyBorder="1" applyAlignment="1">
      <alignment horizontal="center" vertical="center"/>
    </xf>
    <xf numFmtId="175" fontId="4" fillId="13" borderId="9" xfId="0" applyNumberFormat="1" applyFont="1" applyFill="1" applyBorder="1" applyAlignment="1">
      <alignment horizontal="center"/>
    </xf>
    <xf numFmtId="0" fontId="4" fillId="15" borderId="12" xfId="0" applyFont="1" applyFill="1" applyBorder="1"/>
    <xf numFmtId="0" fontId="4" fillId="15" borderId="4" xfId="0" applyFont="1" applyFill="1" applyBorder="1"/>
    <xf numFmtId="174" fontId="4" fillId="14" borderId="14" xfId="0" applyNumberFormat="1" applyFont="1" applyFill="1" applyBorder="1" applyAlignment="1" applyProtection="1">
      <alignment horizontal="center"/>
      <protection locked="0"/>
    </xf>
    <xf numFmtId="0" fontId="4" fillId="0" borderId="0" xfId="60" applyFont="1" applyAlignment="1">
      <alignment vertical="center" wrapText="1"/>
    </xf>
    <xf numFmtId="0" fontId="4" fillId="0" borderId="0" xfId="60" applyFont="1" applyAlignment="1">
      <alignment vertical="center"/>
    </xf>
    <xf numFmtId="37" fontId="4" fillId="0" borderId="0" xfId="0" applyNumberFormat="1" applyFont="1" applyAlignment="1">
      <alignment horizontal="left" vertical="center"/>
    </xf>
    <xf numFmtId="0" fontId="4" fillId="0" borderId="0" xfId="0" applyFont="1" applyAlignment="1">
      <alignment horizontal="right" vertical="center"/>
    </xf>
    <xf numFmtId="37" fontId="4" fillId="0" borderId="0" xfId="0" applyNumberFormat="1" applyFont="1" applyAlignment="1" applyProtection="1">
      <alignment horizontal="left" vertical="center"/>
      <protection locked="0"/>
    </xf>
    <xf numFmtId="0" fontId="4" fillId="4" borderId="0" xfId="17" applyNumberFormat="1" applyFont="1" applyFill="1" applyBorder="1" applyAlignment="1" applyProtection="1">
      <alignment horizontal="right" vertical="center"/>
    </xf>
    <xf numFmtId="177" fontId="4" fillId="2" borderId="1" xfId="0" applyNumberFormat="1" applyFont="1" applyFill="1" applyBorder="1" applyAlignment="1" applyProtection="1">
      <alignment vertical="center"/>
      <protection locked="0"/>
    </xf>
    <xf numFmtId="0" fontId="4" fillId="13" borderId="0" xfId="40" applyFont="1" applyFill="1"/>
    <xf numFmtId="0" fontId="2" fillId="0" borderId="0" xfId="40"/>
    <xf numFmtId="0" fontId="4" fillId="13" borderId="0" xfId="40" applyFont="1" applyFill="1" applyAlignment="1">
      <alignment vertical="center"/>
    </xf>
    <xf numFmtId="37" fontId="4" fillId="13" borderId="0" xfId="40" applyNumberFormat="1" applyFont="1" applyFill="1" applyAlignment="1">
      <alignment vertical="center"/>
    </xf>
    <xf numFmtId="0" fontId="4" fillId="13" borderId="4" xfId="40" applyFont="1" applyFill="1" applyBorder="1" applyAlignment="1">
      <alignment vertical="center"/>
    </xf>
    <xf numFmtId="0" fontId="4" fillId="13" borderId="0" xfId="40" applyFont="1" applyFill="1" applyAlignment="1">
      <alignment horizontal="center" vertical="center"/>
    </xf>
    <xf numFmtId="0" fontId="5" fillId="13" borderId="0" xfId="40" applyFont="1" applyFill="1" applyAlignment="1">
      <alignment horizontal="center" vertical="center"/>
    </xf>
    <xf numFmtId="175" fontId="4" fillId="13" borderId="0" xfId="40" applyNumberFormat="1" applyFont="1" applyFill="1" applyAlignment="1">
      <alignment vertical="center"/>
    </xf>
    <xf numFmtId="175" fontId="4" fillId="13" borderId="15" xfId="40" applyNumberFormat="1" applyFont="1" applyFill="1" applyBorder="1" applyAlignment="1">
      <alignment vertical="center"/>
    </xf>
    <xf numFmtId="6" fontId="4" fillId="13" borderId="0" xfId="40" applyNumberFormat="1" applyFont="1" applyFill="1" applyAlignment="1">
      <alignment vertical="center"/>
    </xf>
    <xf numFmtId="0" fontId="46" fillId="15" borderId="0" xfId="40" applyFont="1" applyFill="1" applyAlignment="1">
      <alignment vertical="center"/>
    </xf>
    <xf numFmtId="0" fontId="46" fillId="13" borderId="0" xfId="40" applyFont="1" applyFill="1" applyAlignment="1">
      <alignment horizontal="center" vertical="center"/>
    </xf>
    <xf numFmtId="174" fontId="4" fillId="13" borderId="0" xfId="40" applyNumberFormat="1" applyFont="1" applyFill="1" applyAlignment="1">
      <alignment horizontal="center" vertical="center"/>
    </xf>
    <xf numFmtId="178" fontId="46" fillId="13" borderId="0" xfId="40" applyNumberFormat="1" applyFont="1" applyFill="1" applyAlignment="1">
      <alignment horizontal="center" vertical="center"/>
    </xf>
    <xf numFmtId="0" fontId="46" fillId="15" borderId="0" xfId="40" applyFont="1" applyFill="1" applyAlignment="1">
      <alignment horizontal="center" vertical="center"/>
    </xf>
    <xf numFmtId="0" fontId="40" fillId="15" borderId="0" xfId="40" applyFont="1" applyFill="1" applyAlignment="1">
      <alignment horizontal="center" vertical="center"/>
    </xf>
    <xf numFmtId="0" fontId="4" fillId="13" borderId="0" xfId="40" applyFont="1" applyFill="1" applyAlignment="1">
      <alignment horizontal="right" vertical="center"/>
    </xf>
    <xf numFmtId="0" fontId="4" fillId="13" borderId="0" xfId="40" applyFont="1" applyFill="1" applyAlignment="1">
      <alignment horizontal="left" vertical="center"/>
    </xf>
    <xf numFmtId="0" fontId="4" fillId="13" borderId="0" xfId="35" applyFont="1" applyFill="1"/>
    <xf numFmtId="0" fontId="2" fillId="13" borderId="0" xfId="40" applyFill="1"/>
    <xf numFmtId="0" fontId="3" fillId="13" borderId="0" xfId="35" applyFont="1" applyFill="1"/>
    <xf numFmtId="0" fontId="2" fillId="13" borderId="0" xfId="35" applyFill="1"/>
    <xf numFmtId="0" fontId="25" fillId="0" borderId="0" xfId="18" applyAlignment="1" applyProtection="1"/>
    <xf numFmtId="37" fontId="4" fillId="4" borderId="0" xfId="35" applyNumberFormat="1" applyFont="1" applyFill="1" applyAlignment="1">
      <alignment vertical="center"/>
    </xf>
    <xf numFmtId="0" fontId="4" fillId="4" borderId="0" xfId="35" applyFont="1" applyFill="1" applyAlignment="1">
      <alignment vertical="center"/>
    </xf>
    <xf numFmtId="1" fontId="4" fillId="4" borderId="0" xfId="35" applyNumberFormat="1" applyFont="1" applyFill="1" applyAlignment="1">
      <alignment horizontal="right" vertical="center"/>
    </xf>
    <xf numFmtId="0" fontId="4" fillId="0" borderId="0" xfId="35" applyFont="1" applyProtection="1">
      <protection locked="0"/>
    </xf>
    <xf numFmtId="37" fontId="4" fillId="4" borderId="0" xfId="35" applyNumberFormat="1" applyFont="1" applyFill="1" applyAlignment="1">
      <alignment horizontal="right" vertical="center"/>
    </xf>
    <xf numFmtId="0" fontId="3" fillId="4" borderId="0" xfId="35" applyFont="1" applyFill="1" applyAlignment="1">
      <alignment vertical="center"/>
    </xf>
    <xf numFmtId="37" fontId="4" fillId="4" borderId="0" xfId="35" applyNumberFormat="1" applyFont="1" applyFill="1" applyAlignment="1">
      <alignment horizontal="fill" vertical="center"/>
    </xf>
    <xf numFmtId="37" fontId="4" fillId="4" borderId="0" xfId="35" quotePrefix="1" applyNumberFormat="1" applyFont="1" applyFill="1" applyAlignment="1">
      <alignment horizontal="right" vertical="center"/>
    </xf>
    <xf numFmtId="37" fontId="4" fillId="4" borderId="0" xfId="35" applyNumberFormat="1" applyFont="1" applyFill="1" applyAlignment="1">
      <alignment horizontal="left" vertical="center"/>
    </xf>
    <xf numFmtId="1" fontId="4" fillId="4" borderId="2" xfId="35" applyNumberFormat="1" applyFont="1" applyFill="1" applyBorder="1" applyAlignment="1">
      <alignment horizontal="center" vertical="center"/>
    </xf>
    <xf numFmtId="37" fontId="4" fillId="4" borderId="11" xfId="35" applyNumberFormat="1" applyFont="1" applyFill="1" applyBorder="1" applyAlignment="1">
      <alignment horizontal="center" vertical="center"/>
    </xf>
    <xf numFmtId="37" fontId="4" fillId="4" borderId="2" xfId="35" applyNumberFormat="1" applyFont="1" applyFill="1" applyBorder="1" applyAlignment="1">
      <alignment horizontal="center" vertical="center"/>
    </xf>
    <xf numFmtId="37" fontId="3" fillId="4" borderId="4" xfId="35" applyNumberFormat="1" applyFont="1" applyFill="1" applyBorder="1" applyAlignment="1">
      <alignment vertical="center"/>
    </xf>
    <xf numFmtId="0" fontId="4" fillId="4" borderId="3" xfId="35" applyFont="1" applyFill="1" applyBorder="1" applyAlignment="1">
      <alignment horizontal="center" vertical="center"/>
    </xf>
    <xf numFmtId="0" fontId="4" fillId="4" borderId="12" xfId="35" applyFont="1" applyFill="1" applyBorder="1" applyAlignment="1">
      <alignment horizontal="center" vertical="center"/>
    </xf>
    <xf numFmtId="1" fontId="4" fillId="4" borderId="3" xfId="35" applyNumberFormat="1" applyFont="1" applyFill="1" applyBorder="1" applyAlignment="1">
      <alignment horizontal="center" vertical="center"/>
    </xf>
    <xf numFmtId="37" fontId="4" fillId="4" borderId="5" xfId="35" applyNumberFormat="1" applyFont="1" applyFill="1" applyBorder="1" applyAlignment="1">
      <alignment horizontal="left" vertical="center"/>
    </xf>
    <xf numFmtId="37" fontId="4" fillId="3" borderId="5" xfId="35" applyNumberFormat="1" applyFont="1" applyFill="1" applyBorder="1" applyAlignment="1" applyProtection="1">
      <alignment vertical="center"/>
      <protection locked="0"/>
    </xf>
    <xf numFmtId="3" fontId="4" fillId="4" borderId="5" xfId="35" applyNumberFormat="1" applyFont="1" applyFill="1" applyBorder="1" applyAlignment="1">
      <alignment vertical="center"/>
    </xf>
    <xf numFmtId="3" fontId="4" fillId="4" borderId="1" xfId="35" applyNumberFormat="1" applyFont="1" applyFill="1" applyBorder="1" applyAlignment="1">
      <alignment vertical="center"/>
    </xf>
    <xf numFmtId="37" fontId="4" fillId="4" borderId="5" xfId="35" applyNumberFormat="1" applyFont="1" applyFill="1" applyBorder="1" applyAlignment="1">
      <alignment vertical="center"/>
    </xf>
    <xf numFmtId="37" fontId="4" fillId="3" borderId="5" xfId="35" applyNumberFormat="1" applyFont="1" applyFill="1" applyBorder="1" applyAlignment="1" applyProtection="1">
      <alignment horizontal="right" vertical="center"/>
      <protection locked="0"/>
    </xf>
    <xf numFmtId="3" fontId="4" fillId="4" borderId="1" xfId="35" applyNumberFormat="1" applyFont="1" applyFill="1" applyBorder="1" applyAlignment="1">
      <alignment horizontal="fill" vertical="center"/>
    </xf>
    <xf numFmtId="3" fontId="4" fillId="2" borderId="5" xfId="35" applyNumberFormat="1" applyFont="1" applyFill="1" applyBorder="1" applyAlignment="1" applyProtection="1">
      <alignment vertical="center"/>
      <protection locked="0"/>
    </xf>
    <xf numFmtId="3" fontId="4" fillId="2" borderId="1" xfId="35" applyNumberFormat="1" applyFont="1" applyFill="1" applyBorder="1" applyAlignment="1" applyProtection="1">
      <alignment vertical="center"/>
      <protection locked="0"/>
    </xf>
    <xf numFmtId="0" fontId="4" fillId="4" borderId="5" xfId="35" applyFont="1" applyFill="1" applyBorder="1" applyAlignment="1">
      <alignment vertical="center"/>
    </xf>
    <xf numFmtId="0" fontId="4" fillId="2" borderId="5" xfId="35" applyFont="1" applyFill="1" applyBorder="1" applyAlignment="1" applyProtection="1">
      <alignment horizontal="left" vertical="center"/>
      <protection locked="0"/>
    </xf>
    <xf numFmtId="0" fontId="4" fillId="2" borderId="1" xfId="35" applyFont="1" applyFill="1" applyBorder="1" applyAlignment="1" applyProtection="1">
      <alignment horizontal="left" vertical="center"/>
      <protection locked="0"/>
    </xf>
    <xf numFmtId="37" fontId="4" fillId="2" borderId="5" xfId="35" applyNumberFormat="1" applyFont="1" applyFill="1" applyBorder="1" applyAlignment="1" applyProtection="1">
      <alignment horizontal="left" vertical="center"/>
      <protection locked="0"/>
    </xf>
    <xf numFmtId="3" fontId="4" fillId="3" borderId="5" xfId="35" applyNumberFormat="1" applyFont="1" applyFill="1" applyBorder="1" applyAlignment="1" applyProtection="1">
      <alignment horizontal="right" vertical="center"/>
      <protection locked="0"/>
    </xf>
    <xf numFmtId="3" fontId="11" fillId="7" borderId="5" xfId="35" applyNumberFormat="1" applyFont="1" applyFill="1" applyBorder="1" applyAlignment="1">
      <alignment horizontal="center" vertical="center"/>
    </xf>
    <xf numFmtId="3" fontId="11" fillId="7" borderId="1" xfId="35" applyNumberFormat="1" applyFont="1" applyFill="1" applyBorder="1" applyAlignment="1">
      <alignment horizontal="center" vertical="center"/>
    </xf>
    <xf numFmtId="37" fontId="3" fillId="4" borderId="5" xfId="35" applyNumberFormat="1" applyFont="1" applyFill="1" applyBorder="1" applyAlignment="1">
      <alignment horizontal="left" vertical="center"/>
    </xf>
    <xf numFmtId="3" fontId="3" fillId="4" borderId="5" xfId="35" applyNumberFormat="1" applyFont="1" applyFill="1" applyBorder="1" applyAlignment="1">
      <alignment vertical="center"/>
    </xf>
    <xf numFmtId="3" fontId="3" fillId="4" borderId="1" xfId="35" applyNumberFormat="1" applyFont="1" applyFill="1" applyBorder="1" applyAlignment="1">
      <alignment vertical="center"/>
    </xf>
    <xf numFmtId="0" fontId="7" fillId="13" borderId="18" xfId="35" applyFont="1" applyFill="1" applyBorder="1" applyAlignment="1">
      <alignment vertical="center"/>
    </xf>
    <xf numFmtId="0" fontId="4" fillId="13" borderId="0" xfId="35" applyFont="1" applyFill="1" applyAlignment="1">
      <alignment vertical="center"/>
    </xf>
    <xf numFmtId="0" fontId="7" fillId="13" borderId="0" xfId="35" applyFont="1" applyFill="1" applyAlignment="1">
      <alignment vertical="center"/>
    </xf>
    <xf numFmtId="175" fontId="7" fillId="13" borderId="14" xfId="35" applyNumberFormat="1" applyFont="1" applyFill="1" applyBorder="1" applyAlignment="1">
      <alignment horizontal="center" vertical="center"/>
    </xf>
    <xf numFmtId="0" fontId="7" fillId="13" borderId="18" xfId="35" applyFont="1" applyFill="1" applyBorder="1" applyAlignment="1">
      <alignment horizontal="left" vertical="center"/>
    </xf>
    <xf numFmtId="175" fontId="7" fillId="14" borderId="1" xfId="35" applyNumberFormat="1" applyFont="1" applyFill="1" applyBorder="1" applyAlignment="1" applyProtection="1">
      <alignment horizontal="center" vertical="center"/>
      <protection locked="0"/>
    </xf>
    <xf numFmtId="174" fontId="31" fillId="13" borderId="6" xfId="35" applyNumberFormat="1" applyFont="1" applyFill="1" applyBorder="1" applyAlignment="1">
      <alignment horizontal="center" vertical="center"/>
    </xf>
    <xf numFmtId="0" fontId="31" fillId="15" borderId="18" xfId="35" applyFont="1" applyFill="1" applyBorder="1" applyAlignment="1">
      <alignment vertical="center"/>
    </xf>
    <xf numFmtId="0" fontId="4" fillId="15" borderId="0" xfId="35" applyFont="1" applyFill="1" applyAlignment="1">
      <alignment vertical="center"/>
    </xf>
    <xf numFmtId="0" fontId="7" fillId="15" borderId="0" xfId="35" applyFont="1" applyFill="1" applyAlignment="1">
      <alignment vertical="center"/>
    </xf>
    <xf numFmtId="175" fontId="31" fillId="15" borderId="6" xfId="35" applyNumberFormat="1" applyFont="1" applyFill="1" applyBorder="1" applyAlignment="1">
      <alignment horizontal="center" vertical="center"/>
    </xf>
    <xf numFmtId="37" fontId="7" fillId="4" borderId="12" xfId="35" applyNumberFormat="1" applyFont="1" applyFill="1" applyBorder="1" applyAlignment="1">
      <alignment horizontal="left" vertical="center"/>
    </xf>
    <xf numFmtId="0" fontId="34" fillId="13" borderId="4" xfId="35" applyFont="1" applyFill="1" applyBorder="1" applyAlignment="1">
      <alignment horizontal="left" vertical="center"/>
    </xf>
    <xf numFmtId="175" fontId="31" fillId="15" borderId="9" xfId="35" applyNumberFormat="1" applyFont="1" applyFill="1" applyBorder="1" applyAlignment="1" applyProtection="1">
      <alignment horizontal="center" vertical="center"/>
      <protection locked="0"/>
    </xf>
    <xf numFmtId="0" fontId="4" fillId="4" borderId="5" xfId="35" applyFont="1" applyFill="1" applyBorder="1" applyAlignment="1" applyProtection="1">
      <alignment vertical="center"/>
      <protection locked="0"/>
    </xf>
    <xf numFmtId="37" fontId="4" fillId="4" borderId="14" xfId="35" applyNumberFormat="1" applyFont="1" applyFill="1" applyBorder="1" applyAlignment="1">
      <alignment horizontal="right" vertical="center"/>
    </xf>
    <xf numFmtId="3" fontId="3" fillId="5" borderId="5" xfId="35" applyNumberFormat="1" applyFont="1" applyFill="1" applyBorder="1" applyAlignment="1">
      <alignment vertical="center"/>
    </xf>
    <xf numFmtId="3" fontId="3" fillId="5" borderId="1" xfId="35" applyNumberFormat="1" applyFont="1" applyFill="1" applyBorder="1" applyAlignment="1">
      <alignment vertical="center"/>
    </xf>
    <xf numFmtId="175" fontId="7" fillId="13" borderId="18" xfId="35" applyNumberFormat="1" applyFont="1" applyFill="1" applyBorder="1" applyAlignment="1">
      <alignment horizontal="center" vertical="center"/>
    </xf>
    <xf numFmtId="0" fontId="7" fillId="13" borderId="0" xfId="35" applyFont="1" applyFill="1" applyAlignment="1">
      <alignment horizontal="left" vertical="center"/>
    </xf>
    <xf numFmtId="0" fontId="7" fillId="13" borderId="14" xfId="35" applyFont="1" applyFill="1" applyBorder="1" applyAlignment="1">
      <alignment vertical="center"/>
    </xf>
    <xf numFmtId="3" fontId="4" fillId="5" borderId="5" xfId="35" applyNumberFormat="1" applyFont="1" applyFill="1" applyBorder="1" applyAlignment="1">
      <alignment vertical="center"/>
    </xf>
    <xf numFmtId="0" fontId="2" fillId="0" borderId="0" xfId="35"/>
    <xf numFmtId="0" fontId="4" fillId="4" borderId="0" xfId="35" applyFont="1" applyFill="1" applyAlignment="1">
      <alignment horizontal="right" vertical="center"/>
    </xf>
    <xf numFmtId="0" fontId="11" fillId="0" borderId="0" xfId="35" applyFont="1" applyAlignment="1">
      <alignment vertical="center"/>
    </xf>
    <xf numFmtId="175" fontId="7" fillId="13" borderId="12" xfId="35" applyNumberFormat="1" applyFont="1" applyFill="1" applyBorder="1" applyAlignment="1">
      <alignment horizontal="center" vertical="center"/>
    </xf>
    <xf numFmtId="0" fontId="47" fillId="0" borderId="0" xfId="35" applyFont="1" applyProtection="1">
      <protection locked="0"/>
    </xf>
    <xf numFmtId="0" fontId="44" fillId="4" borderId="0" xfId="35" applyFont="1" applyFill="1" applyAlignment="1">
      <alignment horizontal="center" vertical="center"/>
    </xf>
    <xf numFmtId="175" fontId="7" fillId="13" borderId="18" xfId="35" applyNumberFormat="1" applyFont="1" applyFill="1" applyBorder="1" applyAlignment="1">
      <alignment vertical="center"/>
    </xf>
    <xf numFmtId="0" fontId="12" fillId="4" borderId="0" xfId="35" applyFont="1" applyFill="1" applyAlignment="1">
      <alignment horizontal="center" vertical="center"/>
    </xf>
    <xf numFmtId="3" fontId="4" fillId="5" borderId="1" xfId="35" applyNumberFormat="1" applyFont="1" applyFill="1" applyBorder="1" applyAlignment="1">
      <alignment vertical="center"/>
    </xf>
    <xf numFmtId="177" fontId="4" fillId="13" borderId="0" xfId="60" applyNumberFormat="1" applyFont="1" applyFill="1" applyAlignment="1">
      <alignment horizontal="center" vertical="center"/>
    </xf>
    <xf numFmtId="175" fontId="7" fillId="15" borderId="12" xfId="35" applyNumberFormat="1" applyFont="1" applyFill="1" applyBorder="1" applyAlignment="1">
      <alignment horizontal="center" vertical="center"/>
    </xf>
    <xf numFmtId="0" fontId="7" fillId="15" borderId="4" xfId="35" applyFont="1" applyFill="1" applyBorder="1" applyAlignment="1">
      <alignment vertical="center"/>
    </xf>
    <xf numFmtId="0" fontId="7" fillId="15" borderId="9" xfId="35" applyFont="1" applyFill="1" applyBorder="1" applyAlignment="1">
      <alignment vertical="center"/>
    </xf>
    <xf numFmtId="37" fontId="4" fillId="15" borderId="9" xfId="35" applyNumberFormat="1" applyFont="1" applyFill="1" applyBorder="1" applyAlignment="1">
      <alignment horizontal="right" vertical="center"/>
    </xf>
    <xf numFmtId="0" fontId="4" fillId="4" borderId="0" xfId="18" applyNumberFormat="1" applyFont="1" applyFill="1" applyBorder="1" applyAlignment="1" applyProtection="1">
      <alignment horizontal="right" vertical="center"/>
    </xf>
    <xf numFmtId="3" fontId="4" fillId="9" borderId="10" xfId="35" applyNumberFormat="1" applyFont="1" applyFill="1" applyBorder="1" applyAlignment="1">
      <alignment vertical="center"/>
    </xf>
    <xf numFmtId="174" fontId="4" fillId="13" borderId="0" xfId="35" applyNumberFormat="1" applyFont="1" applyFill="1" applyAlignment="1">
      <alignment vertical="center"/>
    </xf>
    <xf numFmtId="37" fontId="3" fillId="4" borderId="0" xfId="35" applyNumberFormat="1" applyFont="1" applyFill="1" applyAlignment="1">
      <alignment vertical="center"/>
    </xf>
    <xf numFmtId="37" fontId="4" fillId="4" borderId="12" xfId="35" applyNumberFormat="1" applyFont="1" applyFill="1" applyBorder="1" applyAlignment="1">
      <alignment horizontal="left" vertical="center"/>
    </xf>
    <xf numFmtId="3" fontId="4" fillId="3" borderId="1" xfId="35" applyNumberFormat="1" applyFont="1" applyFill="1" applyBorder="1" applyAlignment="1" applyProtection="1">
      <alignment horizontal="right" vertical="center"/>
      <protection locked="0"/>
    </xf>
    <xf numFmtId="0" fontId="4" fillId="13" borderId="18" xfId="35" applyFont="1" applyFill="1" applyBorder="1" applyAlignment="1">
      <alignment vertical="center"/>
    </xf>
    <xf numFmtId="0" fontId="4" fillId="13" borderId="14" xfId="35" applyFont="1" applyFill="1" applyBorder="1" applyProtection="1">
      <protection locked="0"/>
    </xf>
    <xf numFmtId="0" fontId="35" fillId="0" borderId="0" xfId="35" applyFont="1" applyAlignment="1">
      <alignment horizontal="right" vertical="center"/>
    </xf>
    <xf numFmtId="175" fontId="20" fillId="13" borderId="18" xfId="35" applyNumberFormat="1" applyFont="1" applyFill="1" applyBorder="1" applyAlignment="1">
      <alignment horizontal="center" vertical="center"/>
    </xf>
    <xf numFmtId="0" fontId="4" fillId="13" borderId="14" xfId="35" applyFont="1" applyFill="1" applyBorder="1" applyAlignment="1">
      <alignment vertical="center"/>
    </xf>
    <xf numFmtId="175" fontId="20" fillId="13" borderId="18" xfId="35" applyNumberFormat="1" applyFont="1" applyFill="1" applyBorder="1" applyAlignment="1">
      <alignment vertical="center"/>
    </xf>
    <xf numFmtId="0" fontId="20" fillId="13" borderId="0" xfId="35" applyFont="1" applyFill="1" applyAlignment="1">
      <alignment vertical="center"/>
    </xf>
    <xf numFmtId="0" fontId="4" fillId="15" borderId="9" xfId="35" applyFont="1" applyFill="1" applyBorder="1" applyAlignment="1">
      <alignment vertical="center"/>
    </xf>
    <xf numFmtId="0" fontId="4" fillId="15" borderId="9" xfId="35" applyFont="1" applyFill="1" applyBorder="1" applyProtection="1">
      <protection locked="0"/>
    </xf>
    <xf numFmtId="0" fontId="47" fillId="0" borderId="0" xfId="35" applyFont="1"/>
    <xf numFmtId="0" fontId="4" fillId="0" borderId="0" xfId="35" applyFont="1" applyAlignment="1" applyProtection="1">
      <alignment vertical="center"/>
      <protection locked="0"/>
    </xf>
    <xf numFmtId="0" fontId="44" fillId="0" borderId="0" xfId="35" applyFont="1" applyProtection="1">
      <protection locked="0"/>
    </xf>
    <xf numFmtId="0" fontId="44" fillId="0" borderId="0" xfId="60" applyFont="1" applyAlignment="1" applyProtection="1">
      <alignment vertical="center"/>
      <protection locked="0"/>
    </xf>
    <xf numFmtId="0" fontId="3" fillId="4" borderId="5" xfId="518" applyFont="1" applyFill="1" applyBorder="1" applyAlignment="1">
      <alignment vertical="center"/>
    </xf>
    <xf numFmtId="0" fontId="3" fillId="4" borderId="7" xfId="518" applyFont="1" applyFill="1" applyBorder="1" applyAlignment="1">
      <alignment vertical="center"/>
    </xf>
    <xf numFmtId="3" fontId="3" fillId="4" borderId="6" xfId="518" applyNumberFormat="1" applyFont="1" applyFill="1" applyBorder="1" applyAlignment="1">
      <alignment vertical="center"/>
    </xf>
    <xf numFmtId="0" fontId="3" fillId="4" borderId="6" xfId="518" applyFont="1" applyFill="1" applyBorder="1" applyAlignment="1">
      <alignment vertical="center"/>
    </xf>
    <xf numFmtId="0" fontId="3" fillId="4" borderId="0" xfId="518" applyFont="1" applyFill="1" applyAlignment="1">
      <alignment horizontal="left" vertical="center"/>
    </xf>
    <xf numFmtId="0" fontId="3" fillId="4" borderId="1" xfId="518" applyFont="1" applyFill="1" applyBorder="1" applyAlignment="1">
      <alignment horizontal="center" vertical="center"/>
    </xf>
    <xf numFmtId="37" fontId="4" fillId="4" borderId="1" xfId="0" applyNumberFormat="1" applyFont="1" applyFill="1" applyBorder="1" applyAlignment="1">
      <alignment horizontal="right" vertical="center"/>
    </xf>
    <xf numFmtId="165" fontId="4" fillId="4" borderId="1" xfId="0" applyNumberFormat="1" applyFont="1" applyFill="1" applyBorder="1" applyAlignment="1">
      <alignment horizontal="right" vertical="center"/>
    </xf>
    <xf numFmtId="37" fontId="4" fillId="4" borderId="10" xfId="0" applyNumberFormat="1" applyFont="1" applyFill="1" applyBorder="1" applyAlignment="1">
      <alignment horizontal="right" vertical="center"/>
    </xf>
    <xf numFmtId="170" fontId="4" fillId="4" borderId="10" xfId="0" applyNumberFormat="1" applyFont="1" applyFill="1" applyBorder="1" applyAlignment="1">
      <alignment horizontal="right" vertical="center"/>
    </xf>
    <xf numFmtId="37" fontId="3" fillId="4" borderId="4" xfId="0" applyNumberFormat="1" applyFont="1" applyFill="1" applyBorder="1" applyAlignment="1">
      <alignment horizontal="left" vertical="center"/>
    </xf>
    <xf numFmtId="177" fontId="4" fillId="4" borderId="0" xfId="0" applyNumberFormat="1" applyFont="1" applyFill="1" applyAlignment="1">
      <alignment horizontal="center" vertical="center"/>
    </xf>
    <xf numFmtId="0" fontId="7" fillId="15" borderId="0" xfId="0" applyFont="1" applyFill="1" applyAlignment="1">
      <alignment vertical="center"/>
    </xf>
    <xf numFmtId="0" fontId="4" fillId="15" borderId="0" xfId="0" applyFont="1" applyFill="1" applyAlignment="1">
      <alignment vertical="center"/>
    </xf>
    <xf numFmtId="0" fontId="31" fillId="13" borderId="6" xfId="0" applyFont="1" applyFill="1" applyBorder="1" applyAlignment="1">
      <alignment horizontal="center" vertical="center"/>
    </xf>
    <xf numFmtId="0" fontId="31" fillId="15" borderId="18" xfId="0" applyFont="1" applyFill="1" applyBorder="1" applyAlignment="1">
      <alignment vertical="center"/>
    </xf>
    <xf numFmtId="175" fontId="31" fillId="15" borderId="6" xfId="0" applyNumberFormat="1" applyFont="1" applyFill="1" applyBorder="1" applyAlignment="1">
      <alignment horizontal="center" vertical="center"/>
    </xf>
    <xf numFmtId="37" fontId="7" fillId="4" borderId="12" xfId="0" applyNumberFormat="1" applyFont="1" applyFill="1" applyBorder="1" applyAlignment="1">
      <alignment horizontal="left" vertical="center"/>
    </xf>
    <xf numFmtId="0" fontId="34" fillId="13" borderId="4" xfId="0" applyFont="1" applyFill="1" applyBorder="1" applyAlignment="1">
      <alignment horizontal="left" vertical="center"/>
    </xf>
    <xf numFmtId="175" fontId="31" fillId="15" borderId="9" xfId="0" applyNumberFormat="1" applyFont="1" applyFill="1" applyBorder="1" applyAlignment="1" applyProtection="1">
      <alignment horizontal="center" vertical="center"/>
      <protection locked="0"/>
    </xf>
    <xf numFmtId="0" fontId="47" fillId="0" borderId="0" xfId="0" applyFont="1" applyProtection="1">
      <protection locked="0"/>
    </xf>
    <xf numFmtId="0" fontId="35" fillId="0" borderId="0" xfId="35" applyFont="1" applyAlignment="1">
      <alignment vertical="center"/>
    </xf>
    <xf numFmtId="0" fontId="4" fillId="4" borderId="8" xfId="0" applyFont="1" applyFill="1" applyBorder="1"/>
    <xf numFmtId="0" fontId="4" fillId="0" borderId="0" xfId="32" applyFont="1" applyAlignment="1">
      <alignment vertical="center"/>
    </xf>
    <xf numFmtId="0" fontId="39" fillId="16" borderId="0" xfId="402" applyFill="1"/>
    <xf numFmtId="0" fontId="4" fillId="0" borderId="0" xfId="175" applyFont="1" applyAlignment="1">
      <alignment vertical="center"/>
    </xf>
    <xf numFmtId="0" fontId="4" fillId="0" borderId="0" xfId="96" applyFont="1" applyAlignment="1">
      <alignment vertical="center"/>
    </xf>
    <xf numFmtId="37" fontId="4" fillId="3" borderId="1" xfId="0" applyNumberFormat="1" applyFont="1" applyFill="1" applyBorder="1" applyAlignment="1" applyProtection="1">
      <alignment horizontal="left"/>
      <protection locked="0"/>
    </xf>
    <xf numFmtId="37" fontId="4" fillId="3" borderId="1" xfId="0" applyNumberFormat="1" applyFont="1" applyFill="1" applyBorder="1" applyAlignment="1" applyProtection="1">
      <alignment vertical="center"/>
      <protection locked="0"/>
    </xf>
    <xf numFmtId="172" fontId="4" fillId="3" borderId="1" xfId="0" applyNumberFormat="1" applyFont="1" applyFill="1" applyBorder="1" applyAlignment="1" applyProtection="1">
      <alignment vertical="center"/>
      <protection locked="0"/>
    </xf>
    <xf numFmtId="172" fontId="4" fillId="3" borderId="2" xfId="0" applyNumberFormat="1" applyFont="1" applyFill="1" applyBorder="1" applyAlignment="1" applyProtection="1">
      <alignment vertical="center"/>
      <protection locked="0"/>
    </xf>
    <xf numFmtId="3" fontId="4" fillId="4" borderId="1" xfId="0" applyNumberFormat="1" applyFont="1" applyFill="1" applyBorder="1" applyAlignment="1">
      <alignment horizontal="right" vertical="center"/>
    </xf>
    <xf numFmtId="3" fontId="4" fillId="4" borderId="0" xfId="35" applyNumberFormat="1" applyFont="1" applyFill="1" applyAlignment="1">
      <alignment horizontal="right" vertical="center"/>
    </xf>
    <xf numFmtId="3" fontId="4" fillId="4" borderId="1" xfId="35" applyNumberFormat="1" applyFont="1" applyFill="1" applyBorder="1" applyAlignment="1">
      <alignment horizontal="right" vertical="center"/>
    </xf>
    <xf numFmtId="0" fontId="4" fillId="4" borderId="0" xfId="35" applyFont="1" applyFill="1" applyAlignment="1">
      <alignment horizontal="left" vertical="center"/>
    </xf>
    <xf numFmtId="3" fontId="4" fillId="4" borderId="2" xfId="0" applyNumberFormat="1" applyFont="1" applyFill="1" applyBorder="1" applyAlignment="1">
      <alignment horizontal="right" vertical="center"/>
    </xf>
    <xf numFmtId="3" fontId="12" fillId="4" borderId="15" xfId="0" applyNumberFormat="1" applyFont="1" applyFill="1" applyBorder="1" applyAlignment="1">
      <alignment horizontal="center" vertical="center"/>
    </xf>
    <xf numFmtId="0" fontId="12" fillId="4" borderId="15" xfId="0" applyFont="1" applyFill="1" applyBorder="1" applyAlignment="1">
      <alignment horizontal="center" vertical="center"/>
    </xf>
    <xf numFmtId="0" fontId="4" fillId="0" borderId="0" xfId="35" applyFont="1" applyAlignment="1">
      <alignment horizontal="left" vertical="center"/>
    </xf>
    <xf numFmtId="0" fontId="4" fillId="0" borderId="0" xfId="35" applyFont="1" applyAlignment="1">
      <alignment vertical="center"/>
    </xf>
    <xf numFmtId="0" fontId="4" fillId="2" borderId="0" xfId="0" applyFont="1" applyFill="1" applyAlignment="1" applyProtection="1">
      <alignment horizontal="center"/>
      <protection locked="0"/>
    </xf>
    <xf numFmtId="176" fontId="4" fillId="15" borderId="9" xfId="0" applyNumberFormat="1" applyFont="1" applyFill="1" applyBorder="1" applyAlignment="1">
      <alignment horizontal="center"/>
    </xf>
    <xf numFmtId="0" fontId="4" fillId="3" borderId="0" xfId="0" applyFont="1" applyFill="1" applyAlignment="1" applyProtection="1">
      <alignment horizontal="center" vertical="center"/>
      <protection locked="0"/>
    </xf>
    <xf numFmtId="0" fontId="4" fillId="14" borderId="0" xfId="0" applyFont="1" applyFill="1" applyAlignment="1" applyProtection="1">
      <alignment horizontal="center" vertical="center"/>
      <protection locked="0"/>
    </xf>
    <xf numFmtId="164" fontId="4" fillId="3" borderId="0" xfId="0" applyNumberFormat="1" applyFont="1" applyFill="1" applyAlignment="1" applyProtection="1">
      <alignment horizontal="center" vertical="center"/>
      <protection locked="0"/>
    </xf>
    <xf numFmtId="0" fontId="4" fillId="14" borderId="0" xfId="0" applyFont="1" applyFill="1" applyAlignment="1">
      <alignment horizontal="center" vertical="center"/>
    </xf>
    <xf numFmtId="0" fontId="8" fillId="16" borderId="0" xfId="17" applyFill="1" applyAlignment="1" applyProtection="1"/>
    <xf numFmtId="3" fontId="4" fillId="10" borderId="6" xfId="0" applyNumberFormat="1" applyFont="1" applyFill="1" applyBorder="1" applyAlignment="1">
      <alignment vertical="center"/>
    </xf>
    <xf numFmtId="0" fontId="4" fillId="10" borderId="7" xfId="0" applyFont="1" applyFill="1" applyBorder="1" applyAlignment="1">
      <alignment vertical="center"/>
    </xf>
    <xf numFmtId="37" fontId="3" fillId="10" borderId="5" xfId="0" applyNumberFormat="1" applyFont="1" applyFill="1" applyBorder="1" applyAlignment="1">
      <alignment horizontal="left" vertical="center"/>
    </xf>
    <xf numFmtId="0" fontId="4" fillId="6" borderId="6" xfId="0" applyFont="1" applyFill="1" applyBorder="1" applyAlignment="1">
      <alignment vertical="center"/>
    </xf>
    <xf numFmtId="0" fontId="4" fillId="6" borderId="7" xfId="0" applyFont="1" applyFill="1" applyBorder="1" applyAlignment="1">
      <alignment vertical="center"/>
    </xf>
    <xf numFmtId="0" fontId="3" fillId="6" borderId="5" xfId="0" applyFont="1" applyFill="1" applyBorder="1" applyAlignment="1">
      <alignment horizontal="left" vertical="center"/>
    </xf>
    <xf numFmtId="0" fontId="4" fillId="10" borderId="5" xfId="0" applyFont="1" applyFill="1" applyBorder="1"/>
    <xf numFmtId="0" fontId="4" fillId="10" borderId="9" xfId="0" applyFont="1" applyFill="1" applyBorder="1"/>
    <xf numFmtId="0" fontId="4" fillId="10" borderId="12" xfId="0" applyFont="1" applyFill="1" applyBorder="1"/>
    <xf numFmtId="0" fontId="4" fillId="10" borderId="11" xfId="0" applyFont="1" applyFill="1" applyBorder="1"/>
    <xf numFmtId="0" fontId="4" fillId="10" borderId="6" xfId="0" applyFont="1" applyFill="1" applyBorder="1"/>
    <xf numFmtId="37" fontId="4" fillId="10" borderId="5" xfId="0" applyNumberFormat="1" applyFont="1" applyFill="1" applyBorder="1" applyAlignment="1">
      <alignment horizontal="left"/>
    </xf>
    <xf numFmtId="0" fontId="4" fillId="6" borderId="9" xfId="0" applyFont="1" applyFill="1" applyBorder="1"/>
    <xf numFmtId="37" fontId="4" fillId="4" borderId="3" xfId="0" applyNumberFormat="1" applyFont="1" applyFill="1" applyBorder="1"/>
    <xf numFmtId="37" fontId="4" fillId="4" borderId="18" xfId="0" applyNumberFormat="1" applyFont="1" applyFill="1" applyBorder="1" applyAlignment="1">
      <alignment horizontal="center"/>
    </xf>
    <xf numFmtId="0" fontId="4" fillId="3" borderId="0" xfId="0" applyFont="1" applyFill="1" applyAlignment="1" applyProtection="1">
      <alignment horizontal="center"/>
      <protection locked="0"/>
    </xf>
    <xf numFmtId="0" fontId="4" fillId="11" borderId="9" xfId="0" applyFont="1" applyFill="1" applyBorder="1"/>
    <xf numFmtId="37" fontId="3" fillId="11" borderId="12" xfId="0" applyNumberFormat="1" applyFont="1" applyFill="1" applyBorder="1" applyAlignment="1">
      <alignment horizontal="left"/>
    </xf>
    <xf numFmtId="0" fontId="4" fillId="11" borderId="14" xfId="0" applyFont="1" applyFill="1" applyBorder="1"/>
    <xf numFmtId="37" fontId="3" fillId="11" borderId="18" xfId="0" applyNumberFormat="1" applyFont="1" applyFill="1" applyBorder="1" applyAlignment="1">
      <alignment horizontal="left"/>
    </xf>
    <xf numFmtId="0" fontId="4" fillId="10" borderId="13" xfId="0" applyFont="1" applyFill="1" applyBorder="1"/>
    <xf numFmtId="0" fontId="3" fillId="10" borderId="11" xfId="0" applyFont="1" applyFill="1" applyBorder="1"/>
    <xf numFmtId="37" fontId="4" fillId="3" borderId="0" xfId="35" applyNumberFormat="1" applyFont="1" applyFill="1" applyAlignment="1" applyProtection="1">
      <alignment horizontal="center" vertical="center"/>
      <protection locked="0"/>
    </xf>
    <xf numFmtId="0" fontId="4" fillId="4" borderId="0" xfId="32" applyFont="1" applyFill="1" applyAlignment="1">
      <alignment vertical="center"/>
    </xf>
    <xf numFmtId="166" fontId="4" fillId="13" borderId="0" xfId="0" applyNumberFormat="1" applyFont="1" applyFill="1" applyAlignment="1">
      <alignment vertical="center"/>
    </xf>
    <xf numFmtId="166" fontId="4" fillId="13" borderId="4" xfId="0" applyNumberFormat="1" applyFont="1" applyFill="1" applyBorder="1" applyAlignment="1">
      <alignment vertical="center"/>
    </xf>
    <xf numFmtId="167" fontId="4" fillId="13" borderId="4" xfId="0" applyNumberFormat="1" applyFont="1" applyFill="1" applyBorder="1" applyAlignment="1">
      <alignment vertical="center"/>
    </xf>
    <xf numFmtId="37" fontId="4" fillId="2" borderId="1" xfId="32" applyNumberFormat="1" applyFont="1" applyFill="1" applyBorder="1" applyAlignment="1" applyProtection="1">
      <alignment vertical="center"/>
      <protection locked="0"/>
    </xf>
    <xf numFmtId="37" fontId="4" fillId="2" borderId="1" xfId="32" applyNumberFormat="1" applyFont="1" applyFill="1" applyBorder="1" applyAlignment="1" applyProtection="1">
      <alignment horizontal="left" vertical="center"/>
      <protection locked="0"/>
    </xf>
    <xf numFmtId="37" fontId="4" fillId="2" borderId="1" xfId="32" applyNumberFormat="1" applyFont="1" applyFill="1" applyBorder="1" applyAlignment="1" applyProtection="1">
      <alignment horizontal="left"/>
      <protection locked="0"/>
    </xf>
    <xf numFmtId="37" fontId="4" fillId="4" borderId="7" xfId="405" applyNumberFormat="1" applyFont="1" applyFill="1" applyBorder="1" applyAlignment="1">
      <alignment horizontal="left" vertical="center"/>
    </xf>
    <xf numFmtId="37" fontId="4" fillId="4" borderId="3" xfId="35" applyNumberFormat="1" applyFont="1" applyFill="1" applyBorder="1" applyAlignment="1">
      <alignment horizontal="center" vertical="center"/>
    </xf>
    <xf numFmtId="0" fontId="4" fillId="13" borderId="0" xfId="35" applyFont="1" applyFill="1" applyAlignment="1">
      <alignment horizontal="right" vertical="center"/>
    </xf>
    <xf numFmtId="179" fontId="4" fillId="13" borderId="0" xfId="35" applyNumberFormat="1" applyFont="1" applyFill="1" applyAlignment="1">
      <alignment vertical="center"/>
    </xf>
    <xf numFmtId="0" fontId="4" fillId="4" borderId="0" xfId="35" applyFont="1" applyFill="1" applyAlignment="1" applyProtection="1">
      <alignment vertical="center"/>
      <protection locked="0"/>
    </xf>
    <xf numFmtId="3" fontId="4" fillId="2" borderId="1" xfId="32" applyNumberFormat="1" applyFont="1" applyFill="1" applyBorder="1" applyAlignment="1" applyProtection="1">
      <alignment vertical="center"/>
      <protection locked="0"/>
    </xf>
    <xf numFmtId="0" fontId="4" fillId="4" borderId="5" xfId="35" applyFont="1" applyFill="1" applyBorder="1" applyAlignment="1">
      <alignment horizontal="left" vertical="center"/>
    </xf>
    <xf numFmtId="0" fontId="4" fillId="0" borderId="0" xfId="406" applyFont="1" applyAlignment="1">
      <alignment vertical="center"/>
    </xf>
    <xf numFmtId="0" fontId="4" fillId="0" borderId="0" xfId="406" applyFont="1"/>
    <xf numFmtId="0" fontId="5" fillId="0" borderId="0" xfId="406" applyFont="1"/>
    <xf numFmtId="0" fontId="4" fillId="0" borderId="18" xfId="0" applyFont="1" applyBorder="1" applyAlignment="1" applyProtection="1">
      <alignment vertical="center"/>
      <protection locked="0"/>
    </xf>
    <xf numFmtId="0" fontId="47" fillId="0" borderId="18" xfId="0" applyFont="1" applyBorder="1" applyProtection="1">
      <protection locked="0"/>
    </xf>
    <xf numFmtId="0" fontId="4" fillId="13" borderId="0" xfId="35" applyFont="1" applyFill="1" applyProtection="1">
      <protection locked="0"/>
    </xf>
    <xf numFmtId="0" fontId="47" fillId="0" borderId="18" xfId="35" applyFont="1" applyBorder="1" applyProtection="1">
      <protection locked="0"/>
    </xf>
    <xf numFmtId="0" fontId="4" fillId="4" borderId="11" xfId="0" applyFont="1" applyFill="1" applyBorder="1" applyAlignment="1">
      <alignment vertical="center"/>
    </xf>
    <xf numFmtId="0" fontId="4" fillId="4" borderId="12" xfId="0" applyFont="1" applyFill="1" applyBorder="1" applyAlignment="1">
      <alignment vertical="center"/>
    </xf>
    <xf numFmtId="37" fontId="4" fillId="4" borderId="15" xfId="35" applyNumberFormat="1" applyFont="1" applyFill="1" applyBorder="1" applyAlignment="1">
      <alignment horizontal="right" vertical="center"/>
    </xf>
    <xf numFmtId="174" fontId="4" fillId="13" borderId="13" xfId="35" applyNumberFormat="1" applyFont="1" applyFill="1" applyBorder="1" applyAlignment="1">
      <alignment vertical="center"/>
    </xf>
    <xf numFmtId="37" fontId="4" fillId="4" borderId="18" xfId="35" applyNumberFormat="1" applyFont="1" applyFill="1" applyBorder="1" applyAlignment="1">
      <alignment horizontal="right" vertical="center"/>
    </xf>
    <xf numFmtId="174" fontId="4" fillId="13" borderId="14" xfId="35" applyNumberFormat="1" applyFont="1" applyFill="1" applyBorder="1" applyAlignment="1">
      <alignment vertical="center"/>
    </xf>
    <xf numFmtId="37" fontId="4" fillId="4" borderId="12" xfId="35" applyNumberFormat="1" applyFont="1" applyFill="1" applyBorder="1" applyAlignment="1">
      <alignment horizontal="right" vertical="center"/>
    </xf>
    <xf numFmtId="37" fontId="4" fillId="4" borderId="4" xfId="35" applyNumberFormat="1" applyFont="1" applyFill="1" applyBorder="1" applyAlignment="1">
      <alignment horizontal="right" vertical="center"/>
    </xf>
    <xf numFmtId="174" fontId="4" fillId="13" borderId="9" xfId="35" applyNumberFormat="1" applyFont="1" applyFill="1" applyBorder="1" applyAlignment="1">
      <alignment vertical="center"/>
    </xf>
    <xf numFmtId="37" fontId="4" fillId="4" borderId="11" xfId="35" applyNumberFormat="1" applyFont="1" applyFill="1" applyBorder="1" applyAlignment="1">
      <alignment horizontal="left" vertical="center"/>
    </xf>
    <xf numFmtId="37" fontId="3" fillId="4" borderId="15" xfId="0" applyNumberFormat="1" applyFont="1" applyFill="1" applyBorder="1" applyAlignment="1">
      <alignment horizontal="left" vertical="center"/>
    </xf>
    <xf numFmtId="37" fontId="3" fillId="4" borderId="18" xfId="0" applyNumberFormat="1" applyFont="1" applyFill="1" applyBorder="1" applyAlignment="1">
      <alignment horizontal="left" vertical="center"/>
    </xf>
    <xf numFmtId="37" fontId="3" fillId="4" borderId="12" xfId="0" applyNumberFormat="1" applyFont="1" applyFill="1" applyBorder="1" applyAlignment="1">
      <alignment horizontal="left" vertical="center"/>
    </xf>
    <xf numFmtId="0" fontId="4" fillId="4" borderId="15" xfId="17" applyNumberFormat="1" applyFont="1" applyFill="1" applyBorder="1" applyAlignment="1" applyProtection="1">
      <alignment horizontal="right" vertical="center"/>
    </xf>
    <xf numFmtId="0" fontId="4" fillId="4" borderId="13" xfId="17" applyNumberFormat="1" applyFont="1" applyFill="1" applyBorder="1" applyAlignment="1" applyProtection="1">
      <alignment horizontal="right" vertical="center"/>
    </xf>
    <xf numFmtId="0" fontId="4" fillId="4" borderId="14" xfId="17" applyNumberFormat="1" applyFont="1" applyFill="1" applyBorder="1" applyAlignment="1" applyProtection="1">
      <alignment horizontal="right" vertical="center"/>
    </xf>
    <xf numFmtId="0" fontId="4" fillId="4" borderId="4" xfId="17" applyNumberFormat="1" applyFont="1" applyFill="1" applyBorder="1" applyAlignment="1" applyProtection="1">
      <alignment horizontal="right" vertical="center"/>
    </xf>
    <xf numFmtId="0" fontId="4" fillId="4" borderId="9" xfId="17" applyNumberFormat="1" applyFont="1" applyFill="1" applyBorder="1" applyAlignment="1" applyProtection="1">
      <alignment horizontal="right" vertical="center"/>
    </xf>
    <xf numFmtId="0" fontId="12" fillId="4" borderId="13" xfId="0" applyFont="1" applyFill="1" applyBorder="1" applyAlignment="1">
      <alignment horizontal="center" vertical="center"/>
    </xf>
    <xf numFmtId="0" fontId="4" fillId="4" borderId="18" xfId="0" applyFont="1" applyFill="1" applyBorder="1" applyAlignment="1">
      <alignment horizontal="right" vertical="center"/>
    </xf>
    <xf numFmtId="0" fontId="12" fillId="4" borderId="14" xfId="0" applyFont="1" applyFill="1" applyBorder="1" applyAlignment="1">
      <alignment horizontal="center" vertical="center"/>
    </xf>
    <xf numFmtId="0" fontId="4" fillId="4" borderId="12" xfId="0" applyFont="1" applyFill="1" applyBorder="1" applyAlignment="1">
      <alignment horizontal="right" vertical="center"/>
    </xf>
    <xf numFmtId="0" fontId="12" fillId="4" borderId="4" xfId="0" applyFont="1" applyFill="1" applyBorder="1" applyAlignment="1">
      <alignment horizontal="center" vertical="center"/>
    </xf>
    <xf numFmtId="3" fontId="40" fillId="4" borderId="4" xfId="0" applyNumberFormat="1" applyFont="1" applyFill="1" applyBorder="1" applyAlignment="1">
      <alignment horizontal="center" vertical="center"/>
    </xf>
    <xf numFmtId="0" fontId="4" fillId="4" borderId="11" xfId="0" applyFont="1" applyFill="1" applyBorder="1" applyAlignment="1">
      <alignment horizontal="left" vertical="center"/>
    </xf>
    <xf numFmtId="3" fontId="4" fillId="4" borderId="15"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18" xfId="0" applyFont="1" applyFill="1" applyBorder="1" applyAlignment="1">
      <alignment vertical="center"/>
    </xf>
    <xf numFmtId="0" fontId="4" fillId="4" borderId="4" xfId="0" applyFont="1" applyFill="1" applyBorder="1" applyAlignment="1">
      <alignment horizontal="center" vertical="center"/>
    </xf>
    <xf numFmtId="0" fontId="29" fillId="0" borderId="0" xfId="18" applyFont="1" applyAlignment="1" applyProtection="1"/>
    <xf numFmtId="0" fontId="5" fillId="0" borderId="0" xfId="35" applyFont="1"/>
    <xf numFmtId="37" fontId="19" fillId="4" borderId="1" xfId="0" applyNumberFormat="1" applyFont="1" applyFill="1" applyBorder="1"/>
    <xf numFmtId="170" fontId="19" fillId="4" borderId="1" xfId="0" applyNumberFormat="1" applyFont="1" applyFill="1" applyBorder="1"/>
    <xf numFmtId="37" fontId="19" fillId="4" borderId="0" xfId="0" applyNumberFormat="1" applyFont="1" applyFill="1" applyAlignment="1">
      <alignment horizontal="left"/>
    </xf>
    <xf numFmtId="0" fontId="5" fillId="0" borderId="0" xfId="0" applyFont="1" applyAlignment="1">
      <alignment vertical="center"/>
    </xf>
    <xf numFmtId="0" fontId="48" fillId="0" borderId="0" xfId="406" applyFont="1" applyAlignment="1">
      <alignment horizontal="center" vertical="center" wrapText="1"/>
    </xf>
    <xf numFmtId="0" fontId="4" fillId="0" borderId="0" xfId="406" applyFont="1" applyAlignment="1">
      <alignment vertical="center" wrapText="1"/>
    </xf>
    <xf numFmtId="0" fontId="28" fillId="0" borderId="0" xfId="406" applyFont="1" applyAlignment="1">
      <alignment horizontal="center" vertical="center" wrapText="1"/>
    </xf>
    <xf numFmtId="0" fontId="44" fillId="0" borderId="0" xfId="406" applyFont="1" applyAlignment="1">
      <alignment vertical="center" wrapText="1"/>
    </xf>
    <xf numFmtId="0" fontId="50" fillId="0" borderId="0" xfId="406" applyFont="1" applyAlignment="1">
      <alignment vertical="center" wrapText="1"/>
    </xf>
    <xf numFmtId="0" fontId="3" fillId="0" borderId="0" xfId="406" applyFont="1" applyAlignment="1">
      <alignment horizontal="center" vertical="center" wrapText="1"/>
    </xf>
    <xf numFmtId="0" fontId="3" fillId="0" borderId="0" xfId="406" applyFont="1" applyAlignment="1">
      <alignment vertical="center" wrapText="1"/>
    </xf>
    <xf numFmtId="0" fontId="4" fillId="0" borderId="0" xfId="406" applyFont="1" applyAlignment="1">
      <alignment horizontal="left" vertical="center" wrapText="1" indent="2"/>
    </xf>
    <xf numFmtId="0" fontId="4" fillId="0" borderId="0" xfId="406" applyFont="1" applyAlignment="1">
      <alignment horizontal="left" vertical="center" wrapText="1"/>
    </xf>
    <xf numFmtId="0" fontId="4" fillId="0" borderId="0" xfId="406" applyFont="1" applyAlignment="1">
      <alignment horizontal="left" vertical="center" indent="2"/>
    </xf>
    <xf numFmtId="0" fontId="51" fillId="0" borderId="0" xfId="406" applyFont="1" applyAlignment="1">
      <alignment horizontal="left" vertical="center" wrapText="1" indent="4"/>
    </xf>
    <xf numFmtId="0" fontId="13" fillId="0" borderId="0" xfId="406" applyFont="1" applyAlignment="1">
      <alignment vertical="center" wrapText="1"/>
    </xf>
    <xf numFmtId="170" fontId="4" fillId="3" borderId="1" xfId="0" applyNumberFormat="1" applyFont="1" applyFill="1" applyBorder="1" applyAlignment="1" applyProtection="1">
      <alignment vertical="center"/>
      <protection locked="0"/>
    </xf>
    <xf numFmtId="0" fontId="38" fillId="0" borderId="0" xfId="406"/>
    <xf numFmtId="0" fontId="1" fillId="0" borderId="0" xfId="482"/>
    <xf numFmtId="0" fontId="4" fillId="0" borderId="0" xfId="482" applyFont="1" applyAlignment="1">
      <alignment horizontal="right" vertical="center"/>
    </xf>
    <xf numFmtId="0" fontId="1" fillId="0" borderId="0" xfId="482" applyAlignment="1">
      <alignment horizontal="left"/>
    </xf>
    <xf numFmtId="0" fontId="4" fillId="0" borderId="0" xfId="482" applyFont="1" applyAlignment="1">
      <alignment horizontal="left" vertical="center"/>
    </xf>
    <xf numFmtId="0" fontId="38" fillId="0" borderId="0" xfId="406" applyAlignment="1">
      <alignment horizontal="left"/>
    </xf>
    <xf numFmtId="0" fontId="19" fillId="0" borderId="0" xfId="482" applyFont="1" applyAlignment="1">
      <alignment horizontal="left" vertical="center"/>
    </xf>
    <xf numFmtId="0" fontId="1" fillId="0" borderId="0" xfId="482" applyAlignment="1">
      <alignment horizontal="right"/>
    </xf>
    <xf numFmtId="0" fontId="4" fillId="0" borderId="0" xfId="406" applyFont="1" applyAlignment="1">
      <alignment horizontal="right"/>
    </xf>
    <xf numFmtId="49" fontId="4" fillId="0" borderId="0" xfId="482" applyNumberFormat="1" applyFont="1" applyAlignment="1" applyProtection="1">
      <alignment horizontal="left" vertical="center"/>
      <protection locked="0"/>
    </xf>
    <xf numFmtId="0" fontId="52" fillId="12" borderId="0" xfId="482" applyFont="1" applyFill="1" applyAlignment="1">
      <alignment wrapText="1"/>
    </xf>
    <xf numFmtId="0" fontId="7" fillId="6" borderId="3" xfId="0" applyFont="1" applyFill="1" applyBorder="1" applyAlignment="1">
      <alignment horizontal="center" vertical="center" shrinkToFit="1"/>
    </xf>
    <xf numFmtId="37" fontId="4" fillId="4" borderId="11" xfId="0" applyNumberFormat="1" applyFont="1" applyFill="1" applyBorder="1" applyAlignment="1">
      <alignment horizontal="left" vertical="center"/>
    </xf>
    <xf numFmtId="164" fontId="4" fillId="4" borderId="13" xfId="0" applyNumberFormat="1" applyFont="1" applyFill="1" applyBorder="1" applyAlignment="1">
      <alignment horizontal="center" vertical="center"/>
    </xf>
    <xf numFmtId="164" fontId="4" fillId="4" borderId="0" xfId="0" applyNumberFormat="1" applyFont="1" applyFill="1" applyAlignment="1">
      <alignment horizontal="center" vertical="center"/>
    </xf>
    <xf numFmtId="0" fontId="4" fillId="4" borderId="0" xfId="0" applyFont="1" applyFill="1" applyAlignment="1">
      <alignment horizontal="center" vertical="center" shrinkToFit="1"/>
    </xf>
    <xf numFmtId="172" fontId="4" fillId="4" borderId="1" xfId="0" applyNumberFormat="1" applyFont="1" applyFill="1" applyBorder="1" applyAlignment="1">
      <alignment horizontal="center" vertical="center"/>
    </xf>
    <xf numFmtId="37" fontId="4" fillId="4" borderId="0" xfId="0" applyNumberFormat="1" applyFont="1" applyFill="1" applyAlignment="1">
      <alignment horizontal="fill"/>
    </xf>
    <xf numFmtId="37" fontId="4" fillId="4" borderId="0" xfId="0" applyNumberFormat="1" applyFont="1" applyFill="1" applyAlignment="1" applyProtection="1">
      <alignment horizontal="left" vertical="center"/>
      <protection locked="0"/>
    </xf>
    <xf numFmtId="37" fontId="4" fillId="4" borderId="4" xfId="0" applyNumberFormat="1" applyFont="1" applyFill="1" applyBorder="1" applyAlignment="1" applyProtection="1">
      <alignment horizontal="center" vertical="center"/>
      <protection locked="0"/>
    </xf>
    <xf numFmtId="37" fontId="4" fillId="4" borderId="0" xfId="0" applyNumberFormat="1" applyFont="1" applyFill="1" applyAlignment="1">
      <alignment horizontal="center" vertical="center"/>
    </xf>
    <xf numFmtId="0" fontId="4" fillId="4" borderId="11" xfId="0" applyFont="1" applyFill="1" applyBorder="1" applyAlignment="1">
      <alignment vertical="center" wrapText="1"/>
    </xf>
    <xf numFmtId="0" fontId="4" fillId="4" borderId="15" xfId="0" applyFont="1" applyFill="1" applyBorder="1" applyAlignment="1">
      <alignment vertical="center" wrapText="1"/>
    </xf>
    <xf numFmtId="0" fontId="4" fillId="4" borderId="13" xfId="0" applyFont="1" applyFill="1" applyBorder="1" applyAlignment="1">
      <alignment vertical="center" wrapText="1"/>
    </xf>
    <xf numFmtId="0" fontId="4" fillId="4" borderId="18" xfId="0" applyFont="1" applyFill="1" applyBorder="1" applyAlignment="1">
      <alignment vertical="center" wrapText="1"/>
    </xf>
    <xf numFmtId="0" fontId="4" fillId="4" borderId="0" xfId="0" applyFont="1" applyFill="1" applyAlignment="1">
      <alignment vertical="center" wrapText="1"/>
    </xf>
    <xf numFmtId="0" fontId="4" fillId="4" borderId="14" xfId="0" applyFont="1" applyFill="1" applyBorder="1" applyAlignment="1">
      <alignment vertical="center" wrapText="1"/>
    </xf>
    <xf numFmtId="0" fontId="4" fillId="4" borderId="12" xfId="0" applyFont="1" applyFill="1" applyBorder="1" applyAlignment="1">
      <alignment vertical="center" wrapText="1"/>
    </xf>
    <xf numFmtId="0" fontId="4" fillId="4" borderId="4" xfId="0" applyFont="1" applyFill="1" applyBorder="1" applyAlignment="1">
      <alignment vertical="center" wrapText="1"/>
    </xf>
    <xf numFmtId="0" fontId="4" fillId="4" borderId="9" xfId="0" applyFont="1" applyFill="1" applyBorder="1" applyAlignment="1">
      <alignment vertical="center" wrapText="1"/>
    </xf>
    <xf numFmtId="174" fontId="7" fillId="15" borderId="12" xfId="0" applyNumberFormat="1" applyFont="1" applyFill="1" applyBorder="1" applyAlignment="1">
      <alignment horizontal="center" vertical="center"/>
    </xf>
    <xf numFmtId="0" fontId="30" fillId="13" borderId="0" xfId="0" applyFont="1" applyFill="1" applyAlignment="1">
      <alignment horizontal="center" vertical="center"/>
    </xf>
    <xf numFmtId="0" fontId="0" fillId="13" borderId="14" xfId="0" applyFill="1" applyBorder="1" applyAlignment="1">
      <alignment vertical="center"/>
    </xf>
    <xf numFmtId="174" fontId="7" fillId="13" borderId="12" xfId="0" applyNumberFormat="1" applyFont="1" applyFill="1" applyBorder="1" applyAlignment="1">
      <alignment horizontal="center" vertical="center"/>
    </xf>
    <xf numFmtId="174" fontId="31" fillId="13" borderId="12" xfId="0" applyNumberFormat="1" applyFont="1" applyFill="1" applyBorder="1" applyAlignment="1">
      <alignment horizontal="center" vertical="center"/>
    </xf>
    <xf numFmtId="0" fontId="31" fillId="13" borderId="0" xfId="0" applyFont="1" applyFill="1" applyAlignment="1">
      <alignment horizontal="left" vertical="center"/>
    </xf>
    <xf numFmtId="174" fontId="7" fillId="13" borderId="5" xfId="0" applyNumberFormat="1" applyFont="1" applyFill="1" applyBorder="1" applyAlignment="1">
      <alignment horizontal="center" vertical="center"/>
    </xf>
    <xf numFmtId="3" fontId="3" fillId="4" borderId="1" xfId="0" applyNumberFormat="1" applyFont="1" applyFill="1" applyBorder="1" applyAlignment="1">
      <alignment horizontal="right" vertical="center"/>
    </xf>
    <xf numFmtId="3" fontId="3" fillId="4" borderId="2" xfId="0" applyNumberFormat="1" applyFont="1" applyFill="1" applyBorder="1" applyAlignment="1">
      <alignment horizontal="right" vertical="center"/>
    </xf>
    <xf numFmtId="172" fontId="4" fillId="4" borderId="1" xfId="406" applyNumberFormat="1" applyFont="1" applyFill="1" applyBorder="1" applyAlignment="1">
      <alignment horizontal="center" vertical="center"/>
    </xf>
    <xf numFmtId="0" fontId="4" fillId="4" borderId="0" xfId="406" applyFont="1" applyFill="1" applyAlignment="1">
      <alignment vertical="center"/>
    </xf>
    <xf numFmtId="0" fontId="4" fillId="4" borderId="0" xfId="406" applyFont="1" applyFill="1" applyAlignment="1">
      <alignment horizontal="right" vertical="center"/>
    </xf>
    <xf numFmtId="0" fontId="4" fillId="3" borderId="0" xfId="406" applyFont="1" applyFill="1" applyAlignment="1" applyProtection="1">
      <alignment horizontal="center" vertical="center"/>
      <protection locked="0"/>
    </xf>
    <xf numFmtId="0" fontId="3" fillId="13" borderId="18" xfId="0" applyFont="1" applyFill="1" applyBorder="1"/>
    <xf numFmtId="172" fontId="3" fillId="13" borderId="14" xfId="0" applyNumberFormat="1" applyFont="1" applyFill="1" applyBorder="1" applyAlignment="1">
      <alignment horizontal="center"/>
    </xf>
    <xf numFmtId="0" fontId="4" fillId="4" borderId="0" xfId="406" applyFont="1" applyFill="1" applyAlignment="1" applyProtection="1">
      <alignment vertical="center"/>
      <protection locked="0"/>
    </xf>
    <xf numFmtId="37" fontId="4" fillId="4" borderId="0" xfId="406" applyNumberFormat="1" applyFont="1" applyFill="1" applyAlignment="1">
      <alignment horizontal="centerContinuous" vertical="center"/>
    </xf>
    <xf numFmtId="0" fontId="4" fillId="4" borderId="0" xfId="406" applyFont="1" applyFill="1" applyAlignment="1">
      <alignment horizontal="centerContinuous" vertical="center"/>
    </xf>
    <xf numFmtId="172" fontId="4" fillId="4" borderId="1" xfId="406" applyNumberFormat="1" applyFont="1" applyFill="1" applyBorder="1" applyAlignment="1">
      <alignment horizontal="centerContinuous" vertical="center"/>
    </xf>
    <xf numFmtId="0" fontId="4" fillId="4" borderId="0" xfId="406" applyFont="1" applyFill="1" applyAlignment="1">
      <alignment horizontal="fill" vertical="center"/>
    </xf>
    <xf numFmtId="49" fontId="4" fillId="4" borderId="0" xfId="406" applyNumberFormat="1" applyFont="1" applyFill="1" applyAlignment="1" applyProtection="1">
      <alignment horizontal="left" vertical="center"/>
      <protection locked="0"/>
    </xf>
    <xf numFmtId="0" fontId="4" fillId="0" borderId="0" xfId="406" applyFont="1" applyAlignment="1" applyProtection="1">
      <alignment vertical="center"/>
      <protection locked="0"/>
    </xf>
    <xf numFmtId="0" fontId="4" fillId="0" borderId="0" xfId="406" applyFont="1" applyAlignment="1">
      <alignment horizontal="left" wrapText="1"/>
    </xf>
    <xf numFmtId="0" fontId="4" fillId="0" borderId="4" xfId="406" applyFont="1" applyBorder="1"/>
    <xf numFmtId="0" fontId="13" fillId="0" borderId="0" xfId="0" applyFont="1" applyAlignment="1">
      <alignment horizontal="center"/>
    </xf>
    <xf numFmtId="0" fontId="3" fillId="0" borderId="0" xfId="0" applyFont="1"/>
    <xf numFmtId="0" fontId="4" fillId="0" borderId="0" xfId="0" quotePrefix="1" applyFont="1"/>
    <xf numFmtId="0" fontId="4" fillId="0" borderId="0" xfId="180" applyFont="1"/>
    <xf numFmtId="0" fontId="53" fillId="0" borderId="0" xfId="0" applyFont="1" applyAlignment="1">
      <alignment horizontal="center"/>
    </xf>
    <xf numFmtId="0" fontId="4" fillId="0" borderId="0" xfId="406" applyFont="1" applyAlignment="1">
      <alignment wrapText="1"/>
    </xf>
    <xf numFmtId="0" fontId="5" fillId="0" borderId="0" xfId="0" applyFont="1" applyAlignment="1">
      <alignment vertical="center" wrapText="1"/>
    </xf>
    <xf numFmtId="44" fontId="4" fillId="4" borderId="1" xfId="520" applyFont="1" applyFill="1" applyBorder="1" applyAlignment="1" applyProtection="1">
      <alignment vertical="center"/>
      <protection locked="0"/>
    </xf>
    <xf numFmtId="44" fontId="4" fillId="4" borderId="3" xfId="520" applyFont="1" applyFill="1" applyBorder="1" applyAlignment="1" applyProtection="1">
      <alignment vertical="center"/>
      <protection locked="0"/>
    </xf>
    <xf numFmtId="41" fontId="4" fillId="4" borderId="3" xfId="520" applyNumberFormat="1" applyFont="1" applyFill="1" applyBorder="1" applyAlignment="1" applyProtection="1">
      <alignment vertical="center"/>
      <protection locked="0"/>
    </xf>
    <xf numFmtId="41" fontId="4" fillId="4" borderId="1" xfId="520" applyNumberFormat="1" applyFont="1" applyFill="1" applyBorder="1" applyAlignment="1" applyProtection="1">
      <alignment vertical="center"/>
      <protection locked="0"/>
    </xf>
    <xf numFmtId="0" fontId="58" fillId="0" borderId="0" xfId="406" applyFont="1"/>
    <xf numFmtId="0" fontId="59" fillId="0" borderId="0" xfId="406" applyFont="1"/>
    <xf numFmtId="0" fontId="60" fillId="0" borderId="0" xfId="406" applyFont="1" applyAlignment="1">
      <alignment horizontal="left" vertical="center" readingOrder="1"/>
    </xf>
    <xf numFmtId="0" fontId="61" fillId="0" borderId="0" xfId="406" applyFont="1" applyAlignment="1">
      <alignment horizontal="left" vertical="center" indent="2" readingOrder="1"/>
    </xf>
    <xf numFmtId="0" fontId="61" fillId="0" borderId="4" xfId="406" applyFont="1" applyBorder="1" applyAlignment="1">
      <alignment horizontal="center" vertical="center" readingOrder="1"/>
    </xf>
    <xf numFmtId="0" fontId="62" fillId="0" borderId="0" xfId="406" applyFont="1" applyAlignment="1">
      <alignment horizontal="left" vertical="center" readingOrder="1"/>
    </xf>
    <xf numFmtId="0" fontId="38" fillId="18" borderId="0" xfId="406" applyFill="1"/>
    <xf numFmtId="0" fontId="60" fillId="18" borderId="0" xfId="406" applyFont="1" applyFill="1" applyAlignment="1">
      <alignment horizontal="left" vertical="center" readingOrder="1"/>
    </xf>
    <xf numFmtId="0" fontId="64" fillId="0" borderId="0" xfId="406" applyFont="1" applyAlignment="1">
      <alignment wrapText="1"/>
    </xf>
    <xf numFmtId="0" fontId="65" fillId="0" borderId="0" xfId="406" applyFont="1"/>
    <xf numFmtId="0" fontId="66" fillId="0" borderId="0" xfId="406" applyFont="1" applyAlignment="1">
      <alignment horizontal="left"/>
    </xf>
    <xf numFmtId="0" fontId="67" fillId="0" borderId="0" xfId="406" applyFont="1"/>
    <xf numFmtId="0" fontId="67" fillId="0" borderId="0" xfId="521" applyFont="1"/>
    <xf numFmtId="0" fontId="67" fillId="0" borderId="0" xfId="521" applyFont="1" applyAlignment="1">
      <alignment horizontal="left" wrapText="1"/>
    </xf>
    <xf numFmtId="0" fontId="67" fillId="0" borderId="0" xfId="521" applyFont="1" applyAlignment="1">
      <alignment horizontal="center"/>
    </xf>
    <xf numFmtId="0" fontId="68" fillId="19" borderId="1" xfId="521" applyFont="1" applyFill="1" applyBorder="1" applyAlignment="1">
      <alignment horizontal="center" vertical="center"/>
    </xf>
    <xf numFmtId="0" fontId="67" fillId="0" borderId="1" xfId="521" applyFont="1" applyBorder="1" applyAlignment="1">
      <alignment horizontal="center"/>
    </xf>
    <xf numFmtId="0" fontId="67" fillId="0" borderId="10" xfId="521" applyFont="1" applyBorder="1" applyAlignment="1">
      <alignment horizontal="center"/>
    </xf>
    <xf numFmtId="0" fontId="70" fillId="0" borderId="3" xfId="521" applyFont="1" applyBorder="1" applyAlignment="1">
      <alignment horizontal="center" vertical="center"/>
    </xf>
    <xf numFmtId="0" fontId="67" fillId="0" borderId="0" xfId="521" applyFont="1" applyAlignment="1">
      <alignment horizontal="right" wrapText="1"/>
    </xf>
    <xf numFmtId="0" fontId="67" fillId="0" borderId="0" xfId="521" applyFont="1" applyAlignment="1">
      <alignment wrapText="1"/>
    </xf>
    <xf numFmtId="37" fontId="4" fillId="10" borderId="2" xfId="0" applyNumberFormat="1" applyFont="1" applyFill="1" applyBorder="1" applyAlignment="1">
      <alignment horizontal="center" wrapText="1"/>
    </xf>
    <xf numFmtId="0" fontId="0" fillId="10" borderId="3" xfId="0" applyFill="1" applyBorder="1" applyAlignment="1">
      <alignment wrapText="1"/>
    </xf>
    <xf numFmtId="37" fontId="12" fillId="4" borderId="0" xfId="0" applyNumberFormat="1" applyFont="1" applyFill="1" applyAlignment="1">
      <alignment horizontal="center" vertical="justify"/>
    </xf>
    <xf numFmtId="0" fontId="13" fillId="0" borderId="0" xfId="0" applyFont="1" applyAlignment="1">
      <alignment horizontal="center" vertical="justify"/>
    </xf>
    <xf numFmtId="37" fontId="13" fillId="4" borderId="0" xfId="0" applyNumberFormat="1" applyFont="1" applyFill="1" applyAlignment="1">
      <alignment horizontal="center"/>
    </xf>
    <xf numFmtId="0" fontId="0" fillId="0" borderId="0" xfId="0" applyAlignment="1">
      <alignment horizontal="center"/>
    </xf>
    <xf numFmtId="37" fontId="3" fillId="4" borderId="0" xfId="35" applyNumberFormat="1" applyFont="1" applyFill="1" applyAlignment="1">
      <alignment vertical="center" wrapText="1"/>
    </xf>
    <xf numFmtId="0" fontId="4" fillId="4" borderId="11" xfId="35" applyFont="1" applyFill="1" applyBorder="1" applyAlignment="1">
      <alignment vertical="center" wrapText="1"/>
    </xf>
    <xf numFmtId="0" fontId="2" fillId="0" borderId="13" xfId="35" applyBorder="1" applyAlignment="1">
      <alignment vertical="center" wrapText="1"/>
    </xf>
    <xf numFmtId="0" fontId="2" fillId="0" borderId="18" xfId="35" applyBorder="1" applyAlignment="1">
      <alignment vertical="center" wrapText="1"/>
    </xf>
    <xf numFmtId="0" fontId="2" fillId="0" borderId="14" xfId="35" applyBorder="1" applyAlignment="1">
      <alignment vertical="center" wrapText="1"/>
    </xf>
    <xf numFmtId="0" fontId="2" fillId="0" borderId="12" xfId="35" applyBorder="1" applyAlignment="1">
      <alignment vertical="center" wrapText="1"/>
    </xf>
    <xf numFmtId="0" fontId="2" fillId="0" borderId="9" xfId="35" applyBorder="1" applyAlignment="1">
      <alignment vertical="center" wrapText="1"/>
    </xf>
    <xf numFmtId="37" fontId="12" fillId="4" borderId="0" xfId="0" applyNumberFormat="1" applyFont="1" applyFill="1" applyAlignment="1">
      <alignment horizontal="center" vertical="center"/>
    </xf>
    <xf numFmtId="0" fontId="13" fillId="0" borderId="0" xfId="0" applyFont="1" applyAlignment="1">
      <alignment horizontal="center" vertical="center"/>
    </xf>
    <xf numFmtId="37" fontId="13" fillId="4" borderId="0" xfId="0" applyNumberFormat="1" applyFont="1" applyFill="1" applyAlignment="1">
      <alignment horizontal="center" vertical="center"/>
    </xf>
    <xf numFmtId="0" fontId="4" fillId="0" borderId="0" xfId="0" applyFont="1" applyAlignment="1">
      <alignment horizontal="center" vertical="center"/>
    </xf>
    <xf numFmtId="0" fontId="3"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11" fillId="4" borderId="0" xfId="0" applyFont="1" applyFill="1" applyAlignment="1">
      <alignment vertical="center"/>
    </xf>
    <xf numFmtId="0" fontId="16" fillId="0" borderId="0" xfId="0" applyFont="1" applyAlignment="1">
      <alignment vertical="center"/>
    </xf>
    <xf numFmtId="0" fontId="52" fillId="17" borderId="0" xfId="482" applyFont="1" applyFill="1" applyAlignment="1">
      <alignment horizontal="center" vertical="center" wrapText="1"/>
    </xf>
    <xf numFmtId="49" fontId="4" fillId="3" borderId="5" xfId="482" applyNumberFormat="1" applyFont="1" applyFill="1" applyBorder="1" applyAlignment="1" applyProtection="1">
      <alignment horizontal="left" vertical="center"/>
      <protection locked="0"/>
    </xf>
    <xf numFmtId="49" fontId="4" fillId="3" borderId="7" xfId="482" applyNumberFormat="1" applyFont="1" applyFill="1" applyBorder="1" applyAlignment="1" applyProtection="1">
      <alignment horizontal="left" vertical="center"/>
      <protection locked="0"/>
    </xf>
    <xf numFmtId="49" fontId="4" fillId="3" borderId="6" xfId="482" applyNumberFormat="1" applyFont="1" applyFill="1" applyBorder="1" applyAlignment="1" applyProtection="1">
      <alignment horizontal="left" vertical="center"/>
      <protection locked="0"/>
    </xf>
    <xf numFmtId="0" fontId="19" fillId="0" borderId="0" xfId="406" applyFont="1" applyAlignment="1">
      <alignment horizontal="center" vertical="top" wrapText="1"/>
    </xf>
    <xf numFmtId="49" fontId="4" fillId="3" borderId="5" xfId="483" applyNumberFormat="1" applyFont="1" applyFill="1" applyBorder="1" applyAlignment="1" applyProtection="1">
      <alignment horizontal="left" vertical="center"/>
      <protection locked="0"/>
    </xf>
    <xf numFmtId="49" fontId="4" fillId="3" borderId="7" xfId="483" applyNumberFormat="1" applyFont="1" applyFill="1" applyBorder="1" applyAlignment="1" applyProtection="1">
      <alignment horizontal="left" vertical="center"/>
      <protection locked="0"/>
    </xf>
    <xf numFmtId="49" fontId="4" fillId="3" borderId="6" xfId="483" applyNumberFormat="1" applyFont="1" applyFill="1" applyBorder="1" applyAlignment="1" applyProtection="1">
      <alignment horizontal="left" vertical="center"/>
      <protection locked="0"/>
    </xf>
    <xf numFmtId="0" fontId="4" fillId="3" borderId="5" xfId="483" applyFont="1" applyFill="1" applyBorder="1" applyAlignment="1" applyProtection="1">
      <alignment horizontal="left" vertical="center"/>
      <protection locked="0"/>
    </xf>
    <xf numFmtId="0" fontId="4" fillId="3" borderId="7" xfId="483" applyFont="1" applyFill="1" applyBorder="1" applyAlignment="1" applyProtection="1">
      <alignment horizontal="left" vertical="center"/>
      <protection locked="0"/>
    </xf>
    <xf numFmtId="0" fontId="4" fillId="3" borderId="6" xfId="483" applyFont="1" applyFill="1" applyBorder="1" applyAlignment="1" applyProtection="1">
      <alignment horizontal="left" vertical="center"/>
      <protection locked="0"/>
    </xf>
    <xf numFmtId="0" fontId="53" fillId="17" borderId="0" xfId="406" applyFont="1" applyFill="1" applyAlignment="1">
      <alignment horizontal="center" vertical="center"/>
    </xf>
    <xf numFmtId="0" fontId="4" fillId="0" borderId="0" xfId="482" applyFont="1" applyAlignment="1">
      <alignment horizontal="center" vertical="center" wrapText="1"/>
    </xf>
    <xf numFmtId="0" fontId="3" fillId="16" borderId="0" xfId="0" applyFont="1" applyFill="1" applyAlignment="1">
      <alignment horizontal="left" vertical="top" wrapText="1"/>
    </xf>
    <xf numFmtId="0" fontId="7" fillId="6" borderId="1" xfId="0" applyFont="1" applyFill="1" applyBorder="1" applyAlignment="1">
      <alignment horizontal="center" vertical="center" wrapText="1"/>
    </xf>
    <xf numFmtId="0" fontId="3" fillId="4" borderId="0" xfId="0" applyFont="1" applyFill="1" applyAlignment="1">
      <alignment horizontal="center" vertical="center"/>
    </xf>
    <xf numFmtId="37" fontId="4" fillId="4" borderId="2"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37" fontId="3" fillId="4" borderId="5" xfId="0" applyNumberFormat="1" applyFont="1" applyFill="1" applyBorder="1" applyAlignment="1">
      <alignment horizontal="center" vertical="center"/>
    </xf>
    <xf numFmtId="0" fontId="36" fillId="0" borderId="7" xfId="0" applyFont="1" applyBorder="1" applyAlignment="1">
      <alignment vertical="center"/>
    </xf>
    <xf numFmtId="0" fontId="36" fillId="0" borderId="6" xfId="0" applyFont="1" applyBorder="1" applyAlignment="1">
      <alignment vertical="center"/>
    </xf>
    <xf numFmtId="0" fontId="4" fillId="4" borderId="0" xfId="0" applyFont="1" applyFill="1" applyAlignment="1">
      <alignment horizontal="center" vertical="center"/>
    </xf>
    <xf numFmtId="0" fontId="0" fillId="0" borderId="0" xfId="0" applyAlignment="1">
      <alignment vertical="center"/>
    </xf>
    <xf numFmtId="37" fontId="4" fillId="4" borderId="0" xfId="0" applyNumberFormat="1" applyFont="1" applyFill="1" applyAlignment="1">
      <alignment horizontal="center" vertical="center"/>
    </xf>
    <xf numFmtId="0" fontId="0" fillId="0" borderId="0" xfId="0" applyAlignment="1">
      <alignment horizontal="center" vertical="center"/>
    </xf>
    <xf numFmtId="37" fontId="4" fillId="4" borderId="8" xfId="0" applyNumberFormat="1" applyFont="1" applyFill="1" applyBorder="1" applyAlignment="1">
      <alignment horizontal="center" vertical="center" wrapText="1"/>
    </xf>
    <xf numFmtId="37" fontId="4" fillId="4" borderId="3" xfId="0" applyNumberFormat="1" applyFont="1" applyFill="1" applyBorder="1" applyAlignment="1">
      <alignment horizontal="center" vertical="center" wrapText="1"/>
    </xf>
    <xf numFmtId="173" fontId="4" fillId="3" borderId="2" xfId="1" applyNumberFormat="1" applyFont="1" applyFill="1" applyBorder="1" applyAlignment="1" applyProtection="1">
      <alignment horizontal="center" vertical="center"/>
      <protection locked="0"/>
    </xf>
    <xf numFmtId="173" fontId="4" fillId="3" borderId="3" xfId="1" applyNumberFormat="1" applyFont="1" applyFill="1" applyBorder="1" applyAlignment="1" applyProtection="1">
      <alignment horizontal="center" vertical="center"/>
      <protection locked="0"/>
    </xf>
    <xf numFmtId="37" fontId="4" fillId="4" borderId="1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37" fontId="4" fillId="4" borderId="5" xfId="0" applyNumberFormat="1" applyFont="1" applyFill="1" applyBorder="1" applyAlignment="1">
      <alignment horizontal="center" vertical="center"/>
    </xf>
    <xf numFmtId="0" fontId="1" fillId="0" borderId="7"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37" fontId="3" fillId="4" borderId="0" xfId="35" applyNumberFormat="1" applyFont="1" applyFill="1" applyAlignment="1">
      <alignment horizontal="center" vertical="center"/>
    </xf>
    <xf numFmtId="0" fontId="1" fillId="0" borderId="0" xfId="32" applyAlignment="1">
      <alignment horizontal="center" vertical="center"/>
    </xf>
    <xf numFmtId="0" fontId="3" fillId="4" borderId="0" xfId="519" applyFont="1" applyFill="1" applyAlignment="1">
      <alignment horizontal="center" vertical="center"/>
    </xf>
    <xf numFmtId="0" fontId="4" fillId="8" borderId="0" xfId="518" applyFont="1" applyFill="1" applyAlignment="1">
      <alignment horizontal="center" vertical="center"/>
    </xf>
    <xf numFmtId="0" fontId="13" fillId="13" borderId="0" xfId="504" applyFont="1" applyFill="1" applyAlignment="1">
      <alignment horizontal="center"/>
    </xf>
    <xf numFmtId="0" fontId="2" fillId="13" borderId="0" xfId="40" applyFill="1" applyAlignment="1">
      <alignment horizontal="center"/>
    </xf>
    <xf numFmtId="0" fontId="3" fillId="13" borderId="0" xfId="40" applyFont="1" applyFill="1" applyAlignment="1">
      <alignment horizontal="center" vertical="center"/>
    </xf>
    <xf numFmtId="0" fontId="13" fillId="13" borderId="0" xfId="40" applyFont="1" applyFill="1" applyAlignment="1">
      <alignment horizontal="center" vertical="center"/>
    </xf>
    <xf numFmtId="0" fontId="4" fillId="13" borderId="0" xfId="40" applyFont="1" applyFill="1" applyAlignment="1">
      <alignment vertical="center" wrapText="1"/>
    </xf>
    <xf numFmtId="0" fontId="46" fillId="0" borderId="15" xfId="0" applyFont="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30" fillId="13" borderId="11" xfId="0" applyFont="1" applyFill="1" applyBorder="1" applyAlignment="1">
      <alignment horizontal="center" vertical="center"/>
    </xf>
    <xf numFmtId="0" fontId="30" fillId="13" borderId="15" xfId="0" applyFont="1" applyFill="1" applyBorder="1" applyAlignment="1">
      <alignment horizontal="center" vertical="center"/>
    </xf>
    <xf numFmtId="0" fontId="30" fillId="13" borderId="13" xfId="0" applyFont="1" applyFill="1" applyBorder="1" applyAlignment="1">
      <alignment horizontal="center" vertical="center"/>
    </xf>
    <xf numFmtId="0" fontId="4" fillId="4" borderId="0" xfId="17" applyNumberFormat="1" applyFont="1" applyFill="1" applyBorder="1" applyAlignment="1" applyProtection="1">
      <alignment horizontal="right" vertical="center"/>
    </xf>
    <xf numFmtId="0" fontId="4" fillId="0" borderId="0" xfId="17" applyFont="1" applyAlignment="1" applyProtection="1">
      <alignment horizontal="right" vertical="center"/>
    </xf>
    <xf numFmtId="3" fontId="4" fillId="4" borderId="15" xfId="60" applyNumberFormat="1" applyFont="1" applyFill="1" applyBorder="1" applyAlignment="1">
      <alignment horizontal="right" vertical="center"/>
    </xf>
    <xf numFmtId="0" fontId="2" fillId="0" borderId="13" xfId="60" applyBorder="1" applyAlignment="1">
      <alignment horizontal="right" vertical="center"/>
    </xf>
    <xf numFmtId="0" fontId="4" fillId="4" borderId="0" xfId="60" applyFont="1" applyFill="1" applyAlignment="1">
      <alignment horizontal="right" vertical="center"/>
    </xf>
    <xf numFmtId="0" fontId="4" fillId="0" borderId="14" xfId="60" applyFont="1" applyBorder="1" applyAlignment="1">
      <alignment horizontal="right" vertical="center"/>
    </xf>
    <xf numFmtId="174" fontId="30" fillId="13" borderId="11" xfId="0" applyNumberFormat="1" applyFont="1" applyFill="1" applyBorder="1" applyAlignment="1">
      <alignment horizontal="center" wrapText="1"/>
    </xf>
    <xf numFmtId="174" fontId="30" fillId="13" borderId="15" xfId="0" applyNumberFormat="1" applyFont="1" applyFill="1" applyBorder="1" applyAlignment="1">
      <alignment horizontal="center" wrapText="1"/>
    </xf>
    <xf numFmtId="174" fontId="30" fillId="13" borderId="13" xfId="0" applyNumberFormat="1" applyFont="1" applyFill="1" applyBorder="1" applyAlignment="1">
      <alignment horizontal="center" wrapText="1"/>
    </xf>
    <xf numFmtId="174" fontId="30" fillId="13" borderId="18" xfId="0" applyNumberFormat="1" applyFont="1" applyFill="1" applyBorder="1" applyAlignment="1">
      <alignment horizontal="center" wrapText="1"/>
    </xf>
    <xf numFmtId="174" fontId="30" fillId="13" borderId="0" xfId="0" applyNumberFormat="1" applyFont="1" applyFill="1" applyAlignment="1">
      <alignment horizontal="center" wrapText="1"/>
    </xf>
    <xf numFmtId="174" fontId="30" fillId="13" borderId="14" xfId="0" applyNumberFormat="1" applyFont="1" applyFill="1" applyBorder="1" applyAlignment="1">
      <alignment horizontal="center" wrapText="1"/>
    </xf>
    <xf numFmtId="0" fontId="4" fillId="13" borderId="18"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3" borderId="4" xfId="0" applyFont="1" applyFill="1" applyBorder="1" applyAlignment="1">
      <alignment horizontal="center" vertical="center" wrapText="1"/>
    </xf>
    <xf numFmtId="49" fontId="54" fillId="13" borderId="14" xfId="0" applyNumberFormat="1" applyFont="1" applyFill="1" applyBorder="1" applyAlignment="1">
      <alignment horizontal="center" vertical="center"/>
    </xf>
    <xf numFmtId="49" fontId="54" fillId="13" borderId="9" xfId="0" applyNumberFormat="1" applyFont="1" applyFill="1" applyBorder="1" applyAlignment="1">
      <alignment horizontal="center" vertical="center"/>
    </xf>
    <xf numFmtId="0" fontId="4" fillId="4" borderId="0" xfId="18" applyNumberFormat="1" applyFont="1" applyFill="1" applyBorder="1" applyAlignment="1" applyProtection="1">
      <alignment horizontal="right" vertical="center"/>
    </xf>
    <xf numFmtId="0" fontId="4" fillId="0" borderId="0" xfId="18" applyFont="1" applyAlignment="1" applyProtection="1">
      <alignment horizontal="right" vertical="center"/>
    </xf>
    <xf numFmtId="0" fontId="30" fillId="13" borderId="11" xfId="35" applyFont="1" applyFill="1" applyBorder="1" applyAlignment="1">
      <alignment horizontal="center" vertical="center"/>
    </xf>
    <xf numFmtId="0" fontId="30" fillId="13" borderId="15" xfId="35" applyFont="1" applyFill="1" applyBorder="1" applyAlignment="1">
      <alignment horizontal="center" vertical="center"/>
    </xf>
    <xf numFmtId="0" fontId="30" fillId="13" borderId="13" xfId="35" applyFont="1" applyFill="1" applyBorder="1" applyAlignment="1">
      <alignment horizontal="center" vertical="center"/>
    </xf>
    <xf numFmtId="0" fontId="0" fillId="0" borderId="15" xfId="0" applyBorder="1" applyAlignment="1">
      <alignment vertical="center"/>
    </xf>
    <xf numFmtId="0" fontId="0" fillId="0" borderId="13" xfId="0" applyBorder="1" applyAlignment="1">
      <alignment vertical="center"/>
    </xf>
    <xf numFmtId="0" fontId="11" fillId="4" borderId="18" xfId="0" applyFont="1" applyFill="1" applyBorder="1" applyAlignment="1">
      <alignment vertical="center" wrapText="1"/>
    </xf>
    <xf numFmtId="0" fontId="0" fillId="0" borderId="18" xfId="0" applyBorder="1" applyAlignment="1">
      <alignment vertical="center" wrapText="1"/>
    </xf>
    <xf numFmtId="0" fontId="2" fillId="0" borderId="15" xfId="35" applyBorder="1" applyAlignment="1">
      <alignment vertical="center"/>
    </xf>
    <xf numFmtId="0" fontId="2" fillId="0" borderId="13" xfId="35" applyBorder="1" applyAlignment="1">
      <alignment vertical="center"/>
    </xf>
    <xf numFmtId="0" fontId="34" fillId="0" borderId="15" xfId="35" applyFont="1" applyBorder="1" applyAlignment="1">
      <alignment horizontal="center" vertical="center"/>
    </xf>
    <xf numFmtId="0" fontId="2" fillId="0" borderId="13" xfId="35" applyBorder="1"/>
    <xf numFmtId="0" fontId="2" fillId="0" borderId="15" xfId="35" applyBorder="1" applyAlignment="1">
      <alignment horizontal="center" vertical="center"/>
    </xf>
    <xf numFmtId="0" fontId="4" fillId="8" borderId="0" xfId="0" applyFont="1" applyFill="1" applyAlignment="1">
      <alignment horizontal="right" vertical="center"/>
    </xf>
    <xf numFmtId="0" fontId="3" fillId="4" borderId="5" xfId="0" applyFont="1" applyFill="1" applyBorder="1" applyAlignment="1">
      <alignment vertical="center"/>
    </xf>
    <xf numFmtId="0" fontId="3" fillId="4" borderId="6" xfId="0" applyFont="1" applyFill="1" applyBorder="1" applyAlignment="1">
      <alignment vertical="center"/>
    </xf>
    <xf numFmtId="37" fontId="3" fillId="4" borderId="5" xfId="0" applyNumberFormat="1" applyFont="1" applyFill="1" applyBorder="1" applyAlignment="1">
      <alignment vertical="center"/>
    </xf>
    <xf numFmtId="0" fontId="13" fillId="13" borderId="11" xfId="0" applyFont="1" applyFill="1"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13" fillId="13" borderId="15" xfId="0" applyFont="1" applyFill="1" applyBorder="1" applyAlignment="1">
      <alignment horizontal="center"/>
    </xf>
    <xf numFmtId="0" fontId="13" fillId="13" borderId="13" xfId="0" applyFont="1" applyFill="1" applyBorder="1" applyAlignment="1">
      <alignment horizontal="center"/>
    </xf>
    <xf numFmtId="37" fontId="4" fillId="4" borderId="0" xfId="0" applyNumberFormat="1" applyFont="1" applyFill="1" applyAlignment="1">
      <alignment horizontal="center"/>
    </xf>
    <xf numFmtId="37" fontId="4" fillId="4" borderId="13" xfId="0" applyNumberFormat="1" applyFont="1" applyFill="1" applyBorder="1" applyAlignment="1">
      <alignment horizontal="center" wrapText="1"/>
    </xf>
    <xf numFmtId="0" fontId="0" fillId="0" borderId="8" xfId="0" applyBorder="1" applyAlignment="1">
      <alignment horizontal="center"/>
    </xf>
    <xf numFmtId="0" fontId="0" fillId="0" borderId="3" xfId="0" applyBorder="1" applyAlignment="1">
      <alignment horizontal="center"/>
    </xf>
    <xf numFmtId="37" fontId="4" fillId="13" borderId="0" xfId="0" applyNumberFormat="1" applyFont="1" applyFill="1" applyAlignment="1">
      <alignment horizontal="center"/>
    </xf>
    <xf numFmtId="37" fontId="4" fillId="4" borderId="2" xfId="0" applyNumberFormat="1" applyFont="1" applyFill="1" applyBorder="1" applyAlignment="1">
      <alignment horizontal="center" vertical="center"/>
    </xf>
    <xf numFmtId="37" fontId="4" fillId="4" borderId="8" xfId="0" applyNumberFormat="1" applyFont="1" applyFill="1" applyBorder="1" applyAlignment="1">
      <alignment horizontal="center" vertical="center"/>
    </xf>
    <xf numFmtId="37" fontId="4" fillId="4" borderId="3" xfId="0" applyNumberFormat="1" applyFont="1" applyFill="1" applyBorder="1" applyAlignment="1">
      <alignment horizontal="center" vertical="center"/>
    </xf>
    <xf numFmtId="37" fontId="4" fillId="4" borderId="2" xfId="467" applyNumberFormat="1" applyFont="1" applyFill="1" applyBorder="1" applyAlignment="1">
      <alignment horizontal="center" vertical="center" wrapText="1"/>
    </xf>
    <xf numFmtId="37" fontId="4" fillId="4" borderId="8" xfId="467" applyNumberFormat="1" applyFont="1" applyFill="1" applyBorder="1" applyAlignment="1">
      <alignment horizontal="center" vertical="center" wrapText="1"/>
    </xf>
    <xf numFmtId="37" fontId="4" fillId="4" borderId="3" xfId="467" applyNumberFormat="1" applyFont="1" applyFill="1" applyBorder="1" applyAlignment="1">
      <alignment horizontal="center" vertical="center" wrapText="1"/>
    </xf>
    <xf numFmtId="37" fontId="3" fillId="4" borderId="0" xfId="0" applyNumberFormat="1" applyFont="1" applyFill="1" applyAlignment="1">
      <alignment horizontal="center"/>
    </xf>
    <xf numFmtId="0" fontId="0" fillId="0" borderId="0" xfId="0"/>
    <xf numFmtId="0" fontId="3" fillId="13" borderId="11" xfId="0" applyFont="1" applyFill="1" applyBorder="1" applyAlignment="1">
      <alignment horizontal="center" wrapText="1"/>
    </xf>
    <xf numFmtId="0" fontId="13" fillId="13" borderId="15" xfId="0" applyFont="1" applyFill="1" applyBorder="1" applyAlignment="1">
      <alignment horizontal="center" wrapText="1"/>
    </xf>
    <xf numFmtId="0" fontId="13" fillId="13" borderId="12" xfId="0" applyFont="1" applyFill="1" applyBorder="1" applyAlignment="1">
      <alignment horizontal="center" wrapText="1"/>
    </xf>
    <xf numFmtId="0" fontId="13" fillId="13" borderId="4" xfId="0" applyFont="1" applyFill="1" applyBorder="1" applyAlignment="1">
      <alignment horizontal="center" wrapText="1"/>
    </xf>
    <xf numFmtId="0" fontId="53" fillId="13" borderId="13" xfId="0" applyFont="1" applyFill="1" applyBorder="1" applyAlignment="1">
      <alignment horizontal="center" vertical="center" wrapText="1"/>
    </xf>
    <xf numFmtId="0" fontId="52" fillId="13" borderId="9" xfId="0" applyFont="1" applyFill="1" applyBorder="1" applyAlignment="1">
      <alignment horizontal="center" vertical="center" wrapText="1"/>
    </xf>
    <xf numFmtId="37" fontId="4" fillId="4" borderId="15" xfId="0" applyNumberFormat="1" applyFont="1" applyFill="1" applyBorder="1" applyAlignment="1">
      <alignment horizontal="center"/>
    </xf>
    <xf numFmtId="37" fontId="4" fillId="4" borderId="4" xfId="0" applyNumberFormat="1" applyFont="1" applyFill="1" applyBorder="1" applyAlignment="1">
      <alignment horizontal="center"/>
    </xf>
    <xf numFmtId="0" fontId="13" fillId="4" borderId="0" xfId="406" applyFont="1" applyFill="1" applyAlignment="1">
      <alignment horizontal="center" vertical="center"/>
    </xf>
    <xf numFmtId="37" fontId="3" fillId="4" borderId="0" xfId="406" applyNumberFormat="1" applyFont="1" applyFill="1" applyAlignment="1">
      <alignment horizontal="center" vertical="center"/>
    </xf>
    <xf numFmtId="0" fontId="38" fillId="0" borderId="0" xfId="406" applyAlignment="1">
      <alignment vertical="center"/>
    </xf>
    <xf numFmtId="0" fontId="4" fillId="4" borderId="0" xfId="406" applyFont="1" applyFill="1" applyAlignment="1">
      <alignment horizontal="center" vertical="center"/>
    </xf>
    <xf numFmtId="37" fontId="13" fillId="4" borderId="0" xfId="406" applyNumberFormat="1" applyFont="1" applyFill="1" applyAlignment="1">
      <alignment horizontal="center" vertical="center"/>
    </xf>
    <xf numFmtId="37" fontId="4" fillId="4" borderId="0" xfId="406" applyNumberFormat="1" applyFont="1" applyFill="1" applyAlignment="1">
      <alignment horizontal="center" vertical="center"/>
    </xf>
    <xf numFmtId="0" fontId="4" fillId="4" borderId="1" xfId="406" applyFont="1" applyFill="1" applyBorder="1" applyAlignment="1">
      <alignment horizontal="center" vertical="center"/>
    </xf>
    <xf numFmtId="49" fontId="4" fillId="4" borderId="0" xfId="406" applyNumberFormat="1" applyFont="1" applyFill="1" applyAlignment="1" applyProtection="1">
      <alignment horizontal="left" vertical="center"/>
      <protection locked="0"/>
    </xf>
    <xf numFmtId="0" fontId="4" fillId="4" borderId="0" xfId="0" applyFont="1" applyFill="1" applyAlignment="1">
      <alignment horizontal="right"/>
    </xf>
    <xf numFmtId="0" fontId="0" fillId="0" borderId="0" xfId="0" applyAlignment="1">
      <alignment horizontal="right"/>
    </xf>
    <xf numFmtId="0" fontId="3" fillId="4" borderId="0" xfId="0" applyFont="1" applyFill="1" applyAlignment="1">
      <alignment horizontal="center"/>
    </xf>
    <xf numFmtId="0" fontId="13" fillId="0" borderId="0" xfId="406" applyFont="1" applyAlignment="1">
      <alignment horizontal="center"/>
    </xf>
    <xf numFmtId="0" fontId="3" fillId="0" borderId="0" xfId="406" applyFont="1" applyAlignment="1">
      <alignment horizontal="left" wrapText="1"/>
    </xf>
    <xf numFmtId="0" fontId="4" fillId="0" borderId="0" xfId="406" applyFont="1" applyAlignment="1">
      <alignment horizontal="left" wrapText="1"/>
    </xf>
    <xf numFmtId="0" fontId="4" fillId="0" borderId="0" xfId="406" applyFont="1" applyAlignment="1">
      <alignment horizontal="center"/>
    </xf>
    <xf numFmtId="0" fontId="67" fillId="0" borderId="5" xfId="521" applyFont="1" applyBorder="1" applyAlignment="1">
      <alignment horizontal="center"/>
    </xf>
    <xf numFmtId="0" fontId="67" fillId="0" borderId="7" xfId="521" applyFont="1" applyBorder="1" applyAlignment="1">
      <alignment horizontal="center"/>
    </xf>
    <xf numFmtId="0" fontId="67" fillId="0" borderId="6" xfId="521" applyFont="1" applyBorder="1" applyAlignment="1">
      <alignment horizontal="center"/>
    </xf>
    <xf numFmtId="0" fontId="68" fillId="0" borderId="0" xfId="521" applyFont="1" applyAlignment="1">
      <alignment horizontal="center"/>
    </xf>
    <xf numFmtId="0" fontId="67" fillId="0" borderId="0" xfId="521" applyFont="1" applyAlignment="1">
      <alignment horizontal="center" wrapText="1"/>
    </xf>
    <xf numFmtId="0" fontId="67" fillId="0" borderId="0" xfId="521" applyFont="1" applyAlignment="1">
      <alignment horizontal="center"/>
    </xf>
    <xf numFmtId="0" fontId="68" fillId="19" borderId="5" xfId="521" applyFont="1" applyFill="1" applyBorder="1" applyAlignment="1">
      <alignment horizontal="center" vertical="center"/>
    </xf>
    <xf numFmtId="0" fontId="68" fillId="19" borderId="7" xfId="521" applyFont="1" applyFill="1" applyBorder="1" applyAlignment="1">
      <alignment horizontal="center" vertical="center"/>
    </xf>
    <xf numFmtId="0" fontId="68" fillId="19" borderId="6" xfId="521" applyFont="1" applyFill="1" applyBorder="1" applyAlignment="1">
      <alignment horizontal="center" vertical="center"/>
    </xf>
    <xf numFmtId="0" fontId="67" fillId="0" borderId="1" xfId="521" applyFont="1" applyBorder="1" applyAlignment="1">
      <alignment horizontal="center"/>
    </xf>
    <xf numFmtId="0" fontId="67" fillId="0" borderId="10" xfId="521" applyFont="1" applyBorder="1" applyAlignment="1">
      <alignment horizontal="center"/>
    </xf>
    <xf numFmtId="0" fontId="70" fillId="0" borderId="3" xfId="521" applyFont="1" applyBorder="1" applyAlignment="1">
      <alignment horizontal="center" vertical="center"/>
    </xf>
    <xf numFmtId="0" fontId="67" fillId="0" borderId="4" xfId="521" applyFont="1" applyBorder="1" applyAlignment="1">
      <alignment horizontal="center" wrapText="1"/>
    </xf>
    <xf numFmtId="0" fontId="3" fillId="0" borderId="0" xfId="406" applyFont="1" applyAlignment="1">
      <alignment wrapText="1"/>
    </xf>
    <xf numFmtId="0" fontId="4" fillId="0" borderId="0" xfId="406" applyFont="1" applyAlignment="1">
      <alignment wrapText="1"/>
    </xf>
    <xf numFmtId="0" fontId="57" fillId="0" borderId="0" xfId="406" applyFont="1" applyAlignment="1">
      <alignment horizontal="center"/>
    </xf>
    <xf numFmtId="0" fontId="64" fillId="0" borderId="0" xfId="406" applyFont="1" applyAlignment="1">
      <alignment horizontal="center" wrapText="1"/>
    </xf>
    <xf numFmtId="37" fontId="3" fillId="4" borderId="0" xfId="0" applyNumberFormat="1" applyFont="1" applyFill="1" applyAlignment="1">
      <alignment horizontal="right" vertical="center"/>
    </xf>
    <xf numFmtId="37" fontId="4" fillId="4" borderId="0" xfId="0" applyNumberFormat="1" applyFont="1" applyFill="1" applyAlignment="1">
      <alignment horizontal="right" vertical="center"/>
    </xf>
    <xf numFmtId="0" fontId="4" fillId="4" borderId="0" xfId="0" applyFont="1" applyFill="1" applyBorder="1" applyAlignment="1">
      <alignment vertical="center" wrapText="1"/>
    </xf>
    <xf numFmtId="0" fontId="4" fillId="0" borderId="0" xfId="0" applyFont="1" applyFill="1" applyAlignment="1">
      <alignment vertical="center"/>
    </xf>
  </cellXfs>
  <cellStyles count="522">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2 2" xfId="6" xr:uid="{00000000-0005-0000-0000-000005000000}"/>
    <cellStyle name="Comma 3" xfId="7" xr:uid="{00000000-0005-0000-0000-000006000000}"/>
    <cellStyle name="Comma 3 2" xfId="8" xr:uid="{00000000-0005-0000-0000-000007000000}"/>
    <cellStyle name="Comma 3 3" xfId="9" xr:uid="{00000000-0005-0000-0000-000008000000}"/>
    <cellStyle name="Comma 4" xfId="10" xr:uid="{00000000-0005-0000-0000-000009000000}"/>
    <cellStyle name="Comma 4 2" xfId="11" xr:uid="{00000000-0005-0000-0000-00000A000000}"/>
    <cellStyle name="Comma 6" xfId="12" xr:uid="{00000000-0005-0000-0000-00000B000000}"/>
    <cellStyle name="Comma 6 2" xfId="13" xr:uid="{00000000-0005-0000-0000-00000C000000}"/>
    <cellStyle name="Comma 7" xfId="14" xr:uid="{00000000-0005-0000-0000-00000D000000}"/>
    <cellStyle name="Comma 7 2" xfId="15" xr:uid="{00000000-0005-0000-0000-00000E000000}"/>
    <cellStyle name="Comma 7 3" xfId="16" xr:uid="{00000000-0005-0000-0000-00000F000000}"/>
    <cellStyle name="Currency" xfId="520" builtinId="4"/>
    <cellStyle name="Hyperlink" xfId="17" builtinId="8"/>
    <cellStyle name="Hyperlink 2" xfId="18" xr:uid="{00000000-0005-0000-0000-000011000000}"/>
    <cellStyle name="Hyperlink 2 2" xfId="19" xr:uid="{00000000-0005-0000-0000-000012000000}"/>
    <cellStyle name="Hyperlink 2 3" xfId="20" xr:uid="{00000000-0005-0000-0000-000013000000}"/>
    <cellStyle name="Hyperlink 3" xfId="21" xr:uid="{00000000-0005-0000-0000-000014000000}"/>
    <cellStyle name="Hyperlink 3 2" xfId="22" xr:uid="{00000000-0005-0000-0000-000015000000}"/>
    <cellStyle name="Hyperlink 3 3" xfId="23" xr:uid="{00000000-0005-0000-0000-000016000000}"/>
    <cellStyle name="Hyperlink 3 4" xfId="24" xr:uid="{00000000-0005-0000-0000-000017000000}"/>
    <cellStyle name="Hyperlink 4" xfId="25" xr:uid="{00000000-0005-0000-0000-000018000000}"/>
    <cellStyle name="Hyperlink 4 2" xfId="26" xr:uid="{00000000-0005-0000-0000-000019000000}"/>
    <cellStyle name="Hyperlink 7" xfId="27" xr:uid="{00000000-0005-0000-0000-00001A000000}"/>
    <cellStyle name="Hyperlink 7 2" xfId="28" xr:uid="{00000000-0005-0000-0000-00001B000000}"/>
    <cellStyle name="Hyperlink 7 3" xfId="29" xr:uid="{00000000-0005-0000-0000-00001C000000}"/>
    <cellStyle name="Hyperlink 8" xfId="30" xr:uid="{00000000-0005-0000-0000-00001D000000}"/>
    <cellStyle name="Hyperlink 8 2" xfId="31" xr:uid="{00000000-0005-0000-0000-00001E000000}"/>
    <cellStyle name="Normal" xfId="0" builtinId="0"/>
    <cellStyle name="Normal 10" xfId="32" xr:uid="{00000000-0005-0000-0000-000020000000}"/>
    <cellStyle name="Normal 10 2" xfId="33" xr:uid="{00000000-0005-0000-0000-000021000000}"/>
    <cellStyle name="Normal 10 2 2" xfId="34" xr:uid="{00000000-0005-0000-0000-000022000000}"/>
    <cellStyle name="Normal 10 2 2 2" xfId="35" xr:uid="{00000000-0005-0000-0000-000023000000}"/>
    <cellStyle name="Normal 10 2 2 3" xfId="36" xr:uid="{00000000-0005-0000-0000-000024000000}"/>
    <cellStyle name="Normal 10 2 3" xfId="37" xr:uid="{00000000-0005-0000-0000-000025000000}"/>
    <cellStyle name="Normal 10 3" xfId="38" xr:uid="{00000000-0005-0000-0000-000026000000}"/>
    <cellStyle name="Normal 10 4" xfId="39" xr:uid="{00000000-0005-0000-0000-000027000000}"/>
    <cellStyle name="Normal 10 5" xfId="40" xr:uid="{00000000-0005-0000-0000-000028000000}"/>
    <cellStyle name="Normal 10 5 2" xfId="41" xr:uid="{00000000-0005-0000-0000-000029000000}"/>
    <cellStyle name="Normal 10 5 3" xfId="42" xr:uid="{00000000-0005-0000-0000-00002A000000}"/>
    <cellStyle name="Normal 10 6" xfId="43" xr:uid="{00000000-0005-0000-0000-00002B000000}"/>
    <cellStyle name="Normal 10 7" xfId="44" xr:uid="{00000000-0005-0000-0000-00002C000000}"/>
    <cellStyle name="Normal 11" xfId="45" xr:uid="{00000000-0005-0000-0000-00002D000000}"/>
    <cellStyle name="Normal 11 2" xfId="46" xr:uid="{00000000-0005-0000-0000-00002E000000}"/>
    <cellStyle name="Normal 11 2 2" xfId="47" xr:uid="{00000000-0005-0000-0000-00002F000000}"/>
    <cellStyle name="Normal 11 2 3" xfId="48" xr:uid="{00000000-0005-0000-0000-000030000000}"/>
    <cellStyle name="Normal 11 3" xfId="49" xr:uid="{00000000-0005-0000-0000-000031000000}"/>
    <cellStyle name="Normal 11 4" xfId="50" xr:uid="{00000000-0005-0000-0000-000032000000}"/>
    <cellStyle name="Normal 11 5" xfId="51" xr:uid="{00000000-0005-0000-0000-000033000000}"/>
    <cellStyle name="Normal 11 5 2" xfId="52" xr:uid="{00000000-0005-0000-0000-000034000000}"/>
    <cellStyle name="Normal 11 5 3" xfId="53" xr:uid="{00000000-0005-0000-0000-000035000000}"/>
    <cellStyle name="Normal 11 6" xfId="54" xr:uid="{00000000-0005-0000-0000-000036000000}"/>
    <cellStyle name="Normal 12" xfId="55" xr:uid="{00000000-0005-0000-0000-000037000000}"/>
    <cellStyle name="Normal 12 10" xfId="56" xr:uid="{00000000-0005-0000-0000-000038000000}"/>
    <cellStyle name="Normal 12 11" xfId="57" xr:uid="{00000000-0005-0000-0000-000039000000}"/>
    <cellStyle name="Normal 12 12" xfId="58" xr:uid="{00000000-0005-0000-0000-00003A000000}"/>
    <cellStyle name="Normal 12 13" xfId="59" xr:uid="{00000000-0005-0000-0000-00003B000000}"/>
    <cellStyle name="Normal 12 2" xfId="60" xr:uid="{00000000-0005-0000-0000-00003C000000}"/>
    <cellStyle name="Normal 12 2 2" xfId="61" xr:uid="{00000000-0005-0000-0000-00003D000000}"/>
    <cellStyle name="Normal 12 3" xfId="62" xr:uid="{00000000-0005-0000-0000-00003E000000}"/>
    <cellStyle name="Normal 12 4" xfId="63" xr:uid="{00000000-0005-0000-0000-00003F000000}"/>
    <cellStyle name="Normal 12 5" xfId="64" xr:uid="{00000000-0005-0000-0000-000040000000}"/>
    <cellStyle name="Normal 12 6" xfId="65" xr:uid="{00000000-0005-0000-0000-000041000000}"/>
    <cellStyle name="Normal 12 7" xfId="66" xr:uid="{00000000-0005-0000-0000-000042000000}"/>
    <cellStyle name="Normal 12 8" xfId="67" xr:uid="{00000000-0005-0000-0000-000043000000}"/>
    <cellStyle name="Normal 12 9" xfId="68" xr:uid="{00000000-0005-0000-0000-000044000000}"/>
    <cellStyle name="Normal 13" xfId="69" xr:uid="{00000000-0005-0000-0000-000045000000}"/>
    <cellStyle name="Normal 13 10" xfId="70" xr:uid="{00000000-0005-0000-0000-000046000000}"/>
    <cellStyle name="Normal 13 11" xfId="71" xr:uid="{00000000-0005-0000-0000-000047000000}"/>
    <cellStyle name="Normal 13 12" xfId="72" xr:uid="{00000000-0005-0000-0000-000048000000}"/>
    <cellStyle name="Normal 13 13" xfId="73" xr:uid="{00000000-0005-0000-0000-000049000000}"/>
    <cellStyle name="Normal 13 2" xfId="74" xr:uid="{00000000-0005-0000-0000-00004A000000}"/>
    <cellStyle name="Normal 13 2 2" xfId="75" xr:uid="{00000000-0005-0000-0000-00004B000000}"/>
    <cellStyle name="Normal 13 3" xfId="76" xr:uid="{00000000-0005-0000-0000-00004C000000}"/>
    <cellStyle name="Normal 13 4" xfId="77" xr:uid="{00000000-0005-0000-0000-00004D000000}"/>
    <cellStyle name="Normal 13 5" xfId="78" xr:uid="{00000000-0005-0000-0000-00004E000000}"/>
    <cellStyle name="Normal 13 6" xfId="79" xr:uid="{00000000-0005-0000-0000-00004F000000}"/>
    <cellStyle name="Normal 13 7" xfId="80" xr:uid="{00000000-0005-0000-0000-000050000000}"/>
    <cellStyle name="Normal 13 8" xfId="81" xr:uid="{00000000-0005-0000-0000-000051000000}"/>
    <cellStyle name="Normal 13 9" xfId="82" xr:uid="{00000000-0005-0000-0000-000052000000}"/>
    <cellStyle name="Normal 14" xfId="83" xr:uid="{00000000-0005-0000-0000-000053000000}"/>
    <cellStyle name="Normal 14 2" xfId="84" xr:uid="{00000000-0005-0000-0000-000054000000}"/>
    <cellStyle name="Normal 14 3" xfId="85" xr:uid="{00000000-0005-0000-0000-000055000000}"/>
    <cellStyle name="Normal 14 4" xfId="86" xr:uid="{00000000-0005-0000-0000-000056000000}"/>
    <cellStyle name="Normal 14 5" xfId="87" xr:uid="{00000000-0005-0000-0000-000057000000}"/>
    <cellStyle name="Normal 14 6" xfId="88" xr:uid="{00000000-0005-0000-0000-000058000000}"/>
    <cellStyle name="Normal 14 7" xfId="89" xr:uid="{00000000-0005-0000-0000-000059000000}"/>
    <cellStyle name="Normal 15" xfId="90" xr:uid="{00000000-0005-0000-0000-00005A000000}"/>
    <cellStyle name="Normal 15 2" xfId="91" xr:uid="{00000000-0005-0000-0000-00005B000000}"/>
    <cellStyle name="Normal 15 3" xfId="92" xr:uid="{00000000-0005-0000-0000-00005C000000}"/>
    <cellStyle name="Normal 15 4" xfId="93" xr:uid="{00000000-0005-0000-0000-00005D000000}"/>
    <cellStyle name="Normal 15 5" xfId="94" xr:uid="{00000000-0005-0000-0000-00005E000000}"/>
    <cellStyle name="Normal 16" xfId="95" xr:uid="{00000000-0005-0000-0000-00005F000000}"/>
    <cellStyle name="Normal 16 2" xfId="96" xr:uid="{00000000-0005-0000-0000-000060000000}"/>
    <cellStyle name="Normal 16 3" xfId="97" xr:uid="{00000000-0005-0000-0000-000061000000}"/>
    <cellStyle name="Normal 16 4" xfId="98" xr:uid="{00000000-0005-0000-0000-000062000000}"/>
    <cellStyle name="Normal 16 5" xfId="99" xr:uid="{00000000-0005-0000-0000-000063000000}"/>
    <cellStyle name="Normal 17" xfId="100" xr:uid="{00000000-0005-0000-0000-000064000000}"/>
    <cellStyle name="Normal 17 2" xfId="101" xr:uid="{00000000-0005-0000-0000-000065000000}"/>
    <cellStyle name="Normal 17 3" xfId="102" xr:uid="{00000000-0005-0000-0000-000066000000}"/>
    <cellStyle name="Normal 17 4" xfId="103" xr:uid="{00000000-0005-0000-0000-000067000000}"/>
    <cellStyle name="Normal 17 5" xfId="104" xr:uid="{00000000-0005-0000-0000-000068000000}"/>
    <cellStyle name="Normal 18" xfId="105" xr:uid="{00000000-0005-0000-0000-000069000000}"/>
    <cellStyle name="Normal 18 2" xfId="106" xr:uid="{00000000-0005-0000-0000-00006A000000}"/>
    <cellStyle name="Normal 18 2 2" xfId="107" xr:uid="{00000000-0005-0000-0000-00006B000000}"/>
    <cellStyle name="Normal 18 2 3" xfId="108" xr:uid="{00000000-0005-0000-0000-00006C000000}"/>
    <cellStyle name="Normal 18 3" xfId="109" xr:uid="{00000000-0005-0000-0000-00006D000000}"/>
    <cellStyle name="Normal 18 4" xfId="110" xr:uid="{00000000-0005-0000-0000-00006E000000}"/>
    <cellStyle name="Normal 18 5" xfId="111" xr:uid="{00000000-0005-0000-0000-00006F000000}"/>
    <cellStyle name="Normal 18 6" xfId="112" xr:uid="{00000000-0005-0000-0000-000070000000}"/>
    <cellStyle name="Normal 18 7" xfId="113" xr:uid="{00000000-0005-0000-0000-000071000000}"/>
    <cellStyle name="Normal 18 8" xfId="114" xr:uid="{00000000-0005-0000-0000-000072000000}"/>
    <cellStyle name="Normal 18 9" xfId="115" xr:uid="{00000000-0005-0000-0000-000073000000}"/>
    <cellStyle name="Normal 19" xfId="116" xr:uid="{00000000-0005-0000-0000-000074000000}"/>
    <cellStyle name="Normal 19 2" xfId="117" xr:uid="{00000000-0005-0000-0000-000075000000}"/>
    <cellStyle name="Normal 19 2 2" xfId="118" xr:uid="{00000000-0005-0000-0000-000076000000}"/>
    <cellStyle name="Normal 19 2 3" xfId="119" xr:uid="{00000000-0005-0000-0000-000077000000}"/>
    <cellStyle name="Normal 19 3" xfId="120" xr:uid="{00000000-0005-0000-0000-000078000000}"/>
    <cellStyle name="Normal 19 4" xfId="121" xr:uid="{00000000-0005-0000-0000-000079000000}"/>
    <cellStyle name="Normal 19 5" xfId="122" xr:uid="{00000000-0005-0000-0000-00007A000000}"/>
    <cellStyle name="Normal 19 6" xfId="123" xr:uid="{00000000-0005-0000-0000-00007B000000}"/>
    <cellStyle name="Normal 19 7" xfId="124" xr:uid="{00000000-0005-0000-0000-00007C000000}"/>
    <cellStyle name="Normal 19 8" xfId="125" xr:uid="{00000000-0005-0000-0000-00007D000000}"/>
    <cellStyle name="Normal 2" xfId="521" xr:uid="{48B78BA1-C795-48C6-A167-49BA4F4E0D11}"/>
    <cellStyle name="Normal 2 10" xfId="126" xr:uid="{00000000-0005-0000-0000-00007E000000}"/>
    <cellStyle name="Normal 2 10 10" xfId="127" xr:uid="{00000000-0005-0000-0000-00007F000000}"/>
    <cellStyle name="Normal 2 10 11" xfId="128" xr:uid="{00000000-0005-0000-0000-000080000000}"/>
    <cellStyle name="Normal 2 10 11 2" xfId="129" xr:uid="{00000000-0005-0000-0000-000081000000}"/>
    <cellStyle name="Normal 2 10 11 2 2" xfId="130" xr:uid="{00000000-0005-0000-0000-000082000000}"/>
    <cellStyle name="Normal 2 10 11 2 2 2" xfId="131" xr:uid="{00000000-0005-0000-0000-000083000000}"/>
    <cellStyle name="Normal 2 10 11 2 2 3" xfId="132" xr:uid="{00000000-0005-0000-0000-000084000000}"/>
    <cellStyle name="Normal 2 10 11 3" xfId="133" xr:uid="{00000000-0005-0000-0000-000085000000}"/>
    <cellStyle name="Normal 2 10 11 4" xfId="134" xr:uid="{00000000-0005-0000-0000-000086000000}"/>
    <cellStyle name="Normal 2 10 11 5" xfId="135" xr:uid="{00000000-0005-0000-0000-000087000000}"/>
    <cellStyle name="Normal 2 10 12" xfId="136" xr:uid="{00000000-0005-0000-0000-000088000000}"/>
    <cellStyle name="Normal 2 10 2" xfId="137" xr:uid="{00000000-0005-0000-0000-000089000000}"/>
    <cellStyle name="Normal 2 10 2 2" xfId="138" xr:uid="{00000000-0005-0000-0000-00008A000000}"/>
    <cellStyle name="Normal 2 10 3" xfId="139" xr:uid="{00000000-0005-0000-0000-00008B000000}"/>
    <cellStyle name="Normal 2 10 3 2" xfId="140" xr:uid="{00000000-0005-0000-0000-00008C000000}"/>
    <cellStyle name="Normal 2 10 4" xfId="141" xr:uid="{00000000-0005-0000-0000-00008D000000}"/>
    <cellStyle name="Normal 2 10 4 2" xfId="142" xr:uid="{00000000-0005-0000-0000-00008E000000}"/>
    <cellStyle name="Normal 2 10 5" xfId="143" xr:uid="{00000000-0005-0000-0000-00008F000000}"/>
    <cellStyle name="Normal 2 10 5 2" xfId="144" xr:uid="{00000000-0005-0000-0000-000090000000}"/>
    <cellStyle name="Normal 2 10 6" xfId="145" xr:uid="{00000000-0005-0000-0000-000091000000}"/>
    <cellStyle name="Normal 2 10 6 2" xfId="146" xr:uid="{00000000-0005-0000-0000-000092000000}"/>
    <cellStyle name="Normal 2 10 7" xfId="147" xr:uid="{00000000-0005-0000-0000-000093000000}"/>
    <cellStyle name="Normal 2 10 7 2" xfId="148" xr:uid="{00000000-0005-0000-0000-000094000000}"/>
    <cellStyle name="Normal 2 10 8" xfId="149" xr:uid="{00000000-0005-0000-0000-000095000000}"/>
    <cellStyle name="Normal 2 10 8 2" xfId="150" xr:uid="{00000000-0005-0000-0000-000096000000}"/>
    <cellStyle name="Normal 2 10 9" xfId="151" xr:uid="{00000000-0005-0000-0000-000097000000}"/>
    <cellStyle name="Normal 2 11" xfId="152" xr:uid="{00000000-0005-0000-0000-000098000000}"/>
    <cellStyle name="Normal 2 11 10" xfId="153" xr:uid="{00000000-0005-0000-0000-000099000000}"/>
    <cellStyle name="Normal 2 11 11" xfId="154" xr:uid="{00000000-0005-0000-0000-00009A000000}"/>
    <cellStyle name="Normal 2 11 2" xfId="155" xr:uid="{00000000-0005-0000-0000-00009B000000}"/>
    <cellStyle name="Normal 2 11 2 2" xfId="156" xr:uid="{00000000-0005-0000-0000-00009C000000}"/>
    <cellStyle name="Normal 2 11 3" xfId="157" xr:uid="{00000000-0005-0000-0000-00009D000000}"/>
    <cellStyle name="Normal 2 11 3 2" xfId="158" xr:uid="{00000000-0005-0000-0000-00009E000000}"/>
    <cellStyle name="Normal 2 11 4" xfId="159" xr:uid="{00000000-0005-0000-0000-00009F000000}"/>
    <cellStyle name="Normal 2 11 4 2" xfId="160" xr:uid="{00000000-0005-0000-0000-0000A0000000}"/>
    <cellStyle name="Normal 2 11 5" xfId="161" xr:uid="{00000000-0005-0000-0000-0000A1000000}"/>
    <cellStyle name="Normal 2 11 5 2" xfId="162" xr:uid="{00000000-0005-0000-0000-0000A2000000}"/>
    <cellStyle name="Normal 2 11 6" xfId="163" xr:uid="{00000000-0005-0000-0000-0000A3000000}"/>
    <cellStyle name="Normal 2 11 6 2" xfId="164" xr:uid="{00000000-0005-0000-0000-0000A4000000}"/>
    <cellStyle name="Normal 2 11 7" xfId="165" xr:uid="{00000000-0005-0000-0000-0000A5000000}"/>
    <cellStyle name="Normal 2 11 7 2" xfId="166" xr:uid="{00000000-0005-0000-0000-0000A6000000}"/>
    <cellStyle name="Normal 2 11 8" xfId="167" xr:uid="{00000000-0005-0000-0000-0000A7000000}"/>
    <cellStyle name="Normal 2 11 8 2" xfId="168" xr:uid="{00000000-0005-0000-0000-0000A8000000}"/>
    <cellStyle name="Normal 2 11 9" xfId="169" xr:uid="{00000000-0005-0000-0000-0000A9000000}"/>
    <cellStyle name="Normal 2 12" xfId="170" xr:uid="{00000000-0005-0000-0000-0000AA000000}"/>
    <cellStyle name="Normal 2 13" xfId="171" xr:uid="{00000000-0005-0000-0000-0000AB000000}"/>
    <cellStyle name="Normal 2 14" xfId="172" xr:uid="{00000000-0005-0000-0000-0000AC000000}"/>
    <cellStyle name="Normal 2 15" xfId="173" xr:uid="{00000000-0005-0000-0000-0000AD000000}"/>
    <cellStyle name="Normal 2 16" xfId="174" xr:uid="{00000000-0005-0000-0000-0000AE000000}"/>
    <cellStyle name="Normal 2 17" xfId="175" xr:uid="{00000000-0005-0000-0000-0000AF000000}"/>
    <cellStyle name="Normal 2 17 2" xfId="176" xr:uid="{00000000-0005-0000-0000-0000B0000000}"/>
    <cellStyle name="Normal 2 17 3" xfId="177" xr:uid="{00000000-0005-0000-0000-0000B1000000}"/>
    <cellStyle name="Normal 2 17 4" xfId="178" xr:uid="{00000000-0005-0000-0000-0000B2000000}"/>
    <cellStyle name="Normal 2 2" xfId="179" xr:uid="{00000000-0005-0000-0000-0000B3000000}"/>
    <cellStyle name="Normal 2 2 10" xfId="180" xr:uid="{00000000-0005-0000-0000-0000B4000000}"/>
    <cellStyle name="Normal 2 2 10 2" xfId="181" xr:uid="{00000000-0005-0000-0000-0000B5000000}"/>
    <cellStyle name="Normal 2 2 11" xfId="182" xr:uid="{00000000-0005-0000-0000-0000B6000000}"/>
    <cellStyle name="Normal 2 2 11 2" xfId="183" xr:uid="{00000000-0005-0000-0000-0000B7000000}"/>
    <cellStyle name="Normal 2 2 12" xfId="184" xr:uid="{00000000-0005-0000-0000-0000B8000000}"/>
    <cellStyle name="Normal 2 2 12 2" xfId="185" xr:uid="{00000000-0005-0000-0000-0000B9000000}"/>
    <cellStyle name="Normal 2 2 12 2 2" xfId="186" xr:uid="{00000000-0005-0000-0000-0000BA000000}"/>
    <cellStyle name="Normal 2 2 12 2 3" xfId="187" xr:uid="{00000000-0005-0000-0000-0000BB000000}"/>
    <cellStyle name="Normal 2 2 12 2 4" xfId="188" xr:uid="{00000000-0005-0000-0000-0000BC000000}"/>
    <cellStyle name="Normal 2 2 12 3" xfId="189" xr:uid="{00000000-0005-0000-0000-0000BD000000}"/>
    <cellStyle name="Normal 2 2 12 4" xfId="190" xr:uid="{00000000-0005-0000-0000-0000BE000000}"/>
    <cellStyle name="Normal 2 2 13" xfId="191" xr:uid="{00000000-0005-0000-0000-0000BF000000}"/>
    <cellStyle name="Normal 2 2 13 2" xfId="192" xr:uid="{00000000-0005-0000-0000-0000C0000000}"/>
    <cellStyle name="Normal 2 2 13 2 2" xfId="193" xr:uid="{00000000-0005-0000-0000-0000C1000000}"/>
    <cellStyle name="Normal 2 2 13 2 3" xfId="194" xr:uid="{00000000-0005-0000-0000-0000C2000000}"/>
    <cellStyle name="Normal 2 2 13 2 4" xfId="195" xr:uid="{00000000-0005-0000-0000-0000C3000000}"/>
    <cellStyle name="Normal 2 2 13 3" xfId="196" xr:uid="{00000000-0005-0000-0000-0000C4000000}"/>
    <cellStyle name="Normal 2 2 13 4" xfId="197" xr:uid="{00000000-0005-0000-0000-0000C5000000}"/>
    <cellStyle name="Normal 2 2 14" xfId="198" xr:uid="{00000000-0005-0000-0000-0000C6000000}"/>
    <cellStyle name="Normal 2 2 14 2" xfId="199" xr:uid="{00000000-0005-0000-0000-0000C7000000}"/>
    <cellStyle name="Normal 2 2 15" xfId="200" xr:uid="{00000000-0005-0000-0000-0000C8000000}"/>
    <cellStyle name="Normal 2 2 15 2" xfId="201" xr:uid="{00000000-0005-0000-0000-0000C9000000}"/>
    <cellStyle name="Normal 2 2 16" xfId="202" xr:uid="{00000000-0005-0000-0000-0000CA000000}"/>
    <cellStyle name="Normal 2 2 16 2" xfId="203" xr:uid="{00000000-0005-0000-0000-0000CB000000}"/>
    <cellStyle name="Normal 2 2 16 3" xfId="204" xr:uid="{00000000-0005-0000-0000-0000CC000000}"/>
    <cellStyle name="Normal 2 2 17" xfId="205" xr:uid="{00000000-0005-0000-0000-0000CD000000}"/>
    <cellStyle name="Normal 2 2 18" xfId="206" xr:uid="{00000000-0005-0000-0000-0000CE000000}"/>
    <cellStyle name="Normal 2 2 19" xfId="207" xr:uid="{00000000-0005-0000-0000-0000CF000000}"/>
    <cellStyle name="Normal 2 2 2" xfId="208" xr:uid="{00000000-0005-0000-0000-0000D0000000}"/>
    <cellStyle name="Normal 2 2 2 2" xfId="209" xr:uid="{00000000-0005-0000-0000-0000D1000000}"/>
    <cellStyle name="Normal 2 2 2 2 2" xfId="210" xr:uid="{00000000-0005-0000-0000-0000D2000000}"/>
    <cellStyle name="Normal 2 2 2 2 3" xfId="211" xr:uid="{00000000-0005-0000-0000-0000D3000000}"/>
    <cellStyle name="Normal 2 2 2 2 3 2" xfId="212" xr:uid="{00000000-0005-0000-0000-0000D4000000}"/>
    <cellStyle name="Normal 2 2 2 2 3 3" xfId="213" xr:uid="{00000000-0005-0000-0000-0000D5000000}"/>
    <cellStyle name="Normal 2 2 2 3" xfId="214" xr:uid="{00000000-0005-0000-0000-0000D6000000}"/>
    <cellStyle name="Normal 2 2 2 3 2" xfId="215" xr:uid="{00000000-0005-0000-0000-0000D7000000}"/>
    <cellStyle name="Normal 2 2 2 3 3" xfId="216" xr:uid="{00000000-0005-0000-0000-0000D8000000}"/>
    <cellStyle name="Normal 2 2 2 3 4" xfId="217" xr:uid="{00000000-0005-0000-0000-0000D9000000}"/>
    <cellStyle name="Normal 2 2 2 4" xfId="218" xr:uid="{00000000-0005-0000-0000-0000DA000000}"/>
    <cellStyle name="Normal 2 2 2 4 2" xfId="219" xr:uid="{00000000-0005-0000-0000-0000DB000000}"/>
    <cellStyle name="Normal 2 2 2 5" xfId="220" xr:uid="{00000000-0005-0000-0000-0000DC000000}"/>
    <cellStyle name="Normal 2 2 2 5 2" xfId="221" xr:uid="{00000000-0005-0000-0000-0000DD000000}"/>
    <cellStyle name="Normal 2 2 2 5 3" xfId="222" xr:uid="{00000000-0005-0000-0000-0000DE000000}"/>
    <cellStyle name="Normal 2 2 2 5 4" xfId="223" xr:uid="{00000000-0005-0000-0000-0000DF000000}"/>
    <cellStyle name="Normal 2 2 2 6" xfId="224" xr:uid="{00000000-0005-0000-0000-0000E0000000}"/>
    <cellStyle name="Normal 2 2 2 6 2" xfId="225" xr:uid="{00000000-0005-0000-0000-0000E1000000}"/>
    <cellStyle name="Normal 2 2 2 7" xfId="226" xr:uid="{00000000-0005-0000-0000-0000E2000000}"/>
    <cellStyle name="Normal 2 2 2 7 2" xfId="227" xr:uid="{00000000-0005-0000-0000-0000E3000000}"/>
    <cellStyle name="Normal 2 2 2 7 3" xfId="228" xr:uid="{00000000-0005-0000-0000-0000E4000000}"/>
    <cellStyle name="Normal 2 2 2 8" xfId="229" xr:uid="{00000000-0005-0000-0000-0000E5000000}"/>
    <cellStyle name="Normal 2 2 20" xfId="230" xr:uid="{00000000-0005-0000-0000-0000E6000000}"/>
    <cellStyle name="Normal 2 2 21" xfId="231" xr:uid="{00000000-0005-0000-0000-0000E7000000}"/>
    <cellStyle name="Normal 2 2 22" xfId="232" xr:uid="{00000000-0005-0000-0000-0000E8000000}"/>
    <cellStyle name="Normal 2 2 3" xfId="233" xr:uid="{00000000-0005-0000-0000-0000E9000000}"/>
    <cellStyle name="Normal 2 2 3 2" xfId="234" xr:uid="{00000000-0005-0000-0000-0000EA000000}"/>
    <cellStyle name="Normal 2 2 4" xfId="235" xr:uid="{00000000-0005-0000-0000-0000EB000000}"/>
    <cellStyle name="Normal 2 2 4 2" xfId="236" xr:uid="{00000000-0005-0000-0000-0000EC000000}"/>
    <cellStyle name="Normal 2 2 5" xfId="237" xr:uid="{00000000-0005-0000-0000-0000ED000000}"/>
    <cellStyle name="Normal 2 2 5 2" xfId="238" xr:uid="{00000000-0005-0000-0000-0000EE000000}"/>
    <cellStyle name="Normal 2 2 6" xfId="239" xr:uid="{00000000-0005-0000-0000-0000EF000000}"/>
    <cellStyle name="Normal 2 2 6 2" xfId="240" xr:uid="{00000000-0005-0000-0000-0000F0000000}"/>
    <cellStyle name="Normal 2 2 7" xfId="241" xr:uid="{00000000-0005-0000-0000-0000F1000000}"/>
    <cellStyle name="Normal 2 2 7 2" xfId="242" xr:uid="{00000000-0005-0000-0000-0000F2000000}"/>
    <cellStyle name="Normal 2 2 8" xfId="243" xr:uid="{00000000-0005-0000-0000-0000F3000000}"/>
    <cellStyle name="Normal 2 2 8 2" xfId="244" xr:uid="{00000000-0005-0000-0000-0000F4000000}"/>
    <cellStyle name="Normal 2 2 9" xfId="245" xr:uid="{00000000-0005-0000-0000-0000F5000000}"/>
    <cellStyle name="Normal 2 2 9 2" xfId="246" xr:uid="{00000000-0005-0000-0000-0000F6000000}"/>
    <cellStyle name="Normal 2 3" xfId="247" xr:uid="{00000000-0005-0000-0000-0000F7000000}"/>
    <cellStyle name="Normal 2 3 10" xfId="248" xr:uid="{00000000-0005-0000-0000-0000F8000000}"/>
    <cellStyle name="Normal 2 3 11" xfId="249" xr:uid="{00000000-0005-0000-0000-0000F9000000}"/>
    <cellStyle name="Normal 2 3 12" xfId="250" xr:uid="{00000000-0005-0000-0000-0000FA000000}"/>
    <cellStyle name="Normal 2 3 13" xfId="251" xr:uid="{00000000-0005-0000-0000-0000FB000000}"/>
    <cellStyle name="Normal 2 3 14" xfId="252" xr:uid="{00000000-0005-0000-0000-0000FC000000}"/>
    <cellStyle name="Normal 2 3 15" xfId="253" xr:uid="{00000000-0005-0000-0000-0000FD000000}"/>
    <cellStyle name="Normal 2 3 2" xfId="254" xr:uid="{00000000-0005-0000-0000-0000FE000000}"/>
    <cellStyle name="Normal 2 3 2 2" xfId="255" xr:uid="{00000000-0005-0000-0000-0000FF000000}"/>
    <cellStyle name="Normal 2 3 2 2 2" xfId="256" xr:uid="{00000000-0005-0000-0000-000000010000}"/>
    <cellStyle name="Normal 2 3 2 2 3" xfId="257" xr:uid="{00000000-0005-0000-0000-000001010000}"/>
    <cellStyle name="Normal 2 3 2 3" xfId="258" xr:uid="{00000000-0005-0000-0000-000002010000}"/>
    <cellStyle name="Normal 2 3 2 4" xfId="259" xr:uid="{00000000-0005-0000-0000-000003010000}"/>
    <cellStyle name="Normal 2 3 2 5" xfId="260" xr:uid="{00000000-0005-0000-0000-000004010000}"/>
    <cellStyle name="Normal 2 3 3" xfId="261" xr:uid="{00000000-0005-0000-0000-000005010000}"/>
    <cellStyle name="Normal 2 3 3 2" xfId="262" xr:uid="{00000000-0005-0000-0000-000006010000}"/>
    <cellStyle name="Normal 2 3 3 3" xfId="263" xr:uid="{00000000-0005-0000-0000-000007010000}"/>
    <cellStyle name="Normal 2 3 4" xfId="264" xr:uid="{00000000-0005-0000-0000-000008010000}"/>
    <cellStyle name="Normal 2 3 5" xfId="265" xr:uid="{00000000-0005-0000-0000-000009010000}"/>
    <cellStyle name="Normal 2 3 6" xfId="266" xr:uid="{00000000-0005-0000-0000-00000A010000}"/>
    <cellStyle name="Normal 2 3 7" xfId="267" xr:uid="{00000000-0005-0000-0000-00000B010000}"/>
    <cellStyle name="Normal 2 3 8" xfId="268" xr:uid="{00000000-0005-0000-0000-00000C010000}"/>
    <cellStyle name="Normal 2 3 9" xfId="269" xr:uid="{00000000-0005-0000-0000-00000D010000}"/>
    <cellStyle name="Normal 2 4" xfId="270" xr:uid="{00000000-0005-0000-0000-00000E010000}"/>
    <cellStyle name="Normal 2 4 10" xfId="271" xr:uid="{00000000-0005-0000-0000-00000F010000}"/>
    <cellStyle name="Normal 2 4 11" xfId="272" xr:uid="{00000000-0005-0000-0000-000010010000}"/>
    <cellStyle name="Normal 2 4 12" xfId="273" xr:uid="{00000000-0005-0000-0000-000011010000}"/>
    <cellStyle name="Normal 2 4 12 2" xfId="274" xr:uid="{00000000-0005-0000-0000-000012010000}"/>
    <cellStyle name="Normal 2 4 12 3" xfId="275" xr:uid="{00000000-0005-0000-0000-000013010000}"/>
    <cellStyle name="Normal 2 4 13" xfId="276" xr:uid="{00000000-0005-0000-0000-000014010000}"/>
    <cellStyle name="Normal 2 4 13 2" xfId="277" xr:uid="{00000000-0005-0000-0000-000015010000}"/>
    <cellStyle name="Normal 2 4 13 3" xfId="278" xr:uid="{00000000-0005-0000-0000-000016010000}"/>
    <cellStyle name="Normal 2 4 2" xfId="279" xr:uid="{00000000-0005-0000-0000-000017010000}"/>
    <cellStyle name="Normal 2 4 2 2" xfId="280" xr:uid="{00000000-0005-0000-0000-000018010000}"/>
    <cellStyle name="Normal 2 4 2 2 2" xfId="281" xr:uid="{00000000-0005-0000-0000-000019010000}"/>
    <cellStyle name="Normal 2 4 2 2 3" xfId="282" xr:uid="{00000000-0005-0000-0000-00001A010000}"/>
    <cellStyle name="Normal 2 4 2 3" xfId="283" xr:uid="{00000000-0005-0000-0000-00001B010000}"/>
    <cellStyle name="Normal 2 4 2 4" xfId="284" xr:uid="{00000000-0005-0000-0000-00001C010000}"/>
    <cellStyle name="Normal 2 4 2 5" xfId="285" xr:uid="{00000000-0005-0000-0000-00001D010000}"/>
    <cellStyle name="Normal 2 4 3" xfId="286" xr:uid="{00000000-0005-0000-0000-00001E010000}"/>
    <cellStyle name="Normal 2 4 3 2" xfId="287" xr:uid="{00000000-0005-0000-0000-00001F010000}"/>
    <cellStyle name="Normal 2 4 3 3" xfId="288" xr:uid="{00000000-0005-0000-0000-000020010000}"/>
    <cellStyle name="Normal 2 4 4" xfId="289" xr:uid="{00000000-0005-0000-0000-000021010000}"/>
    <cellStyle name="Normal 2 4 5" xfId="290" xr:uid="{00000000-0005-0000-0000-000022010000}"/>
    <cellStyle name="Normal 2 4 6" xfId="291" xr:uid="{00000000-0005-0000-0000-000023010000}"/>
    <cellStyle name="Normal 2 4 7" xfId="292" xr:uid="{00000000-0005-0000-0000-000024010000}"/>
    <cellStyle name="Normal 2 4 8" xfId="293" xr:uid="{00000000-0005-0000-0000-000025010000}"/>
    <cellStyle name="Normal 2 4 9" xfId="294" xr:uid="{00000000-0005-0000-0000-000026010000}"/>
    <cellStyle name="Normal 2 5" xfId="295" xr:uid="{00000000-0005-0000-0000-000027010000}"/>
    <cellStyle name="Normal 2 5 10" xfId="296" xr:uid="{00000000-0005-0000-0000-000028010000}"/>
    <cellStyle name="Normal 2 5 11" xfId="297" xr:uid="{00000000-0005-0000-0000-000029010000}"/>
    <cellStyle name="Normal 2 5 12" xfId="298" xr:uid="{00000000-0005-0000-0000-00002A010000}"/>
    <cellStyle name="Normal 2 5 12 2" xfId="299" xr:uid="{00000000-0005-0000-0000-00002B010000}"/>
    <cellStyle name="Normal 2 5 12 3" xfId="300" xr:uid="{00000000-0005-0000-0000-00002C010000}"/>
    <cellStyle name="Normal 2 5 2" xfId="301" xr:uid="{00000000-0005-0000-0000-00002D010000}"/>
    <cellStyle name="Normal 2 5 2 2" xfId="302" xr:uid="{00000000-0005-0000-0000-00002E010000}"/>
    <cellStyle name="Normal 2 5 3" xfId="303" xr:uid="{00000000-0005-0000-0000-00002F010000}"/>
    <cellStyle name="Normal 2 5 3 2" xfId="304" xr:uid="{00000000-0005-0000-0000-000030010000}"/>
    <cellStyle name="Normal 2 5 4" xfId="305" xr:uid="{00000000-0005-0000-0000-000031010000}"/>
    <cellStyle name="Normal 2 5 5" xfId="306" xr:uid="{00000000-0005-0000-0000-000032010000}"/>
    <cellStyle name="Normal 2 5 6" xfId="307" xr:uid="{00000000-0005-0000-0000-000033010000}"/>
    <cellStyle name="Normal 2 5 7" xfId="308" xr:uid="{00000000-0005-0000-0000-000034010000}"/>
    <cellStyle name="Normal 2 5 8" xfId="309" xr:uid="{00000000-0005-0000-0000-000035010000}"/>
    <cellStyle name="Normal 2 5 9" xfId="310" xr:uid="{00000000-0005-0000-0000-000036010000}"/>
    <cellStyle name="Normal 2 6" xfId="311" xr:uid="{00000000-0005-0000-0000-000037010000}"/>
    <cellStyle name="Normal 2 6 10" xfId="312" xr:uid="{00000000-0005-0000-0000-000038010000}"/>
    <cellStyle name="Normal 2 6 11" xfId="313" xr:uid="{00000000-0005-0000-0000-000039010000}"/>
    <cellStyle name="Normal 2 6 12" xfId="314" xr:uid="{00000000-0005-0000-0000-00003A010000}"/>
    <cellStyle name="Normal 2 6 2" xfId="315" xr:uid="{00000000-0005-0000-0000-00003B010000}"/>
    <cellStyle name="Normal 2 6 2 2" xfId="316" xr:uid="{00000000-0005-0000-0000-00003C010000}"/>
    <cellStyle name="Normal 2 6 3" xfId="317" xr:uid="{00000000-0005-0000-0000-00003D010000}"/>
    <cellStyle name="Normal 2 6 3 2" xfId="318" xr:uid="{00000000-0005-0000-0000-00003E010000}"/>
    <cellStyle name="Normal 2 6 4" xfId="319" xr:uid="{00000000-0005-0000-0000-00003F010000}"/>
    <cellStyle name="Normal 2 6 5" xfId="320" xr:uid="{00000000-0005-0000-0000-000040010000}"/>
    <cellStyle name="Normal 2 6 6" xfId="321" xr:uid="{00000000-0005-0000-0000-000041010000}"/>
    <cellStyle name="Normal 2 6 7" xfId="322" xr:uid="{00000000-0005-0000-0000-000042010000}"/>
    <cellStyle name="Normal 2 6 8" xfId="323" xr:uid="{00000000-0005-0000-0000-000043010000}"/>
    <cellStyle name="Normal 2 6 9" xfId="324" xr:uid="{00000000-0005-0000-0000-000044010000}"/>
    <cellStyle name="Normal 2 7" xfId="325" xr:uid="{00000000-0005-0000-0000-000045010000}"/>
    <cellStyle name="Normal 2 7 10" xfId="326" xr:uid="{00000000-0005-0000-0000-000046010000}"/>
    <cellStyle name="Normal 2 7 11" xfId="327" xr:uid="{00000000-0005-0000-0000-000047010000}"/>
    <cellStyle name="Normal 2 7 2" xfId="328" xr:uid="{00000000-0005-0000-0000-000048010000}"/>
    <cellStyle name="Normal 2 7 2 2" xfId="329" xr:uid="{00000000-0005-0000-0000-000049010000}"/>
    <cellStyle name="Normal 2 7 2 3" xfId="330" xr:uid="{00000000-0005-0000-0000-00004A010000}"/>
    <cellStyle name="Normal 2 7 3" xfId="331" xr:uid="{00000000-0005-0000-0000-00004B010000}"/>
    <cellStyle name="Normal 2 7 3 2" xfId="332" xr:uid="{00000000-0005-0000-0000-00004C010000}"/>
    <cellStyle name="Normal 2 7 4" xfId="333" xr:uid="{00000000-0005-0000-0000-00004D010000}"/>
    <cellStyle name="Normal 2 7 4 2" xfId="334" xr:uid="{00000000-0005-0000-0000-00004E010000}"/>
    <cellStyle name="Normal 2 7 5" xfId="335" xr:uid="{00000000-0005-0000-0000-00004F010000}"/>
    <cellStyle name="Normal 2 7 5 2" xfId="336" xr:uid="{00000000-0005-0000-0000-000050010000}"/>
    <cellStyle name="Normal 2 7 6" xfId="337" xr:uid="{00000000-0005-0000-0000-000051010000}"/>
    <cellStyle name="Normal 2 7 6 2" xfId="338" xr:uid="{00000000-0005-0000-0000-000052010000}"/>
    <cellStyle name="Normal 2 7 7" xfId="339" xr:uid="{00000000-0005-0000-0000-000053010000}"/>
    <cellStyle name="Normal 2 7 7 2" xfId="340" xr:uid="{00000000-0005-0000-0000-000054010000}"/>
    <cellStyle name="Normal 2 7 8" xfId="341" xr:uid="{00000000-0005-0000-0000-000055010000}"/>
    <cellStyle name="Normal 2 7 8 2" xfId="342" xr:uid="{00000000-0005-0000-0000-000056010000}"/>
    <cellStyle name="Normal 2 7 9" xfId="343" xr:uid="{00000000-0005-0000-0000-000057010000}"/>
    <cellStyle name="Normal 2 8" xfId="344" xr:uid="{00000000-0005-0000-0000-000058010000}"/>
    <cellStyle name="Normal 2 8 10" xfId="345" xr:uid="{00000000-0005-0000-0000-000059010000}"/>
    <cellStyle name="Normal 2 8 11" xfId="346" xr:uid="{00000000-0005-0000-0000-00005A010000}"/>
    <cellStyle name="Normal 2 8 2" xfId="347" xr:uid="{00000000-0005-0000-0000-00005B010000}"/>
    <cellStyle name="Normal 2 8 2 2" xfId="348" xr:uid="{00000000-0005-0000-0000-00005C010000}"/>
    <cellStyle name="Normal 2 8 3" xfId="349" xr:uid="{00000000-0005-0000-0000-00005D010000}"/>
    <cellStyle name="Normal 2 8 3 2" xfId="350" xr:uid="{00000000-0005-0000-0000-00005E010000}"/>
    <cellStyle name="Normal 2 8 4" xfId="351" xr:uid="{00000000-0005-0000-0000-00005F010000}"/>
    <cellStyle name="Normal 2 8 4 2" xfId="352" xr:uid="{00000000-0005-0000-0000-000060010000}"/>
    <cellStyle name="Normal 2 8 5" xfId="353" xr:uid="{00000000-0005-0000-0000-000061010000}"/>
    <cellStyle name="Normal 2 8 5 2" xfId="354" xr:uid="{00000000-0005-0000-0000-000062010000}"/>
    <cellStyle name="Normal 2 8 6" xfId="355" xr:uid="{00000000-0005-0000-0000-000063010000}"/>
    <cellStyle name="Normal 2 8 6 2" xfId="356" xr:uid="{00000000-0005-0000-0000-000064010000}"/>
    <cellStyle name="Normal 2 8 7" xfId="357" xr:uid="{00000000-0005-0000-0000-000065010000}"/>
    <cellStyle name="Normal 2 8 7 2" xfId="358" xr:uid="{00000000-0005-0000-0000-000066010000}"/>
    <cellStyle name="Normal 2 8 8" xfId="359" xr:uid="{00000000-0005-0000-0000-000067010000}"/>
    <cellStyle name="Normal 2 8 8 2" xfId="360" xr:uid="{00000000-0005-0000-0000-000068010000}"/>
    <cellStyle name="Normal 2 8 9" xfId="361" xr:uid="{00000000-0005-0000-0000-000069010000}"/>
    <cellStyle name="Normal 2 9" xfId="362" xr:uid="{00000000-0005-0000-0000-00006A010000}"/>
    <cellStyle name="Normal 2 9 10" xfId="363" xr:uid="{00000000-0005-0000-0000-00006B010000}"/>
    <cellStyle name="Normal 2 9 11" xfId="364" xr:uid="{00000000-0005-0000-0000-00006C010000}"/>
    <cellStyle name="Normal 2 9 2" xfId="365" xr:uid="{00000000-0005-0000-0000-00006D010000}"/>
    <cellStyle name="Normal 2 9 2 2" xfId="366" xr:uid="{00000000-0005-0000-0000-00006E010000}"/>
    <cellStyle name="Normal 2 9 3" xfId="367" xr:uid="{00000000-0005-0000-0000-00006F010000}"/>
    <cellStyle name="Normal 2 9 3 2" xfId="368" xr:uid="{00000000-0005-0000-0000-000070010000}"/>
    <cellStyle name="Normal 2 9 4" xfId="369" xr:uid="{00000000-0005-0000-0000-000071010000}"/>
    <cellStyle name="Normal 2 9 4 2" xfId="370" xr:uid="{00000000-0005-0000-0000-000072010000}"/>
    <cellStyle name="Normal 2 9 5" xfId="371" xr:uid="{00000000-0005-0000-0000-000073010000}"/>
    <cellStyle name="Normal 2 9 5 2" xfId="372" xr:uid="{00000000-0005-0000-0000-000074010000}"/>
    <cellStyle name="Normal 2 9 6" xfId="373" xr:uid="{00000000-0005-0000-0000-000075010000}"/>
    <cellStyle name="Normal 2 9 6 2" xfId="374" xr:uid="{00000000-0005-0000-0000-000076010000}"/>
    <cellStyle name="Normal 2 9 7" xfId="375" xr:uid="{00000000-0005-0000-0000-000077010000}"/>
    <cellStyle name="Normal 2 9 7 2" xfId="376" xr:uid="{00000000-0005-0000-0000-000078010000}"/>
    <cellStyle name="Normal 2 9 8" xfId="377" xr:uid="{00000000-0005-0000-0000-000079010000}"/>
    <cellStyle name="Normal 2 9 8 2" xfId="378" xr:uid="{00000000-0005-0000-0000-00007A010000}"/>
    <cellStyle name="Normal 2 9 9" xfId="379" xr:uid="{00000000-0005-0000-0000-00007B010000}"/>
    <cellStyle name="Normal 20" xfId="380" xr:uid="{00000000-0005-0000-0000-00007C010000}"/>
    <cellStyle name="Normal 20 2" xfId="381" xr:uid="{00000000-0005-0000-0000-00007D010000}"/>
    <cellStyle name="Normal 20 3" xfId="382" xr:uid="{00000000-0005-0000-0000-00007E010000}"/>
    <cellStyle name="Normal 21" xfId="383" xr:uid="{00000000-0005-0000-0000-00007F010000}"/>
    <cellStyle name="Normal 21 2" xfId="384" xr:uid="{00000000-0005-0000-0000-000080010000}"/>
    <cellStyle name="Normal 21 2 2" xfId="385" xr:uid="{00000000-0005-0000-0000-000081010000}"/>
    <cellStyle name="Normal 21 2 3" xfId="386" xr:uid="{00000000-0005-0000-0000-000082010000}"/>
    <cellStyle name="Normal 21 3" xfId="387" xr:uid="{00000000-0005-0000-0000-000083010000}"/>
    <cellStyle name="Normal 21 4" xfId="388" xr:uid="{00000000-0005-0000-0000-000084010000}"/>
    <cellStyle name="Normal 21 5" xfId="389" xr:uid="{00000000-0005-0000-0000-000085010000}"/>
    <cellStyle name="Normal 22" xfId="390" xr:uid="{00000000-0005-0000-0000-000086010000}"/>
    <cellStyle name="Normal 22 2" xfId="391" xr:uid="{00000000-0005-0000-0000-000087010000}"/>
    <cellStyle name="Normal 22 3" xfId="392" xr:uid="{00000000-0005-0000-0000-000088010000}"/>
    <cellStyle name="Normal 23" xfId="393" xr:uid="{00000000-0005-0000-0000-000089010000}"/>
    <cellStyle name="Normal 23 2" xfId="394" xr:uid="{00000000-0005-0000-0000-00008A010000}"/>
    <cellStyle name="Normal 23 3" xfId="395" xr:uid="{00000000-0005-0000-0000-00008B010000}"/>
    <cellStyle name="Normal 24" xfId="396" xr:uid="{00000000-0005-0000-0000-00008C010000}"/>
    <cellStyle name="Normal 24 2" xfId="397" xr:uid="{00000000-0005-0000-0000-00008D010000}"/>
    <cellStyle name="Normal 24 3" xfId="398" xr:uid="{00000000-0005-0000-0000-00008E010000}"/>
    <cellStyle name="Normal 25" xfId="399" xr:uid="{00000000-0005-0000-0000-00008F010000}"/>
    <cellStyle name="Normal 25 2" xfId="400" xr:uid="{00000000-0005-0000-0000-000090010000}"/>
    <cellStyle name="Normal 25 3" xfId="401" xr:uid="{00000000-0005-0000-0000-000091010000}"/>
    <cellStyle name="Normal 26" xfId="402" xr:uid="{00000000-0005-0000-0000-000092010000}"/>
    <cellStyle name="Normal 27" xfId="403" xr:uid="{00000000-0005-0000-0000-000093010000}"/>
    <cellStyle name="Normal 27 2" xfId="404" xr:uid="{00000000-0005-0000-0000-000094010000}"/>
    <cellStyle name="Normal 28" xfId="405" xr:uid="{00000000-0005-0000-0000-000095010000}"/>
    <cellStyle name="Normal 29" xfId="406" xr:uid="{00000000-0005-0000-0000-000096010000}"/>
    <cellStyle name="Normal 3" xfId="407" xr:uid="{00000000-0005-0000-0000-000097010000}"/>
    <cellStyle name="Normal 3 10" xfId="408" xr:uid="{00000000-0005-0000-0000-000098010000}"/>
    <cellStyle name="Normal 3 10 2" xfId="409" xr:uid="{00000000-0005-0000-0000-000099010000}"/>
    <cellStyle name="Normal 3 11" xfId="410" xr:uid="{00000000-0005-0000-0000-00009A010000}"/>
    <cellStyle name="Normal 3 12" xfId="411" xr:uid="{00000000-0005-0000-0000-00009B010000}"/>
    <cellStyle name="Normal 3 13" xfId="412" xr:uid="{00000000-0005-0000-0000-00009C010000}"/>
    <cellStyle name="Normal 3 14" xfId="413" xr:uid="{00000000-0005-0000-0000-00009D010000}"/>
    <cellStyle name="Normal 3 15" xfId="414" xr:uid="{00000000-0005-0000-0000-00009E010000}"/>
    <cellStyle name="Normal 3 2" xfId="415" xr:uid="{00000000-0005-0000-0000-00009F010000}"/>
    <cellStyle name="Normal 3 2 2" xfId="416" xr:uid="{00000000-0005-0000-0000-0000A0010000}"/>
    <cellStyle name="Normal 3 2 2 2" xfId="417" xr:uid="{00000000-0005-0000-0000-0000A1010000}"/>
    <cellStyle name="Normal 3 2 2 3" xfId="418" xr:uid="{00000000-0005-0000-0000-0000A2010000}"/>
    <cellStyle name="Normal 3 2 3" xfId="419" xr:uid="{00000000-0005-0000-0000-0000A3010000}"/>
    <cellStyle name="Normal 3 2 4" xfId="420" xr:uid="{00000000-0005-0000-0000-0000A4010000}"/>
    <cellStyle name="Normal 3 2 5" xfId="421" xr:uid="{00000000-0005-0000-0000-0000A5010000}"/>
    <cellStyle name="Normal 3 3" xfId="422" xr:uid="{00000000-0005-0000-0000-0000A6010000}"/>
    <cellStyle name="Normal 3 3 2" xfId="423" xr:uid="{00000000-0005-0000-0000-0000A7010000}"/>
    <cellStyle name="Normal 3 3 2 2" xfId="424" xr:uid="{00000000-0005-0000-0000-0000A8010000}"/>
    <cellStyle name="Normal 3 3 2 3" xfId="425" xr:uid="{00000000-0005-0000-0000-0000A9010000}"/>
    <cellStyle name="Normal 3 3 3" xfId="426" xr:uid="{00000000-0005-0000-0000-0000AA010000}"/>
    <cellStyle name="Normal 3 3 4" xfId="427" xr:uid="{00000000-0005-0000-0000-0000AB010000}"/>
    <cellStyle name="Normal 3 4" xfId="428" xr:uid="{00000000-0005-0000-0000-0000AC010000}"/>
    <cellStyle name="Normal 3 5" xfId="429" xr:uid="{00000000-0005-0000-0000-0000AD010000}"/>
    <cellStyle name="Normal 3 6" xfId="430" xr:uid="{00000000-0005-0000-0000-0000AE010000}"/>
    <cellStyle name="Normal 3 7" xfId="431" xr:uid="{00000000-0005-0000-0000-0000AF010000}"/>
    <cellStyle name="Normal 3 7 2" xfId="432" xr:uid="{00000000-0005-0000-0000-0000B0010000}"/>
    <cellStyle name="Normal 3 7 3" xfId="433" xr:uid="{00000000-0005-0000-0000-0000B1010000}"/>
    <cellStyle name="Normal 3 8" xfId="434" xr:uid="{00000000-0005-0000-0000-0000B2010000}"/>
    <cellStyle name="Normal 3 8 2" xfId="435" xr:uid="{00000000-0005-0000-0000-0000B3010000}"/>
    <cellStyle name="Normal 3 8 3" xfId="436" xr:uid="{00000000-0005-0000-0000-0000B4010000}"/>
    <cellStyle name="Normal 3 9" xfId="437" xr:uid="{00000000-0005-0000-0000-0000B5010000}"/>
    <cellStyle name="Normal 3 9 2" xfId="438" xr:uid="{00000000-0005-0000-0000-0000B6010000}"/>
    <cellStyle name="Normal 3 9 3" xfId="439" xr:uid="{00000000-0005-0000-0000-0000B7010000}"/>
    <cellStyle name="Normal 4" xfId="440" xr:uid="{00000000-0005-0000-0000-0000B8010000}"/>
    <cellStyle name="Normal 4 10" xfId="441" xr:uid="{00000000-0005-0000-0000-0000B9010000}"/>
    <cellStyle name="Normal 4 11" xfId="442" xr:uid="{00000000-0005-0000-0000-0000BA010000}"/>
    <cellStyle name="Normal 4 12" xfId="443" xr:uid="{00000000-0005-0000-0000-0000BB010000}"/>
    <cellStyle name="Normal 4 13" xfId="444" xr:uid="{00000000-0005-0000-0000-0000BC010000}"/>
    <cellStyle name="Normal 4 2" xfId="445" xr:uid="{00000000-0005-0000-0000-0000BD010000}"/>
    <cellStyle name="Normal 4 2 2" xfId="446" xr:uid="{00000000-0005-0000-0000-0000BE010000}"/>
    <cellStyle name="Normal 4 2 2 2" xfId="447" xr:uid="{00000000-0005-0000-0000-0000BF010000}"/>
    <cellStyle name="Normal 4 2 2 3" xfId="448" xr:uid="{00000000-0005-0000-0000-0000C0010000}"/>
    <cellStyle name="Normal 4 2 2 3 2" xfId="449" xr:uid="{00000000-0005-0000-0000-0000C1010000}"/>
    <cellStyle name="Normal 4 2 2 3 3" xfId="450" xr:uid="{00000000-0005-0000-0000-0000C2010000}"/>
    <cellStyle name="Normal 4 2 3" xfId="451" xr:uid="{00000000-0005-0000-0000-0000C3010000}"/>
    <cellStyle name="Normal 4 2 4" xfId="452" xr:uid="{00000000-0005-0000-0000-0000C4010000}"/>
    <cellStyle name="Normal 4 2 5" xfId="453" xr:uid="{00000000-0005-0000-0000-0000C5010000}"/>
    <cellStyle name="Normal 4 3" xfId="454" xr:uid="{00000000-0005-0000-0000-0000C6010000}"/>
    <cellStyle name="Normal 4 3 2" xfId="455" xr:uid="{00000000-0005-0000-0000-0000C7010000}"/>
    <cellStyle name="Normal 4 3 3" xfId="456" xr:uid="{00000000-0005-0000-0000-0000C8010000}"/>
    <cellStyle name="Normal 4 4" xfId="457" xr:uid="{00000000-0005-0000-0000-0000C9010000}"/>
    <cellStyle name="Normal 4 5" xfId="458" xr:uid="{00000000-0005-0000-0000-0000CA010000}"/>
    <cellStyle name="Normal 4 5 2" xfId="459" xr:uid="{00000000-0005-0000-0000-0000CB010000}"/>
    <cellStyle name="Normal 4 5 3" xfId="460" xr:uid="{00000000-0005-0000-0000-0000CC010000}"/>
    <cellStyle name="Normal 4 6" xfId="461" xr:uid="{00000000-0005-0000-0000-0000CD010000}"/>
    <cellStyle name="Normal 4 6 2" xfId="462" xr:uid="{00000000-0005-0000-0000-0000CE010000}"/>
    <cellStyle name="Normal 4 6 3" xfId="463" xr:uid="{00000000-0005-0000-0000-0000CF010000}"/>
    <cellStyle name="Normal 4 7" xfId="464" xr:uid="{00000000-0005-0000-0000-0000D0010000}"/>
    <cellStyle name="Normal 4 8" xfId="465" xr:uid="{00000000-0005-0000-0000-0000D1010000}"/>
    <cellStyle name="Normal 4 9" xfId="466" xr:uid="{00000000-0005-0000-0000-0000D2010000}"/>
    <cellStyle name="Normal 5" xfId="467" xr:uid="{00000000-0005-0000-0000-0000D3010000}"/>
    <cellStyle name="Normal 5 2" xfId="468" xr:uid="{00000000-0005-0000-0000-0000D4010000}"/>
    <cellStyle name="Normal 5 3" xfId="469" xr:uid="{00000000-0005-0000-0000-0000D5010000}"/>
    <cellStyle name="Normal 5 3 2" xfId="470" xr:uid="{00000000-0005-0000-0000-0000D6010000}"/>
    <cellStyle name="Normal 5 3 3" xfId="471" xr:uid="{00000000-0005-0000-0000-0000D7010000}"/>
    <cellStyle name="Normal 5 4" xfId="472" xr:uid="{00000000-0005-0000-0000-0000D8010000}"/>
    <cellStyle name="Normal 5 5" xfId="473" xr:uid="{00000000-0005-0000-0000-0000D9010000}"/>
    <cellStyle name="Normal 5 5 2" xfId="474" xr:uid="{00000000-0005-0000-0000-0000DA010000}"/>
    <cellStyle name="Normal 5 5 3" xfId="475" xr:uid="{00000000-0005-0000-0000-0000DB010000}"/>
    <cellStyle name="Normal 5 6" xfId="476" xr:uid="{00000000-0005-0000-0000-0000DC010000}"/>
    <cellStyle name="Normal 6" xfId="477" xr:uid="{00000000-0005-0000-0000-0000DD010000}"/>
    <cellStyle name="Normal 6 2" xfId="478" xr:uid="{00000000-0005-0000-0000-0000DE010000}"/>
    <cellStyle name="Normal 6 3" xfId="479" xr:uid="{00000000-0005-0000-0000-0000DF010000}"/>
    <cellStyle name="Normal 6 4" xfId="480" xr:uid="{00000000-0005-0000-0000-0000E0010000}"/>
    <cellStyle name="Normal 6 5" xfId="481" xr:uid="{00000000-0005-0000-0000-0000E1010000}"/>
    <cellStyle name="Normal 7" xfId="482" xr:uid="{00000000-0005-0000-0000-0000E2010000}"/>
    <cellStyle name="Normal 7 2" xfId="483" xr:uid="{00000000-0005-0000-0000-0000E3010000}"/>
    <cellStyle name="Normal 7 2 2" xfId="484" xr:uid="{00000000-0005-0000-0000-0000E4010000}"/>
    <cellStyle name="Normal 7 2 2 2" xfId="485" xr:uid="{00000000-0005-0000-0000-0000E5010000}"/>
    <cellStyle name="Normal 7 2 2 3" xfId="486" xr:uid="{00000000-0005-0000-0000-0000E6010000}"/>
    <cellStyle name="Normal 7 2 3" xfId="487" xr:uid="{00000000-0005-0000-0000-0000E7010000}"/>
    <cellStyle name="Normal 7 2 4" xfId="488" xr:uid="{00000000-0005-0000-0000-0000E8010000}"/>
    <cellStyle name="Normal 7 2 4 2" xfId="489" xr:uid="{00000000-0005-0000-0000-0000E9010000}"/>
    <cellStyle name="Normal 7 2 4 3" xfId="490" xr:uid="{00000000-0005-0000-0000-0000EA010000}"/>
    <cellStyle name="Normal 7 2 5" xfId="491" xr:uid="{00000000-0005-0000-0000-0000EB010000}"/>
    <cellStyle name="Normal 7 3" xfId="492" xr:uid="{00000000-0005-0000-0000-0000EC010000}"/>
    <cellStyle name="Normal 7 4" xfId="493" xr:uid="{00000000-0005-0000-0000-0000ED010000}"/>
    <cellStyle name="Normal 7 4 2" xfId="494" xr:uid="{00000000-0005-0000-0000-0000EE010000}"/>
    <cellStyle name="Normal 7 4 3" xfId="495" xr:uid="{00000000-0005-0000-0000-0000EF010000}"/>
    <cellStyle name="Normal 7 5" xfId="496" xr:uid="{00000000-0005-0000-0000-0000F0010000}"/>
    <cellStyle name="Normal 7 5 2" xfId="497" xr:uid="{00000000-0005-0000-0000-0000F1010000}"/>
    <cellStyle name="Normal 7 5 3" xfId="498" xr:uid="{00000000-0005-0000-0000-0000F2010000}"/>
    <cellStyle name="Normal 7 5 4" xfId="499" xr:uid="{00000000-0005-0000-0000-0000F3010000}"/>
    <cellStyle name="Normal 7 5 5" xfId="500" xr:uid="{00000000-0005-0000-0000-0000F4010000}"/>
    <cellStyle name="Normal 7 6" xfId="501" xr:uid="{00000000-0005-0000-0000-0000F5010000}"/>
    <cellStyle name="Normal 7 7" xfId="502" xr:uid="{00000000-0005-0000-0000-0000F6010000}"/>
    <cellStyle name="Normal 8" xfId="503" xr:uid="{00000000-0005-0000-0000-0000F7010000}"/>
    <cellStyle name="Normal 8 2" xfId="504" xr:uid="{00000000-0005-0000-0000-0000F8010000}"/>
    <cellStyle name="Normal 8 3" xfId="505" xr:uid="{00000000-0005-0000-0000-0000F9010000}"/>
    <cellStyle name="Normal 9" xfId="506" xr:uid="{00000000-0005-0000-0000-0000FA010000}"/>
    <cellStyle name="Normal 9 2" xfId="507" xr:uid="{00000000-0005-0000-0000-0000FB010000}"/>
    <cellStyle name="Normal 9 2 2" xfId="508" xr:uid="{00000000-0005-0000-0000-0000FC010000}"/>
    <cellStyle name="Normal 9 2 3" xfId="509" xr:uid="{00000000-0005-0000-0000-0000FD010000}"/>
    <cellStyle name="Normal 9 3" xfId="510" xr:uid="{00000000-0005-0000-0000-0000FE010000}"/>
    <cellStyle name="Normal 9 4" xfId="511" xr:uid="{00000000-0005-0000-0000-0000FF010000}"/>
    <cellStyle name="Normal 9 5" xfId="512" xr:uid="{00000000-0005-0000-0000-000000020000}"/>
    <cellStyle name="Normal 9 5 2" xfId="513" xr:uid="{00000000-0005-0000-0000-000001020000}"/>
    <cellStyle name="Normal 9 5 3" xfId="514" xr:uid="{00000000-0005-0000-0000-000002020000}"/>
    <cellStyle name="Normal 9 6" xfId="515" xr:uid="{00000000-0005-0000-0000-000003020000}"/>
    <cellStyle name="Normal 9 6 2" xfId="516" xr:uid="{00000000-0005-0000-0000-000004020000}"/>
    <cellStyle name="Normal 9 6 3" xfId="517" xr:uid="{00000000-0005-0000-0000-000005020000}"/>
    <cellStyle name="Normal_debt" xfId="518" xr:uid="{00000000-0005-0000-0000-000006020000}"/>
    <cellStyle name="Normal_lpform" xfId="519" xr:uid="{00000000-0005-0000-0000-000007020000}"/>
  </cellStyles>
  <dxfs count="196">
    <dxf>
      <font>
        <b/>
        <i val="0"/>
        <color rgb="FFFF0000"/>
      </font>
    </dxf>
    <dxf>
      <font>
        <b/>
        <i val="0"/>
        <strike val="0"/>
      </font>
      <fill>
        <patternFill>
          <bgColor rgb="FFFF0000"/>
        </patternFill>
      </fill>
    </dxf>
    <dxf>
      <font>
        <b/>
        <i val="0"/>
        <strike val="0"/>
      </font>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4D69A365-F893-4379-9472-895FA68D64BC}"/>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E5B662F2-0E5E-4EC5-9C97-7D307C7A361B}"/>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A16A3A3E-EF7E-404F-8EC4-E594E1EE6A4A}"/>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8C012680-3CE7-4451-ABE7-22B3B7952114}"/>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0EF6B54C-62BF-449F-ADD6-00C55211236E}"/>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C827108E-7E15-46C6-9AF5-0DB719871CE0}"/>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F3823F29-2DC3-42A3-9A3F-4211F2B41132}"/>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A02D8F5A-FFC6-43C3-904A-91E11C84144C}"/>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32E8021A-E25C-4078-A6BA-BF89569F0353}"/>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12616B06-03FF-4E9F-8FBE-85CF286787B4}"/>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8CB091E0-7402-49E2-89A1-E78F7DC7F044}"/>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B7040AA0-B745-4FA9-B0E4-1E2EEE6EEDF1}"/>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AFE3BE02-4501-44AA-AD8A-5236E5B01E35}"/>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Alice.Smith@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5.bin"/><Relationship Id="rId1" Type="http://schemas.openxmlformats.org/officeDocument/2006/relationships/hyperlink" Target="https://pooledmoneyinvestmentboard.com/"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41E6B-3234-4C8E-8DA6-44031941D067}">
  <sheetPr>
    <tabColor rgb="FFC00000"/>
  </sheetPr>
  <dimension ref="B1:B109"/>
  <sheetViews>
    <sheetView tabSelected="1" zoomScaleNormal="100" workbookViewId="0"/>
  </sheetViews>
  <sheetFormatPr defaultRowHeight="15.75" x14ac:dyDescent="0.25"/>
  <cols>
    <col min="1" max="1" width="1.09765625" style="547" customWidth="1"/>
    <col min="2" max="2" width="76.19921875" style="590" customWidth="1"/>
    <col min="3" max="16384" width="8.796875" style="547"/>
  </cols>
  <sheetData>
    <row r="1" spans="2:2" ht="39" customHeight="1" x14ac:dyDescent="0.25">
      <c r="B1" s="589" t="s">
        <v>756</v>
      </c>
    </row>
    <row r="2" spans="2:2" ht="12.95" customHeight="1" x14ac:dyDescent="0.25"/>
    <row r="3" spans="2:2" ht="34.5" customHeight="1" x14ac:dyDescent="0.25">
      <c r="B3" s="590" t="s">
        <v>757</v>
      </c>
    </row>
    <row r="4" spans="2:2" ht="12.95" customHeight="1" x14ac:dyDescent="0.25"/>
    <row r="5" spans="2:2" ht="66" customHeight="1" x14ac:dyDescent="0.25">
      <c r="B5" s="590" t="s">
        <v>758</v>
      </c>
    </row>
    <row r="6" spans="2:2" ht="14.45" customHeight="1" x14ac:dyDescent="0.25"/>
    <row r="7" spans="2:2" ht="25.5" customHeight="1" x14ac:dyDescent="0.25">
      <c r="B7" s="591" t="s">
        <v>759</v>
      </c>
    </row>
    <row r="8" spans="2:2" ht="12.95" customHeight="1" x14ac:dyDescent="0.25"/>
    <row r="9" spans="2:2" ht="50.25" x14ac:dyDescent="0.25">
      <c r="B9" s="590" t="s">
        <v>760</v>
      </c>
    </row>
    <row r="10" spans="2:2" ht="12.95" customHeight="1" x14ac:dyDescent="0.25"/>
    <row r="11" spans="2:2" ht="31.5" x14ac:dyDescent="0.25">
      <c r="B11" s="590" t="s">
        <v>761</v>
      </c>
    </row>
    <row r="12" spans="2:2" ht="15" customHeight="1" x14ac:dyDescent="0.25"/>
    <row r="13" spans="2:2" ht="25.5" customHeight="1" x14ac:dyDescent="0.25">
      <c r="B13" s="591" t="s">
        <v>762</v>
      </c>
    </row>
    <row r="14" spans="2:2" ht="12.95" customHeight="1" x14ac:dyDescent="0.25"/>
    <row r="15" spans="2:2" ht="39.75" customHeight="1" x14ac:dyDescent="0.25">
      <c r="B15" s="590" t="s">
        <v>763</v>
      </c>
    </row>
    <row r="16" spans="2:2" ht="12.95" customHeight="1" x14ac:dyDescent="0.25"/>
    <row r="17" spans="2:2" x14ac:dyDescent="0.25">
      <c r="B17" s="592" t="s">
        <v>764</v>
      </c>
    </row>
    <row r="18" spans="2:2" ht="12.95" customHeight="1" x14ac:dyDescent="0.25">
      <c r="B18" s="592"/>
    </row>
    <row r="19" spans="2:2" x14ac:dyDescent="0.25">
      <c r="B19" s="590" t="s">
        <v>765</v>
      </c>
    </row>
    <row r="20" spans="2:2" ht="12.95" customHeight="1" x14ac:dyDescent="0.25"/>
    <row r="21" spans="2:2" ht="67.5" customHeight="1" x14ac:dyDescent="0.25">
      <c r="B21" s="590" t="s">
        <v>766</v>
      </c>
    </row>
    <row r="22" spans="2:2" ht="12.95" customHeight="1" x14ac:dyDescent="0.25">
      <c r="B22" s="593"/>
    </row>
    <row r="23" spans="2:2" ht="15.75" customHeight="1" x14ac:dyDescent="0.25">
      <c r="B23" s="590" t="s">
        <v>767</v>
      </c>
    </row>
    <row r="24" spans="2:2" ht="12.95" customHeight="1" x14ac:dyDescent="0.25">
      <c r="B24" s="593"/>
    </row>
    <row r="25" spans="2:2" ht="15.75" customHeight="1" x14ac:dyDescent="0.25">
      <c r="B25" s="590" t="s">
        <v>768</v>
      </c>
    </row>
    <row r="26" spans="2:2" ht="12.95" customHeight="1" x14ac:dyDescent="0.25"/>
    <row r="27" spans="2:2" ht="49.5" customHeight="1" x14ac:dyDescent="0.25">
      <c r="B27" s="590" t="s">
        <v>769</v>
      </c>
    </row>
    <row r="28" spans="2:2" ht="12.95" customHeight="1" x14ac:dyDescent="0.25"/>
    <row r="29" spans="2:2" ht="25.5" customHeight="1" x14ac:dyDescent="0.25">
      <c r="B29" s="591" t="s">
        <v>770</v>
      </c>
    </row>
    <row r="30" spans="2:2" ht="12.95" customHeight="1" x14ac:dyDescent="0.25">
      <c r="B30" s="594"/>
    </row>
    <row r="31" spans="2:2" ht="50.25" customHeight="1" x14ac:dyDescent="0.25">
      <c r="B31" s="590" t="s">
        <v>771</v>
      </c>
    </row>
    <row r="32" spans="2:2" ht="12.95" customHeight="1" x14ac:dyDescent="0.25"/>
    <row r="33" spans="2:2" ht="49.5" customHeight="1" x14ac:dyDescent="0.25">
      <c r="B33" s="595" t="s">
        <v>772</v>
      </c>
    </row>
    <row r="34" spans="2:2" ht="39.75" customHeight="1" x14ac:dyDescent="0.25">
      <c r="B34" s="596" t="s">
        <v>773</v>
      </c>
    </row>
    <row r="35" spans="2:2" ht="60.75" customHeight="1" x14ac:dyDescent="0.25">
      <c r="B35" s="596" t="s">
        <v>774</v>
      </c>
    </row>
    <row r="36" spans="2:2" ht="61.5" customHeight="1" x14ac:dyDescent="0.25">
      <c r="B36" s="596" t="s">
        <v>775</v>
      </c>
    </row>
    <row r="37" spans="2:2" ht="41.25" customHeight="1" x14ac:dyDescent="0.25">
      <c r="B37" s="596" t="s">
        <v>776</v>
      </c>
    </row>
    <row r="38" spans="2:2" ht="12.95" customHeight="1" x14ac:dyDescent="0.25"/>
    <row r="39" spans="2:2" ht="52.5" customHeight="1" x14ac:dyDescent="0.25">
      <c r="B39" s="595" t="s">
        <v>777</v>
      </c>
    </row>
    <row r="40" spans="2:2" ht="27.75" customHeight="1" x14ac:dyDescent="0.25">
      <c r="B40" s="596" t="s">
        <v>778</v>
      </c>
    </row>
    <row r="41" spans="2:2" ht="57" customHeight="1" x14ac:dyDescent="0.25">
      <c r="B41" s="596" t="s">
        <v>779</v>
      </c>
    </row>
    <row r="42" spans="2:2" ht="105" customHeight="1" x14ac:dyDescent="0.25">
      <c r="B42" s="596" t="s">
        <v>780</v>
      </c>
    </row>
    <row r="43" spans="2:2" s="590" customFormat="1" ht="12.95" customHeight="1" x14ac:dyDescent="0.25"/>
    <row r="44" spans="2:2" ht="47.25" x14ac:dyDescent="0.25">
      <c r="B44" s="595" t="s">
        <v>781</v>
      </c>
    </row>
    <row r="45" spans="2:2" ht="66.75" customHeight="1" x14ac:dyDescent="0.25">
      <c r="B45" s="595" t="s">
        <v>782</v>
      </c>
    </row>
    <row r="46" spans="2:2" ht="72.75" customHeight="1" x14ac:dyDescent="0.25">
      <c r="B46" s="596" t="s">
        <v>783</v>
      </c>
    </row>
    <row r="47" spans="2:2" ht="108" customHeight="1" x14ac:dyDescent="0.25">
      <c r="B47" s="596" t="s">
        <v>784</v>
      </c>
    </row>
    <row r="48" spans="2:2" ht="95.25" customHeight="1" x14ac:dyDescent="0.25">
      <c r="B48" s="596" t="s">
        <v>785</v>
      </c>
    </row>
    <row r="49" spans="2:2" ht="12.95" customHeight="1" x14ac:dyDescent="0.25"/>
    <row r="50" spans="2:2" ht="47.25" x14ac:dyDescent="0.25">
      <c r="B50" s="595" t="s">
        <v>786</v>
      </c>
    </row>
    <row r="51" spans="2:2" ht="38.25" customHeight="1" x14ac:dyDescent="0.25">
      <c r="B51" s="596" t="s">
        <v>787</v>
      </c>
    </row>
    <row r="52" spans="2:2" ht="34.5" customHeight="1" x14ac:dyDescent="0.25">
      <c r="B52" s="596" t="s">
        <v>788</v>
      </c>
    </row>
    <row r="53" spans="2:2" ht="12.95" customHeight="1" x14ac:dyDescent="0.25"/>
    <row r="54" spans="2:2" ht="71.25" customHeight="1" x14ac:dyDescent="0.25">
      <c r="B54" s="595" t="s">
        <v>789</v>
      </c>
    </row>
    <row r="55" spans="2:2" ht="21.75" customHeight="1" x14ac:dyDescent="0.25">
      <c r="B55" s="596" t="s">
        <v>790</v>
      </c>
    </row>
    <row r="56" spans="2:2" ht="12.95" customHeight="1" x14ac:dyDescent="0.25">
      <c r="B56" s="597"/>
    </row>
    <row r="57" spans="2:2" ht="57.75" customHeight="1" x14ac:dyDescent="0.25">
      <c r="B57" s="595" t="s">
        <v>791</v>
      </c>
    </row>
    <row r="58" spans="2:2" ht="41.25" customHeight="1" x14ac:dyDescent="0.25">
      <c r="B58" s="596" t="s">
        <v>792</v>
      </c>
    </row>
    <row r="59" spans="2:2" ht="72" customHeight="1" x14ac:dyDescent="0.25">
      <c r="B59" s="596" t="s">
        <v>793</v>
      </c>
    </row>
    <row r="60" spans="2:2" ht="27" customHeight="1" x14ac:dyDescent="0.25">
      <c r="B60" s="596" t="s">
        <v>794</v>
      </c>
    </row>
    <row r="61" spans="2:2" ht="44.25" customHeight="1" x14ac:dyDescent="0.25">
      <c r="B61" s="596" t="s">
        <v>795</v>
      </c>
    </row>
    <row r="62" spans="2:2" ht="12.95" customHeight="1" x14ac:dyDescent="0.25"/>
    <row r="63" spans="2:2" ht="38.25" customHeight="1" x14ac:dyDescent="0.25">
      <c r="B63" s="595" t="s">
        <v>796</v>
      </c>
    </row>
    <row r="64" spans="2:2" s="598" customFormat="1" ht="30.75" customHeight="1" x14ac:dyDescent="0.25">
      <c r="B64" s="596" t="s">
        <v>797</v>
      </c>
    </row>
    <row r="65" spans="2:2" ht="12.95" customHeight="1" x14ac:dyDescent="0.25"/>
    <row r="66" spans="2:2" ht="52.5" customHeight="1" x14ac:dyDescent="0.25">
      <c r="B66" s="595" t="s">
        <v>798</v>
      </c>
    </row>
    <row r="67" spans="2:2" s="598" customFormat="1" ht="39.75" customHeight="1" x14ac:dyDescent="0.25">
      <c r="B67" s="596" t="s">
        <v>799</v>
      </c>
    </row>
    <row r="68" spans="2:2" ht="12.95" customHeight="1" x14ac:dyDescent="0.25"/>
    <row r="69" spans="2:2" ht="68.25" customHeight="1" x14ac:dyDescent="0.25">
      <c r="B69" s="595" t="s">
        <v>800</v>
      </c>
    </row>
    <row r="70" spans="2:2" ht="57" customHeight="1" x14ac:dyDescent="0.25">
      <c r="B70" s="596" t="s">
        <v>801</v>
      </c>
    </row>
    <row r="71" spans="2:2" ht="44.25" customHeight="1" x14ac:dyDescent="0.25">
      <c r="B71" s="596" t="s">
        <v>802</v>
      </c>
    </row>
    <row r="72" spans="2:2" ht="12.95" customHeight="1" x14ac:dyDescent="0.25"/>
    <row r="73" spans="2:2" ht="78.75" x14ac:dyDescent="0.25">
      <c r="B73" s="595" t="s">
        <v>803</v>
      </c>
    </row>
    <row r="74" spans="2:2" ht="72.75" customHeight="1" x14ac:dyDescent="0.25">
      <c r="B74" s="596" t="s">
        <v>804</v>
      </c>
    </row>
    <row r="75" spans="2:2" ht="90" customHeight="1" x14ac:dyDescent="0.25">
      <c r="B75" s="596" t="s">
        <v>805</v>
      </c>
    </row>
    <row r="76" spans="2:2" ht="70.5" customHeight="1" x14ac:dyDescent="0.25">
      <c r="B76" s="596" t="s">
        <v>806</v>
      </c>
    </row>
    <row r="77" spans="2:2" ht="87" customHeight="1" x14ac:dyDescent="0.25">
      <c r="B77" s="596" t="s">
        <v>807</v>
      </c>
    </row>
    <row r="78" spans="2:2" ht="110.25" x14ac:dyDescent="0.25">
      <c r="B78" s="596" t="s">
        <v>808</v>
      </c>
    </row>
    <row r="79" spans="2:2" ht="55.5" customHeight="1" x14ac:dyDescent="0.25">
      <c r="B79" s="596" t="s">
        <v>809</v>
      </c>
    </row>
    <row r="80" spans="2:2" ht="96.75" customHeight="1" x14ac:dyDescent="0.25">
      <c r="B80" s="596" t="s">
        <v>810</v>
      </c>
    </row>
    <row r="81" spans="2:2" ht="111.75" customHeight="1" x14ac:dyDescent="0.25">
      <c r="B81" s="596" t="s">
        <v>811</v>
      </c>
    </row>
    <row r="82" spans="2:2" ht="123.75" customHeight="1" x14ac:dyDescent="0.25">
      <c r="B82" s="596" t="s">
        <v>812</v>
      </c>
    </row>
    <row r="83" spans="2:2" ht="26.25" customHeight="1" x14ac:dyDescent="0.25">
      <c r="B83" s="596" t="s">
        <v>813</v>
      </c>
    </row>
    <row r="84" spans="2:2" ht="57.75" customHeight="1" x14ac:dyDescent="0.25">
      <c r="B84" s="596" t="s">
        <v>814</v>
      </c>
    </row>
    <row r="85" spans="2:2" ht="57.75" customHeight="1" x14ac:dyDescent="0.25">
      <c r="B85" s="596" t="s">
        <v>815</v>
      </c>
    </row>
    <row r="86" spans="2:2" ht="91.5" customHeight="1" x14ac:dyDescent="0.25">
      <c r="B86" s="596" t="s">
        <v>816</v>
      </c>
    </row>
    <row r="87" spans="2:2" ht="75" customHeight="1" x14ac:dyDescent="0.25">
      <c r="B87" s="596" t="s">
        <v>817</v>
      </c>
    </row>
    <row r="88" spans="2:2" ht="69" customHeight="1" x14ac:dyDescent="0.25">
      <c r="B88" s="596" t="s">
        <v>818</v>
      </c>
    </row>
    <row r="89" spans="2:2" ht="39" customHeight="1" x14ac:dyDescent="0.25">
      <c r="B89" s="596" t="s">
        <v>819</v>
      </c>
    </row>
    <row r="90" spans="2:2" ht="12.95" customHeight="1" x14ac:dyDescent="0.25"/>
    <row r="91" spans="2:2" ht="63" x14ac:dyDescent="0.25">
      <c r="B91" s="595" t="s">
        <v>820</v>
      </c>
    </row>
    <row r="92" spans="2:2" ht="75.75" customHeight="1" x14ac:dyDescent="0.25">
      <c r="B92" s="596" t="s">
        <v>821</v>
      </c>
    </row>
    <row r="93" spans="2:2" ht="23.25" customHeight="1" x14ac:dyDescent="0.25">
      <c r="B93" s="596" t="s">
        <v>822</v>
      </c>
    </row>
    <row r="94" spans="2:2" ht="27" customHeight="1" x14ac:dyDescent="0.25">
      <c r="B94" s="596" t="s">
        <v>823</v>
      </c>
    </row>
    <row r="95" spans="2:2" ht="42" customHeight="1" x14ac:dyDescent="0.25">
      <c r="B95" s="599" t="s">
        <v>824</v>
      </c>
    </row>
    <row r="96" spans="2:2" ht="108" customHeight="1" x14ac:dyDescent="0.25">
      <c r="B96" s="599" t="s">
        <v>825</v>
      </c>
    </row>
    <row r="97" spans="2:2" ht="88.5" customHeight="1" x14ac:dyDescent="0.25">
      <c r="B97" s="599" t="s">
        <v>826</v>
      </c>
    </row>
    <row r="98" spans="2:2" ht="98.25" customHeight="1" x14ac:dyDescent="0.25">
      <c r="B98" s="596" t="s">
        <v>827</v>
      </c>
    </row>
    <row r="99" spans="2:2" ht="68.25" customHeight="1" x14ac:dyDescent="0.25">
      <c r="B99" s="596" t="s">
        <v>828</v>
      </c>
    </row>
    <row r="100" spans="2:2" ht="12.95" customHeight="1" x14ac:dyDescent="0.25"/>
    <row r="101" spans="2:2" ht="94.5" x14ac:dyDescent="0.25">
      <c r="B101" s="595" t="s">
        <v>829</v>
      </c>
    </row>
    <row r="102" spans="2:2" ht="78.75" x14ac:dyDescent="0.25">
      <c r="B102" s="600" t="s">
        <v>830</v>
      </c>
    </row>
    <row r="103" spans="2:2" ht="63" x14ac:dyDescent="0.25">
      <c r="B103" s="596" t="s">
        <v>831</v>
      </c>
    </row>
    <row r="104" spans="2:2" ht="39.75" customHeight="1" x14ac:dyDescent="0.25">
      <c r="B104" s="596" t="s">
        <v>832</v>
      </c>
    </row>
    <row r="105" spans="2:2" ht="12.95" customHeight="1" x14ac:dyDescent="0.25">
      <c r="B105" s="547"/>
    </row>
    <row r="106" spans="2:2" ht="47.25" x14ac:dyDescent="0.25">
      <c r="B106" s="595" t="s">
        <v>833</v>
      </c>
    </row>
    <row r="107" spans="2:2" ht="12.95" customHeight="1" x14ac:dyDescent="0.25">
      <c r="B107" s="547"/>
    </row>
    <row r="108" spans="2:2" ht="47.25" x14ac:dyDescent="0.25">
      <c r="B108" s="595" t="s">
        <v>834</v>
      </c>
    </row>
    <row r="109" spans="2:2" x14ac:dyDescent="0.25">
      <c r="B109" s="547"/>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B1:Y39"/>
  <sheetViews>
    <sheetView zoomScale="75" workbookViewId="0">
      <selection activeCell="B38" sqref="B38:I38"/>
    </sheetView>
  </sheetViews>
  <sheetFormatPr defaultRowHeight="15.75" x14ac:dyDescent="0.25"/>
  <cols>
    <col min="1" max="1" width="2.5" style="149" customWidth="1"/>
    <col min="2" max="2" width="18.69921875" style="149" customWidth="1"/>
    <col min="3" max="3" width="8.796875" style="149"/>
    <col min="4" max="4" width="7.8984375" style="149" customWidth="1"/>
    <col min="5" max="5" width="8.796875" style="149"/>
    <col min="6" max="6" width="16.19921875" style="149" customWidth="1"/>
    <col min="7" max="16384" width="8.796875" style="149"/>
  </cols>
  <sheetData>
    <row r="1" spans="2:12" x14ac:dyDescent="0.25">
      <c r="B1" s="147">
        <f>inputPrYr!$D$3</f>
        <v>0</v>
      </c>
      <c r="C1" s="148"/>
      <c r="D1" s="148"/>
      <c r="E1" s="148"/>
      <c r="F1" s="148"/>
      <c r="G1" s="148"/>
      <c r="H1" s="148"/>
      <c r="I1" s="148"/>
      <c r="J1" s="73"/>
      <c r="K1" s="73"/>
      <c r="L1" s="111">
        <f>inputPrYr!D6</f>
        <v>2025</v>
      </c>
    </row>
    <row r="2" spans="2:12" x14ac:dyDescent="0.25">
      <c r="B2" s="147">
        <f>inputPrYr!$D$4</f>
        <v>0</v>
      </c>
      <c r="C2" s="148"/>
      <c r="D2" s="148"/>
      <c r="E2" s="148"/>
      <c r="F2" s="148"/>
      <c r="G2" s="148"/>
      <c r="H2" s="148"/>
      <c r="I2" s="148"/>
      <c r="J2" s="73"/>
      <c r="K2" s="73"/>
      <c r="L2" s="117"/>
    </row>
    <row r="3" spans="2:12" x14ac:dyDescent="0.25">
      <c r="B3" s="150" t="s">
        <v>66</v>
      </c>
      <c r="C3" s="151"/>
      <c r="D3" s="151"/>
      <c r="E3" s="74"/>
      <c r="F3" s="151"/>
      <c r="G3" s="151"/>
      <c r="H3" s="151"/>
      <c r="I3" s="151"/>
      <c r="J3" s="151"/>
      <c r="K3" s="151"/>
      <c r="L3" s="151"/>
    </row>
    <row r="4" spans="2:12" x14ac:dyDescent="0.25">
      <c r="B4" s="148"/>
      <c r="C4" s="148"/>
      <c r="D4" s="148"/>
      <c r="E4" s="148"/>
      <c r="F4" s="148"/>
      <c r="G4" s="148"/>
      <c r="H4" s="148"/>
      <c r="I4" s="148"/>
      <c r="J4" s="148"/>
      <c r="K4" s="148"/>
      <c r="L4" s="148"/>
    </row>
    <row r="5" spans="2:12" x14ac:dyDescent="0.25">
      <c r="B5" s="122" t="s">
        <v>554</v>
      </c>
      <c r="C5" s="122" t="s">
        <v>46</v>
      </c>
      <c r="D5" s="122" t="s">
        <v>53</v>
      </c>
      <c r="E5" s="122"/>
      <c r="F5" s="122" t="s">
        <v>3</v>
      </c>
      <c r="G5" s="152"/>
      <c r="H5" s="153"/>
      <c r="I5" s="152" t="s">
        <v>47</v>
      </c>
      <c r="J5" s="153"/>
      <c r="K5" s="152" t="s">
        <v>47</v>
      </c>
      <c r="L5" s="153"/>
    </row>
    <row r="6" spans="2:12" x14ac:dyDescent="0.25">
      <c r="B6" s="154" t="s">
        <v>48</v>
      </c>
      <c r="C6" s="154" t="s">
        <v>48</v>
      </c>
      <c r="D6" s="154" t="s">
        <v>2</v>
      </c>
      <c r="E6" s="154" t="s">
        <v>3</v>
      </c>
      <c r="F6" s="154" t="s">
        <v>82</v>
      </c>
      <c r="G6" s="155" t="s">
        <v>49</v>
      </c>
      <c r="H6" s="156"/>
      <c r="I6" s="155">
        <f>L1-1</f>
        <v>2024</v>
      </c>
      <c r="J6" s="156"/>
      <c r="K6" s="155">
        <f>L1</f>
        <v>2025</v>
      </c>
      <c r="L6" s="156"/>
    </row>
    <row r="7" spans="2:12" x14ac:dyDescent="0.25">
      <c r="B7" s="123" t="s">
        <v>555</v>
      </c>
      <c r="C7" s="123" t="s">
        <v>50</v>
      </c>
      <c r="D7" s="123" t="s">
        <v>23</v>
      </c>
      <c r="E7" s="123" t="s">
        <v>51</v>
      </c>
      <c r="F7" s="157" t="str">
        <f>CONCATENATE("Jan 1, ",L1-1,"")</f>
        <v>Jan 1, 2024</v>
      </c>
      <c r="G7" s="90" t="s">
        <v>53</v>
      </c>
      <c r="H7" s="90" t="s">
        <v>54</v>
      </c>
      <c r="I7" s="90" t="s">
        <v>53</v>
      </c>
      <c r="J7" s="90" t="s">
        <v>54</v>
      </c>
      <c r="K7" s="90" t="s">
        <v>53</v>
      </c>
      <c r="L7" s="90" t="s">
        <v>54</v>
      </c>
    </row>
    <row r="8" spans="2:12" x14ac:dyDescent="0.25">
      <c r="B8" s="158" t="s">
        <v>42</v>
      </c>
      <c r="C8" s="159"/>
      <c r="D8" s="158"/>
      <c r="E8" s="158"/>
      <c r="F8" s="158"/>
      <c r="G8" s="160"/>
      <c r="H8" s="160"/>
      <c r="I8" s="158"/>
      <c r="J8" s="158"/>
      <c r="K8" s="158"/>
      <c r="L8" s="161"/>
    </row>
    <row r="9" spans="2:12" x14ac:dyDescent="0.25">
      <c r="B9" s="162"/>
      <c r="C9" s="281"/>
      <c r="D9" s="163"/>
      <c r="E9" s="164"/>
      <c r="F9" s="165"/>
      <c r="G9" s="166"/>
      <c r="H9" s="166"/>
      <c r="I9" s="165"/>
      <c r="J9" s="165"/>
      <c r="K9" s="165"/>
      <c r="L9" s="165"/>
    </row>
    <row r="10" spans="2:12" x14ac:dyDescent="0.25">
      <c r="B10" s="162"/>
      <c r="C10" s="281"/>
      <c r="D10" s="163"/>
      <c r="E10" s="164"/>
      <c r="F10" s="165"/>
      <c r="G10" s="166"/>
      <c r="H10" s="166"/>
      <c r="I10" s="165"/>
      <c r="J10" s="165"/>
      <c r="K10" s="165"/>
      <c r="L10" s="165"/>
    </row>
    <row r="11" spans="2:12" x14ac:dyDescent="0.25">
      <c r="B11" s="139" t="s">
        <v>100</v>
      </c>
      <c r="C11" s="167"/>
      <c r="D11" s="168"/>
      <c r="E11" s="169"/>
      <c r="F11" s="169">
        <f>SUM(F9:F10)</f>
        <v>0</v>
      </c>
      <c r="G11" s="170"/>
      <c r="H11" s="170"/>
      <c r="I11" s="169">
        <f>SUM(I9:I10)</f>
        <v>0</v>
      </c>
      <c r="J11" s="169">
        <f>SUM(J9:J10)</f>
        <v>0</v>
      </c>
      <c r="K11" s="169">
        <f>SUM(K9:K10)</f>
        <v>0</v>
      </c>
      <c r="L11" s="169">
        <f>SUM(L9:L10)</f>
        <v>0</v>
      </c>
    </row>
    <row r="12" spans="2:12" x14ac:dyDescent="0.25">
      <c r="B12" s="139" t="s">
        <v>15</v>
      </c>
      <c r="C12" s="167"/>
      <c r="D12" s="168"/>
      <c r="E12" s="169"/>
      <c r="F12" s="169"/>
      <c r="G12" s="170"/>
      <c r="H12" s="170"/>
      <c r="I12" s="169"/>
      <c r="J12" s="169"/>
      <c r="K12" s="169"/>
      <c r="L12" s="169"/>
    </row>
    <row r="13" spans="2:12" x14ac:dyDescent="0.25">
      <c r="B13" s="162"/>
      <c r="C13" s="281"/>
      <c r="D13" s="163"/>
      <c r="E13" s="164"/>
      <c r="F13" s="165"/>
      <c r="G13" s="166"/>
      <c r="H13" s="166"/>
      <c r="I13" s="165"/>
      <c r="J13" s="165"/>
      <c r="K13" s="165"/>
      <c r="L13" s="165"/>
    </row>
    <row r="14" spans="2:12" x14ac:dyDescent="0.25">
      <c r="B14" s="162"/>
      <c r="C14" s="281"/>
      <c r="D14" s="163"/>
      <c r="E14" s="164"/>
      <c r="F14" s="165"/>
      <c r="G14" s="166"/>
      <c r="H14" s="166"/>
      <c r="I14" s="165"/>
      <c r="J14" s="165"/>
      <c r="K14" s="165"/>
      <c r="L14" s="165"/>
    </row>
    <row r="15" spans="2:12" x14ac:dyDescent="0.25">
      <c r="B15" s="139" t="s">
        <v>101</v>
      </c>
      <c r="C15" s="167"/>
      <c r="D15" s="168"/>
      <c r="E15" s="169"/>
      <c r="F15" s="169">
        <f>SUM(F13:F14)</f>
        <v>0</v>
      </c>
      <c r="G15" s="170"/>
      <c r="H15" s="170"/>
      <c r="I15" s="169">
        <f>SUM(I13:I14)</f>
        <v>0</v>
      </c>
      <c r="J15" s="169">
        <f>SUM(J13:J14)</f>
        <v>0</v>
      </c>
      <c r="K15" s="169">
        <f>SUM(K13:K14)</f>
        <v>0</v>
      </c>
      <c r="L15" s="169">
        <f>SUM(L13:L14)</f>
        <v>0</v>
      </c>
    </row>
    <row r="16" spans="2:12" x14ac:dyDescent="0.25">
      <c r="B16" s="171" t="s">
        <v>67</v>
      </c>
      <c r="C16" s="463"/>
      <c r="D16" s="464"/>
      <c r="E16" s="465"/>
      <c r="F16" s="199">
        <f>SUM(F11+F15)</f>
        <v>0</v>
      </c>
      <c r="G16" s="463"/>
      <c r="H16" s="466"/>
      <c r="I16" s="169">
        <f>SUM(I11+I15)</f>
        <v>0</v>
      </c>
      <c r="J16" s="169">
        <f>SUM(J11+J15)</f>
        <v>0</v>
      </c>
      <c r="K16" s="169">
        <f>SUM(K11+K15)</f>
        <v>0</v>
      </c>
      <c r="L16" s="169">
        <f>SUM(L11+L15)</f>
        <v>0</v>
      </c>
    </row>
    <row r="17" spans="2:25" x14ac:dyDescent="0.25">
      <c r="B17" s="73"/>
      <c r="C17" s="73"/>
      <c r="D17" s="73"/>
      <c r="E17" s="73"/>
      <c r="F17" s="73"/>
      <c r="G17" s="73"/>
      <c r="H17" s="73"/>
      <c r="I17" s="73"/>
      <c r="J17" s="73"/>
      <c r="K17" s="73"/>
      <c r="L17" s="73"/>
      <c r="M17" s="107"/>
      <c r="N17" s="107"/>
      <c r="O17" s="107"/>
      <c r="P17" s="107"/>
      <c r="Q17" s="107"/>
      <c r="R17" s="107"/>
      <c r="S17" s="107"/>
      <c r="T17" s="107"/>
      <c r="U17" s="107"/>
      <c r="V17" s="107"/>
      <c r="W17" s="107"/>
      <c r="X17" s="107"/>
      <c r="Y17" s="107"/>
    </row>
    <row r="18" spans="2:25" s="175" customFormat="1" x14ac:dyDescent="0.25">
      <c r="B18" s="747" t="s">
        <v>65</v>
      </c>
      <c r="C18" s="734"/>
      <c r="D18" s="734"/>
      <c r="E18" s="734"/>
      <c r="F18" s="734"/>
      <c r="G18" s="734"/>
      <c r="H18" s="734"/>
      <c r="I18" s="734"/>
      <c r="J18" s="173"/>
      <c r="K18" s="173"/>
      <c r="L18" s="174"/>
    </row>
    <row r="19" spans="2:25" s="175" customFormat="1" x14ac:dyDescent="0.25">
      <c r="B19" s="73"/>
      <c r="C19" s="176"/>
      <c r="D19" s="176"/>
      <c r="E19" s="176"/>
      <c r="F19" s="176"/>
      <c r="G19" s="176"/>
      <c r="H19" s="176"/>
      <c r="I19" s="176"/>
      <c r="J19" s="177"/>
      <c r="K19" s="177"/>
      <c r="L19" s="174"/>
    </row>
    <row r="20" spans="2:25" s="175" customFormat="1" x14ac:dyDescent="0.25">
      <c r="B20" s="122"/>
      <c r="C20" s="121"/>
      <c r="D20" s="122" t="s">
        <v>52</v>
      </c>
      <c r="E20" s="121"/>
      <c r="F20" s="122" t="s">
        <v>194</v>
      </c>
      <c r="G20" s="121"/>
      <c r="H20" s="121"/>
      <c r="I20" s="121"/>
      <c r="J20" s="178"/>
      <c r="K20" s="174"/>
      <c r="L20" s="174"/>
    </row>
    <row r="21" spans="2:25" s="175" customFormat="1" x14ac:dyDescent="0.25">
      <c r="B21" s="154"/>
      <c r="C21" s="154"/>
      <c r="D21" s="154" t="s">
        <v>48</v>
      </c>
      <c r="E21" s="154" t="s">
        <v>53</v>
      </c>
      <c r="F21" s="154" t="s">
        <v>3</v>
      </c>
      <c r="G21" s="154" t="s">
        <v>54</v>
      </c>
      <c r="H21" s="154" t="s">
        <v>55</v>
      </c>
      <c r="I21" s="154" t="s">
        <v>55</v>
      </c>
      <c r="J21" s="174"/>
      <c r="K21" s="174"/>
      <c r="L21" s="174"/>
    </row>
    <row r="22" spans="2:25" s="175" customFormat="1" x14ac:dyDescent="0.25">
      <c r="B22" s="154" t="s">
        <v>556</v>
      </c>
      <c r="C22" s="154" t="s">
        <v>56</v>
      </c>
      <c r="D22" s="154" t="s">
        <v>57</v>
      </c>
      <c r="E22" s="154" t="s">
        <v>2</v>
      </c>
      <c r="F22" s="154" t="s">
        <v>58</v>
      </c>
      <c r="G22" s="154" t="s">
        <v>77</v>
      </c>
      <c r="H22" s="154" t="s">
        <v>59</v>
      </c>
      <c r="I22" s="154" t="s">
        <v>59</v>
      </c>
      <c r="J22" s="174"/>
      <c r="K22" s="174"/>
      <c r="L22" s="174"/>
    </row>
    <row r="23" spans="2:25" s="175" customFormat="1" x14ac:dyDescent="0.25">
      <c r="B23" s="123" t="s">
        <v>557</v>
      </c>
      <c r="C23" s="123" t="s">
        <v>46</v>
      </c>
      <c r="D23" s="179" t="s">
        <v>60</v>
      </c>
      <c r="E23" s="123" t="s">
        <v>23</v>
      </c>
      <c r="F23" s="179" t="s">
        <v>83</v>
      </c>
      <c r="G23" s="157" t="str">
        <f>CONCATENATE("Jan 1,",L1-1,"")</f>
        <v>Jan 1,2024</v>
      </c>
      <c r="H23" s="123">
        <f>L1-1</f>
        <v>2024</v>
      </c>
      <c r="I23" s="123">
        <f>L1</f>
        <v>2025</v>
      </c>
      <c r="J23" s="174"/>
      <c r="K23" s="174"/>
      <c r="L23" s="174"/>
    </row>
    <row r="24" spans="2:25" s="175" customFormat="1" x14ac:dyDescent="0.25">
      <c r="B24" s="162"/>
      <c r="C24" s="281"/>
      <c r="D24" s="180"/>
      <c r="E24" s="163"/>
      <c r="F24" s="164"/>
      <c r="G24" s="164"/>
      <c r="H24" s="164"/>
      <c r="I24" s="164"/>
      <c r="J24" s="174"/>
      <c r="K24" s="174"/>
      <c r="L24" s="174"/>
    </row>
    <row r="25" spans="2:25" s="175" customFormat="1" x14ac:dyDescent="0.25">
      <c r="B25" s="162"/>
      <c r="C25" s="281"/>
      <c r="D25" s="180"/>
      <c r="E25" s="163"/>
      <c r="F25" s="164"/>
      <c r="G25" s="164"/>
      <c r="H25" s="164"/>
      <c r="I25" s="164"/>
      <c r="J25" s="174"/>
      <c r="K25" s="174"/>
      <c r="L25" s="174"/>
    </row>
    <row r="26" spans="2:25" s="175" customFormat="1" x14ac:dyDescent="0.25">
      <c r="B26" s="162"/>
      <c r="C26" s="281"/>
      <c r="D26" s="180"/>
      <c r="E26" s="163"/>
      <c r="F26" s="164"/>
      <c r="G26" s="164"/>
      <c r="H26" s="164"/>
      <c r="I26" s="164"/>
      <c r="J26" s="174"/>
      <c r="K26" s="174"/>
      <c r="L26" s="174"/>
    </row>
    <row r="27" spans="2:25" s="175" customFormat="1" x14ac:dyDescent="0.25">
      <c r="B27" s="162"/>
      <c r="C27" s="281"/>
      <c r="D27" s="180"/>
      <c r="E27" s="163"/>
      <c r="F27" s="164"/>
      <c r="G27" s="164"/>
      <c r="H27" s="164"/>
      <c r="I27" s="164"/>
      <c r="J27" s="174"/>
      <c r="K27" s="174"/>
      <c r="L27" s="174"/>
    </row>
    <row r="28" spans="2:25" s="175" customFormat="1" x14ac:dyDescent="0.25">
      <c r="B28" s="162"/>
      <c r="C28" s="281"/>
      <c r="D28" s="180"/>
      <c r="E28" s="163"/>
      <c r="F28" s="164"/>
      <c r="G28" s="164"/>
      <c r="H28" s="164"/>
      <c r="I28" s="164"/>
      <c r="J28" s="174"/>
      <c r="K28" s="174"/>
      <c r="L28" s="174"/>
    </row>
    <row r="29" spans="2:25" s="175" customFormat="1" x14ac:dyDescent="0.25">
      <c r="B29" s="162"/>
      <c r="C29" s="281"/>
      <c r="D29" s="180"/>
      <c r="E29" s="163"/>
      <c r="F29" s="164"/>
      <c r="G29" s="164"/>
      <c r="H29" s="164"/>
      <c r="I29" s="164"/>
      <c r="J29" s="174"/>
      <c r="K29" s="174"/>
      <c r="L29" s="174"/>
    </row>
    <row r="30" spans="2:25" s="175" customFormat="1" x14ac:dyDescent="0.25">
      <c r="B30" s="162"/>
      <c r="C30" s="281"/>
      <c r="D30" s="180"/>
      <c r="E30" s="163"/>
      <c r="F30" s="164"/>
      <c r="G30" s="164"/>
      <c r="H30" s="164"/>
      <c r="I30" s="164"/>
      <c r="J30" s="174"/>
      <c r="K30" s="174"/>
      <c r="L30" s="174"/>
    </row>
    <row r="31" spans="2:25" s="175" customFormat="1" x14ac:dyDescent="0.25">
      <c r="B31" s="162"/>
      <c r="C31" s="281"/>
      <c r="D31" s="180"/>
      <c r="E31" s="163"/>
      <c r="F31" s="164"/>
      <c r="G31" s="164"/>
      <c r="H31" s="164"/>
      <c r="I31" s="164"/>
      <c r="J31" s="174"/>
      <c r="K31" s="174"/>
      <c r="L31" s="174"/>
    </row>
    <row r="32" spans="2:25" s="175" customFormat="1" x14ac:dyDescent="0.25">
      <c r="B32" s="162"/>
      <c r="C32" s="281"/>
      <c r="D32" s="180"/>
      <c r="E32" s="163"/>
      <c r="F32" s="164"/>
      <c r="G32" s="164"/>
      <c r="H32" s="164"/>
      <c r="I32" s="164"/>
      <c r="J32" s="174"/>
      <c r="K32" s="174"/>
      <c r="L32" s="174"/>
    </row>
    <row r="33" spans="2:12" s="175" customFormat="1" x14ac:dyDescent="0.25">
      <c r="B33" s="162"/>
      <c r="C33" s="281"/>
      <c r="D33" s="180"/>
      <c r="E33" s="163"/>
      <c r="F33" s="164"/>
      <c r="G33" s="164"/>
      <c r="H33" s="164"/>
      <c r="I33" s="164"/>
      <c r="J33" s="174"/>
      <c r="K33" s="174"/>
      <c r="L33" s="174"/>
    </row>
    <row r="34" spans="2:12" s="175" customFormat="1" x14ac:dyDescent="0.25">
      <c r="B34" s="162"/>
      <c r="C34" s="281"/>
      <c r="D34" s="180"/>
      <c r="E34" s="163"/>
      <c r="F34" s="164"/>
      <c r="G34" s="164"/>
      <c r="H34" s="164"/>
      <c r="I34" s="164"/>
      <c r="J34" s="174"/>
      <c r="K34" s="174"/>
      <c r="L34" s="174"/>
    </row>
    <row r="35" spans="2:12" s="175" customFormat="1" x14ac:dyDescent="0.25">
      <c r="B35" s="162"/>
      <c r="C35" s="281"/>
      <c r="D35" s="180"/>
      <c r="E35" s="163"/>
      <c r="F35" s="164"/>
      <c r="G35" s="164"/>
      <c r="H35" s="164"/>
      <c r="I35" s="164"/>
      <c r="J35" s="174"/>
      <c r="K35" s="174"/>
      <c r="L35" s="174"/>
    </row>
    <row r="36" spans="2:12" x14ac:dyDescent="0.25">
      <c r="B36" s="467"/>
      <c r="C36" s="172"/>
      <c r="D36" s="172"/>
      <c r="E36" s="181"/>
      <c r="F36" s="468" t="s">
        <v>67</v>
      </c>
      <c r="G36" s="169">
        <f>SUM(G24:G35)</f>
        <v>0</v>
      </c>
      <c r="H36" s="169">
        <f>SUM(H24:H35)</f>
        <v>0</v>
      </c>
      <c r="I36" s="169">
        <f>SUM(I24:I35)</f>
        <v>0</v>
      </c>
      <c r="J36" s="148"/>
      <c r="K36" s="148"/>
      <c r="L36" s="119"/>
    </row>
    <row r="37" spans="2:12" x14ac:dyDescent="0.25">
      <c r="B37" s="148"/>
      <c r="C37" s="148"/>
      <c r="D37" s="148"/>
      <c r="E37" s="148"/>
      <c r="F37" s="148"/>
      <c r="G37" s="148"/>
      <c r="H37" s="148"/>
      <c r="I37" s="148"/>
      <c r="J37" s="148"/>
      <c r="K37" s="148"/>
      <c r="L37" s="148"/>
    </row>
    <row r="38" spans="2:12" x14ac:dyDescent="0.25">
      <c r="B38" s="748" t="s">
        <v>857</v>
      </c>
      <c r="C38" s="748"/>
      <c r="D38" s="748"/>
      <c r="E38" s="748"/>
      <c r="F38" s="748"/>
      <c r="G38" s="748"/>
      <c r="H38" s="748"/>
      <c r="I38" s="748"/>
      <c r="J38" s="148"/>
      <c r="K38" s="148"/>
      <c r="L38" s="148"/>
    </row>
    <row r="39" spans="2:12" x14ac:dyDescent="0.25">
      <c r="B39" s="182"/>
    </row>
  </sheetData>
  <sheetProtection sheet="1"/>
  <mergeCells count="2">
    <mergeCell ref="B18:I18"/>
    <mergeCell ref="B38:I38"/>
  </mergeCells>
  <phoneticPr fontId="0" type="noConversion"/>
  <pageMargins left="0.5" right="0.5" top="1" bottom="0.5" header="0.5" footer="0.5"/>
  <pageSetup scale="86" orientation="landscape" blackAndWhite="1" horizontalDpi="120" verticalDpi="144" r:id="rId1"/>
  <headerFooter alignWithMargins="0">
    <oddHeader xml:space="preserve">&amp;RState of Kansas
Township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1:I108"/>
  <sheetViews>
    <sheetView zoomScaleNormal="100" workbookViewId="0">
      <selection activeCell="B5" sqref="B5:I5"/>
    </sheetView>
  </sheetViews>
  <sheetFormatPr defaultRowHeight="15" x14ac:dyDescent="0.2"/>
  <cols>
    <col min="1" max="1" width="2.296875" style="351" customWidth="1"/>
    <col min="2" max="4" width="8.796875" style="351"/>
    <col min="5" max="5" width="8.69921875" style="351" customWidth="1"/>
    <col min="6" max="6" width="8.796875" style="351"/>
    <col min="7" max="7" width="8.69921875" style="351" customWidth="1"/>
    <col min="8" max="16384" width="8.796875" style="351"/>
  </cols>
  <sheetData>
    <row r="1" spans="2:9" ht="15.75" x14ac:dyDescent="0.25">
      <c r="B1" s="350"/>
      <c r="C1" s="350"/>
      <c r="D1" s="350"/>
      <c r="E1" s="350"/>
      <c r="F1" s="350"/>
      <c r="G1" s="350"/>
      <c r="H1" s="350"/>
      <c r="I1" s="350"/>
    </row>
    <row r="2" spans="2:9" ht="15.75" x14ac:dyDescent="0.2">
      <c r="B2" s="751" t="s">
        <v>496</v>
      </c>
      <c r="C2" s="751"/>
      <c r="D2" s="751"/>
      <c r="E2" s="751"/>
      <c r="F2" s="751"/>
      <c r="G2" s="751"/>
      <c r="H2" s="751"/>
      <c r="I2" s="751"/>
    </row>
    <row r="3" spans="2:9" ht="15.75" x14ac:dyDescent="0.2">
      <c r="B3" s="751" t="s">
        <v>497</v>
      </c>
      <c r="C3" s="751"/>
      <c r="D3" s="751"/>
      <c r="E3" s="751"/>
      <c r="F3" s="751"/>
      <c r="G3" s="751"/>
      <c r="H3" s="751"/>
      <c r="I3" s="751"/>
    </row>
    <row r="4" spans="2:9" ht="15.75" x14ac:dyDescent="0.2">
      <c r="B4" s="352"/>
      <c r="C4" s="352"/>
      <c r="D4" s="352"/>
      <c r="E4" s="352"/>
      <c r="F4" s="352"/>
      <c r="G4" s="352"/>
      <c r="H4" s="352"/>
      <c r="I4" s="352"/>
    </row>
    <row r="5" spans="2:9" ht="15.75" x14ac:dyDescent="0.2">
      <c r="B5" s="752" t="str">
        <f>CONCATENATE("Budgeted Year: ",inputPrYr!D6,"")</f>
        <v>Budgeted Year: 2025</v>
      </c>
      <c r="C5" s="752"/>
      <c r="D5" s="752"/>
      <c r="E5" s="752"/>
      <c r="F5" s="752"/>
      <c r="G5" s="752"/>
      <c r="H5" s="752"/>
      <c r="I5" s="752"/>
    </row>
    <row r="6" spans="2:9" ht="15.75" x14ac:dyDescent="0.2">
      <c r="B6" s="353"/>
      <c r="C6" s="352"/>
      <c r="D6" s="352"/>
      <c r="E6" s="352"/>
      <c r="F6" s="352"/>
      <c r="G6" s="352"/>
      <c r="H6" s="352"/>
      <c r="I6" s="352"/>
    </row>
    <row r="7" spans="2:9" ht="15.75" x14ac:dyDescent="0.2">
      <c r="B7" s="353" t="str">
        <f>CONCATENATE("Library found in: ",inputPrYr!D3,"")</f>
        <v xml:space="preserve">Library found in: </v>
      </c>
      <c r="C7" s="352"/>
      <c r="D7" s="352"/>
      <c r="E7" s="352"/>
      <c r="F7" s="352"/>
      <c r="G7" s="352"/>
      <c r="H7" s="352"/>
      <c r="I7" s="352"/>
    </row>
    <row r="8" spans="2:9" ht="15.75" x14ac:dyDescent="0.2">
      <c r="B8" s="353">
        <f>inputPrYr!D4</f>
        <v>0</v>
      </c>
      <c r="C8" s="352"/>
      <c r="D8" s="352"/>
      <c r="E8" s="352"/>
      <c r="F8" s="352"/>
      <c r="G8" s="352"/>
      <c r="H8" s="352"/>
      <c r="I8" s="352"/>
    </row>
    <row r="9" spans="2:9" ht="15.75" x14ac:dyDescent="0.2">
      <c r="B9" s="352"/>
      <c r="C9" s="352"/>
      <c r="D9" s="352"/>
      <c r="E9" s="352"/>
      <c r="F9" s="352"/>
      <c r="G9" s="352"/>
      <c r="H9" s="352"/>
      <c r="I9" s="352"/>
    </row>
    <row r="10" spans="2:9" ht="39" customHeight="1" x14ac:dyDescent="0.2">
      <c r="B10" s="753" t="s">
        <v>921</v>
      </c>
      <c r="C10" s="753"/>
      <c r="D10" s="753"/>
      <c r="E10" s="753"/>
      <c r="F10" s="753"/>
      <c r="G10" s="753"/>
      <c r="H10" s="753"/>
      <c r="I10" s="753"/>
    </row>
    <row r="11" spans="2:9" ht="15.75" x14ac:dyDescent="0.2">
      <c r="B11" s="352"/>
      <c r="C11" s="352"/>
      <c r="D11" s="352"/>
      <c r="E11" s="352"/>
      <c r="F11" s="352"/>
      <c r="G11" s="352"/>
      <c r="H11" s="352"/>
      <c r="I11" s="352"/>
    </row>
    <row r="12" spans="2:9" ht="15.75" x14ac:dyDescent="0.2">
      <c r="B12" s="354" t="s">
        <v>498</v>
      </c>
      <c r="C12" s="352"/>
      <c r="D12" s="352"/>
      <c r="E12" s="352"/>
      <c r="F12" s="352"/>
      <c r="G12" s="352"/>
      <c r="H12" s="352"/>
      <c r="I12" s="352"/>
    </row>
    <row r="13" spans="2:9" ht="15.75" x14ac:dyDescent="0.2">
      <c r="B13" s="352"/>
      <c r="C13" s="352"/>
      <c r="D13" s="352"/>
      <c r="E13" s="355" t="s">
        <v>7</v>
      </c>
      <c r="F13" s="352"/>
      <c r="G13" s="355" t="s">
        <v>499</v>
      </c>
      <c r="H13" s="352"/>
      <c r="I13" s="352"/>
    </row>
    <row r="14" spans="2:9" ht="15.75" x14ac:dyDescent="0.2">
      <c r="B14" s="352"/>
      <c r="C14" s="352"/>
      <c r="D14" s="352"/>
      <c r="E14" s="356">
        <f>inputPrYr!D6-1</f>
        <v>2024</v>
      </c>
      <c r="F14" s="352"/>
      <c r="G14" s="356">
        <f>inputPrYr!D6</f>
        <v>2025</v>
      </c>
      <c r="H14" s="352"/>
      <c r="I14" s="352"/>
    </row>
    <row r="15" spans="2:9" ht="15.75" x14ac:dyDescent="0.2">
      <c r="B15" s="353" t="str">
        <f>'DebtSvs-Library'!B49</f>
        <v>Ad Valorem Tax</v>
      </c>
      <c r="C15" s="352"/>
      <c r="D15" s="352"/>
      <c r="E15" s="357">
        <f>'DebtSvs-Library'!D49</f>
        <v>0</v>
      </c>
      <c r="F15" s="352"/>
      <c r="G15" s="357">
        <f>'DebtSvs-Library'!E82</f>
        <v>0</v>
      </c>
      <c r="H15" s="352"/>
      <c r="I15" s="352"/>
    </row>
    <row r="16" spans="2:9" ht="15.75" x14ac:dyDescent="0.2">
      <c r="B16" s="353" t="str">
        <f>'DebtSvs-Library'!B50</f>
        <v>Delinquent Tax</v>
      </c>
      <c r="C16" s="352"/>
      <c r="D16" s="352"/>
      <c r="E16" s="357">
        <f>'DebtSvs-Library'!D50</f>
        <v>0</v>
      </c>
      <c r="F16" s="352"/>
      <c r="G16" s="357">
        <f>'DebtSvs-Library'!E50</f>
        <v>0</v>
      </c>
      <c r="H16" s="352"/>
      <c r="I16" s="352"/>
    </row>
    <row r="17" spans="2:9" ht="15.75" x14ac:dyDescent="0.2">
      <c r="B17" s="353" t="str">
        <f>'DebtSvs-Library'!B51</f>
        <v>Motor Vehicle Tax</v>
      </c>
      <c r="C17" s="352"/>
      <c r="D17" s="352"/>
      <c r="E17" s="357">
        <f>'DebtSvs-Library'!D51</f>
        <v>0</v>
      </c>
      <c r="F17" s="352"/>
      <c r="G17" s="357">
        <f>'DebtSvs-Library'!E51</f>
        <v>0</v>
      </c>
      <c r="H17" s="352"/>
      <c r="I17" s="352"/>
    </row>
    <row r="18" spans="2:9" ht="15.75" x14ac:dyDescent="0.2">
      <c r="B18" s="353" t="str">
        <f>'DebtSvs-Library'!B52</f>
        <v>Recreational Vehicle Tax</v>
      </c>
      <c r="C18" s="352"/>
      <c r="D18" s="352"/>
      <c r="E18" s="357">
        <f>'DebtSvs-Library'!D52</f>
        <v>0</v>
      </c>
      <c r="F18" s="352"/>
      <c r="G18" s="357">
        <f>'DebtSvs-Library'!E52</f>
        <v>0</v>
      </c>
      <c r="H18" s="352"/>
      <c r="I18" s="352"/>
    </row>
    <row r="19" spans="2:9" ht="15.75" x14ac:dyDescent="0.2">
      <c r="B19" s="353" t="str">
        <f>'DebtSvs-Library'!B53</f>
        <v>16/20M Vehicle Tax</v>
      </c>
      <c r="C19" s="352"/>
      <c r="D19" s="352"/>
      <c r="E19" s="357">
        <f>'DebtSvs-Library'!D53</f>
        <v>0</v>
      </c>
      <c r="F19" s="352"/>
      <c r="G19" s="357">
        <f>'DebtSvs-Library'!E53</f>
        <v>0</v>
      </c>
      <c r="H19" s="352"/>
      <c r="I19" s="352"/>
    </row>
    <row r="20" spans="2:9" ht="15.75" x14ac:dyDescent="0.2">
      <c r="B20" s="352" t="s">
        <v>104</v>
      </c>
      <c r="C20" s="352"/>
      <c r="D20" s="352"/>
      <c r="E20" s="357">
        <v>0</v>
      </c>
      <c r="F20" s="352"/>
      <c r="G20" s="357">
        <v>0</v>
      </c>
      <c r="H20" s="352"/>
      <c r="I20" s="352"/>
    </row>
    <row r="21" spans="2:9" ht="15.75" x14ac:dyDescent="0.2">
      <c r="B21" s="352"/>
      <c r="C21" s="352"/>
      <c r="D21" s="352"/>
      <c r="E21" s="357">
        <v>0</v>
      </c>
      <c r="F21" s="352"/>
      <c r="G21" s="357">
        <v>0</v>
      </c>
      <c r="H21" s="352"/>
      <c r="I21" s="352"/>
    </row>
    <row r="22" spans="2:9" ht="15.75" x14ac:dyDescent="0.2">
      <c r="B22" s="352" t="s">
        <v>500</v>
      </c>
      <c r="C22" s="352"/>
      <c r="D22" s="352"/>
      <c r="E22" s="358">
        <f>SUM(E15:E21)</f>
        <v>0</v>
      </c>
      <c r="F22" s="352"/>
      <c r="G22" s="358">
        <f>SUM(G15:G21)</f>
        <v>0</v>
      </c>
      <c r="H22" s="352"/>
      <c r="I22" s="352"/>
    </row>
    <row r="23" spans="2:9" ht="15.75" x14ac:dyDescent="0.2">
      <c r="B23" s="352" t="s">
        <v>501</v>
      </c>
      <c r="C23" s="352"/>
      <c r="D23" s="352"/>
      <c r="E23" s="359">
        <f>G22-E22</f>
        <v>0</v>
      </c>
      <c r="F23" s="352"/>
      <c r="G23" s="357"/>
      <c r="H23" s="352"/>
      <c r="I23" s="352"/>
    </row>
    <row r="24" spans="2:9" ht="15.75" x14ac:dyDescent="0.2">
      <c r="B24" s="352" t="s">
        <v>502</v>
      </c>
      <c r="C24" s="352"/>
      <c r="D24" s="360" t="str">
        <f>IF((G22-E22)&gt;=0,"Qualify","Not Qualify")</f>
        <v>Qualify</v>
      </c>
      <c r="E24" s="352"/>
      <c r="F24" s="352"/>
      <c r="G24" s="352"/>
      <c r="H24" s="352"/>
      <c r="I24" s="352"/>
    </row>
    <row r="25" spans="2:9" ht="15.75" x14ac:dyDescent="0.2">
      <c r="B25" s="352"/>
      <c r="C25" s="352"/>
      <c r="D25" s="352"/>
      <c r="E25" s="352"/>
      <c r="F25" s="352"/>
      <c r="G25" s="352"/>
      <c r="H25" s="352"/>
      <c r="I25" s="352"/>
    </row>
    <row r="26" spans="2:9" ht="15.75" x14ac:dyDescent="0.2">
      <c r="B26" s="354" t="s">
        <v>503</v>
      </c>
      <c r="C26" s="352"/>
      <c r="D26" s="352"/>
      <c r="E26" s="352"/>
      <c r="F26" s="352"/>
      <c r="G26" s="352"/>
      <c r="H26" s="352"/>
      <c r="I26" s="352"/>
    </row>
    <row r="27" spans="2:9" ht="15.75" x14ac:dyDescent="0.2">
      <c r="B27" s="352" t="s">
        <v>504</v>
      </c>
      <c r="C27" s="352"/>
      <c r="D27" s="352"/>
      <c r="E27" s="357">
        <f>'Budget Hearing Notice'!E42</f>
        <v>0</v>
      </c>
      <c r="F27" s="352"/>
      <c r="G27" s="357">
        <f>'Budget Hearing Notice'!G42</f>
        <v>0</v>
      </c>
      <c r="H27" s="352"/>
      <c r="I27" s="352"/>
    </row>
    <row r="28" spans="2:9" ht="15.75" x14ac:dyDescent="0.2">
      <c r="B28" s="352" t="s">
        <v>505</v>
      </c>
      <c r="C28" s="352"/>
      <c r="D28" s="352"/>
      <c r="E28" s="361" t="str">
        <f>IF(G27-E27&gt;=0,"No","Yes")</f>
        <v>No</v>
      </c>
      <c r="F28" s="352"/>
      <c r="G28" s="352"/>
      <c r="H28" s="352"/>
      <c r="I28" s="352"/>
    </row>
    <row r="29" spans="2:9" ht="15.75" x14ac:dyDescent="0.2">
      <c r="B29" s="352" t="s">
        <v>506</v>
      </c>
      <c r="C29" s="352"/>
      <c r="D29" s="352"/>
      <c r="E29" s="362" t="str">
        <f>'Budget Hearing Notice'!F20</f>
        <v xml:space="preserve">  </v>
      </c>
      <c r="F29" s="352"/>
      <c r="G29" s="362" t="str">
        <f>'Budget Hearing Notice'!I20</f>
        <v xml:space="preserve"> </v>
      </c>
      <c r="H29" s="352"/>
      <c r="I29" s="352"/>
    </row>
    <row r="30" spans="2:9" ht="15.75" x14ac:dyDescent="0.2">
      <c r="B30" s="352" t="s">
        <v>507</v>
      </c>
      <c r="C30" s="352"/>
      <c r="D30" s="352"/>
      <c r="E30" s="363" t="e">
        <f>G29-E29</f>
        <v>#VALUE!</v>
      </c>
      <c r="F30" s="352"/>
      <c r="G30" s="352"/>
      <c r="H30" s="352"/>
      <c r="I30" s="352"/>
    </row>
    <row r="31" spans="2:9" ht="15.75" x14ac:dyDescent="0.2">
      <c r="B31" s="352" t="s">
        <v>502</v>
      </c>
      <c r="C31" s="352"/>
      <c r="D31" s="364" t="e">
        <f>IF(E30&gt;=0,"Qualify","Not Qualify")</f>
        <v>#VALUE!</v>
      </c>
      <c r="E31" s="352"/>
      <c r="F31" s="352"/>
      <c r="G31" s="352"/>
      <c r="H31" s="352"/>
      <c r="I31" s="352"/>
    </row>
    <row r="32" spans="2:9" ht="15.75" x14ac:dyDescent="0.2">
      <c r="B32" s="352"/>
      <c r="C32" s="352"/>
      <c r="D32" s="352"/>
      <c r="E32" s="352"/>
      <c r="F32" s="352"/>
      <c r="G32" s="352"/>
      <c r="H32" s="352"/>
      <c r="I32" s="352"/>
    </row>
    <row r="33" spans="2:9" ht="15.75" x14ac:dyDescent="0.2">
      <c r="B33" s="352" t="s">
        <v>508</v>
      </c>
      <c r="C33" s="352"/>
      <c r="D33" s="352"/>
      <c r="E33" s="352"/>
      <c r="F33" s="365" t="str">
        <f>IF(D24="Not Qualify",IF(D31="Not Qualify",IF(D31="Not Qualify","Not Qualify","Qualify"),"Qualify"),"Qualify")</f>
        <v>Qualify</v>
      </c>
      <c r="G33" s="352"/>
      <c r="H33" s="352"/>
      <c r="I33" s="352"/>
    </row>
    <row r="34" spans="2:9" ht="15.75" x14ac:dyDescent="0.2">
      <c r="B34" s="352"/>
      <c r="C34" s="352"/>
      <c r="D34" s="352"/>
      <c r="E34" s="352"/>
      <c r="F34" s="352"/>
      <c r="G34" s="352"/>
      <c r="H34" s="352"/>
      <c r="I34" s="352"/>
    </row>
    <row r="35" spans="2:9" ht="15.75" x14ac:dyDescent="0.2">
      <c r="B35" s="352"/>
      <c r="C35" s="352"/>
      <c r="D35" s="352"/>
      <c r="E35" s="352"/>
      <c r="F35" s="352"/>
      <c r="G35" s="352"/>
      <c r="H35" s="352"/>
      <c r="I35" s="352"/>
    </row>
    <row r="36" spans="2:9" ht="37.5" customHeight="1" x14ac:dyDescent="0.2">
      <c r="B36" s="753" t="s">
        <v>509</v>
      </c>
      <c r="C36" s="753"/>
      <c r="D36" s="753"/>
      <c r="E36" s="753"/>
      <c r="F36" s="753"/>
      <c r="G36" s="753"/>
      <c r="H36" s="753"/>
      <c r="I36" s="753"/>
    </row>
    <row r="37" spans="2:9" ht="15.75" x14ac:dyDescent="0.2">
      <c r="B37" s="352"/>
      <c r="C37" s="352"/>
      <c r="D37" s="352"/>
      <c r="E37" s="352"/>
      <c r="F37" s="352"/>
      <c r="G37" s="352"/>
      <c r="H37" s="352"/>
      <c r="I37" s="352"/>
    </row>
    <row r="38" spans="2:9" ht="15.75" x14ac:dyDescent="0.2">
      <c r="B38" s="352"/>
      <c r="C38" s="352"/>
      <c r="D38" s="352"/>
      <c r="E38" s="352"/>
      <c r="F38" s="352"/>
      <c r="G38" s="352"/>
      <c r="H38" s="352"/>
      <c r="I38" s="352"/>
    </row>
    <row r="39" spans="2:9" ht="15.75" x14ac:dyDescent="0.2">
      <c r="B39" s="352"/>
      <c r="C39" s="352"/>
      <c r="D39" s="352"/>
      <c r="E39" s="352"/>
      <c r="F39" s="352"/>
      <c r="G39" s="352"/>
      <c r="H39" s="352"/>
      <c r="I39" s="352"/>
    </row>
    <row r="40" spans="2:9" ht="15.75" x14ac:dyDescent="0.2">
      <c r="B40" s="352"/>
      <c r="C40" s="352"/>
      <c r="D40" s="352"/>
      <c r="E40" s="366" t="s">
        <v>510</v>
      </c>
      <c r="F40" s="367">
        <v>5</v>
      </c>
      <c r="G40" s="352"/>
      <c r="H40" s="352"/>
      <c r="I40" s="352"/>
    </row>
    <row r="41" spans="2:9" ht="15.75" x14ac:dyDescent="0.2">
      <c r="B41" s="352"/>
      <c r="C41" s="352"/>
      <c r="D41" s="352"/>
      <c r="E41" s="352"/>
      <c r="F41" s="352"/>
      <c r="G41" s="352"/>
      <c r="H41" s="352"/>
      <c r="I41" s="352"/>
    </row>
    <row r="42" spans="2:9" ht="15.75" x14ac:dyDescent="0.2">
      <c r="B42" s="352"/>
      <c r="C42" s="352"/>
      <c r="D42" s="352"/>
      <c r="E42" s="352"/>
      <c r="F42" s="352"/>
      <c r="G42" s="352"/>
      <c r="H42" s="352"/>
      <c r="I42" s="352"/>
    </row>
    <row r="43" spans="2:9" ht="15.75" x14ac:dyDescent="0.25">
      <c r="B43" s="749" t="s">
        <v>511</v>
      </c>
      <c r="C43" s="750"/>
      <c r="D43" s="750"/>
      <c r="E43" s="750"/>
      <c r="F43" s="750"/>
      <c r="G43" s="750"/>
      <c r="H43" s="750"/>
      <c r="I43" s="750"/>
    </row>
    <row r="44" spans="2:9" ht="15.75" x14ac:dyDescent="0.2">
      <c r="B44" s="352"/>
      <c r="C44" s="352"/>
      <c r="D44" s="352"/>
      <c r="E44" s="352"/>
      <c r="F44" s="352"/>
      <c r="G44" s="352"/>
      <c r="H44" s="352"/>
      <c r="I44" s="352"/>
    </row>
    <row r="45" spans="2:9" ht="15.75" x14ac:dyDescent="0.25">
      <c r="B45" s="368" t="s">
        <v>512</v>
      </c>
      <c r="C45" s="352"/>
      <c r="D45" s="352"/>
      <c r="E45" s="352"/>
      <c r="F45" s="352"/>
      <c r="G45" s="352"/>
      <c r="H45" s="352"/>
      <c r="I45" s="352"/>
    </row>
    <row r="46" spans="2:9" ht="15.75" x14ac:dyDescent="0.25">
      <c r="B46" s="368" t="str">
        <f>CONCATENATE("sources in your ",G14," library fund is not equal to or greater than the amount from the same")</f>
        <v>sources in your 2025 library fund is not equal to or greater than the amount from the same</v>
      </c>
      <c r="C46" s="352"/>
      <c r="D46" s="352"/>
      <c r="E46" s="352"/>
      <c r="F46" s="352"/>
      <c r="G46" s="352"/>
      <c r="H46" s="352"/>
      <c r="I46" s="352"/>
    </row>
    <row r="47" spans="2:9" ht="15.75" x14ac:dyDescent="0.25">
      <c r="B47" s="368" t="str">
        <f>CONCATENATE("sources in ",E14,".")</f>
        <v>sources in 2024.</v>
      </c>
      <c r="C47" s="350"/>
      <c r="D47" s="350"/>
      <c r="E47" s="350"/>
      <c r="F47" s="350"/>
      <c r="G47" s="350"/>
      <c r="H47" s="350"/>
      <c r="I47" s="350"/>
    </row>
    <row r="48" spans="2:9" ht="15.75" x14ac:dyDescent="0.25">
      <c r="B48" s="350"/>
      <c r="C48" s="350"/>
      <c r="D48" s="350"/>
      <c r="E48" s="350"/>
      <c r="F48" s="350"/>
      <c r="G48" s="350"/>
      <c r="H48" s="350"/>
      <c r="I48" s="350"/>
    </row>
    <row r="49" spans="2:9" ht="15.75" x14ac:dyDescent="0.25">
      <c r="B49" s="368" t="s">
        <v>513</v>
      </c>
      <c r="C49" s="368"/>
      <c r="D49" s="369"/>
      <c r="E49" s="369"/>
      <c r="F49" s="369"/>
      <c r="G49" s="369"/>
      <c r="H49" s="369"/>
      <c r="I49" s="369"/>
    </row>
    <row r="50" spans="2:9" ht="15.75" x14ac:dyDescent="0.25">
      <c r="B50" s="368" t="s">
        <v>514</v>
      </c>
      <c r="C50" s="368"/>
      <c r="D50" s="369"/>
      <c r="E50" s="369"/>
      <c r="F50" s="369"/>
      <c r="G50" s="369"/>
      <c r="H50" s="369"/>
      <c r="I50" s="369"/>
    </row>
    <row r="51" spans="2:9" ht="15.75" x14ac:dyDescent="0.25">
      <c r="B51" s="368" t="s">
        <v>515</v>
      </c>
      <c r="C51" s="368"/>
      <c r="D51" s="369"/>
      <c r="E51" s="369"/>
      <c r="F51" s="369"/>
      <c r="G51" s="369"/>
      <c r="H51" s="369"/>
      <c r="I51" s="369"/>
    </row>
    <row r="52" spans="2:9" x14ac:dyDescent="0.2">
      <c r="B52" s="369"/>
      <c r="C52" s="369"/>
      <c r="D52" s="369"/>
      <c r="E52" s="369"/>
      <c r="F52" s="369"/>
      <c r="G52" s="369"/>
      <c r="H52" s="369"/>
      <c r="I52" s="369"/>
    </row>
    <row r="53" spans="2:9" ht="15.75" x14ac:dyDescent="0.25">
      <c r="B53" s="370" t="s">
        <v>516</v>
      </c>
      <c r="C53" s="369"/>
      <c r="D53" s="369"/>
      <c r="E53" s="369"/>
      <c r="F53" s="369"/>
      <c r="G53" s="369"/>
      <c r="H53" s="369"/>
      <c r="I53" s="369"/>
    </row>
    <row r="54" spans="2:9" x14ac:dyDescent="0.2">
      <c r="B54" s="369"/>
      <c r="C54" s="369"/>
      <c r="D54" s="369"/>
      <c r="E54" s="369"/>
      <c r="F54" s="369"/>
      <c r="G54" s="369"/>
      <c r="H54" s="369"/>
      <c r="I54" s="369"/>
    </row>
    <row r="55" spans="2:9" ht="15.75" x14ac:dyDescent="0.25">
      <c r="B55" s="368" t="s">
        <v>517</v>
      </c>
      <c r="C55" s="369"/>
      <c r="D55" s="369"/>
      <c r="E55" s="369"/>
      <c r="F55" s="369"/>
      <c r="G55" s="369"/>
      <c r="H55" s="369"/>
      <c r="I55" s="369"/>
    </row>
    <row r="56" spans="2:9" ht="15.75" x14ac:dyDescent="0.25">
      <c r="B56" s="368" t="s">
        <v>518</v>
      </c>
      <c r="C56" s="369"/>
      <c r="D56" s="369"/>
      <c r="E56" s="369"/>
      <c r="F56" s="369"/>
      <c r="G56" s="369"/>
      <c r="H56" s="369"/>
      <c r="I56" s="369"/>
    </row>
    <row r="57" spans="2:9" x14ac:dyDescent="0.2">
      <c r="B57" s="369"/>
      <c r="C57" s="369"/>
      <c r="D57" s="369"/>
      <c r="E57" s="369"/>
      <c r="F57" s="369"/>
      <c r="G57" s="369"/>
      <c r="H57" s="369"/>
      <c r="I57" s="369"/>
    </row>
    <row r="58" spans="2:9" ht="15.75" x14ac:dyDescent="0.25">
      <c r="B58" s="370" t="s">
        <v>519</v>
      </c>
      <c r="C58" s="368"/>
      <c r="D58" s="368"/>
      <c r="E58" s="368"/>
      <c r="F58" s="368"/>
      <c r="G58" s="369"/>
      <c r="H58" s="369"/>
      <c r="I58" s="369"/>
    </row>
    <row r="59" spans="2:9" ht="15.75" x14ac:dyDescent="0.25">
      <c r="B59" s="368"/>
      <c r="C59" s="368"/>
      <c r="D59" s="368"/>
      <c r="E59" s="368"/>
      <c r="F59" s="368"/>
      <c r="G59" s="369"/>
      <c r="H59" s="369"/>
      <c r="I59" s="369"/>
    </row>
    <row r="60" spans="2:9" ht="15.75" x14ac:dyDescent="0.25">
      <c r="B60" s="368" t="s">
        <v>520</v>
      </c>
      <c r="C60" s="368"/>
      <c r="D60" s="368"/>
      <c r="E60" s="368"/>
      <c r="F60" s="368"/>
      <c r="G60" s="369"/>
      <c r="H60" s="369"/>
      <c r="I60" s="369"/>
    </row>
    <row r="61" spans="2:9" ht="15.75" x14ac:dyDescent="0.25">
      <c r="B61" s="368" t="s">
        <v>521</v>
      </c>
      <c r="C61" s="368"/>
      <c r="D61" s="368"/>
      <c r="E61" s="368"/>
      <c r="F61" s="368"/>
      <c r="G61" s="369"/>
      <c r="H61" s="369"/>
      <c r="I61" s="369"/>
    </row>
    <row r="62" spans="2:9" ht="15.75" x14ac:dyDescent="0.25">
      <c r="B62" s="368" t="s">
        <v>522</v>
      </c>
      <c r="C62" s="368"/>
      <c r="D62" s="368"/>
      <c r="E62" s="368"/>
      <c r="F62" s="368"/>
      <c r="G62" s="369"/>
      <c r="H62" s="369"/>
      <c r="I62" s="369"/>
    </row>
    <row r="63" spans="2:9" ht="15.75" x14ac:dyDescent="0.25">
      <c r="B63" s="368" t="s">
        <v>523</v>
      </c>
      <c r="C63" s="368"/>
      <c r="D63" s="368"/>
      <c r="E63" s="368"/>
      <c r="F63" s="368"/>
      <c r="G63" s="369"/>
      <c r="H63" s="369"/>
      <c r="I63" s="369"/>
    </row>
    <row r="64" spans="2:9" x14ac:dyDescent="0.2">
      <c r="B64" s="371"/>
      <c r="C64" s="371"/>
      <c r="D64" s="371"/>
      <c r="E64" s="371"/>
      <c r="F64" s="371"/>
      <c r="G64" s="369"/>
      <c r="H64" s="369"/>
      <c r="I64" s="369"/>
    </row>
    <row r="65" spans="2:9" ht="15.75" x14ac:dyDescent="0.25">
      <c r="B65" s="368" t="s">
        <v>524</v>
      </c>
      <c r="C65" s="371"/>
      <c r="D65" s="371"/>
      <c r="E65" s="371"/>
      <c r="F65" s="371"/>
      <c r="G65" s="369"/>
      <c r="H65" s="369"/>
      <c r="I65" s="369"/>
    </row>
    <row r="66" spans="2:9" ht="15.75" x14ac:dyDescent="0.25">
      <c r="B66" s="368" t="s">
        <v>525</v>
      </c>
      <c r="C66" s="371"/>
      <c r="D66" s="371"/>
      <c r="E66" s="371"/>
      <c r="F66" s="371"/>
      <c r="G66" s="369"/>
      <c r="H66" s="369"/>
      <c r="I66" s="369"/>
    </row>
    <row r="67" spans="2:9" x14ac:dyDescent="0.2">
      <c r="B67" s="371"/>
      <c r="C67" s="371"/>
      <c r="D67" s="371"/>
      <c r="E67" s="371"/>
      <c r="F67" s="371"/>
      <c r="G67" s="369"/>
      <c r="H67" s="369"/>
      <c r="I67" s="369"/>
    </row>
    <row r="68" spans="2:9" ht="15.75" x14ac:dyDescent="0.25">
      <c r="B68" s="368" t="s">
        <v>526</v>
      </c>
      <c r="C68" s="371"/>
      <c r="D68" s="371"/>
      <c r="E68" s="371"/>
      <c r="F68" s="371"/>
      <c r="G68" s="369"/>
      <c r="H68" s="369"/>
      <c r="I68" s="369"/>
    </row>
    <row r="69" spans="2:9" ht="15.75" x14ac:dyDescent="0.25">
      <c r="B69" s="368" t="s">
        <v>527</v>
      </c>
      <c r="C69" s="371"/>
      <c r="D69" s="371"/>
      <c r="E69" s="371"/>
      <c r="F69" s="371"/>
      <c r="G69" s="369"/>
      <c r="H69" s="369"/>
      <c r="I69" s="369"/>
    </row>
    <row r="70" spans="2:9" x14ac:dyDescent="0.2">
      <c r="B70" s="371"/>
      <c r="C70" s="371"/>
      <c r="D70" s="371"/>
      <c r="E70" s="371"/>
      <c r="F70" s="371"/>
      <c r="G70" s="369"/>
      <c r="H70" s="369"/>
      <c r="I70" s="369"/>
    </row>
    <row r="71" spans="2:9" ht="15.75" x14ac:dyDescent="0.25">
      <c r="B71" s="370" t="s">
        <v>528</v>
      </c>
      <c r="C71" s="371"/>
      <c r="D71" s="371"/>
      <c r="E71" s="371"/>
      <c r="F71" s="371"/>
      <c r="G71" s="369"/>
      <c r="H71" s="369"/>
      <c r="I71" s="369"/>
    </row>
    <row r="72" spans="2:9" x14ac:dyDescent="0.2">
      <c r="B72" s="371"/>
      <c r="C72" s="371"/>
      <c r="D72" s="371"/>
      <c r="E72" s="371"/>
      <c r="F72" s="371"/>
      <c r="G72" s="369"/>
      <c r="H72" s="369"/>
      <c r="I72" s="369"/>
    </row>
    <row r="73" spans="2:9" ht="15.75" x14ac:dyDescent="0.25">
      <c r="B73" s="368" t="s">
        <v>529</v>
      </c>
      <c r="C73" s="371"/>
      <c r="D73" s="371"/>
      <c r="E73" s="371"/>
      <c r="F73" s="371"/>
      <c r="G73" s="369"/>
      <c r="H73" s="369"/>
      <c r="I73" s="369"/>
    </row>
    <row r="74" spans="2:9" ht="15.75" x14ac:dyDescent="0.25">
      <c r="B74" s="368" t="s">
        <v>530</v>
      </c>
      <c r="C74" s="371"/>
      <c r="D74" s="371"/>
      <c r="E74" s="371"/>
      <c r="F74" s="371"/>
      <c r="G74" s="369"/>
      <c r="H74" s="369"/>
      <c r="I74" s="369"/>
    </row>
    <row r="75" spans="2:9" x14ac:dyDescent="0.2">
      <c r="B75" s="371"/>
      <c r="C75" s="371"/>
      <c r="D75" s="371"/>
      <c r="E75" s="371"/>
      <c r="F75" s="371"/>
      <c r="G75" s="369"/>
      <c r="H75" s="369"/>
      <c r="I75" s="369"/>
    </row>
    <row r="76" spans="2:9" ht="15.75" x14ac:dyDescent="0.25">
      <c r="B76" s="370" t="s">
        <v>531</v>
      </c>
      <c r="C76" s="371"/>
      <c r="D76" s="371"/>
      <c r="E76" s="371"/>
      <c r="F76" s="371"/>
      <c r="G76" s="369"/>
      <c r="H76" s="369"/>
      <c r="I76" s="369"/>
    </row>
    <row r="77" spans="2:9" x14ac:dyDescent="0.2">
      <c r="B77" s="371"/>
      <c r="C77" s="371"/>
      <c r="D77" s="371"/>
      <c r="E77" s="371"/>
      <c r="F77" s="371"/>
      <c r="G77" s="369"/>
      <c r="H77" s="369"/>
      <c r="I77" s="369"/>
    </row>
    <row r="78" spans="2:9" ht="15.75" x14ac:dyDescent="0.25">
      <c r="B78" s="368" t="str">
        <f>CONCATENATE("If the ",G14," municipal budget has not been published and has not been submitted to the County")</f>
        <v>If the 2025 municipal budget has not been published and has not been submitted to the County</v>
      </c>
      <c r="C78" s="371"/>
      <c r="D78" s="371"/>
      <c r="E78" s="371"/>
      <c r="F78" s="371"/>
      <c r="G78" s="369"/>
      <c r="H78" s="369"/>
      <c r="I78" s="369"/>
    </row>
    <row r="79" spans="2:9" ht="15.75" x14ac:dyDescent="0.25">
      <c r="B79" s="368" t="s">
        <v>532</v>
      </c>
      <c r="C79" s="371"/>
      <c r="D79" s="371"/>
      <c r="E79" s="371"/>
      <c r="F79" s="371"/>
      <c r="G79" s="369"/>
      <c r="H79" s="369"/>
      <c r="I79" s="369"/>
    </row>
    <row r="80" spans="2:9" x14ac:dyDescent="0.2">
      <c r="B80" s="371"/>
      <c r="C80" s="371"/>
      <c r="D80" s="371"/>
      <c r="E80" s="371"/>
      <c r="F80" s="371"/>
      <c r="G80" s="369"/>
      <c r="H80" s="369"/>
      <c r="I80" s="369"/>
    </row>
    <row r="81" spans="2:9" ht="15.75" x14ac:dyDescent="0.25">
      <c r="B81" s="370" t="s">
        <v>267</v>
      </c>
      <c r="C81" s="371"/>
      <c r="D81" s="371"/>
      <c r="E81" s="371"/>
      <c r="F81" s="371"/>
      <c r="G81" s="369"/>
      <c r="H81" s="369"/>
      <c r="I81" s="369"/>
    </row>
    <row r="82" spans="2:9" x14ac:dyDescent="0.2">
      <c r="B82" s="371"/>
      <c r="C82" s="371"/>
      <c r="D82" s="371"/>
      <c r="E82" s="371"/>
      <c r="F82" s="371"/>
      <c r="G82" s="369"/>
      <c r="H82" s="369"/>
      <c r="I82" s="369"/>
    </row>
    <row r="83" spans="2:9" ht="15.75" x14ac:dyDescent="0.25">
      <c r="B83" s="368" t="s">
        <v>533</v>
      </c>
      <c r="C83" s="371"/>
      <c r="D83" s="371"/>
      <c r="E83" s="371"/>
      <c r="F83" s="371"/>
      <c r="G83" s="369"/>
      <c r="H83" s="369"/>
      <c r="I83" s="369"/>
    </row>
    <row r="84" spans="2:9" ht="15.75" x14ac:dyDescent="0.25">
      <c r="B84" s="368" t="str">
        <f>CONCATENATE("Budget Year ",G14," is equal to or greater than that for Current Year Estimate ",E14,".")</f>
        <v>Budget Year 2025 is equal to or greater than that for Current Year Estimate 2024.</v>
      </c>
      <c r="C84" s="371"/>
      <c r="D84" s="371"/>
      <c r="E84" s="371"/>
      <c r="F84" s="371"/>
      <c r="G84" s="369"/>
      <c r="H84" s="369"/>
      <c r="I84" s="369"/>
    </row>
    <row r="85" spans="2:9" x14ac:dyDescent="0.2">
      <c r="B85" s="371"/>
      <c r="C85" s="371"/>
      <c r="D85" s="371"/>
      <c r="E85" s="371"/>
      <c r="F85" s="371"/>
      <c r="G85" s="369"/>
      <c r="H85" s="369"/>
      <c r="I85" s="369"/>
    </row>
    <row r="86" spans="2:9" ht="15.75" x14ac:dyDescent="0.25">
      <c r="B86" s="368" t="s">
        <v>534</v>
      </c>
      <c r="C86" s="371"/>
      <c r="D86" s="371"/>
      <c r="E86" s="371"/>
      <c r="F86" s="371"/>
      <c r="G86" s="369"/>
      <c r="H86" s="369"/>
      <c r="I86" s="369"/>
    </row>
    <row r="87" spans="2:9" ht="15.75" x14ac:dyDescent="0.25">
      <c r="B87" s="368" t="s">
        <v>535</v>
      </c>
      <c r="C87" s="371"/>
      <c r="D87" s="371"/>
      <c r="E87" s="371"/>
      <c r="F87" s="371"/>
      <c r="G87" s="369"/>
      <c r="H87" s="369"/>
      <c r="I87" s="369"/>
    </row>
    <row r="88" spans="2:9" ht="15.75" x14ac:dyDescent="0.25">
      <c r="B88" s="368" t="s">
        <v>536</v>
      </c>
      <c r="C88" s="371"/>
      <c r="D88" s="371"/>
      <c r="E88" s="371"/>
      <c r="F88" s="371"/>
      <c r="G88" s="369"/>
      <c r="H88" s="369"/>
      <c r="I88" s="369"/>
    </row>
    <row r="89" spans="2:9" ht="15.75" x14ac:dyDescent="0.25">
      <c r="B89" s="368" t="str">
        <f>CONCATENATE("purpose for the previous (",E14,") year.")</f>
        <v>purpose for the previous (2024) year.</v>
      </c>
      <c r="C89" s="371"/>
      <c r="D89" s="371"/>
      <c r="E89" s="371"/>
      <c r="F89" s="371"/>
      <c r="G89" s="369"/>
      <c r="H89" s="369"/>
      <c r="I89" s="369"/>
    </row>
    <row r="90" spans="2:9" x14ac:dyDescent="0.2">
      <c r="B90" s="371"/>
      <c r="C90" s="371"/>
      <c r="D90" s="371"/>
      <c r="E90" s="371"/>
      <c r="F90" s="371"/>
      <c r="G90" s="369"/>
      <c r="H90" s="369"/>
      <c r="I90" s="369"/>
    </row>
    <row r="91" spans="2:9" ht="15.75" x14ac:dyDescent="0.25">
      <c r="B91" s="368" t="str">
        <f>CONCATENATE("Next, look to see if delinquent tax for ",G14," is budgeted. Often this line is budgeted at $0 or left")</f>
        <v>Next, look to see if delinquent tax for 2025 is budgeted. Often this line is budgeted at $0 or left</v>
      </c>
      <c r="C91" s="371"/>
      <c r="D91" s="371"/>
      <c r="E91" s="371"/>
      <c r="F91" s="371"/>
      <c r="G91" s="369"/>
      <c r="H91" s="369"/>
      <c r="I91" s="369"/>
    </row>
    <row r="92" spans="2:9" ht="15.75" x14ac:dyDescent="0.25">
      <c r="B92" s="368" t="s">
        <v>537</v>
      </c>
      <c r="C92" s="371"/>
      <c r="D92" s="371"/>
      <c r="E92" s="371"/>
      <c r="F92" s="371"/>
      <c r="G92" s="369"/>
      <c r="H92" s="369"/>
      <c r="I92" s="369"/>
    </row>
    <row r="93" spans="2:9" ht="15.75" x14ac:dyDescent="0.25">
      <c r="B93" s="368" t="s">
        <v>538</v>
      </c>
      <c r="C93" s="371"/>
      <c r="D93" s="371"/>
      <c r="E93" s="371"/>
      <c r="F93" s="371"/>
      <c r="G93" s="369"/>
      <c r="H93" s="369"/>
      <c r="I93" s="369"/>
    </row>
    <row r="94" spans="2:9" ht="15.75" x14ac:dyDescent="0.25">
      <c r="B94" s="368" t="s">
        <v>539</v>
      </c>
      <c r="C94" s="371"/>
      <c r="D94" s="371"/>
      <c r="E94" s="371"/>
      <c r="F94" s="371"/>
      <c r="G94" s="369"/>
      <c r="H94" s="369"/>
      <c r="I94" s="369"/>
    </row>
    <row r="95" spans="2:9" x14ac:dyDescent="0.2">
      <c r="B95" s="371"/>
      <c r="C95" s="371"/>
      <c r="D95" s="371"/>
      <c r="E95" s="371"/>
      <c r="F95" s="371"/>
      <c r="G95" s="369"/>
      <c r="H95" s="369"/>
      <c r="I95" s="369"/>
    </row>
    <row r="96" spans="2:9" ht="15.75" x14ac:dyDescent="0.25">
      <c r="B96" s="370" t="s">
        <v>540</v>
      </c>
      <c r="C96" s="371"/>
      <c r="D96" s="371"/>
      <c r="E96" s="371"/>
      <c r="F96" s="371"/>
      <c r="G96" s="369"/>
      <c r="H96" s="369"/>
      <c r="I96" s="369"/>
    </row>
    <row r="97" spans="2:9" x14ac:dyDescent="0.2">
      <c r="B97" s="371"/>
      <c r="C97" s="371"/>
      <c r="D97" s="371"/>
      <c r="E97" s="371"/>
      <c r="F97" s="371"/>
      <c r="G97" s="369"/>
      <c r="H97" s="369"/>
      <c r="I97" s="369"/>
    </row>
    <row r="98" spans="2:9" ht="15.75" x14ac:dyDescent="0.25">
      <c r="B98" s="368" t="s">
        <v>541</v>
      </c>
      <c r="C98" s="371"/>
      <c r="D98" s="371"/>
      <c r="E98" s="371"/>
      <c r="F98" s="371"/>
      <c r="G98" s="369"/>
      <c r="H98" s="369"/>
      <c r="I98" s="369"/>
    </row>
    <row r="99" spans="2:9" ht="15.75" x14ac:dyDescent="0.25">
      <c r="B99" s="368" t="s">
        <v>542</v>
      </c>
      <c r="C99" s="371"/>
      <c r="D99" s="371"/>
      <c r="E99" s="371"/>
      <c r="F99" s="371"/>
      <c r="G99" s="369"/>
      <c r="H99" s="369"/>
      <c r="I99" s="369"/>
    </row>
    <row r="100" spans="2:9" x14ac:dyDescent="0.2">
      <c r="B100" s="371"/>
      <c r="C100" s="371"/>
      <c r="D100" s="371"/>
      <c r="E100" s="371"/>
      <c r="F100" s="371"/>
      <c r="G100" s="369"/>
      <c r="H100" s="369"/>
      <c r="I100" s="369"/>
    </row>
    <row r="101" spans="2:9" ht="15.75" x14ac:dyDescent="0.25">
      <c r="B101" s="368" t="s">
        <v>543</v>
      </c>
      <c r="C101" s="371"/>
      <c r="D101" s="371"/>
      <c r="E101" s="371"/>
      <c r="F101" s="371"/>
      <c r="G101" s="369"/>
      <c r="H101" s="369"/>
      <c r="I101" s="369"/>
    </row>
    <row r="102" spans="2:9" ht="15.75" x14ac:dyDescent="0.25">
      <c r="B102" s="368" t="s">
        <v>544</v>
      </c>
      <c r="C102" s="371"/>
      <c r="D102" s="371"/>
      <c r="E102" s="371"/>
      <c r="F102" s="371"/>
      <c r="G102" s="369"/>
      <c r="H102" s="369"/>
      <c r="I102" s="369"/>
    </row>
    <row r="103" spans="2:9" ht="15.75" x14ac:dyDescent="0.25">
      <c r="B103" s="368" t="s">
        <v>545</v>
      </c>
      <c r="C103" s="371"/>
      <c r="D103" s="371"/>
      <c r="E103" s="371"/>
      <c r="F103" s="371"/>
      <c r="G103" s="369"/>
      <c r="H103" s="369"/>
      <c r="I103" s="369"/>
    </row>
    <row r="104" spans="2:9" ht="15.75" x14ac:dyDescent="0.25">
      <c r="B104" s="368" t="s">
        <v>546</v>
      </c>
      <c r="C104" s="371"/>
      <c r="D104" s="371"/>
      <c r="E104" s="371"/>
      <c r="F104" s="371"/>
      <c r="G104" s="369"/>
      <c r="H104" s="369"/>
      <c r="I104" s="369"/>
    </row>
    <row r="105" spans="2:9" ht="15.75" x14ac:dyDescent="0.25">
      <c r="B105" s="509" t="s">
        <v>741</v>
      </c>
      <c r="C105" s="487"/>
      <c r="D105" s="487"/>
      <c r="E105" s="487"/>
      <c r="F105" s="487"/>
      <c r="G105" s="369"/>
      <c r="H105" s="369"/>
      <c r="I105" s="369"/>
    </row>
    <row r="108" spans="2:9" x14ac:dyDescent="0.2">
      <c r="G108" s="372"/>
    </row>
  </sheetData>
  <sheetProtection sheet="1" objects="1" scenarios="1"/>
  <mergeCells count="6">
    <mergeCell ref="B43:I43"/>
    <mergeCell ref="B2:I2"/>
    <mergeCell ref="B3:I3"/>
    <mergeCell ref="B5:I5"/>
    <mergeCell ref="B10:I10"/>
    <mergeCell ref="B36:I36"/>
  </mergeCells>
  <hyperlinks>
    <hyperlink ref="B105" r:id="rId1" xr:uid="{00000000-0004-0000-09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K74"/>
  <sheetViews>
    <sheetView workbookViewId="0">
      <selection activeCell="B15" sqref="B15:E15"/>
    </sheetView>
  </sheetViews>
  <sheetFormatPr defaultRowHeight="15.75" x14ac:dyDescent="0.25"/>
  <cols>
    <col min="1" max="1" width="2.3984375" style="130" customWidth="1"/>
    <col min="2" max="2" width="31.09765625" style="130" customWidth="1"/>
    <col min="3" max="4" width="15.69921875" style="130" customWidth="1"/>
    <col min="5" max="5" width="13.69921875" style="130" customWidth="1"/>
    <col min="6" max="6" width="8.19921875" style="130" customWidth="1"/>
    <col min="7" max="7" width="8.69921875" style="130" customWidth="1"/>
    <col min="8" max="8" width="8.796875" style="130"/>
    <col min="9" max="9" width="4.8984375" style="130" customWidth="1"/>
    <col min="10" max="10" width="9.3984375" style="130" customWidth="1"/>
    <col min="11" max="16384" width="8.796875" style="130"/>
  </cols>
  <sheetData>
    <row r="1" spans="2:5" x14ac:dyDescent="0.25">
      <c r="B1" s="112">
        <f>inputPrYr!D3</f>
        <v>0</v>
      </c>
      <c r="C1" s="73"/>
      <c r="D1" s="73"/>
      <c r="E1" s="111">
        <f>inputPrYr!D6</f>
        <v>2025</v>
      </c>
    </row>
    <row r="2" spans="2:5" x14ac:dyDescent="0.25">
      <c r="B2" s="115"/>
      <c r="C2" s="73"/>
      <c r="D2" s="73"/>
      <c r="E2" s="183"/>
    </row>
    <row r="3" spans="2:5" x14ac:dyDescent="0.25">
      <c r="B3" s="297" t="s">
        <v>485</v>
      </c>
      <c r="C3" s="80"/>
      <c r="D3" s="80"/>
      <c r="E3" s="184"/>
    </row>
    <row r="4" spans="2:5" x14ac:dyDescent="0.25">
      <c r="B4" s="77" t="s">
        <v>5</v>
      </c>
      <c r="C4" s="284" t="s">
        <v>6</v>
      </c>
      <c r="D4" s="286" t="s">
        <v>7</v>
      </c>
      <c r="E4" s="78" t="s">
        <v>8</v>
      </c>
    </row>
    <row r="5" spans="2:5" x14ac:dyDescent="0.25">
      <c r="B5" s="293" t="str">
        <f>inputPrYr!B17</f>
        <v>General</v>
      </c>
      <c r="C5" s="285" t="str">
        <f>CONCATENATE("Actual for ",$E$1-2,"")</f>
        <v>Actual for 2023</v>
      </c>
      <c r="D5" s="285" t="str">
        <f>CONCATENATE("Estimate for ",$E$1-1,"")</f>
        <v>Estimate for 2024</v>
      </c>
      <c r="E5" s="81" t="str">
        <f>CONCATENATE("Year for ",$E$1,"")</f>
        <v>Year for 2025</v>
      </c>
    </row>
    <row r="6" spans="2:5" x14ac:dyDescent="0.25">
      <c r="B6" s="82" t="s">
        <v>78</v>
      </c>
      <c r="C6" s="185"/>
      <c r="D6" s="283">
        <f>C50</f>
        <v>0</v>
      </c>
      <c r="E6" s="169">
        <f>D50</f>
        <v>0</v>
      </c>
    </row>
    <row r="7" spans="2:5" x14ac:dyDescent="0.25">
      <c r="B7" s="82" t="s">
        <v>80</v>
      </c>
      <c r="C7" s="283"/>
      <c r="D7" s="283"/>
      <c r="E7" s="188"/>
    </row>
    <row r="8" spans="2:5" x14ac:dyDescent="0.25">
      <c r="B8" s="82" t="s">
        <v>10</v>
      </c>
      <c r="C8" s="185"/>
      <c r="D8" s="283">
        <f>IF(inputPrYr!H18&gt;0,inputPrYr!G19,inputPrYr!E17)</f>
        <v>0</v>
      </c>
      <c r="E8" s="188" t="s">
        <v>204</v>
      </c>
    </row>
    <row r="9" spans="2:5" x14ac:dyDescent="0.25">
      <c r="B9" s="82" t="s">
        <v>11</v>
      </c>
      <c r="C9" s="185"/>
      <c r="D9" s="185"/>
      <c r="E9" s="164"/>
    </row>
    <row r="10" spans="2:5" x14ac:dyDescent="0.25">
      <c r="B10" s="82" t="s">
        <v>12</v>
      </c>
      <c r="C10" s="185"/>
      <c r="D10" s="185"/>
      <c r="E10" s="169">
        <f>Mvalloc!D11</f>
        <v>0</v>
      </c>
    </row>
    <row r="11" spans="2:5" x14ac:dyDescent="0.25">
      <c r="B11" s="82" t="s">
        <v>13</v>
      </c>
      <c r="C11" s="185"/>
      <c r="D11" s="185"/>
      <c r="E11" s="169">
        <f>Mvalloc!F11</f>
        <v>0</v>
      </c>
    </row>
    <row r="12" spans="2:5" x14ac:dyDescent="0.25">
      <c r="B12" s="189" t="s">
        <v>61</v>
      </c>
      <c r="C12" s="185"/>
      <c r="D12" s="185"/>
      <c r="E12" s="169">
        <f>Mvalloc!G11</f>
        <v>0</v>
      </c>
    </row>
    <row r="13" spans="2:5" x14ac:dyDescent="0.25">
      <c r="B13" s="546" t="s">
        <v>591</v>
      </c>
      <c r="C13" s="185"/>
      <c r="D13" s="185"/>
      <c r="E13" s="169">
        <f>Mvalloc!H11</f>
        <v>0</v>
      </c>
    </row>
    <row r="14" spans="2:5" x14ac:dyDescent="0.25">
      <c r="B14" s="546" t="s">
        <v>592</v>
      </c>
      <c r="C14" s="185"/>
      <c r="D14" s="185"/>
      <c r="E14" s="169">
        <f>Mvalloc!I11</f>
        <v>0</v>
      </c>
    </row>
    <row r="15" spans="2:5" x14ac:dyDescent="0.25">
      <c r="B15" s="82" t="s">
        <v>14</v>
      </c>
      <c r="C15" s="185"/>
      <c r="D15" s="185"/>
      <c r="E15" s="169">
        <f>inputOth!E12</f>
        <v>0</v>
      </c>
    </row>
    <row r="16" spans="2:5" x14ac:dyDescent="0.25">
      <c r="B16" s="191"/>
      <c r="C16" s="185"/>
      <c r="D16" s="185"/>
      <c r="E16" s="164"/>
    </row>
    <row r="17" spans="2:10" x14ac:dyDescent="0.25">
      <c r="B17" s="191"/>
      <c r="C17" s="185"/>
      <c r="D17" s="185"/>
      <c r="E17" s="164"/>
    </row>
    <row r="18" spans="2:10" x14ac:dyDescent="0.25">
      <c r="B18" s="192"/>
      <c r="C18" s="185"/>
      <c r="D18" s="185"/>
      <c r="E18" s="164"/>
    </row>
    <row r="19" spans="2:10" x14ac:dyDescent="0.25">
      <c r="B19" s="192"/>
      <c r="C19" s="185"/>
      <c r="D19" s="185"/>
      <c r="E19" s="164"/>
    </row>
    <row r="20" spans="2:10" x14ac:dyDescent="0.25">
      <c r="B20" s="192"/>
      <c r="C20" s="185"/>
      <c r="D20" s="185"/>
      <c r="E20" s="164"/>
    </row>
    <row r="21" spans="2:10" x14ac:dyDescent="0.25">
      <c r="B21" s="191"/>
      <c r="C21" s="185"/>
      <c r="D21" s="185"/>
      <c r="E21" s="164"/>
    </row>
    <row r="22" spans="2:10" x14ac:dyDescent="0.25">
      <c r="B22" s="192" t="s">
        <v>16</v>
      </c>
      <c r="C22" s="185"/>
      <c r="D22" s="185"/>
      <c r="E22" s="164"/>
    </row>
    <row r="23" spans="2:10" x14ac:dyDescent="0.25">
      <c r="B23" s="189" t="s">
        <v>146</v>
      </c>
      <c r="C23" s="185"/>
      <c r="D23" s="185"/>
      <c r="E23" s="169">
        <f>'NR Rebate'!E6*-1</f>
        <v>0</v>
      </c>
    </row>
    <row r="24" spans="2:10" x14ac:dyDescent="0.25">
      <c r="B24" s="193" t="s">
        <v>143</v>
      </c>
      <c r="C24" s="185"/>
      <c r="D24" s="185"/>
      <c r="E24" s="164"/>
    </row>
    <row r="25" spans="2:10" x14ac:dyDescent="0.25">
      <c r="B25" s="193" t="s">
        <v>144</v>
      </c>
      <c r="C25" s="282" t="str">
        <f>IF(C26*0.1&lt;C24,"Exceed 10% Rule","")</f>
        <v/>
      </c>
      <c r="D25" s="282" t="str">
        <f>IF(D26*0.1&lt;D24,"Exceed 10% Rule","")</f>
        <v/>
      </c>
      <c r="E25" s="198" t="str">
        <f>IF((E56+E26)*0.1&lt;E24,"Exceed 10% Rule","")</f>
        <v/>
      </c>
    </row>
    <row r="26" spans="2:10" x14ac:dyDescent="0.25">
      <c r="B26" s="195" t="s">
        <v>17</v>
      </c>
      <c r="C26" s="199">
        <f>SUM(C8:C24)</f>
        <v>0</v>
      </c>
      <c r="D26" s="199">
        <f>SUM(D8:D24)</f>
        <v>0</v>
      </c>
      <c r="E26" s="199">
        <f>SUM(E8:E24)</f>
        <v>0</v>
      </c>
    </row>
    <row r="27" spans="2:10" x14ac:dyDescent="0.25">
      <c r="B27" s="196" t="s">
        <v>18</v>
      </c>
      <c r="C27" s="199">
        <f>C26+C6</f>
        <v>0</v>
      </c>
      <c r="D27" s="199">
        <f>D26+D6</f>
        <v>0</v>
      </c>
      <c r="E27" s="199">
        <f>E26+E6</f>
        <v>0</v>
      </c>
      <c r="G27" s="756" t="str">
        <f>CONCATENATE("Desired Carryover Into ",E1+1,"")</f>
        <v>Desired Carryover Into 2026</v>
      </c>
      <c r="H27" s="757"/>
      <c r="I27" s="757"/>
      <c r="J27" s="758"/>
    </row>
    <row r="28" spans="2:10" x14ac:dyDescent="0.25">
      <c r="B28" s="82" t="s">
        <v>19</v>
      </c>
      <c r="C28" s="283"/>
      <c r="D28" s="283"/>
      <c r="E28" s="169"/>
      <c r="G28" s="320"/>
      <c r="H28" s="308"/>
      <c r="I28" s="313"/>
      <c r="J28" s="321"/>
    </row>
    <row r="29" spans="2:10" x14ac:dyDescent="0.25">
      <c r="B29" s="191"/>
      <c r="C29" s="185"/>
      <c r="D29" s="185"/>
      <c r="E29" s="164"/>
      <c r="G29" s="322" t="s">
        <v>486</v>
      </c>
      <c r="H29" s="313"/>
      <c r="I29" s="313"/>
      <c r="J29" s="323">
        <v>0</v>
      </c>
    </row>
    <row r="30" spans="2:10" x14ac:dyDescent="0.25">
      <c r="B30" s="192" t="s">
        <v>72</v>
      </c>
      <c r="C30" s="185"/>
      <c r="D30" s="185"/>
      <c r="E30" s="164"/>
      <c r="G30" s="320" t="s">
        <v>487</v>
      </c>
      <c r="H30" s="308"/>
      <c r="I30" s="308"/>
      <c r="J30" s="477" t="str">
        <f>IF(J29=0,"",ROUND((J29+E56-G42)/inputOth!E7*1000,3)-G47)</f>
        <v/>
      </c>
    </row>
    <row r="31" spans="2:10" x14ac:dyDescent="0.25">
      <c r="B31" s="192" t="s">
        <v>85</v>
      </c>
      <c r="C31" s="185"/>
      <c r="D31" s="185"/>
      <c r="E31" s="164"/>
      <c r="G31" s="478" t="str">
        <f>CONCATENATE("",E1," Tot Exp/Non-Appr Must Be:")</f>
        <v>2025 Tot Exp/Non-Appr Must Be:</v>
      </c>
      <c r="H31" s="476"/>
      <c r="I31" s="475"/>
      <c r="J31" s="479">
        <f>IF(J29&gt;0,IF(E53&lt;E22,IF(J29=G42,E53,((J29-G42)*(1-D55))+E22),E53+(J29-G42)),0)</f>
        <v>0</v>
      </c>
    </row>
    <row r="32" spans="2:10" x14ac:dyDescent="0.25">
      <c r="B32" s="192" t="s">
        <v>73</v>
      </c>
      <c r="C32" s="185"/>
      <c r="D32" s="185"/>
      <c r="E32" s="164"/>
      <c r="G32" s="480" t="s">
        <v>551</v>
      </c>
      <c r="H32" s="481"/>
      <c r="I32" s="481"/>
      <c r="J32" s="482">
        <f>IF(J29&gt;0,J31-E53,0)</f>
        <v>0</v>
      </c>
    </row>
    <row r="33" spans="2:11" x14ac:dyDescent="0.25">
      <c r="B33" s="192" t="s">
        <v>30</v>
      </c>
      <c r="C33" s="185"/>
      <c r="D33" s="185"/>
      <c r="E33" s="164"/>
    </row>
    <row r="34" spans="2:11" x14ac:dyDescent="0.25">
      <c r="B34" s="191" t="s">
        <v>74</v>
      </c>
      <c r="C34" s="185"/>
      <c r="D34" s="185"/>
      <c r="E34" s="164"/>
      <c r="G34" s="756" t="str">
        <f>CONCATENATE("Projected Carryover Into ",E1+1,"")</f>
        <v>Projected Carryover Into 2026</v>
      </c>
      <c r="H34" s="757"/>
      <c r="I34" s="757"/>
      <c r="J34" s="758"/>
    </row>
    <row r="35" spans="2:11" x14ac:dyDescent="0.25">
      <c r="B35" s="191" t="s">
        <v>86</v>
      </c>
      <c r="C35" s="185"/>
      <c r="D35" s="185"/>
      <c r="E35" s="164"/>
      <c r="G35" s="307"/>
      <c r="H35" s="308"/>
      <c r="I35" s="308"/>
      <c r="J35" s="309"/>
    </row>
    <row r="36" spans="2:11" x14ac:dyDescent="0.25">
      <c r="B36" s="192" t="s">
        <v>88</v>
      </c>
      <c r="C36" s="185"/>
      <c r="D36" s="185"/>
      <c r="E36" s="164"/>
      <c r="G36" s="310">
        <f>D50</f>
        <v>0</v>
      </c>
      <c r="H36" s="311" t="str">
        <f>CONCATENATE("",E1-1," Ending Cash Balance (est.)")</f>
        <v>2024 Ending Cash Balance (est.)</v>
      </c>
      <c r="I36" s="312"/>
      <c r="J36" s="309"/>
    </row>
    <row r="37" spans="2:11" x14ac:dyDescent="0.25">
      <c r="B37" s="192"/>
      <c r="C37" s="185"/>
      <c r="D37" s="185"/>
      <c r="E37" s="164"/>
      <c r="G37" s="310">
        <f>E26</f>
        <v>0</v>
      </c>
      <c r="H37" s="313" t="str">
        <f>CONCATENATE("",E1," Non-AV Receipts (est.)")</f>
        <v>2025 Non-AV Receipts (est.)</v>
      </c>
      <c r="I37" s="313"/>
      <c r="J37" s="308"/>
      <c r="K37" s="550"/>
    </row>
    <row r="38" spans="2:11" x14ac:dyDescent="0.2">
      <c r="B38" s="191"/>
      <c r="C38" s="185"/>
      <c r="D38" s="185"/>
      <c r="E38" s="164"/>
      <c r="G38" s="314">
        <f>IF(D55&gt;0,E54,E56)</f>
        <v>0</v>
      </c>
      <c r="H38" s="313" t="str">
        <f>CONCATENATE("",E1," Ad Valorem Tax (est.)")</f>
        <v>2025 Ad Valorem Tax (est.)</v>
      </c>
      <c r="I38" s="313"/>
      <c r="J38" s="308"/>
      <c r="K38" s="551" t="str">
        <f>IF(G38=E56,"","Note: Does not include Delinquent Taxes")</f>
        <v/>
      </c>
    </row>
    <row r="39" spans="2:11" x14ac:dyDescent="0.25">
      <c r="B39" s="192"/>
      <c r="C39" s="185"/>
      <c r="D39" s="185"/>
      <c r="E39" s="164"/>
      <c r="G39" s="310">
        <f>SUM(G36:G38)</f>
        <v>0</v>
      </c>
      <c r="H39" s="313" t="str">
        <f>CONCATENATE("Total ",E1," Resources Available")</f>
        <v>Total 2025 Resources Available</v>
      </c>
      <c r="I39" s="312"/>
      <c r="J39" s="309"/>
    </row>
    <row r="40" spans="2:11" x14ac:dyDescent="0.25">
      <c r="B40" s="192"/>
      <c r="C40" s="185"/>
      <c r="D40" s="185"/>
      <c r="E40" s="164"/>
      <c r="G40" s="315"/>
      <c r="H40" s="313"/>
      <c r="I40" s="313"/>
      <c r="J40" s="309"/>
    </row>
    <row r="41" spans="2:11" x14ac:dyDescent="0.25">
      <c r="B41" s="191"/>
      <c r="C41" s="185"/>
      <c r="D41" s="185"/>
      <c r="E41" s="164"/>
      <c r="G41" s="314">
        <f>ROUND(C49*0.05+C49,0)</f>
        <v>0</v>
      </c>
      <c r="H41" s="313" t="str">
        <f>CONCATENATE("Less ",E1-2," Expenditures + 5%")</f>
        <v>Less 2023 Expenditures + 5%</v>
      </c>
      <c r="I41" s="312"/>
      <c r="J41" s="309"/>
    </row>
    <row r="42" spans="2:11" x14ac:dyDescent="0.25">
      <c r="B42" s="189" t="str">
        <f>CONCATENATE("Cash Reserve (",E1," column)")</f>
        <v>Cash Reserve (2025 column)</v>
      </c>
      <c r="C42" s="185"/>
      <c r="D42" s="185"/>
      <c r="E42" s="164"/>
      <c r="G42" s="316">
        <f>G39-G41</f>
        <v>0</v>
      </c>
      <c r="H42" s="317" t="str">
        <f>CONCATENATE("Projected ",E1+1," Carryover (est.)")</f>
        <v>Projected 2026 Carryover (est.)</v>
      </c>
      <c r="I42" s="318"/>
      <c r="J42" s="319"/>
    </row>
    <row r="43" spans="2:11" x14ac:dyDescent="0.25">
      <c r="B43" s="189" t="s">
        <v>187</v>
      </c>
      <c r="C43" s="185"/>
      <c r="D43" s="185"/>
      <c r="E43" s="164"/>
    </row>
    <row r="44" spans="2:11" x14ac:dyDescent="0.25">
      <c r="B44" s="189" t="s">
        <v>184</v>
      </c>
      <c r="C44" s="287" t="str">
        <f>IF(AND($C$43&gt;0,$C$8&gt;0),"Not Authorized","")</f>
        <v/>
      </c>
      <c r="D44" s="287" t="str">
        <f>IF(AND($D$43&gt;0,$D$8&gt;0),"Not Authorized","")</f>
        <v/>
      </c>
      <c r="E44" s="197" t="str">
        <f>IF(AND(Cert!E20&gt;0,$E$43&gt;0),"Not Authorized","")</f>
        <v/>
      </c>
      <c r="G44" s="765" t="s">
        <v>858</v>
      </c>
      <c r="H44" s="766"/>
      <c r="I44" s="766"/>
      <c r="J44" s="767"/>
    </row>
    <row r="45" spans="2:11" x14ac:dyDescent="0.25">
      <c r="B45" s="82" t="s">
        <v>188</v>
      </c>
      <c r="C45" s="185"/>
      <c r="D45" s="185"/>
      <c r="E45" s="164"/>
      <c r="G45" s="768"/>
      <c r="H45" s="769"/>
      <c r="I45" s="769"/>
      <c r="J45" s="770"/>
    </row>
    <row r="46" spans="2:11" x14ac:dyDescent="0.25">
      <c r="B46" s="82" t="s">
        <v>491</v>
      </c>
      <c r="C46" s="282" t="str">
        <f>IF(C27*0.25&lt;C45,"Exceeds 25%","")</f>
        <v/>
      </c>
      <c r="D46" s="282" t="str">
        <f>IF(D27*0.25&lt;D45,"Exceeds 25%","")</f>
        <v/>
      </c>
      <c r="E46" s="198" t="str">
        <f>IF(E27*0.25+E56&lt;E45,"Exceeds 25%","")</f>
        <v/>
      </c>
      <c r="G46" s="632" t="str">
        <f>'Budget Hearing Notice'!I18</f>
        <v xml:space="preserve"> </v>
      </c>
      <c r="H46" s="311" t="str">
        <f>CONCATENATE("",E1," Estimated Fund Mill Rate")</f>
        <v>2025 Estimated Fund Mill Rate</v>
      </c>
      <c r="I46" s="633"/>
      <c r="J46" s="634"/>
    </row>
    <row r="47" spans="2:11" x14ac:dyDescent="0.25">
      <c r="B47" s="189" t="s">
        <v>143</v>
      </c>
      <c r="C47" s="185"/>
      <c r="D47" s="185"/>
      <c r="E47" s="164"/>
      <c r="G47" s="635" t="str">
        <f>'Budget Hearing Notice'!F18</f>
        <v xml:space="preserve">  </v>
      </c>
      <c r="H47" s="311" t="str">
        <f>CONCATENATE("",E1-1," Fund Mill Rate")</f>
        <v>2024 Fund Mill Rate</v>
      </c>
      <c r="I47" s="633"/>
      <c r="J47" s="634"/>
    </row>
    <row r="48" spans="2:11" ht="15.75" customHeight="1" x14ac:dyDescent="0.25">
      <c r="B48" s="189" t="s">
        <v>480</v>
      </c>
      <c r="C48" s="282" t="str">
        <f>IF(C49*0.1&lt;C47,"Exceed 10% Rule","")</f>
        <v/>
      </c>
      <c r="D48" s="282" t="str">
        <f>IF(D49*0.1&lt;D47,"Exceed 10% Rule","")</f>
        <v/>
      </c>
      <c r="E48" s="198" t="str">
        <f>IF(E49*0.1&lt;E47,"Exceed 10% Rule","")</f>
        <v/>
      </c>
      <c r="G48" s="636">
        <f>'Budget Hearing Notice'!I37</f>
        <v>0</v>
      </c>
      <c r="H48" s="637" t="s">
        <v>859</v>
      </c>
      <c r="I48" s="633"/>
      <c r="J48" s="634"/>
    </row>
    <row r="49" spans="2:10" x14ac:dyDescent="0.25">
      <c r="B49" s="196" t="s">
        <v>20</v>
      </c>
      <c r="C49" s="288">
        <f>SUM(C29:C47)</f>
        <v>0</v>
      </c>
      <c r="D49" s="288">
        <f>SUM(D29:D47)</f>
        <v>0</v>
      </c>
      <c r="E49" s="199">
        <f>SUM(E29:E43,E45,E47:E47)</f>
        <v>0</v>
      </c>
      <c r="G49" s="632">
        <f>'Budget Hearing Notice'!I36</f>
        <v>0</v>
      </c>
      <c r="H49" s="311" t="str">
        <f>CONCATENATE(E1," Estimated Total Mill Rate")</f>
        <v>2025 Estimated Total Mill Rate</v>
      </c>
      <c r="I49" s="633"/>
      <c r="J49" s="634"/>
    </row>
    <row r="50" spans="2:10" x14ac:dyDescent="0.25">
      <c r="B50" s="82" t="s">
        <v>79</v>
      </c>
      <c r="C50" s="169">
        <f>C27-C49</f>
        <v>0</v>
      </c>
      <c r="D50" s="169">
        <f>SUM(D27-D49)</f>
        <v>0</v>
      </c>
      <c r="E50" s="188" t="s">
        <v>204</v>
      </c>
      <c r="G50" s="638">
        <f>'Budget Hearing Notice'!F36</f>
        <v>0</v>
      </c>
      <c r="H50" s="311" t="str">
        <f>CONCATENATE(E1-1," Total Mill Rate")</f>
        <v>2024 Total Mill Rate</v>
      </c>
      <c r="I50" s="633"/>
      <c r="J50" s="634"/>
    </row>
    <row r="51" spans="2:10" x14ac:dyDescent="0.25">
      <c r="B51" s="110" t="str">
        <f>CONCATENATE("",E1-2,"/",E1-1,"/",E1," Budget Authority Amount:")</f>
        <v>2023/2024/2025 Budget Authority Amount:</v>
      </c>
      <c r="C51" s="494">
        <f>inputOth!B51</f>
        <v>0</v>
      </c>
      <c r="D51" s="494">
        <f>inputPrYr!D17</f>
        <v>0</v>
      </c>
      <c r="E51" s="169">
        <f>E49</f>
        <v>0</v>
      </c>
      <c r="G51" s="307"/>
      <c r="H51" s="308"/>
      <c r="I51" s="308"/>
      <c r="J51" s="309"/>
    </row>
    <row r="52" spans="2:10" x14ac:dyDescent="0.25">
      <c r="B52" s="111"/>
      <c r="C52" s="761" t="s">
        <v>482</v>
      </c>
      <c r="D52" s="762"/>
      <c r="E52" s="164"/>
      <c r="F52" s="200"/>
      <c r="G52" s="771" t="s">
        <v>860</v>
      </c>
      <c r="H52" s="772"/>
      <c r="I52" s="772"/>
      <c r="J52" s="775" t="str">
        <f>IF(G49&gt;G48, "Yes", "No")</f>
        <v>No</v>
      </c>
    </row>
    <row r="53" spans="2:10" x14ac:dyDescent="0.25">
      <c r="B53" s="291" t="str">
        <f>CONCATENATE(C72,"     ",D72)</f>
        <v xml:space="preserve">     </v>
      </c>
      <c r="C53" s="763" t="s">
        <v>483</v>
      </c>
      <c r="D53" s="764"/>
      <c r="E53" s="169">
        <f>E49+E52</f>
        <v>0</v>
      </c>
      <c r="F53" s="200" t="str">
        <f>IF(E49/0.95-E49&lt;E52,"Exceeds 5%","")</f>
        <v/>
      </c>
      <c r="G53" s="773"/>
      <c r="H53" s="774"/>
      <c r="I53" s="774"/>
      <c r="J53" s="776"/>
    </row>
    <row r="54" spans="2:10" x14ac:dyDescent="0.25">
      <c r="B54" s="291" t="str">
        <f>CONCATENATE(C73,"     ",D73)</f>
        <v xml:space="preserve">     </v>
      </c>
      <c r="C54" s="257"/>
      <c r="D54" s="117" t="s">
        <v>22</v>
      </c>
      <c r="E54" s="169">
        <f>IF(E53-E27&gt;0,E53-E27,0)</f>
        <v>0</v>
      </c>
      <c r="G54" s="754" t="str">
        <f>IF(J52="Yes", "Follow procedure prescribed by KSA 79-2988 to exceed the Revenue Neutral Rate.", " ")</f>
        <v xml:space="preserve"> </v>
      </c>
      <c r="H54" s="754"/>
      <c r="I54" s="754"/>
      <c r="J54" s="754"/>
    </row>
    <row r="55" spans="2:10" x14ac:dyDescent="0.25">
      <c r="B55" s="117"/>
      <c r="C55" s="296" t="s">
        <v>484</v>
      </c>
      <c r="D55" s="474">
        <f>inputOth!$E$45</f>
        <v>0</v>
      </c>
      <c r="E55" s="169">
        <f>ROUND(IF(D55&gt;0,(E54*D55),0),0)</f>
        <v>0</v>
      </c>
      <c r="G55" s="755"/>
      <c r="H55" s="755"/>
      <c r="I55" s="755"/>
      <c r="J55" s="755"/>
    </row>
    <row r="56" spans="2:10" ht="15.75" customHeight="1" x14ac:dyDescent="0.25">
      <c r="B56" s="73"/>
      <c r="C56" s="759" t="str">
        <f>CONCATENATE("Amount of  ",$E$1-1," Ad Valorem Tax")</f>
        <v>Amount of  2024 Ad Valorem Tax</v>
      </c>
      <c r="D56" s="760"/>
      <c r="E56" s="169">
        <f>E54+E55</f>
        <v>0</v>
      </c>
      <c r="G56" s="755"/>
      <c r="H56" s="755"/>
      <c r="I56" s="755"/>
      <c r="J56" s="755"/>
    </row>
    <row r="57" spans="2:10" ht="15.75" customHeight="1" x14ac:dyDescent="0.25">
      <c r="B57" s="73"/>
      <c r="C57" s="73"/>
      <c r="D57" s="73"/>
      <c r="E57" s="73"/>
    </row>
    <row r="58" spans="2:10" x14ac:dyDescent="0.25">
      <c r="B58" s="554" t="s">
        <v>729</v>
      </c>
      <c r="C58" s="116"/>
      <c r="D58" s="116"/>
      <c r="E58" s="84"/>
    </row>
    <row r="59" spans="2:10" x14ac:dyDescent="0.25">
      <c r="B59" s="307"/>
      <c r="C59" s="73"/>
      <c r="D59" s="73"/>
      <c r="E59" s="86"/>
    </row>
    <row r="60" spans="2:10" x14ac:dyDescent="0.25">
      <c r="B60" s="555"/>
      <c r="C60" s="80"/>
      <c r="D60" s="114"/>
      <c r="E60" s="91"/>
    </row>
    <row r="61" spans="2:10" x14ac:dyDescent="0.25">
      <c r="B61" s="73"/>
      <c r="C61" s="73"/>
      <c r="D61" s="113"/>
      <c r="E61" s="73"/>
    </row>
    <row r="62" spans="2:10" x14ac:dyDescent="0.25">
      <c r="B62" s="117" t="s">
        <v>4</v>
      </c>
      <c r="C62" s="508"/>
      <c r="D62" s="73"/>
      <c r="E62" s="113"/>
    </row>
    <row r="64" spans="2:10" x14ac:dyDescent="0.25">
      <c r="B64" s="104"/>
    </row>
    <row r="67" spans="3:5" x14ac:dyDescent="0.25">
      <c r="E67" s="202"/>
    </row>
    <row r="69" spans="3:5" x14ac:dyDescent="0.25">
      <c r="E69" s="202"/>
    </row>
    <row r="71" spans="3:5" x14ac:dyDescent="0.25">
      <c r="C71" s="203"/>
    </row>
    <row r="72" spans="3:5" x14ac:dyDescent="0.25">
      <c r="C72" s="202" t="str">
        <f>IF(C49&gt;C51,"See Tab A","")</f>
        <v/>
      </c>
      <c r="D72" s="130" t="str">
        <f>IF(D49&gt;D51,"See Tab C","")</f>
        <v/>
      </c>
      <c r="E72" s="202"/>
    </row>
    <row r="73" spans="3:5" hidden="1" x14ac:dyDescent="0.25">
      <c r="C73" s="130" t="str">
        <f>IF(C50&lt;0,"See Tab B","")</f>
        <v/>
      </c>
      <c r="D73" s="130" t="str">
        <f>IF(D50&lt;0,"See Tab D","")</f>
        <v/>
      </c>
    </row>
    <row r="74" spans="3:5" hidden="1" x14ac:dyDescent="0.25"/>
  </sheetData>
  <sheetProtection sheet="1"/>
  <mergeCells count="9">
    <mergeCell ref="G54:J56"/>
    <mergeCell ref="G27:J27"/>
    <mergeCell ref="G34:J34"/>
    <mergeCell ref="C56:D56"/>
    <mergeCell ref="C52:D52"/>
    <mergeCell ref="C53:D53"/>
    <mergeCell ref="G44:J45"/>
    <mergeCell ref="G52:I53"/>
    <mergeCell ref="J52:J53"/>
  </mergeCells>
  <phoneticPr fontId="0" type="noConversion"/>
  <conditionalFormatting sqref="C24">
    <cfRule type="cellIs" dxfId="194" priority="21" stopIfTrue="1" operator="greaterThan">
      <formula>$C$26*0.1</formula>
    </cfRule>
  </conditionalFormatting>
  <conditionalFormatting sqref="C42">
    <cfRule type="expression" dxfId="193" priority="24" stopIfTrue="1">
      <formula>"Mike"</formula>
    </cfRule>
  </conditionalFormatting>
  <conditionalFormatting sqref="C43">
    <cfRule type="expression" dxfId="192" priority="27" stopIfTrue="1">
      <formula>$C$8&gt;0</formula>
    </cfRule>
  </conditionalFormatting>
  <conditionalFormatting sqref="C45">
    <cfRule type="cellIs" dxfId="191" priority="20" stopIfTrue="1" operator="greaterThan">
      <formula>$C$27*0.25</formula>
    </cfRule>
  </conditionalFormatting>
  <conditionalFormatting sqref="C47">
    <cfRule type="cellIs" dxfId="190" priority="14" stopIfTrue="1" operator="greaterThan">
      <formula>$C$49*0.1</formula>
    </cfRule>
  </conditionalFormatting>
  <conditionalFormatting sqref="C49">
    <cfRule type="cellIs" dxfId="189" priority="11" stopIfTrue="1" operator="greaterThan">
      <formula>$C$51</formula>
    </cfRule>
  </conditionalFormatting>
  <conditionalFormatting sqref="C50">
    <cfRule type="expression" dxfId="188" priority="2">
      <formula>$C$50&lt;0</formula>
    </cfRule>
  </conditionalFormatting>
  <conditionalFormatting sqref="D24">
    <cfRule type="cellIs" dxfId="187" priority="22" stopIfTrue="1" operator="greaterThan">
      <formula>$D$26*0.1</formula>
    </cfRule>
  </conditionalFormatting>
  <conditionalFormatting sqref="D43">
    <cfRule type="expression" dxfId="186" priority="29" stopIfTrue="1">
      <formula>$D$8&gt;0</formula>
    </cfRule>
  </conditionalFormatting>
  <conditionalFormatting sqref="D45">
    <cfRule type="cellIs" dxfId="185" priority="25" stopIfTrue="1" operator="greaterThan">
      <formula>$D$27*0.25</formula>
    </cfRule>
  </conditionalFormatting>
  <conditionalFormatting sqref="D47">
    <cfRule type="cellIs" dxfId="184" priority="15" stopIfTrue="1" operator="greaterThan">
      <formula>$D$49*0.1</formula>
    </cfRule>
  </conditionalFormatting>
  <conditionalFormatting sqref="D49">
    <cfRule type="cellIs" dxfId="183" priority="19" stopIfTrue="1" operator="greaterThan">
      <formula>$D$51</formula>
    </cfRule>
  </conditionalFormatting>
  <conditionalFormatting sqref="D50">
    <cfRule type="expression" dxfId="182" priority="1">
      <formula>$D$50&lt;0</formula>
    </cfRule>
  </conditionalFormatting>
  <conditionalFormatting sqref="E24">
    <cfRule type="cellIs" dxfId="181" priority="30" stopIfTrue="1" operator="greaterThan">
      <formula>$E$26*0.1+$E$56</formula>
    </cfRule>
  </conditionalFormatting>
  <conditionalFormatting sqref="E43">
    <cfRule type="expression" dxfId="180" priority="4" stopIfTrue="1">
      <formula>$E$56&gt;0</formula>
    </cfRule>
  </conditionalFormatting>
  <conditionalFormatting sqref="E45">
    <cfRule type="cellIs" dxfId="179" priority="31" stopIfTrue="1" operator="greaterThan">
      <formula>$E$27*0.25+$E$56</formula>
    </cfRule>
  </conditionalFormatting>
  <conditionalFormatting sqref="E47">
    <cfRule type="cellIs" dxfId="178" priority="16" stopIfTrue="1" operator="greaterThan">
      <formula>$E$49*0.1</formula>
    </cfRule>
  </conditionalFormatting>
  <conditionalFormatting sqref="E52">
    <cfRule type="cellIs" dxfId="177" priority="13" stopIfTrue="1" operator="greaterThan">
      <formula>$E$49/0.95-$E$49</formula>
    </cfRule>
  </conditionalFormatting>
  <conditionalFormatting sqref="J52">
    <cfRule type="containsText" dxfId="176" priority="3" operator="containsText" text="Yes">
      <formula>NOT(ISERROR(SEARCH("Yes",J52)))</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1:K101"/>
  <sheetViews>
    <sheetView zoomScaleNormal="100" workbookViewId="0"/>
  </sheetViews>
  <sheetFormatPr defaultRowHeight="15.75" x14ac:dyDescent="0.25"/>
  <cols>
    <col min="1" max="1" width="2.19921875" style="376" customWidth="1"/>
    <col min="2" max="2" width="28.59765625" style="376" customWidth="1"/>
    <col min="3" max="4" width="14.19921875" style="376" customWidth="1"/>
    <col min="5" max="5" width="14.59765625" style="376" customWidth="1"/>
    <col min="6" max="6" width="7.296875" style="376" customWidth="1"/>
    <col min="7" max="7" width="9.19921875" style="376" customWidth="1"/>
    <col min="8" max="8" width="8.796875" style="376"/>
    <col min="9" max="9" width="4.5" style="376" customWidth="1"/>
    <col min="10" max="10" width="9" style="376" customWidth="1"/>
    <col min="11" max="16384" width="8.796875" style="376"/>
  </cols>
  <sheetData>
    <row r="1" spans="2:10" x14ac:dyDescent="0.25">
      <c r="B1" s="373">
        <f>inputPrYr!D3</f>
        <v>0</v>
      </c>
      <c r="C1" s="373"/>
      <c r="D1" s="374"/>
      <c r="E1" s="375">
        <f>inputPrYr!D6</f>
        <v>2025</v>
      </c>
    </row>
    <row r="2" spans="2:10" x14ac:dyDescent="0.25">
      <c r="B2" s="374"/>
      <c r="C2" s="374"/>
      <c r="D2" s="374"/>
      <c r="E2" s="377"/>
    </row>
    <row r="3" spans="2:10" x14ac:dyDescent="0.25">
      <c r="B3" s="378" t="s">
        <v>485</v>
      </c>
      <c r="C3" s="378"/>
      <c r="D3" s="379"/>
      <c r="E3" s="380"/>
    </row>
    <row r="4" spans="2:10" x14ac:dyDescent="0.25">
      <c r="B4" s="381" t="s">
        <v>5</v>
      </c>
      <c r="C4" s="382" t="s">
        <v>547</v>
      </c>
      <c r="D4" s="383" t="s">
        <v>548</v>
      </c>
      <c r="E4" s="384" t="s">
        <v>549</v>
      </c>
    </row>
    <row r="5" spans="2:10" x14ac:dyDescent="0.25">
      <c r="B5" s="385" t="str">
        <f>inputPrYr!B18</f>
        <v>Debt Service</v>
      </c>
      <c r="C5" s="386" t="str">
        <f>CONCATENATE("Actual for ",$E$1-2,"")</f>
        <v>Actual for 2023</v>
      </c>
      <c r="D5" s="387" t="str">
        <f>CONCATENATE("Estimate for ",$E$1-1,"")</f>
        <v>Estimate for 2024</v>
      </c>
      <c r="E5" s="388" t="str">
        <f>CONCATENATE("Year for ",$E$1,"")</f>
        <v>Year for 2025</v>
      </c>
    </row>
    <row r="6" spans="2:10" x14ac:dyDescent="0.25">
      <c r="B6" s="389" t="s">
        <v>92</v>
      </c>
      <c r="C6" s="390"/>
      <c r="D6" s="391">
        <f>C35</f>
        <v>0</v>
      </c>
      <c r="E6" s="392">
        <f>D35</f>
        <v>0</v>
      </c>
    </row>
    <row r="7" spans="2:10" x14ac:dyDescent="0.25">
      <c r="B7" s="389" t="s">
        <v>80</v>
      </c>
      <c r="C7" s="393"/>
      <c r="D7" s="391"/>
      <c r="E7" s="392"/>
    </row>
    <row r="8" spans="2:10" x14ac:dyDescent="0.25">
      <c r="B8" s="389" t="s">
        <v>10</v>
      </c>
      <c r="C8" s="394"/>
      <c r="D8" s="391">
        <f>IF(inputPrYr!H18&gt;0,inputPrYr!G20,inputPrYr!E18)</f>
        <v>0</v>
      </c>
      <c r="E8" s="395" t="s">
        <v>204</v>
      </c>
    </row>
    <row r="9" spans="2:10" x14ac:dyDescent="0.25">
      <c r="B9" s="389" t="s">
        <v>11</v>
      </c>
      <c r="C9" s="394"/>
      <c r="D9" s="396"/>
      <c r="E9" s="397"/>
    </row>
    <row r="10" spans="2:10" x14ac:dyDescent="0.25">
      <c r="B10" s="389" t="s">
        <v>12</v>
      </c>
      <c r="C10" s="394"/>
      <c r="D10" s="396"/>
      <c r="E10" s="392">
        <f>Mvalloc!D12</f>
        <v>0</v>
      </c>
    </row>
    <row r="11" spans="2:10" x14ac:dyDescent="0.25">
      <c r="B11" s="389" t="s">
        <v>13</v>
      </c>
      <c r="C11" s="394"/>
      <c r="D11" s="396"/>
      <c r="E11" s="392">
        <f>Mvalloc!F12</f>
        <v>0</v>
      </c>
    </row>
    <row r="12" spans="2:10" x14ac:dyDescent="0.25">
      <c r="B12" s="398" t="s">
        <v>70</v>
      </c>
      <c r="C12" s="394"/>
      <c r="D12" s="396"/>
      <c r="E12" s="392">
        <f>Mvalloc!G12</f>
        <v>0</v>
      </c>
      <c r="G12" s="779" t="str">
        <f>CONCATENATE("Desired Carryover Into ",E1+1,"")</f>
        <v>Desired Carryover Into 2026</v>
      </c>
      <c r="H12" s="780"/>
      <c r="I12" s="780"/>
      <c r="J12" s="781"/>
    </row>
    <row r="13" spans="2:10" x14ac:dyDescent="0.25">
      <c r="B13" s="546" t="s">
        <v>591</v>
      </c>
      <c r="C13" s="394"/>
      <c r="D13" s="396"/>
      <c r="E13" s="392">
        <f>Mvalloc!H12</f>
        <v>0</v>
      </c>
      <c r="G13" s="408"/>
      <c r="H13" s="409"/>
      <c r="I13" s="410"/>
      <c r="J13" s="411"/>
    </row>
    <row r="14" spans="2:10" x14ac:dyDescent="0.25">
      <c r="B14" s="546" t="s">
        <v>592</v>
      </c>
      <c r="C14" s="394"/>
      <c r="D14" s="396"/>
      <c r="E14" s="392">
        <f>Mvalloc!I12</f>
        <v>0</v>
      </c>
      <c r="G14" s="412" t="s">
        <v>486</v>
      </c>
      <c r="H14" s="410"/>
      <c r="I14" s="410"/>
      <c r="J14" s="413">
        <v>0</v>
      </c>
    </row>
    <row r="15" spans="2:10" x14ac:dyDescent="0.25">
      <c r="B15" s="399"/>
      <c r="C15" s="394"/>
      <c r="D15" s="396"/>
      <c r="E15" s="397"/>
      <c r="G15" s="408" t="s">
        <v>487</v>
      </c>
      <c r="H15" s="409"/>
      <c r="I15" s="409"/>
      <c r="J15" s="414" t="str">
        <f>IF(J14=0,"",ROUND((J14+E41-G27)/inputOth!E7*1000,3)-G32)</f>
        <v/>
      </c>
    </row>
    <row r="16" spans="2:10" x14ac:dyDescent="0.25">
      <c r="B16" s="399"/>
      <c r="C16" s="394"/>
      <c r="D16" s="396"/>
      <c r="E16" s="397"/>
      <c r="G16" s="415" t="str">
        <f>CONCATENATE("",E1," Tot Exp/Non-Appr Must Be:")</f>
        <v>2025 Tot Exp/Non-Appr Must Be:</v>
      </c>
      <c r="H16" s="416"/>
      <c r="I16" s="417"/>
      <c r="J16" s="418">
        <f>IF(J14&gt;0,IF(E38&lt;E23,IF(J14=G27,E38,((J14-G27)*(1-D40))+E23),E38+(J14-G27)),0)</f>
        <v>0</v>
      </c>
    </row>
    <row r="17" spans="2:11" x14ac:dyDescent="0.25">
      <c r="B17" s="399"/>
      <c r="C17" s="394"/>
      <c r="D17" s="396"/>
      <c r="E17" s="397"/>
      <c r="G17" s="419" t="s">
        <v>551</v>
      </c>
      <c r="H17" s="420"/>
      <c r="I17" s="420"/>
      <c r="J17" s="421">
        <f>IF(J14&gt;0,J16-E38,0)</f>
        <v>0</v>
      </c>
    </row>
    <row r="18" spans="2:11" x14ac:dyDescent="0.25">
      <c r="B18" s="401" t="s">
        <v>16</v>
      </c>
      <c r="C18" s="394"/>
      <c r="D18" s="396"/>
      <c r="E18" s="397"/>
    </row>
    <row r="19" spans="2:11" x14ac:dyDescent="0.25">
      <c r="B19" s="422" t="s">
        <v>146</v>
      </c>
      <c r="C19" s="394"/>
      <c r="D19" s="396"/>
      <c r="E19" s="392">
        <f>'NR Rebate'!E7*-1</f>
        <v>0</v>
      </c>
      <c r="G19" s="779" t="str">
        <f>CONCATENATE("Projected Carryover Into ",E1+1,"")</f>
        <v>Projected Carryover Into 2026</v>
      </c>
      <c r="H19" s="780"/>
      <c r="I19" s="780"/>
      <c r="J19" s="781"/>
    </row>
    <row r="20" spans="2:11" x14ac:dyDescent="0.25">
      <c r="B20" s="389" t="s">
        <v>143</v>
      </c>
      <c r="C20" s="402"/>
      <c r="D20" s="396"/>
      <c r="E20" s="397"/>
      <c r="G20" s="408"/>
      <c r="H20" s="410"/>
      <c r="I20" s="410"/>
      <c r="J20" s="423"/>
    </row>
    <row r="21" spans="2:11" x14ac:dyDescent="0.25">
      <c r="B21" s="389" t="s">
        <v>550</v>
      </c>
      <c r="C21" s="403" t="str">
        <f>IF(C22*0.1&lt;C20,"Exceed 10% Rule","")</f>
        <v/>
      </c>
      <c r="D21" s="403" t="str">
        <f>IF(D22*0.1&lt;D20,"Exceeds 10% Rule","")</f>
        <v/>
      </c>
      <c r="E21" s="404" t="str">
        <f>IF((E22+E41)*0.1&lt;E20,"Exceed 10% Rule","")</f>
        <v/>
      </c>
      <c r="G21" s="426">
        <f>D35</f>
        <v>0</v>
      </c>
      <c r="H21" s="427" t="str">
        <f>CONCATENATE("",E1-1," Ending Cash Balance (est.)")</f>
        <v>2024 Ending Cash Balance (est.)</v>
      </c>
      <c r="I21" s="428"/>
      <c r="J21" s="423"/>
    </row>
    <row r="22" spans="2:11" x14ac:dyDescent="0.25">
      <c r="B22" s="405" t="s">
        <v>17</v>
      </c>
      <c r="C22" s="406">
        <f>SUM(C8:C20)</f>
        <v>0</v>
      </c>
      <c r="D22" s="406">
        <f>SUM(D8:D20)</f>
        <v>0</v>
      </c>
      <c r="E22" s="407">
        <f>SUM(E9:E20)</f>
        <v>0</v>
      </c>
      <c r="G22" s="426">
        <f>E22</f>
        <v>0</v>
      </c>
      <c r="H22" s="410" t="str">
        <f>CONCATENATE("",E1," Non-AV Receipts (est.)")</f>
        <v>2025 Non-AV Receipts (est.)</v>
      </c>
      <c r="I22" s="428"/>
      <c r="J22" s="423"/>
    </row>
    <row r="23" spans="2:11" x14ac:dyDescent="0.25">
      <c r="B23" s="405" t="s">
        <v>18</v>
      </c>
      <c r="C23" s="406">
        <f>C6+C22</f>
        <v>0</v>
      </c>
      <c r="D23" s="406">
        <f>D6+D22</f>
        <v>0</v>
      </c>
      <c r="E23" s="407">
        <f>E6+E22</f>
        <v>0</v>
      </c>
      <c r="G23" s="433">
        <f>IF(E40&gt;0,E39,E41)</f>
        <v>0</v>
      </c>
      <c r="H23" s="410" t="str">
        <f>CONCATENATE("",E1," Ad Valorem Tax (est.)")</f>
        <v>2025 Ad Valorem Tax (est.)</v>
      </c>
      <c r="I23" s="410"/>
      <c r="J23" s="423"/>
      <c r="K23" s="434" t="str">
        <f>IF(G23=E41,"","Note: Does not include Delinquent Taxes")</f>
        <v/>
      </c>
    </row>
    <row r="24" spans="2:11" x14ac:dyDescent="0.25">
      <c r="B24" s="389" t="s">
        <v>19</v>
      </c>
      <c r="C24" s="389"/>
      <c r="D24" s="391"/>
      <c r="E24" s="392"/>
      <c r="G24" s="426">
        <f>SUM(G21:G23)</f>
        <v>0</v>
      </c>
      <c r="H24" s="410" t="str">
        <f>CONCATENATE("Total ",E1," Resources Available")</f>
        <v>Total 2025 Resources Available</v>
      </c>
      <c r="I24" s="428"/>
      <c r="J24" s="423"/>
    </row>
    <row r="25" spans="2:11" x14ac:dyDescent="0.25">
      <c r="B25" s="399"/>
      <c r="C25" s="394"/>
      <c r="D25" s="396"/>
      <c r="E25" s="397"/>
      <c r="G25" s="436"/>
      <c r="H25" s="410"/>
      <c r="I25" s="410"/>
      <c r="J25" s="423"/>
    </row>
    <row r="26" spans="2:11" x14ac:dyDescent="0.25">
      <c r="B26" s="399"/>
      <c r="C26" s="394"/>
      <c r="D26" s="396"/>
      <c r="E26" s="397"/>
      <c r="G26" s="433">
        <f>C34</f>
        <v>0</v>
      </c>
      <c r="H26" s="410" t="str">
        <f>CONCATENATE("Less ",E1-2," Expenditures")</f>
        <v>Less 2023 Expenditures</v>
      </c>
      <c r="I26" s="410"/>
      <c r="J26" s="423"/>
    </row>
    <row r="27" spans="2:11" x14ac:dyDescent="0.25">
      <c r="B27" s="399"/>
      <c r="C27" s="396"/>
      <c r="D27" s="396"/>
      <c r="E27" s="397"/>
      <c r="G27" s="440">
        <f>G24-G26</f>
        <v>0</v>
      </c>
      <c r="H27" s="441" t="str">
        <f>CONCATENATE("Projected ",E1+1," carryover (est.)")</f>
        <v>Projected 2026 carryover (est.)</v>
      </c>
      <c r="I27" s="442"/>
      <c r="J27" s="443"/>
    </row>
    <row r="28" spans="2:11" x14ac:dyDescent="0.25">
      <c r="B28" s="399"/>
      <c r="C28" s="394"/>
      <c r="D28" s="396"/>
      <c r="E28" s="397"/>
    </row>
    <row r="29" spans="2:11" x14ac:dyDescent="0.25">
      <c r="B29" s="399"/>
      <c r="C29" s="394"/>
      <c r="D29" s="396"/>
      <c r="E29" s="397"/>
      <c r="G29" s="765" t="s">
        <v>858</v>
      </c>
      <c r="H29" s="766"/>
      <c r="I29" s="766"/>
      <c r="J29" s="767"/>
    </row>
    <row r="30" spans="2:11" x14ac:dyDescent="0.25">
      <c r="B30" s="399"/>
      <c r="C30" s="394"/>
      <c r="D30" s="396"/>
      <c r="E30" s="397"/>
      <c r="G30" s="768"/>
      <c r="H30" s="769"/>
      <c r="I30" s="769"/>
      <c r="J30" s="770"/>
    </row>
    <row r="31" spans="2:11" x14ac:dyDescent="0.25">
      <c r="B31" s="422" t="str">
        <f>CONCATENATE("Cash Reserve (",E1," column)")</f>
        <v>Cash Reserve (2025 column)</v>
      </c>
      <c r="C31" s="394"/>
      <c r="D31" s="396"/>
      <c r="E31" s="397"/>
      <c r="G31" s="632" t="str">
        <f>'Budget Hearing Notice'!I19</f>
        <v xml:space="preserve"> </v>
      </c>
      <c r="H31" s="311" t="str">
        <f>CONCATENATE("",E1," Estimated Fund Mill Rate")</f>
        <v>2025 Estimated Fund Mill Rate</v>
      </c>
      <c r="I31" s="633"/>
      <c r="J31" s="634"/>
    </row>
    <row r="32" spans="2:11" x14ac:dyDescent="0.25">
      <c r="B32" s="422" t="s">
        <v>143</v>
      </c>
      <c r="C32" s="402"/>
      <c r="D32" s="396"/>
      <c r="E32" s="397"/>
      <c r="G32" s="635" t="str">
        <f>'Budget Hearing Notice'!F19</f>
        <v xml:space="preserve">  </v>
      </c>
      <c r="H32" s="311" t="str">
        <f>CONCATENATE("",E1-1," Fund Mill Rate")</f>
        <v>2024 Fund Mill Rate</v>
      </c>
      <c r="I32" s="633"/>
      <c r="J32" s="634"/>
    </row>
    <row r="33" spans="2:10" x14ac:dyDescent="0.25">
      <c r="B33" s="422" t="s">
        <v>480</v>
      </c>
      <c r="C33" s="403" t="str">
        <f>IF(C34*0.1&lt;C32,"Exceed 10% Rule","")</f>
        <v/>
      </c>
      <c r="D33" s="403" t="str">
        <f>IF(D34*0.1&lt;D32,"Exceed 10% Rule","")</f>
        <v/>
      </c>
      <c r="E33" s="404" t="str">
        <f>IF(E34*0.1&lt;E32,"Exceed 10% Rule","")</f>
        <v/>
      </c>
      <c r="G33" s="636">
        <f>'Budget Hearing Notice'!I37</f>
        <v>0</v>
      </c>
      <c r="H33" s="637" t="s">
        <v>859</v>
      </c>
      <c r="I33" s="633"/>
      <c r="J33" s="634"/>
    </row>
    <row r="34" spans="2:10" x14ac:dyDescent="0.25">
      <c r="B34" s="405" t="s">
        <v>20</v>
      </c>
      <c r="C34" s="424">
        <f>SUM(C25:C32)</f>
        <v>0</v>
      </c>
      <c r="D34" s="424">
        <f>SUM(D25:D32)</f>
        <v>0</v>
      </c>
      <c r="E34" s="425">
        <f>SUM(E25:E32)</f>
        <v>0</v>
      </c>
      <c r="G34" s="632">
        <f>'Budget Hearing Notice'!I36</f>
        <v>0</v>
      </c>
      <c r="H34" s="311" t="str">
        <f>CONCATENATE(E1," Estimated Total Mill Rate")</f>
        <v>2025 Estimated Total Mill Rate</v>
      </c>
      <c r="I34" s="633"/>
      <c r="J34" s="634"/>
    </row>
    <row r="35" spans="2:10" ht="15.75" customHeight="1" x14ac:dyDescent="0.25">
      <c r="B35" s="389" t="s">
        <v>79</v>
      </c>
      <c r="C35" s="429">
        <f>C23-C34</f>
        <v>0</v>
      </c>
      <c r="D35" s="429">
        <f>D23-D34</f>
        <v>0</v>
      </c>
      <c r="E35" s="395" t="s">
        <v>204</v>
      </c>
      <c r="F35" s="430"/>
      <c r="G35" s="638">
        <f>'Budget Hearing Notice'!F36</f>
        <v>0</v>
      </c>
      <c r="H35" s="311" t="str">
        <f>CONCATENATE(E1-1," Total Mill Rate")</f>
        <v>2024 Total Mill Rate</v>
      </c>
      <c r="I35" s="633"/>
      <c r="J35" s="634"/>
    </row>
    <row r="36" spans="2:10" x14ac:dyDescent="0.25">
      <c r="B36" s="497" t="str">
        <f>CONCATENATE("",E1-2,"/",E1-1,"/",E1," Budget Authority Amount:")</f>
        <v>2023/2024/2025 Budget Authority Amount:</v>
      </c>
      <c r="C36" s="496">
        <f>inputOth!B52</f>
        <v>0</v>
      </c>
      <c r="D36" s="495">
        <f>inputPrYr!D18</f>
        <v>0</v>
      </c>
      <c r="E36" s="392">
        <f>E34</f>
        <v>0</v>
      </c>
      <c r="F36" s="432"/>
      <c r="G36" s="307"/>
      <c r="H36" s="308"/>
      <c r="I36" s="308"/>
      <c r="J36" s="309"/>
    </row>
    <row r="37" spans="2:10" x14ac:dyDescent="0.25">
      <c r="B37" s="431"/>
      <c r="C37" s="761" t="s">
        <v>482</v>
      </c>
      <c r="D37" s="762"/>
      <c r="E37" s="397"/>
      <c r="F37" s="484" t="str">
        <f>IF(E34/0.95-E34&lt;E37,"Exceeds 5%","")</f>
        <v/>
      </c>
      <c r="G37" s="771" t="s">
        <v>860</v>
      </c>
      <c r="H37" s="772"/>
      <c r="I37" s="772"/>
      <c r="J37" s="775" t="str">
        <f>IF(G34&gt;G33, "Yes", "No")</f>
        <v>No</v>
      </c>
    </row>
    <row r="38" spans="2:10" x14ac:dyDescent="0.25">
      <c r="B38" s="435" t="str">
        <f>CONCATENATE(C98,"     ",D98)</f>
        <v xml:space="preserve">     </v>
      </c>
      <c r="C38" s="763" t="s">
        <v>483</v>
      </c>
      <c r="D38" s="764"/>
      <c r="E38" s="392">
        <f>E34+E37</f>
        <v>0</v>
      </c>
      <c r="F38" s="430"/>
      <c r="G38" s="773"/>
      <c r="H38" s="774"/>
      <c r="I38" s="774"/>
      <c r="J38" s="776"/>
    </row>
    <row r="39" spans="2:10" x14ac:dyDescent="0.25">
      <c r="B39" s="435" t="str">
        <f>CONCATENATE(C99,"     ",D99)</f>
        <v xml:space="preserve">     </v>
      </c>
      <c r="C39" s="437"/>
      <c r="D39" s="377" t="s">
        <v>22</v>
      </c>
      <c r="E39" s="438">
        <f>IF(E38-E23&gt;0,E38-E23,0)</f>
        <v>0</v>
      </c>
      <c r="F39" s="430"/>
      <c r="G39" s="754" t="str">
        <f>IF(J37="Yes", "Follow procedure prescribed by KSA 79-2988 to exceed the Revenue Neutral Rate.", " ")</f>
        <v xml:space="preserve"> </v>
      </c>
      <c r="H39" s="754"/>
      <c r="I39" s="754"/>
      <c r="J39" s="754"/>
    </row>
    <row r="40" spans="2:10" x14ac:dyDescent="0.25">
      <c r="B40" s="377"/>
      <c r="C40" s="296" t="s">
        <v>484</v>
      </c>
      <c r="D40" s="439">
        <f>inputOth!E45</f>
        <v>0</v>
      </c>
      <c r="E40" s="392">
        <f>ROUND(IF(D40&gt;0,(E39*D40),0),0)</f>
        <v>0</v>
      </c>
      <c r="F40" s="430"/>
      <c r="G40" s="755"/>
      <c r="H40" s="755"/>
      <c r="I40" s="755"/>
      <c r="J40" s="755"/>
    </row>
    <row r="41" spans="2:10" ht="16.5" thickBot="1" x14ac:dyDescent="0.3">
      <c r="B41" s="374"/>
      <c r="C41" s="777" t="str">
        <f>CONCATENATE("Amount of  ",E1-1," Ad Valorem Tax")</f>
        <v>Amount of  2024 Ad Valorem Tax</v>
      </c>
      <c r="D41" s="778"/>
      <c r="E41" s="445">
        <f>SUM(E39:E40)</f>
        <v>0</v>
      </c>
      <c r="F41" s="430"/>
      <c r="G41" s="755"/>
      <c r="H41" s="755"/>
      <c r="I41" s="755"/>
      <c r="J41" s="755"/>
    </row>
    <row r="42" spans="2:10" ht="16.5" thickTop="1" x14ac:dyDescent="0.25">
      <c r="B42" s="374"/>
      <c r="C42" s="777"/>
      <c r="D42" s="778"/>
      <c r="E42" s="446"/>
      <c r="F42" s="430"/>
    </row>
    <row r="43" spans="2:10" ht="15.75" customHeight="1" x14ac:dyDescent="0.25">
      <c r="B43" s="374"/>
      <c r="C43" s="444"/>
      <c r="D43" s="374"/>
      <c r="E43" s="374"/>
      <c r="F43" s="430"/>
    </row>
    <row r="44" spans="2:10" ht="15.75" customHeight="1" x14ac:dyDescent="0.25">
      <c r="B44" s="381"/>
      <c r="C44" s="381"/>
      <c r="D44" s="379"/>
      <c r="E44" s="379"/>
      <c r="F44" s="430"/>
    </row>
    <row r="45" spans="2:10" x14ac:dyDescent="0.25">
      <c r="B45" s="381" t="s">
        <v>5</v>
      </c>
      <c r="C45" s="382" t="s">
        <v>547</v>
      </c>
      <c r="D45" s="383" t="s">
        <v>548</v>
      </c>
      <c r="E45" s="384" t="s">
        <v>549</v>
      </c>
      <c r="F45" s="430"/>
    </row>
    <row r="46" spans="2:10" x14ac:dyDescent="0.25">
      <c r="B46" s="447" t="str">
        <f>inputPrYr!B19</f>
        <v>Library</v>
      </c>
      <c r="C46" s="386" t="str">
        <f>CONCATENATE("Actual for ",$E$1-2,"")</f>
        <v>Actual for 2023</v>
      </c>
      <c r="D46" s="387" t="str">
        <f>CONCATENATE("Estimate for ",$E$1-1,"")</f>
        <v>Estimate for 2024</v>
      </c>
      <c r="E46" s="388" t="str">
        <f>CONCATENATE("Year for ",$E$1,"")</f>
        <v>Year for 2025</v>
      </c>
      <c r="F46" s="430"/>
    </row>
    <row r="47" spans="2:10" x14ac:dyDescent="0.25">
      <c r="B47" s="389" t="s">
        <v>92</v>
      </c>
      <c r="C47" s="394">
        <v>0</v>
      </c>
      <c r="D47" s="391">
        <f>C76</f>
        <v>0</v>
      </c>
      <c r="E47" s="392">
        <f>D76</f>
        <v>0</v>
      </c>
      <c r="F47" s="430"/>
    </row>
    <row r="48" spans="2:10" x14ac:dyDescent="0.25">
      <c r="B48" s="448" t="s">
        <v>80</v>
      </c>
      <c r="C48" s="389"/>
      <c r="D48" s="391"/>
      <c r="E48" s="392"/>
      <c r="F48" s="430"/>
    </row>
    <row r="49" spans="2:11" x14ac:dyDescent="0.25">
      <c r="B49" s="389" t="s">
        <v>10</v>
      </c>
      <c r="C49" s="402"/>
      <c r="D49" s="391">
        <f>IF(inputPrYr!H18&gt;0,inputPrYr!G21,inputPrYr!E19)</f>
        <v>0</v>
      </c>
      <c r="E49" s="395" t="s">
        <v>204</v>
      </c>
      <c r="F49" s="430"/>
    </row>
    <row r="50" spans="2:11" x14ac:dyDescent="0.25">
      <c r="B50" s="389" t="s">
        <v>11</v>
      </c>
      <c r="C50" s="402"/>
      <c r="D50" s="396"/>
      <c r="E50" s="397"/>
      <c r="F50" s="430"/>
    </row>
    <row r="51" spans="2:11" x14ac:dyDescent="0.25">
      <c r="B51" s="389" t="s">
        <v>12</v>
      </c>
      <c r="C51" s="402"/>
      <c r="D51" s="396"/>
      <c r="E51" s="392">
        <f>Mvalloc!D13</f>
        <v>0</v>
      </c>
      <c r="F51" s="430"/>
    </row>
    <row r="52" spans="2:11" x14ac:dyDescent="0.25">
      <c r="B52" s="389" t="s">
        <v>13</v>
      </c>
      <c r="C52" s="402"/>
      <c r="D52" s="396"/>
      <c r="E52" s="392">
        <f>Mvalloc!F13</f>
        <v>0</v>
      </c>
      <c r="F52" s="430"/>
      <c r="G52" s="779" t="str">
        <f>CONCATENATE("Desired Carryover Into ",E1+1,"")</f>
        <v>Desired Carryover Into 2026</v>
      </c>
      <c r="H52" s="780"/>
      <c r="I52" s="780"/>
      <c r="J52" s="781"/>
    </row>
    <row r="53" spans="2:11" x14ac:dyDescent="0.25">
      <c r="B53" s="398" t="s">
        <v>70</v>
      </c>
      <c r="C53" s="402"/>
      <c r="D53" s="396"/>
      <c r="E53" s="392">
        <f>Mvalloc!G13</f>
        <v>0</v>
      </c>
      <c r="G53" s="408"/>
      <c r="H53" s="409"/>
      <c r="I53" s="410"/>
      <c r="J53" s="411"/>
    </row>
    <row r="54" spans="2:11" x14ac:dyDescent="0.25">
      <c r="B54" s="546" t="s">
        <v>591</v>
      </c>
      <c r="C54" s="402"/>
      <c r="D54" s="396"/>
      <c r="E54" s="392">
        <f>Mvalloc!H13</f>
        <v>0</v>
      </c>
      <c r="G54" s="412" t="s">
        <v>486</v>
      </c>
      <c r="H54" s="410"/>
      <c r="I54" s="410"/>
      <c r="J54" s="413">
        <v>0</v>
      </c>
    </row>
    <row r="55" spans="2:11" x14ac:dyDescent="0.25">
      <c r="B55" s="546" t="s">
        <v>592</v>
      </c>
      <c r="C55" s="402"/>
      <c r="D55" s="396"/>
      <c r="E55" s="392">
        <f>Mvalloc!I13</f>
        <v>0</v>
      </c>
      <c r="G55" s="408" t="s">
        <v>487</v>
      </c>
      <c r="H55" s="409"/>
      <c r="I55" s="409"/>
      <c r="J55" s="414" t="str">
        <f>IF(J54=0,"",ROUND((J54+E82-G67)/inputOth!E7*1000,3)-G72)</f>
        <v/>
      </c>
    </row>
    <row r="56" spans="2:11" x14ac:dyDescent="0.25">
      <c r="B56" s="399"/>
      <c r="C56" s="402"/>
      <c r="D56" s="396"/>
      <c r="E56" s="400"/>
      <c r="G56" s="415" t="str">
        <f>CONCATENATE("",E1," Tot Exp/Non-Appr Must Be:")</f>
        <v>2025 Tot Exp/Non-Appr Must Be:</v>
      </c>
      <c r="H56" s="416"/>
      <c r="I56" s="417"/>
      <c r="J56" s="418">
        <f>IF(J54&gt;0,IF(E79&lt;E64,IF(J54=G67,E79,((J54-G67)*(1-D81))+E64),E79+(J54-G67)),0)</f>
        <v>0</v>
      </c>
    </row>
    <row r="57" spans="2:11" x14ac:dyDescent="0.25">
      <c r="B57" s="399"/>
      <c r="C57" s="402"/>
      <c r="D57" s="396"/>
      <c r="E57" s="397"/>
      <c r="G57" s="419" t="s">
        <v>551</v>
      </c>
      <c r="H57" s="420"/>
      <c r="I57" s="420"/>
      <c r="J57" s="421">
        <f>IF(J54&gt;0,J56-E79,0)</f>
        <v>0</v>
      </c>
    </row>
    <row r="58" spans="2:11" x14ac:dyDescent="0.25">
      <c r="B58" s="399"/>
      <c r="C58" s="402"/>
      <c r="D58" s="396"/>
      <c r="E58" s="397"/>
    </row>
    <row r="59" spans="2:11" x14ac:dyDescent="0.25">
      <c r="B59" s="401" t="s">
        <v>16</v>
      </c>
      <c r="C59" s="402"/>
      <c r="D59" s="396"/>
      <c r="E59" s="397"/>
      <c r="G59" s="779" t="str">
        <f>CONCATENATE("Projected Carryover Into ",E1+1,"")</f>
        <v>Projected Carryover Into 2026</v>
      </c>
      <c r="H59" s="780"/>
      <c r="I59" s="780"/>
      <c r="J59" s="781"/>
    </row>
    <row r="60" spans="2:11" x14ac:dyDescent="0.25">
      <c r="B60" s="398" t="s">
        <v>146</v>
      </c>
      <c r="C60" s="402"/>
      <c r="D60" s="396"/>
      <c r="E60" s="392">
        <f>'NR Rebate'!E8*-1</f>
        <v>0</v>
      </c>
      <c r="G60" s="450"/>
      <c r="H60" s="409"/>
      <c r="I60" s="409"/>
      <c r="J60" s="451"/>
    </row>
    <row r="61" spans="2:11" x14ac:dyDescent="0.25">
      <c r="B61" s="389" t="s">
        <v>143</v>
      </c>
      <c r="C61" s="402"/>
      <c r="D61" s="402"/>
      <c r="E61" s="449"/>
      <c r="G61" s="426">
        <f>D76</f>
        <v>0</v>
      </c>
      <c r="H61" s="427" t="str">
        <f>CONCATENATE("",E1-1," Ending Cash Balance (est.)")</f>
        <v>2024 Ending Cash Balance (est.)</v>
      </c>
      <c r="I61" s="428"/>
      <c r="J61" s="451"/>
    </row>
    <row r="62" spans="2:11" x14ac:dyDescent="0.25">
      <c r="B62" s="389" t="s">
        <v>550</v>
      </c>
      <c r="C62" s="403" t="str">
        <f>IF(C63*0.1&lt;C61,"Exceed 10% Rule","")</f>
        <v/>
      </c>
      <c r="D62" s="403" t="str">
        <f>IF(D63*0.1&lt;D61,"Exceeds 10% Rule","")</f>
        <v/>
      </c>
      <c r="E62" s="404" t="str">
        <f>IF((E63+E82)*0.1&lt;E61,"Exceed 10% Rule","")</f>
        <v/>
      </c>
      <c r="G62" s="426">
        <f>E63</f>
        <v>0</v>
      </c>
      <c r="H62" s="410" t="str">
        <f>CONCATENATE("",E1," Non-AV Receipts (est.)")</f>
        <v>2025 Non-AV Receipts (est.)</v>
      </c>
      <c r="I62" s="428"/>
      <c r="J62" s="451"/>
    </row>
    <row r="63" spans="2:11" x14ac:dyDescent="0.25">
      <c r="B63" s="405" t="s">
        <v>17</v>
      </c>
      <c r="C63" s="424">
        <f>SUM(C49:C61)</f>
        <v>0</v>
      </c>
      <c r="D63" s="424">
        <f>SUM(D49:D61)</f>
        <v>0</v>
      </c>
      <c r="E63" s="425">
        <f>SUM(E50:E61)</f>
        <v>0</v>
      </c>
      <c r="G63" s="433">
        <f>IF(E81&gt;0,E80,E82)</f>
        <v>0</v>
      </c>
      <c r="H63" s="410" t="str">
        <f>CONCATENATE("",E1," Ad Valorem Tax (est.)")</f>
        <v>2025 Ad Valorem Tax (est.)</v>
      </c>
      <c r="I63" s="410"/>
      <c r="J63" s="451"/>
    </row>
    <row r="64" spans="2:11" x14ac:dyDescent="0.25">
      <c r="B64" s="405" t="s">
        <v>18</v>
      </c>
      <c r="C64" s="424">
        <f>C47+C63</f>
        <v>0</v>
      </c>
      <c r="D64" s="424">
        <f>D47+D63</f>
        <v>0</v>
      </c>
      <c r="E64" s="425">
        <f>E47+E63</f>
        <v>0</v>
      </c>
      <c r="G64" s="453">
        <f>SUM(G61:G63)</f>
        <v>0</v>
      </c>
      <c r="H64" s="410" t="str">
        <f>CONCATENATE("Total ",E1," Resources Available")</f>
        <v>Total 2025 Resources Available</v>
      </c>
      <c r="I64" s="454"/>
      <c r="J64" s="451"/>
      <c r="K64" s="434" t="str">
        <f>IF(G63=E82,"","Note: Does not include Delinquent Taxes")</f>
        <v/>
      </c>
    </row>
    <row r="65" spans="2:10" x14ac:dyDescent="0.25">
      <c r="B65" s="389" t="s">
        <v>19</v>
      </c>
      <c r="C65" s="389"/>
      <c r="D65" s="391"/>
      <c r="E65" s="392"/>
      <c r="G65" s="455"/>
      <c r="H65" s="456"/>
      <c r="I65" s="409"/>
      <c r="J65" s="451"/>
    </row>
    <row r="66" spans="2:10" x14ac:dyDescent="0.25">
      <c r="B66" s="399"/>
      <c r="C66" s="394"/>
      <c r="D66" s="396"/>
      <c r="E66" s="397"/>
      <c r="G66" s="433">
        <f>ROUND(C75*0.05+C75,0)</f>
        <v>0</v>
      </c>
      <c r="H66" s="410" t="str">
        <f>CONCATENATE("Less ",E1-2," Expenditures + 5%")</f>
        <v>Less 2023 Expenditures + 5%</v>
      </c>
      <c r="I66" s="454"/>
      <c r="J66" s="451"/>
    </row>
    <row r="67" spans="2:10" x14ac:dyDescent="0.25">
      <c r="B67" s="399"/>
      <c r="C67" s="394"/>
      <c r="D67" s="396"/>
      <c r="E67" s="397"/>
      <c r="G67" s="440">
        <f>G64-G66</f>
        <v>0</v>
      </c>
      <c r="H67" s="441" t="str">
        <f>CONCATENATE("Projected ",E1+1," carryover (est.)")</f>
        <v>Projected 2026 carryover (est.)</v>
      </c>
      <c r="I67" s="457"/>
      <c r="J67" s="458"/>
    </row>
    <row r="68" spans="2:10" x14ac:dyDescent="0.25">
      <c r="B68" s="399"/>
      <c r="C68" s="394"/>
      <c r="D68" s="396"/>
      <c r="E68" s="397"/>
    </row>
    <row r="69" spans="2:10" x14ac:dyDescent="0.25">
      <c r="B69" s="399"/>
      <c r="C69" s="394"/>
      <c r="D69" s="396"/>
      <c r="E69" s="397"/>
      <c r="G69" s="765" t="s">
        <v>858</v>
      </c>
      <c r="H69" s="766"/>
      <c r="I69" s="766"/>
      <c r="J69" s="767"/>
    </row>
    <row r="70" spans="2:10" x14ac:dyDescent="0.25">
      <c r="B70" s="399"/>
      <c r="C70" s="394"/>
      <c r="D70" s="396"/>
      <c r="E70" s="397"/>
      <c r="G70" s="768"/>
      <c r="H70" s="769"/>
      <c r="I70" s="769"/>
      <c r="J70" s="770"/>
    </row>
    <row r="71" spans="2:10" x14ac:dyDescent="0.25">
      <c r="B71" s="399"/>
      <c r="C71" s="394"/>
      <c r="D71" s="396"/>
      <c r="E71" s="397"/>
      <c r="G71" s="632" t="str">
        <f>'Budget Hearing Notice'!I20</f>
        <v xml:space="preserve"> </v>
      </c>
      <c r="H71" s="311" t="str">
        <f>CONCATENATE("",E1," Estimated Fund Mill Rate")</f>
        <v>2025 Estimated Fund Mill Rate</v>
      </c>
      <c r="I71" s="633"/>
      <c r="J71" s="634"/>
    </row>
    <row r="72" spans="2:10" x14ac:dyDescent="0.25">
      <c r="B72" s="399"/>
      <c r="C72" s="394"/>
      <c r="D72" s="396"/>
      <c r="E72" s="397"/>
      <c r="F72" s="430"/>
      <c r="G72" s="635" t="str">
        <f>'Budget Hearing Notice'!F20</f>
        <v xml:space="preserve">  </v>
      </c>
      <c r="H72" s="311" t="str">
        <f>CONCATENATE("",E1-1," Fund Mill Rate")</f>
        <v>2024 Fund Mill Rate</v>
      </c>
      <c r="I72" s="633"/>
      <c r="J72" s="634"/>
    </row>
    <row r="73" spans="2:10" x14ac:dyDescent="0.25">
      <c r="B73" s="398" t="s">
        <v>143</v>
      </c>
      <c r="C73" s="402"/>
      <c r="D73" s="396"/>
      <c r="E73" s="397"/>
      <c r="F73" s="430"/>
      <c r="G73" s="636">
        <f>'Budget Hearing Notice'!I37</f>
        <v>0</v>
      </c>
      <c r="H73" s="637" t="s">
        <v>859</v>
      </c>
      <c r="I73" s="633"/>
      <c r="J73" s="634"/>
    </row>
    <row r="74" spans="2:10" x14ac:dyDescent="0.25">
      <c r="B74" s="398" t="s">
        <v>480</v>
      </c>
      <c r="C74" s="403" t="str">
        <f>IF(C75*0.1&lt;C73,"Exceed 10% Rule","")</f>
        <v/>
      </c>
      <c r="D74" s="403" t="str">
        <f>IF(D75*0.1&lt;D73,"Exceed 10% Rule","")</f>
        <v/>
      </c>
      <c r="E74" s="404" t="str">
        <f>IF(E75*0.1&lt;E73,"Exceed 10% Rule","")</f>
        <v/>
      </c>
      <c r="F74" s="430"/>
      <c r="G74" s="632">
        <f>'Budget Hearing Notice'!I36</f>
        <v>0</v>
      </c>
      <c r="H74" s="311" t="str">
        <f>CONCATENATE(E1," Estimated Total Mill Rate")</f>
        <v>2025 Estimated Total Mill Rate</v>
      </c>
      <c r="I74" s="633"/>
      <c r="J74" s="634"/>
    </row>
    <row r="75" spans="2:10" x14ac:dyDescent="0.25">
      <c r="B75" s="405" t="s">
        <v>20</v>
      </c>
      <c r="C75" s="424">
        <f>SUM(C66:C73)</f>
        <v>0</v>
      </c>
      <c r="D75" s="424">
        <f>SUM(D66:D73)</f>
        <v>0</v>
      </c>
      <c r="E75" s="425">
        <f>SUM(E66:E73)</f>
        <v>0</v>
      </c>
      <c r="F75" s="430"/>
      <c r="G75" s="638">
        <f>'Budget Hearing Notice'!F36</f>
        <v>0</v>
      </c>
      <c r="H75" s="311" t="str">
        <f>CONCATENATE(E1-1," Total Mill Rate")</f>
        <v>2024 Total Mill Rate</v>
      </c>
      <c r="I75" s="633"/>
      <c r="J75" s="634"/>
    </row>
    <row r="76" spans="2:10" ht="15.75" customHeight="1" x14ac:dyDescent="0.25">
      <c r="B76" s="389" t="s">
        <v>79</v>
      </c>
      <c r="C76" s="429">
        <f>C64-C75</f>
        <v>0</v>
      </c>
      <c r="D76" s="429">
        <f>D64-D75</f>
        <v>0</v>
      </c>
      <c r="E76" s="395" t="s">
        <v>204</v>
      </c>
      <c r="F76" s="430"/>
      <c r="G76" s="307"/>
      <c r="H76" s="308"/>
      <c r="I76" s="308"/>
      <c r="J76" s="309"/>
    </row>
    <row r="77" spans="2:10" x14ac:dyDescent="0.25">
      <c r="B77" s="497" t="str">
        <f>CONCATENATE("",E1-2,"/",E1-1,"/",E1," Budget Authority Amount:")</f>
        <v>2023/2024/2025 Budget Authority Amount:</v>
      </c>
      <c r="C77" s="496">
        <f>inputOth!B53</f>
        <v>0</v>
      </c>
      <c r="D77" s="496">
        <f>inputPrYr!D19</f>
        <v>0</v>
      </c>
      <c r="E77" s="392">
        <f>E75</f>
        <v>0</v>
      </c>
      <c r="F77" s="432"/>
      <c r="G77" s="771" t="s">
        <v>860</v>
      </c>
      <c r="H77" s="772"/>
      <c r="I77" s="772"/>
      <c r="J77" s="775" t="str">
        <f>IF(G74&gt;G73, "Yes", "No")</f>
        <v>No</v>
      </c>
    </row>
    <row r="78" spans="2:10" x14ac:dyDescent="0.25">
      <c r="B78" s="431"/>
      <c r="C78" s="761" t="s">
        <v>482</v>
      </c>
      <c r="D78" s="762"/>
      <c r="E78" s="397"/>
      <c r="F78" s="452" t="str">
        <f>IF(E75/0.95-E75&lt;E78,"Exceeds 5%","")</f>
        <v/>
      </c>
      <c r="G78" s="773"/>
      <c r="H78" s="774"/>
      <c r="I78" s="774"/>
      <c r="J78" s="776"/>
    </row>
    <row r="79" spans="2:10" x14ac:dyDescent="0.25">
      <c r="B79" s="435" t="str">
        <f>CONCATENATE(C100,"     ",D100)</f>
        <v xml:space="preserve">     </v>
      </c>
      <c r="C79" s="763" t="s">
        <v>483</v>
      </c>
      <c r="D79" s="764"/>
      <c r="E79" s="392">
        <f>E75+E78</f>
        <v>0</v>
      </c>
      <c r="F79" s="430"/>
      <c r="G79" s="754" t="str">
        <f>IF(J77="Yes", "Follow procedure prescribed by KSA 79-2988 to exceed the Revenue Neutral Rate.", " ")</f>
        <v xml:space="preserve"> </v>
      </c>
      <c r="H79" s="754"/>
      <c r="I79" s="754"/>
      <c r="J79" s="754"/>
    </row>
    <row r="80" spans="2:10" x14ac:dyDescent="0.25">
      <c r="B80" s="435" t="str">
        <f>CONCATENATE(C101,"     ",D101)</f>
        <v xml:space="preserve">     </v>
      </c>
      <c r="C80" s="437"/>
      <c r="D80" s="377" t="s">
        <v>22</v>
      </c>
      <c r="E80" s="496">
        <f>IF(E79-E64&gt;0,E79-E64,0)</f>
        <v>0</v>
      </c>
      <c r="F80" s="430"/>
      <c r="G80" s="755"/>
      <c r="H80" s="755"/>
      <c r="I80" s="755"/>
      <c r="J80" s="755"/>
    </row>
    <row r="81" spans="2:10" x14ac:dyDescent="0.25">
      <c r="B81" s="377"/>
      <c r="C81" s="296" t="s">
        <v>484</v>
      </c>
      <c r="D81" s="439">
        <f>inputOth!E45</f>
        <v>0</v>
      </c>
      <c r="E81" s="392">
        <f>ROUND(IF(E80&gt;0,(E80*D81),0),0)</f>
        <v>0</v>
      </c>
      <c r="F81" s="430"/>
      <c r="G81" s="755"/>
      <c r="H81" s="755"/>
      <c r="I81" s="755"/>
      <c r="J81" s="755"/>
    </row>
    <row r="82" spans="2:10" ht="16.5" thickBot="1" x14ac:dyDescent="0.3">
      <c r="B82" s="374"/>
      <c r="C82" s="777" t="str">
        <f>CONCATENATE("Amount of  ",E1-1," Ad Valorem Tax")</f>
        <v>Amount of  2024 Ad Valorem Tax</v>
      </c>
      <c r="D82" s="778"/>
      <c r="E82" s="445">
        <f>E80+E81</f>
        <v>0</v>
      </c>
      <c r="F82" s="459" t="str">
        <f>IF('Library Grant'!F33="","",IF('Library Grant'!F33="Qualify","Qualifies for State Library Grant","See 'Library Grant' tab"))</f>
        <v>Qualifies for State Library Grant</v>
      </c>
    </row>
    <row r="83" spans="2:10" ht="16.5" thickTop="1" x14ac:dyDescent="0.25">
      <c r="B83" s="374"/>
      <c r="C83" s="377"/>
      <c r="D83" s="377"/>
      <c r="E83" s="377"/>
      <c r="F83" s="430"/>
    </row>
    <row r="84" spans="2:10" ht="15.75" customHeight="1" x14ac:dyDescent="0.25">
      <c r="B84" s="563" t="s">
        <v>729</v>
      </c>
      <c r="C84" s="556"/>
      <c r="D84" s="556"/>
      <c r="E84" s="557"/>
    </row>
    <row r="85" spans="2:10" ht="15.75" customHeight="1" x14ac:dyDescent="0.25">
      <c r="B85" s="558"/>
      <c r="C85" s="377"/>
      <c r="D85" s="377"/>
      <c r="E85" s="559"/>
      <c r="F85" s="430"/>
    </row>
    <row r="86" spans="2:10" x14ac:dyDescent="0.25">
      <c r="B86" s="560"/>
      <c r="C86" s="561"/>
      <c r="D86" s="561"/>
      <c r="E86" s="562"/>
    </row>
    <row r="87" spans="2:10" x14ac:dyDescent="0.25">
      <c r="B87" s="377"/>
      <c r="C87" s="377"/>
      <c r="D87" s="377"/>
      <c r="E87" s="377"/>
    </row>
    <row r="88" spans="2:10" x14ac:dyDescent="0.25">
      <c r="B88" s="377" t="s">
        <v>4</v>
      </c>
      <c r="C88" s="532"/>
      <c r="D88" s="377"/>
      <c r="E88" s="377"/>
    </row>
    <row r="93" spans="2:10" x14ac:dyDescent="0.25">
      <c r="C93" s="460" t="s">
        <v>552</v>
      </c>
      <c r="D93" s="460" t="s">
        <v>552</v>
      </c>
    </row>
    <row r="94" spans="2:10" x14ac:dyDescent="0.25">
      <c r="C94" s="460" t="s">
        <v>552</v>
      </c>
      <c r="D94" s="460" t="s">
        <v>552</v>
      </c>
    </row>
    <row r="95" spans="2:10" hidden="1" x14ac:dyDescent="0.25"/>
    <row r="96" spans="2:10" hidden="1" x14ac:dyDescent="0.25">
      <c r="C96" s="460" t="s">
        <v>552</v>
      </c>
      <c r="D96" s="460" t="s">
        <v>552</v>
      </c>
    </row>
    <row r="97" spans="3:4" hidden="1" x14ac:dyDescent="0.25">
      <c r="C97" s="460" t="s">
        <v>552</v>
      </c>
      <c r="D97" s="460" t="s">
        <v>552</v>
      </c>
    </row>
    <row r="98" spans="3:4" hidden="1" x14ac:dyDescent="0.25">
      <c r="C98" s="461" t="str">
        <f>IF(C34&gt;C36,"See Tab A","")</f>
        <v/>
      </c>
      <c r="D98" s="461" t="str">
        <f>IF(D34&gt;D36,"See Tab C","")</f>
        <v/>
      </c>
    </row>
    <row r="99" spans="3:4" x14ac:dyDescent="0.25">
      <c r="C99" s="461" t="str">
        <f>IF(C35&lt;0,"See Tab B","")</f>
        <v/>
      </c>
      <c r="D99" s="461" t="str">
        <f>IF(D35&lt;0,"See Tab D","")</f>
        <v/>
      </c>
    </row>
    <row r="100" spans="3:4" x14ac:dyDescent="0.25">
      <c r="C100" s="462" t="str">
        <f>IF(C75&gt;C77,"See Tab A","")</f>
        <v/>
      </c>
      <c r="D100" s="462" t="str">
        <f>IF(D75&gt;D77,"See Tab C","")</f>
        <v/>
      </c>
    </row>
    <row r="101" spans="3:4" x14ac:dyDescent="0.25">
      <c r="C101" s="462" t="str">
        <f>IF(C76&lt;0,"See Tab B","")</f>
        <v/>
      </c>
      <c r="D101" s="462" t="str">
        <f>IF(D76&lt;0,"See Tab D","")</f>
        <v/>
      </c>
    </row>
  </sheetData>
  <sheetProtection sheet="1"/>
  <mergeCells count="19">
    <mergeCell ref="G12:J12"/>
    <mergeCell ref="G19:J19"/>
    <mergeCell ref="G52:J52"/>
    <mergeCell ref="G59:J59"/>
    <mergeCell ref="G29:J30"/>
    <mergeCell ref="G37:I38"/>
    <mergeCell ref="J37:J38"/>
    <mergeCell ref="G39:J41"/>
    <mergeCell ref="G69:J70"/>
    <mergeCell ref="G77:I78"/>
    <mergeCell ref="J77:J78"/>
    <mergeCell ref="G79:J81"/>
    <mergeCell ref="C78:D78"/>
    <mergeCell ref="C79:D79"/>
    <mergeCell ref="C82:D82"/>
    <mergeCell ref="C42:D42"/>
    <mergeCell ref="C37:D37"/>
    <mergeCell ref="C38:D38"/>
    <mergeCell ref="C41:D41"/>
  </mergeCells>
  <conditionalFormatting sqref="C20 C61:E61">
    <cfRule type="cellIs" dxfId="175" priority="10" stopIfTrue="1" operator="greaterThan">
      <formula>$C$22*0.1</formula>
    </cfRule>
  </conditionalFormatting>
  <conditionalFormatting sqref="C32">
    <cfRule type="cellIs" dxfId="174" priority="13" stopIfTrue="1" operator="greaterThan">
      <formula>$C$34*0.1</formula>
    </cfRule>
  </conditionalFormatting>
  <conditionalFormatting sqref="C34">
    <cfRule type="cellIs" dxfId="173" priority="15" stopIfTrue="1" operator="greaterThan">
      <formula>$C$36</formula>
    </cfRule>
  </conditionalFormatting>
  <conditionalFormatting sqref="C73">
    <cfRule type="cellIs" dxfId="172" priority="7" stopIfTrue="1" operator="greaterThan">
      <formula>$C$75*0.1</formula>
    </cfRule>
  </conditionalFormatting>
  <conditionalFormatting sqref="C75">
    <cfRule type="cellIs" dxfId="171" priority="18" stopIfTrue="1" operator="greaterThan">
      <formula>$C$77</formula>
    </cfRule>
  </conditionalFormatting>
  <conditionalFormatting sqref="C35:D35 C76:D76">
    <cfRule type="cellIs" dxfId="170" priority="17" stopIfTrue="1" operator="lessThan">
      <formula>0</formula>
    </cfRule>
  </conditionalFormatting>
  <conditionalFormatting sqref="D20">
    <cfRule type="cellIs" dxfId="169" priority="9" stopIfTrue="1" operator="greaterThan">
      <formula>$D$22*0.1</formula>
    </cfRule>
  </conditionalFormatting>
  <conditionalFormatting sqref="D32">
    <cfRule type="cellIs" dxfId="168" priority="12" stopIfTrue="1" operator="greaterThan">
      <formula>$D$34*0.1</formula>
    </cfRule>
  </conditionalFormatting>
  <conditionalFormatting sqref="D34">
    <cfRule type="cellIs" dxfId="167" priority="14" stopIfTrue="1" operator="greaterThan">
      <formula>$D$36</formula>
    </cfRule>
  </conditionalFormatting>
  <conditionalFormatting sqref="D73">
    <cfRule type="cellIs" dxfId="166" priority="6" stopIfTrue="1" operator="greaterThan">
      <formula>$D$75*0.1</formula>
    </cfRule>
  </conditionalFormatting>
  <conditionalFormatting sqref="D75">
    <cfRule type="cellIs" dxfId="165" priority="16" stopIfTrue="1" operator="greaterThan">
      <formula>$D$77</formula>
    </cfRule>
  </conditionalFormatting>
  <conditionalFormatting sqref="E20">
    <cfRule type="cellIs" dxfId="164" priority="31" stopIfTrue="1" operator="greaterThan">
      <formula>$E$22*0.1+$E$41</formula>
    </cfRule>
  </conditionalFormatting>
  <conditionalFormatting sqref="E32">
    <cfRule type="cellIs" dxfId="163" priority="11" stopIfTrue="1" operator="greaterThan">
      <formula>$E$34*0.1</formula>
    </cfRule>
  </conditionalFormatting>
  <conditionalFormatting sqref="E37">
    <cfRule type="cellIs" dxfId="162" priority="4" stopIfTrue="1" operator="greaterThan">
      <formula>$E$34/0.95-$E$34</formula>
    </cfRule>
  </conditionalFormatting>
  <conditionalFormatting sqref="E73">
    <cfRule type="cellIs" dxfId="161" priority="5" stopIfTrue="1" operator="greaterThan">
      <formula>$E$75*0.1</formula>
    </cfRule>
  </conditionalFormatting>
  <conditionalFormatting sqref="E78">
    <cfRule type="cellIs" dxfId="160" priority="3" stopIfTrue="1" operator="greaterThan">
      <formula>$E$75/0.98-$E$75</formula>
    </cfRule>
  </conditionalFormatting>
  <conditionalFormatting sqref="J37">
    <cfRule type="containsText" dxfId="159" priority="2" operator="containsText" text="Yes">
      <formula>NOT(ISERROR(SEARCH("Yes",J37)))</formula>
    </cfRule>
  </conditionalFormatting>
  <conditionalFormatting sqref="J77">
    <cfRule type="containsText" dxfId="158" priority="1" operator="containsText" text="Yes">
      <formula>NOT(ISERROR(SEARCH("Yes",J77)))</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K79"/>
  <sheetViews>
    <sheetView zoomScaleNormal="100" workbookViewId="0">
      <selection activeCell="F1" sqref="F1"/>
    </sheetView>
  </sheetViews>
  <sheetFormatPr defaultRowHeight="15.75" x14ac:dyDescent="0.25"/>
  <cols>
    <col min="1" max="1" width="2.3984375" style="130" customWidth="1"/>
    <col min="2" max="2" width="31.09765625" style="130" customWidth="1"/>
    <col min="3" max="4" width="15.69921875" style="130" customWidth="1"/>
    <col min="5" max="5" width="13.69921875" style="130" customWidth="1"/>
    <col min="6" max="6" width="8.796875" style="130"/>
    <col min="7" max="7" width="9.19921875" style="130" customWidth="1"/>
    <col min="8" max="8" width="8.796875" style="130"/>
    <col min="9" max="9" width="4.8984375" style="130" customWidth="1"/>
    <col min="10" max="10" width="9.19921875" style="130" customWidth="1"/>
    <col min="11" max="16384" width="8.796875" style="130"/>
  </cols>
  <sheetData>
    <row r="1" spans="2:5" x14ac:dyDescent="0.25">
      <c r="B1" s="112">
        <f>inputPrYr!D3</f>
        <v>0</v>
      </c>
      <c r="C1" s="73"/>
      <c r="D1" s="73"/>
      <c r="E1" s="111">
        <f>inputPrYr!D6</f>
        <v>2025</v>
      </c>
    </row>
    <row r="2" spans="2:5" x14ac:dyDescent="0.25">
      <c r="B2" s="297" t="s">
        <v>485</v>
      </c>
      <c r="C2" s="73"/>
      <c r="D2" s="127"/>
      <c r="E2" s="75"/>
    </row>
    <row r="3" spans="2:5" x14ac:dyDescent="0.25">
      <c r="B3" s="77" t="s">
        <v>5</v>
      </c>
      <c r="C3" s="76"/>
      <c r="D3" s="76"/>
      <c r="E3" s="76"/>
    </row>
    <row r="4" spans="2:5" x14ac:dyDescent="0.25">
      <c r="B4" s="73"/>
      <c r="C4" s="284" t="s">
        <v>6</v>
      </c>
      <c r="D4" s="286" t="s">
        <v>7</v>
      </c>
      <c r="E4" s="78" t="s">
        <v>8</v>
      </c>
    </row>
    <row r="5" spans="2:5" x14ac:dyDescent="0.25">
      <c r="B5" s="293" t="str">
        <f>inputPrYr!B20</f>
        <v>Road</v>
      </c>
      <c r="C5" s="285" t="str">
        <f>General!C5</f>
        <v>Actual for 2023</v>
      </c>
      <c r="D5" s="285" t="str">
        <f>General!D5</f>
        <v>Estimate for 2024</v>
      </c>
      <c r="E5" s="81" t="str">
        <f>General!E5</f>
        <v>Year for 2025</v>
      </c>
    </row>
    <row r="6" spans="2:5" x14ac:dyDescent="0.25">
      <c r="B6" s="82" t="s">
        <v>78</v>
      </c>
      <c r="C6" s="185"/>
      <c r="D6" s="283">
        <f>C44</f>
        <v>0</v>
      </c>
      <c r="E6" s="169">
        <f>D44</f>
        <v>0</v>
      </c>
    </row>
    <row r="7" spans="2:5" x14ac:dyDescent="0.25">
      <c r="B7" s="82" t="s">
        <v>80</v>
      </c>
      <c r="C7" s="283"/>
      <c r="D7" s="283"/>
      <c r="E7" s="188"/>
    </row>
    <row r="8" spans="2:5" x14ac:dyDescent="0.25">
      <c r="B8" s="82" t="s">
        <v>10</v>
      </c>
      <c r="C8" s="185"/>
      <c r="D8" s="283">
        <f>IF(inputPrYr!H18&gt;0,inputPrYr!G22,inputPrYr!E20)</f>
        <v>0</v>
      </c>
      <c r="E8" s="188" t="s">
        <v>204</v>
      </c>
    </row>
    <row r="9" spans="2:5" x14ac:dyDescent="0.25">
      <c r="B9" s="82" t="s">
        <v>11</v>
      </c>
      <c r="C9" s="185"/>
      <c r="D9" s="185"/>
      <c r="E9" s="164"/>
    </row>
    <row r="10" spans="2:5" x14ac:dyDescent="0.25">
      <c r="B10" s="82" t="s">
        <v>12</v>
      </c>
      <c r="C10" s="185"/>
      <c r="D10" s="185"/>
      <c r="E10" s="169">
        <f>Mvalloc!D14</f>
        <v>0</v>
      </c>
    </row>
    <row r="11" spans="2:5" x14ac:dyDescent="0.25">
      <c r="B11" s="82" t="s">
        <v>13</v>
      </c>
      <c r="C11" s="185"/>
      <c r="D11" s="185"/>
      <c r="E11" s="169">
        <f>Mvalloc!F14</f>
        <v>0</v>
      </c>
    </row>
    <row r="12" spans="2:5" x14ac:dyDescent="0.25">
      <c r="B12" s="82" t="s">
        <v>70</v>
      </c>
      <c r="C12" s="185"/>
      <c r="D12" s="185"/>
      <c r="E12" s="169">
        <f>Mvalloc!G14</f>
        <v>0</v>
      </c>
    </row>
    <row r="13" spans="2:5" x14ac:dyDescent="0.25">
      <c r="B13" s="546" t="s">
        <v>591</v>
      </c>
      <c r="C13" s="185"/>
      <c r="D13" s="185"/>
      <c r="E13" s="169">
        <f>Mvalloc!H14</f>
        <v>0</v>
      </c>
    </row>
    <row r="14" spans="2:5" x14ac:dyDescent="0.25">
      <c r="B14" s="546" t="s">
        <v>592</v>
      </c>
      <c r="C14" s="185"/>
      <c r="D14" s="185"/>
      <c r="E14" s="169">
        <f>Mvalloc!I14</f>
        <v>0</v>
      </c>
    </row>
    <row r="15" spans="2:5" x14ac:dyDescent="0.25">
      <c r="B15" s="82" t="s">
        <v>71</v>
      </c>
      <c r="C15" s="185"/>
      <c r="D15" s="185"/>
      <c r="E15" s="169">
        <f>inputOth!E41</f>
        <v>0</v>
      </c>
    </row>
    <row r="16" spans="2:5" x14ac:dyDescent="0.25">
      <c r="B16" s="192"/>
      <c r="C16" s="185"/>
      <c r="D16" s="185"/>
      <c r="E16" s="164"/>
    </row>
    <row r="17" spans="2:10" x14ac:dyDescent="0.25">
      <c r="B17" s="192"/>
      <c r="C17" s="185"/>
      <c r="D17" s="185"/>
      <c r="E17" s="164"/>
    </row>
    <row r="18" spans="2:10" x14ac:dyDescent="0.25">
      <c r="B18" s="192"/>
      <c r="C18" s="185"/>
      <c r="D18" s="185"/>
      <c r="E18" s="164"/>
    </row>
    <row r="19" spans="2:10" x14ac:dyDescent="0.25">
      <c r="B19" s="192"/>
      <c r="C19" s="185"/>
      <c r="D19" s="185"/>
      <c r="E19" s="164"/>
    </row>
    <row r="20" spans="2:10" x14ac:dyDescent="0.25">
      <c r="B20" s="192" t="s">
        <v>16</v>
      </c>
      <c r="C20" s="185"/>
      <c r="D20" s="185"/>
      <c r="E20" s="164"/>
      <c r="G20" s="756" t="str">
        <f>CONCATENATE("Desired Carryover Into ",E1+1,"")</f>
        <v>Desired Carryover Into 2026</v>
      </c>
      <c r="H20" s="782"/>
      <c r="I20" s="782"/>
      <c r="J20" s="783"/>
    </row>
    <row r="21" spans="2:10" x14ac:dyDescent="0.25">
      <c r="B21" s="189" t="s">
        <v>146</v>
      </c>
      <c r="C21" s="185"/>
      <c r="D21" s="185"/>
      <c r="E21" s="169">
        <f>'NR Rebate'!E9*-1</f>
        <v>0</v>
      </c>
      <c r="G21" s="320"/>
      <c r="H21" s="308"/>
      <c r="I21" s="313"/>
      <c r="J21" s="321"/>
    </row>
    <row r="22" spans="2:10" x14ac:dyDescent="0.25">
      <c r="B22" s="193" t="s">
        <v>143</v>
      </c>
      <c r="C22" s="185"/>
      <c r="D22" s="185"/>
      <c r="E22" s="164"/>
      <c r="G22" s="322" t="s">
        <v>486</v>
      </c>
      <c r="H22" s="313"/>
      <c r="I22" s="313"/>
      <c r="J22" s="323">
        <v>0</v>
      </c>
    </row>
    <row r="23" spans="2:10" x14ac:dyDescent="0.25">
      <c r="B23" s="193" t="s">
        <v>144</v>
      </c>
      <c r="C23" s="282" t="str">
        <f>IF(C24*0.1&lt;C22,"Exceed 10% Rule","")</f>
        <v/>
      </c>
      <c r="D23" s="282" t="str">
        <f>IF(D24*0.1&lt;D22,"Exceed 10% Rule","")</f>
        <v/>
      </c>
      <c r="E23" s="198" t="str">
        <f>IF((E50+E24)*0.1&lt;E22,"Exceed 10% Rule","")</f>
        <v/>
      </c>
      <c r="G23" s="320" t="s">
        <v>487</v>
      </c>
      <c r="H23" s="308"/>
      <c r="I23" s="308"/>
      <c r="J23" s="477" t="str">
        <f>IF(J22=0,"",ROUND((J22+E50-G35)/inputOth!E7*1000,3)-G40)</f>
        <v/>
      </c>
    </row>
    <row r="24" spans="2:10" x14ac:dyDescent="0.25">
      <c r="B24" s="195" t="s">
        <v>17</v>
      </c>
      <c r="C24" s="199">
        <f>SUM(C8:C22)</f>
        <v>0</v>
      </c>
      <c r="D24" s="199">
        <f>SUM(D8:D22)</f>
        <v>0</v>
      </c>
      <c r="E24" s="199">
        <f>SUM(E8:E22)</f>
        <v>0</v>
      </c>
      <c r="G24" s="478" t="str">
        <f>CONCATENATE("",E1," Tot Exp/Non-Appr Must Be:")</f>
        <v>2025 Tot Exp/Non-Appr Must Be:</v>
      </c>
      <c r="H24" s="476"/>
      <c r="I24" s="475"/>
      <c r="J24" s="479">
        <f>IF(J22&gt;0,IF(E47&lt;E18,IF(J22=G35,E47,((J22-G35)*(1-D49))+E18),E47+(J22-G35)),0)</f>
        <v>0</v>
      </c>
    </row>
    <row r="25" spans="2:10" x14ac:dyDescent="0.25">
      <c r="B25" s="196" t="s">
        <v>18</v>
      </c>
      <c r="C25" s="199">
        <f>C24+C6</f>
        <v>0</v>
      </c>
      <c r="D25" s="199">
        <f>D24+D6</f>
        <v>0</v>
      </c>
      <c r="E25" s="199">
        <f>E24+E6</f>
        <v>0</v>
      </c>
      <c r="G25" s="480" t="s">
        <v>551</v>
      </c>
      <c r="H25" s="481"/>
      <c r="I25" s="481"/>
      <c r="J25" s="482">
        <f>IF(J22&gt;0,J24-E47,0)</f>
        <v>0</v>
      </c>
    </row>
    <row r="26" spans="2:10" x14ac:dyDescent="0.25">
      <c r="B26" s="82" t="s">
        <v>19</v>
      </c>
      <c r="C26" s="283"/>
      <c r="D26" s="283"/>
      <c r="E26" s="169"/>
    </row>
    <row r="27" spans="2:10" x14ac:dyDescent="0.25">
      <c r="B27" s="192"/>
      <c r="C27" s="185"/>
      <c r="D27" s="185"/>
      <c r="E27" s="164"/>
      <c r="G27" s="756" t="str">
        <f>CONCATENATE("Projected Carryover Into ",E1+1,"")</f>
        <v>Projected Carryover Into 2026</v>
      </c>
      <c r="H27" s="782"/>
      <c r="I27" s="782"/>
      <c r="J27" s="783"/>
    </row>
    <row r="28" spans="2:10" x14ac:dyDescent="0.25">
      <c r="B28" s="192" t="s">
        <v>72</v>
      </c>
      <c r="C28" s="185"/>
      <c r="D28" s="185"/>
      <c r="E28" s="164"/>
      <c r="G28" s="307"/>
      <c r="H28" s="308"/>
      <c r="I28" s="308"/>
      <c r="J28" s="309"/>
    </row>
    <row r="29" spans="2:10" x14ac:dyDescent="0.25">
      <c r="B29" s="192" t="s">
        <v>85</v>
      </c>
      <c r="C29" s="185"/>
      <c r="D29" s="185"/>
      <c r="E29" s="164"/>
      <c r="G29" s="310">
        <f>D44</f>
        <v>0</v>
      </c>
      <c r="H29" s="311" t="str">
        <f>CONCATENATE("",E1-1," Ending Cash Balance (est.)")</f>
        <v>2024 Ending Cash Balance (est.)</v>
      </c>
      <c r="I29" s="312"/>
      <c r="J29" s="309"/>
    </row>
    <row r="30" spans="2:10" x14ac:dyDescent="0.25">
      <c r="B30" s="191" t="s">
        <v>73</v>
      </c>
      <c r="C30" s="185"/>
      <c r="D30" s="185"/>
      <c r="E30" s="164"/>
      <c r="G30" s="310">
        <f>E24</f>
        <v>0</v>
      </c>
      <c r="H30" s="313" t="str">
        <f>CONCATENATE("",E1," Non-AV Receipts (est.)")</f>
        <v>2025 Non-AV Receipts (est.)</v>
      </c>
      <c r="I30" s="312"/>
      <c r="J30" s="309"/>
    </row>
    <row r="31" spans="2:10" x14ac:dyDescent="0.25">
      <c r="B31" s="192" t="s">
        <v>87</v>
      </c>
      <c r="C31" s="185"/>
      <c r="D31" s="185"/>
      <c r="E31" s="164"/>
      <c r="G31" s="314">
        <f>IF(D49&gt;0,E48,E50)</f>
        <v>0</v>
      </c>
      <c r="H31" s="313" t="str">
        <f>CONCATENATE("",E1," Ad Valorem Tax (est.)")</f>
        <v>2025 Ad Valorem Tax (est.)</v>
      </c>
      <c r="I31" s="312"/>
      <c r="J31" s="309"/>
    </row>
    <row r="32" spans="2:10" x14ac:dyDescent="0.25">
      <c r="B32" s="192" t="s">
        <v>76</v>
      </c>
      <c r="C32" s="185"/>
      <c r="D32" s="185"/>
      <c r="E32" s="164"/>
      <c r="G32" s="310">
        <f>SUM(G29:G31)</f>
        <v>0</v>
      </c>
      <c r="H32" s="313" t="str">
        <f>CONCATENATE("Total ",E1," Resources Available")</f>
        <v>Total 2025 Resources Available</v>
      </c>
      <c r="I32" s="312"/>
      <c r="J32" s="309"/>
    </row>
    <row r="33" spans="2:11" x14ac:dyDescent="0.25">
      <c r="B33" s="192" t="s">
        <v>74</v>
      </c>
      <c r="C33" s="185"/>
      <c r="D33" s="185"/>
      <c r="E33" s="164"/>
      <c r="G33" s="315"/>
      <c r="H33" s="313"/>
      <c r="I33" s="313"/>
      <c r="J33" s="309"/>
    </row>
    <row r="34" spans="2:11" x14ac:dyDescent="0.25">
      <c r="B34" s="192"/>
      <c r="C34" s="185"/>
      <c r="D34" s="185"/>
      <c r="E34" s="164"/>
      <c r="G34" s="314">
        <f>ROUND(C43*0.05+C43,0)</f>
        <v>0</v>
      </c>
      <c r="H34" s="313" t="str">
        <f>CONCATENATE("Less ",E1-2," Expenditures + 5%")</f>
        <v>Less 2023 Expenditures + 5%</v>
      </c>
      <c r="I34" s="312"/>
      <c r="J34" s="309"/>
    </row>
    <row r="35" spans="2:11" x14ac:dyDescent="0.2">
      <c r="B35" s="191"/>
      <c r="C35" s="185"/>
      <c r="D35" s="185"/>
      <c r="E35" s="164"/>
      <c r="G35" s="316">
        <f>G32-G34</f>
        <v>0</v>
      </c>
      <c r="H35" s="317" t="str">
        <f>CONCATENATE("Projected ",E1+1," Carryover (est.)")</f>
        <v>Projected 2026 Carryover (est.)</v>
      </c>
      <c r="I35" s="318"/>
      <c r="J35" s="319"/>
      <c r="K35" s="483" t="str">
        <f>IF(G31=E50,"","Note: Does not include Delinquent Taxes")</f>
        <v/>
      </c>
    </row>
    <row r="36" spans="2:11" x14ac:dyDescent="0.25">
      <c r="B36" s="191"/>
      <c r="C36" s="185"/>
      <c r="D36" s="185"/>
      <c r="E36" s="164"/>
    </row>
    <row r="37" spans="2:11" x14ac:dyDescent="0.25">
      <c r="B37" s="192"/>
      <c r="C37" s="185"/>
      <c r="D37" s="185"/>
      <c r="E37" s="164"/>
      <c r="G37" s="765" t="s">
        <v>858</v>
      </c>
      <c r="H37" s="766"/>
      <c r="I37" s="766"/>
      <c r="J37" s="767"/>
    </row>
    <row r="38" spans="2:11" x14ac:dyDescent="0.25">
      <c r="B38" s="82" t="str">
        <f>CONCATENATE("Cash Reserve (",E1," column)")</f>
        <v>Cash Reserve (2025 column)</v>
      </c>
      <c r="C38" s="185"/>
      <c r="D38" s="185"/>
      <c r="E38" s="164"/>
      <c r="G38" s="768"/>
      <c r="H38" s="769"/>
      <c r="I38" s="769"/>
      <c r="J38" s="770"/>
    </row>
    <row r="39" spans="2:11" x14ac:dyDescent="0.25">
      <c r="B39" s="82" t="s">
        <v>75</v>
      </c>
      <c r="C39" s="185"/>
      <c r="D39" s="185"/>
      <c r="E39" s="164"/>
      <c r="G39" s="632" t="str">
        <f>'Budget Hearing Notice'!I21</f>
        <v xml:space="preserve"> </v>
      </c>
      <c r="H39" s="311" t="str">
        <f>CONCATENATE("",E1," Estimated Fund Mill Rate")</f>
        <v>2025 Estimated Fund Mill Rate</v>
      </c>
      <c r="I39" s="633"/>
      <c r="J39" s="634"/>
    </row>
    <row r="40" spans="2:11" x14ac:dyDescent="0.25">
      <c r="B40" s="82" t="s">
        <v>481</v>
      </c>
      <c r="C40" s="289" t="str">
        <f>IF(C25*0.25&lt;C39,"Not Authorized","")</f>
        <v/>
      </c>
      <c r="D40" s="289" t="str">
        <f>IF(D25*0.25&lt;D39,"Not Authorized","")</f>
        <v/>
      </c>
      <c r="E40" s="204" t="str">
        <f>IF(E25*0.25+E50&lt;E39,"Not Authorized","")</f>
        <v/>
      </c>
      <c r="G40" s="635" t="str">
        <f>'Budget Hearing Notice'!F21</f>
        <v xml:space="preserve">  </v>
      </c>
      <c r="H40" s="311" t="str">
        <f>CONCATENATE("",E1-1," Fund Mill Rate")</f>
        <v>2024 Fund Mill Rate</v>
      </c>
      <c r="I40" s="633"/>
      <c r="J40" s="634"/>
    </row>
    <row r="41" spans="2:11" ht="15.75" customHeight="1" x14ac:dyDescent="0.25">
      <c r="B41" s="189" t="s">
        <v>143</v>
      </c>
      <c r="C41" s="185"/>
      <c r="D41" s="185"/>
      <c r="E41" s="164"/>
      <c r="G41" s="636">
        <f>'Budget Hearing Notice'!I37</f>
        <v>0</v>
      </c>
      <c r="H41" s="637" t="s">
        <v>859</v>
      </c>
      <c r="I41" s="633"/>
      <c r="J41" s="634"/>
    </row>
    <row r="42" spans="2:11" x14ac:dyDescent="0.25">
      <c r="B42" s="189" t="s">
        <v>480</v>
      </c>
      <c r="C42" s="282" t="str">
        <f>IF(C43*0.1&lt;C41,"Exceed 10% Rule","")</f>
        <v/>
      </c>
      <c r="D42" s="282" t="str">
        <f>IF(D43*0.1&lt;D41,"Exceed 10% Rule","")</f>
        <v/>
      </c>
      <c r="E42" s="198" t="str">
        <f>IF(E43*0.1&lt;E41,"Exceed 10% Rule","")</f>
        <v/>
      </c>
      <c r="G42" s="632">
        <f>'Budget Hearing Notice'!I36</f>
        <v>0</v>
      </c>
      <c r="H42" s="311" t="str">
        <f>CONCATENATE(E1," Estimated Total Mill Rate")</f>
        <v>2025 Estimated Total Mill Rate</v>
      </c>
      <c r="I42" s="633"/>
      <c r="J42" s="634"/>
    </row>
    <row r="43" spans="2:11" x14ac:dyDescent="0.25">
      <c r="B43" s="196" t="s">
        <v>20</v>
      </c>
      <c r="C43" s="199">
        <f>SUM(C27:C39,C41:C41)</f>
        <v>0</v>
      </c>
      <c r="D43" s="199">
        <f>SUM(D27:D39,D41:D41)</f>
        <v>0</v>
      </c>
      <c r="E43" s="199">
        <f>SUM(E27:E39,E41:E41)</f>
        <v>0</v>
      </c>
      <c r="G43" s="638">
        <f>'Budget Hearing Notice'!F36</f>
        <v>0</v>
      </c>
      <c r="H43" s="311" t="str">
        <f>CONCATENATE(E1-1," Total Mill Rate")</f>
        <v>2024 Total Mill Rate</v>
      </c>
      <c r="I43" s="633"/>
      <c r="J43" s="634"/>
    </row>
    <row r="44" spans="2:11" x14ac:dyDescent="0.25">
      <c r="B44" s="82" t="s">
        <v>79</v>
      </c>
      <c r="C44" s="169">
        <f>C25-C43</f>
        <v>0</v>
      </c>
      <c r="D44" s="169">
        <f>D25-D43</f>
        <v>0</v>
      </c>
      <c r="E44" s="188" t="s">
        <v>204</v>
      </c>
      <c r="G44" s="307"/>
      <c r="H44" s="308"/>
      <c r="I44" s="308"/>
      <c r="J44" s="309"/>
    </row>
    <row r="45" spans="2:11" x14ac:dyDescent="0.25">
      <c r="B45" s="110" t="str">
        <f>CONCATENATE("",E1-2,"/",E1-1,"/",E1," Budget Authority Amount:")</f>
        <v>2023/2024/2025 Budget Authority Amount:</v>
      </c>
      <c r="C45" s="494">
        <f>inputOth!B54</f>
        <v>0</v>
      </c>
      <c r="D45" s="494">
        <f>inputPrYr!D20</f>
        <v>0</v>
      </c>
      <c r="E45" s="169">
        <f>E43</f>
        <v>0</v>
      </c>
      <c r="F45" s="200"/>
      <c r="G45" s="771" t="s">
        <v>860</v>
      </c>
      <c r="H45" s="772"/>
      <c r="I45" s="772"/>
      <c r="J45" s="775" t="str">
        <f>IF(G42&gt;G41, "Yes", "No")</f>
        <v>No</v>
      </c>
    </row>
    <row r="46" spans="2:11" x14ac:dyDescent="0.25">
      <c r="B46" s="111"/>
      <c r="C46" s="761" t="s">
        <v>482</v>
      </c>
      <c r="D46" s="762"/>
      <c r="E46" s="164"/>
      <c r="F46" s="200" t="str">
        <f>IF(E43/0.95-E43&lt;E46,"Exceeds 5%","")</f>
        <v/>
      </c>
      <c r="G46" s="773"/>
      <c r="H46" s="774"/>
      <c r="I46" s="774"/>
      <c r="J46" s="776"/>
    </row>
    <row r="47" spans="2:11" x14ac:dyDescent="0.25">
      <c r="B47" s="291" t="str">
        <f>CONCATENATE(C78,"     ",D78)</f>
        <v xml:space="preserve">     </v>
      </c>
      <c r="C47" s="763" t="s">
        <v>483</v>
      </c>
      <c r="D47" s="764"/>
      <c r="E47" s="169">
        <f>E43+E46</f>
        <v>0</v>
      </c>
      <c r="G47" s="754" t="str">
        <f>IF(J45="Yes", "Follow procedure prescribed by KSA 79-2988 to exceed the Revenue Neutral Rate.", " ")</f>
        <v xml:space="preserve"> </v>
      </c>
      <c r="H47" s="754"/>
      <c r="I47" s="754"/>
      <c r="J47" s="754"/>
    </row>
    <row r="48" spans="2:11" x14ac:dyDescent="0.25">
      <c r="B48" s="291" t="str">
        <f>CONCATENATE(C79,"     ",D79)</f>
        <v xml:space="preserve">     </v>
      </c>
      <c r="C48" s="257"/>
      <c r="D48" s="117" t="s">
        <v>22</v>
      </c>
      <c r="E48" s="169">
        <f>IF(E47-E25&gt;0,E47-E25,0)</f>
        <v>0</v>
      </c>
      <c r="G48" s="755"/>
      <c r="H48" s="755"/>
      <c r="I48" s="755"/>
      <c r="J48" s="755"/>
    </row>
    <row r="49" spans="2:10" ht="15.75" customHeight="1" x14ac:dyDescent="0.25">
      <c r="B49" s="117"/>
      <c r="C49" s="296" t="s">
        <v>484</v>
      </c>
      <c r="D49" s="474">
        <f>inputOth!$E$45</f>
        <v>0</v>
      </c>
      <c r="E49" s="169">
        <f>ROUND(IF(D49&gt;0,(E48*D49),0),0)</f>
        <v>0</v>
      </c>
      <c r="G49" s="755"/>
      <c r="H49" s="755"/>
      <c r="I49" s="755"/>
      <c r="J49" s="755"/>
    </row>
    <row r="50" spans="2:10" ht="15.75" customHeight="1" x14ac:dyDescent="0.25">
      <c r="B50" s="73"/>
      <c r="C50" s="759" t="str">
        <f>CONCATENATE("Amount of  ",$E$1-1," Ad Valorem Tax")</f>
        <v>Amount of  2024 Ad Valorem Tax</v>
      </c>
      <c r="D50" s="760"/>
      <c r="E50" s="169">
        <f>E48+E49</f>
        <v>0</v>
      </c>
    </row>
    <row r="51" spans="2:10" x14ac:dyDescent="0.25">
      <c r="B51" s="73"/>
      <c r="C51" s="73"/>
      <c r="D51" s="73"/>
      <c r="E51" s="73"/>
    </row>
    <row r="52" spans="2:10" x14ac:dyDescent="0.25">
      <c r="B52" s="73"/>
      <c r="C52" s="73"/>
      <c r="D52" s="73"/>
      <c r="E52" s="73"/>
    </row>
    <row r="53" spans="2:10" x14ac:dyDescent="0.25">
      <c r="B53" s="205" t="s">
        <v>24</v>
      </c>
      <c r="C53" s="206">
        <f>E1-2</f>
        <v>2023</v>
      </c>
      <c r="D53" s="73"/>
      <c r="E53" s="73"/>
    </row>
    <row r="54" spans="2:10" x14ac:dyDescent="0.25">
      <c r="B54" s="79" t="s">
        <v>25</v>
      </c>
      <c r="C54" s="81" t="s">
        <v>26</v>
      </c>
      <c r="D54" s="73"/>
      <c r="E54" s="73"/>
    </row>
    <row r="55" spans="2:10" x14ac:dyDescent="0.25">
      <c r="B55" s="103" t="s">
        <v>9</v>
      </c>
      <c r="C55" s="164"/>
      <c r="D55" s="73"/>
      <c r="E55" s="73"/>
    </row>
    <row r="56" spans="2:10" x14ac:dyDescent="0.25">
      <c r="B56" s="103" t="s">
        <v>27</v>
      </c>
      <c r="C56" s="139"/>
      <c r="D56" s="73"/>
      <c r="E56" s="73"/>
    </row>
    <row r="57" spans="2:10" x14ac:dyDescent="0.25">
      <c r="B57" s="103" t="s">
        <v>28</v>
      </c>
      <c r="C57" s="169">
        <f>IF(C39&gt;0,C39,0)</f>
        <v>0</v>
      </c>
      <c r="D57" s="207" t="str">
        <f>IF(C39&gt;(C25*0.25),"Exceeds 25% of Resources Available","")</f>
        <v/>
      </c>
      <c r="E57" s="73"/>
    </row>
    <row r="58" spans="2:10" x14ac:dyDescent="0.25">
      <c r="B58" s="103" t="s">
        <v>168</v>
      </c>
      <c r="C58" s="169">
        <f>General!C43</f>
        <v>0</v>
      </c>
      <c r="D58" s="784" t="str">
        <f>IF(AND(C58&gt;0,C59&gt;0),"Not Authtorize Two Transfers - Only One","")</f>
        <v/>
      </c>
      <c r="E58" s="73"/>
    </row>
    <row r="59" spans="2:10" x14ac:dyDescent="0.25">
      <c r="B59" s="208" t="s">
        <v>169</v>
      </c>
      <c r="C59" s="169">
        <f>General!C45</f>
        <v>0</v>
      </c>
      <c r="D59" s="785"/>
      <c r="E59" s="73"/>
    </row>
    <row r="60" spans="2:10" x14ac:dyDescent="0.25">
      <c r="B60" s="209"/>
      <c r="C60" s="164"/>
      <c r="D60" s="73"/>
      <c r="E60" s="73"/>
    </row>
    <row r="61" spans="2:10" x14ac:dyDescent="0.25">
      <c r="B61" s="209" t="s">
        <v>16</v>
      </c>
      <c r="C61" s="164"/>
      <c r="D61" s="73"/>
      <c r="E61" s="73"/>
    </row>
    <row r="62" spans="2:10" x14ac:dyDescent="0.25">
      <c r="B62" s="209" t="s">
        <v>15</v>
      </c>
      <c r="C62" s="164"/>
      <c r="D62" s="73"/>
      <c r="E62" s="73"/>
    </row>
    <row r="63" spans="2:10" x14ac:dyDescent="0.25">
      <c r="B63" s="210" t="s">
        <v>18</v>
      </c>
      <c r="C63" s="169">
        <f>SUM(C55:C62)</f>
        <v>0</v>
      </c>
      <c r="D63" s="73"/>
      <c r="E63" s="73"/>
    </row>
    <row r="64" spans="2:10" x14ac:dyDescent="0.25">
      <c r="B64" s="210" t="s">
        <v>20</v>
      </c>
      <c r="C64" s="164"/>
      <c r="D64" s="73"/>
      <c r="E64" s="73"/>
    </row>
    <row r="65" spans="2:5" x14ac:dyDescent="0.25">
      <c r="B65" s="210" t="s">
        <v>21</v>
      </c>
      <c r="C65" s="199">
        <f>C63-C64</f>
        <v>0</v>
      </c>
      <c r="D65" s="73"/>
      <c r="E65" s="73"/>
    </row>
    <row r="66" spans="2:5" x14ac:dyDescent="0.25">
      <c r="B66" s="205"/>
      <c r="C66" s="205"/>
      <c r="D66" s="73"/>
      <c r="E66" s="73"/>
    </row>
    <row r="67" spans="2:5" x14ac:dyDescent="0.25">
      <c r="B67" s="100" t="s">
        <v>729</v>
      </c>
      <c r="C67" s="564"/>
      <c r="D67" s="116"/>
      <c r="E67" s="84"/>
    </row>
    <row r="68" spans="2:5" x14ac:dyDescent="0.25">
      <c r="B68" s="565"/>
      <c r="C68" s="205"/>
      <c r="D68" s="73"/>
      <c r="E68" s="86"/>
    </row>
    <row r="69" spans="2:5" x14ac:dyDescent="0.25">
      <c r="B69" s="566"/>
      <c r="C69" s="473"/>
      <c r="D69" s="80"/>
      <c r="E69" s="91"/>
    </row>
    <row r="70" spans="2:5" x14ac:dyDescent="0.25">
      <c r="B70" s="73"/>
      <c r="C70" s="73"/>
      <c r="D70" s="73"/>
      <c r="E70" s="73"/>
    </row>
    <row r="71" spans="2:5" x14ac:dyDescent="0.25">
      <c r="B71" s="117" t="s">
        <v>4</v>
      </c>
      <c r="C71" s="507"/>
      <c r="D71" s="73"/>
      <c r="E71" s="73"/>
    </row>
    <row r="73" spans="2:5" x14ac:dyDescent="0.25">
      <c r="B73" s="104"/>
    </row>
    <row r="78" spans="2:5" hidden="1" x14ac:dyDescent="0.25">
      <c r="C78" s="130" t="str">
        <f>IF(C43&gt;C45,"See Tab A","")</f>
        <v/>
      </c>
      <c r="D78" s="130" t="str">
        <f>IF(D43&gt;D45,"See Tab C","")</f>
        <v/>
      </c>
    </row>
    <row r="79" spans="2:5" hidden="1" x14ac:dyDescent="0.25">
      <c r="C79" s="130" t="str">
        <f>IF(C44&lt;0,"See Tab B","")</f>
        <v/>
      </c>
      <c r="D79" s="130" t="str">
        <f>IF(D44&lt;0,"See Tab D","")</f>
        <v/>
      </c>
    </row>
  </sheetData>
  <sheetProtection sheet="1"/>
  <mergeCells count="10">
    <mergeCell ref="G20:J20"/>
    <mergeCell ref="G27:J27"/>
    <mergeCell ref="D58:D59"/>
    <mergeCell ref="C50:D50"/>
    <mergeCell ref="C46:D46"/>
    <mergeCell ref="C47:D47"/>
    <mergeCell ref="G37:J38"/>
    <mergeCell ref="G45:I46"/>
    <mergeCell ref="J45:J46"/>
    <mergeCell ref="G47:J49"/>
  </mergeCells>
  <phoneticPr fontId="0" type="noConversion"/>
  <conditionalFormatting sqref="C22">
    <cfRule type="cellIs" dxfId="157" priority="12" stopIfTrue="1" operator="greaterThan">
      <formula>$C$24*0.1</formula>
    </cfRule>
  </conditionalFormatting>
  <conditionalFormatting sqref="C39">
    <cfRule type="cellIs" dxfId="156" priority="14" stopIfTrue="1" operator="greaterThan">
      <formula>$C$25*0.25</formula>
    </cfRule>
  </conditionalFormatting>
  <conditionalFormatting sqref="C41">
    <cfRule type="cellIs" dxfId="155" priority="9" stopIfTrue="1" operator="greaterThan">
      <formula>$C$43*0.1</formula>
    </cfRule>
  </conditionalFormatting>
  <conditionalFormatting sqref="C43">
    <cfRule type="expression" dxfId="154" priority="4">
      <formula>$C$43&gt;$C$45</formula>
    </cfRule>
  </conditionalFormatting>
  <conditionalFormatting sqref="C44">
    <cfRule type="expression" dxfId="153" priority="3">
      <formula>$C$44&lt;0</formula>
    </cfRule>
  </conditionalFormatting>
  <conditionalFormatting sqref="D22">
    <cfRule type="cellIs" dxfId="152" priority="13" stopIfTrue="1" operator="greaterThan">
      <formula>$D$24*0.1</formula>
    </cfRule>
  </conditionalFormatting>
  <conditionalFormatting sqref="D39">
    <cfRule type="cellIs" dxfId="151" priority="19" stopIfTrue="1" operator="greaterThan">
      <formula>$D$25*0.25</formula>
    </cfRule>
  </conditionalFormatting>
  <conditionalFormatting sqref="D41">
    <cfRule type="cellIs" dxfId="150" priority="10" stopIfTrue="1" operator="greaterThan">
      <formula>$D$43*0.1</formula>
    </cfRule>
  </conditionalFormatting>
  <conditionalFormatting sqref="D43">
    <cfRule type="expression" dxfId="149" priority="2">
      <formula>$D$43&gt;$D$45</formula>
    </cfRule>
  </conditionalFormatting>
  <conditionalFormatting sqref="D44">
    <cfRule type="expression" dxfId="148" priority="1">
      <formula>$D$44&lt;0</formula>
    </cfRule>
  </conditionalFormatting>
  <conditionalFormatting sqref="E22">
    <cfRule type="cellIs" dxfId="147" priority="35" stopIfTrue="1" operator="greaterThan">
      <formula>$E$24*0.1+$E$50</formula>
    </cfRule>
  </conditionalFormatting>
  <conditionalFormatting sqref="E39">
    <cfRule type="cellIs" dxfId="146" priority="36" stopIfTrue="1" operator="greaterThan">
      <formula>$E$25*0.25+$E$50</formula>
    </cfRule>
  </conditionalFormatting>
  <conditionalFormatting sqref="E41">
    <cfRule type="cellIs" dxfId="145" priority="11" stopIfTrue="1" operator="greaterThan">
      <formula>$E$43*0.1</formula>
    </cfRule>
  </conditionalFormatting>
  <conditionalFormatting sqref="E46">
    <cfRule type="cellIs" dxfId="144" priority="8" stopIfTrue="1" operator="greaterThan">
      <formula>$E$43/0.95-$E$43</formula>
    </cfRule>
  </conditionalFormatting>
  <conditionalFormatting sqref="J45">
    <cfRule type="containsText" dxfId="143" priority="5" operator="containsText" text="Yes">
      <formula>NOT(ISERROR(SEARCH("Yes",J45)))</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B1:K104"/>
  <sheetViews>
    <sheetView workbookViewId="0">
      <selection activeCell="D104" sqref="D104"/>
    </sheetView>
  </sheetViews>
  <sheetFormatPr defaultRowHeight="15.75" x14ac:dyDescent="0.25"/>
  <cols>
    <col min="1" max="1" width="2.3984375" style="130" customWidth="1"/>
    <col min="2" max="2" width="31" style="130" customWidth="1"/>
    <col min="3" max="4" width="15.69921875" style="130" customWidth="1"/>
    <col min="5" max="5" width="13.69921875" style="130" customWidth="1"/>
    <col min="6" max="6" width="8.796875" style="130"/>
    <col min="7" max="7" width="9.69921875" style="130" customWidth="1"/>
    <col min="8" max="8" width="8.796875" style="130"/>
    <col min="9" max="9" width="4.69921875" style="130" customWidth="1"/>
    <col min="10" max="10" width="9.69921875" style="130" customWidth="1"/>
    <col min="11" max="16384" width="8.796875" style="130"/>
  </cols>
  <sheetData>
    <row r="1" spans="2:11" x14ac:dyDescent="0.25">
      <c r="B1" s="112">
        <f>inputPrYr!D3</f>
        <v>0</v>
      </c>
      <c r="C1" s="77" t="s">
        <v>29</v>
      </c>
      <c r="D1" s="73"/>
      <c r="E1" s="111">
        <f>inputPrYr!D6</f>
        <v>2025</v>
      </c>
    </row>
    <row r="2" spans="2:11" x14ac:dyDescent="0.25">
      <c r="B2" s="115"/>
      <c r="C2" s="73"/>
      <c r="D2" s="73"/>
      <c r="E2" s="75"/>
    </row>
    <row r="3" spans="2:11" x14ac:dyDescent="0.25">
      <c r="B3" s="297" t="s">
        <v>485</v>
      </c>
      <c r="C3" s="76"/>
      <c r="D3" s="76"/>
      <c r="E3" s="73"/>
    </row>
    <row r="4" spans="2:11" x14ac:dyDescent="0.25">
      <c r="B4" s="77" t="s">
        <v>5</v>
      </c>
      <c r="C4" s="206" t="s">
        <v>6</v>
      </c>
      <c r="D4" s="286" t="s">
        <v>7</v>
      </c>
      <c r="E4" s="78" t="s">
        <v>8</v>
      </c>
    </row>
    <row r="5" spans="2:11" x14ac:dyDescent="0.25">
      <c r="B5" s="293">
        <f>inputPrYr!B21</f>
        <v>0</v>
      </c>
      <c r="C5" s="81" t="str">
        <f>General!C5</f>
        <v>Actual for 2023</v>
      </c>
      <c r="D5" s="285" t="str">
        <f>General!D5</f>
        <v>Estimate for 2024</v>
      </c>
      <c r="E5" s="81" t="str">
        <f>General!E5</f>
        <v>Year for 2025</v>
      </c>
    </row>
    <row r="6" spans="2:11" x14ac:dyDescent="0.25">
      <c r="B6" s="103" t="s">
        <v>78</v>
      </c>
      <c r="C6" s="185"/>
      <c r="D6" s="283">
        <f>C35</f>
        <v>0</v>
      </c>
      <c r="E6" s="169">
        <f>D35</f>
        <v>0</v>
      </c>
    </row>
    <row r="7" spans="2:11" x14ac:dyDescent="0.25">
      <c r="B7" s="82" t="s">
        <v>80</v>
      </c>
      <c r="C7" s="283"/>
      <c r="D7" s="283"/>
      <c r="E7" s="188"/>
    </row>
    <row r="8" spans="2:11" x14ac:dyDescent="0.25">
      <c r="B8" s="82" t="s">
        <v>10</v>
      </c>
      <c r="C8" s="185"/>
      <c r="D8" s="283">
        <f>IF(inputPrYr!H18&gt;0,inputPrYr!G23,inputPrYr!E21)</f>
        <v>0</v>
      </c>
      <c r="E8" s="188" t="s">
        <v>204</v>
      </c>
    </row>
    <row r="9" spans="2:11" x14ac:dyDescent="0.25">
      <c r="B9" s="82" t="s">
        <v>11</v>
      </c>
      <c r="C9" s="185"/>
      <c r="D9" s="185"/>
      <c r="E9" s="164"/>
    </row>
    <row r="10" spans="2:11" x14ac:dyDescent="0.25">
      <c r="B10" s="82" t="s">
        <v>12</v>
      </c>
      <c r="C10" s="185"/>
      <c r="D10" s="185"/>
      <c r="E10" s="169">
        <f>Mvalloc!D15</f>
        <v>0</v>
      </c>
      <c r="G10" s="779" t="str">
        <f>CONCATENATE("Desired Carryover Into ",E1+1,"")</f>
        <v>Desired Carryover Into 2026</v>
      </c>
      <c r="H10" s="780"/>
      <c r="I10" s="780"/>
      <c r="J10" s="781"/>
      <c r="K10" s="376"/>
    </row>
    <row r="11" spans="2:11" x14ac:dyDescent="0.25">
      <c r="B11" s="82" t="s">
        <v>13</v>
      </c>
      <c r="C11" s="185"/>
      <c r="D11" s="185"/>
      <c r="E11" s="169">
        <f>Mvalloc!F15</f>
        <v>0</v>
      </c>
      <c r="G11" s="408"/>
      <c r="H11" s="409"/>
      <c r="I11" s="410"/>
      <c r="J11" s="411"/>
      <c r="K11" s="376"/>
    </row>
    <row r="12" spans="2:11" x14ac:dyDescent="0.25">
      <c r="B12" s="189" t="s">
        <v>61</v>
      </c>
      <c r="C12" s="185"/>
      <c r="D12" s="185"/>
      <c r="E12" s="169">
        <f>Mvalloc!G15</f>
        <v>0</v>
      </c>
      <c r="G12" s="412" t="s">
        <v>486</v>
      </c>
      <c r="H12" s="410"/>
      <c r="I12" s="410"/>
      <c r="J12" s="413">
        <v>0</v>
      </c>
      <c r="K12" s="376"/>
    </row>
    <row r="13" spans="2:11" x14ac:dyDescent="0.25">
      <c r="B13" s="546" t="s">
        <v>591</v>
      </c>
      <c r="C13" s="185"/>
      <c r="D13" s="185"/>
      <c r="E13" s="169">
        <f>Mvalloc!H15</f>
        <v>0</v>
      </c>
      <c r="G13" s="408" t="s">
        <v>487</v>
      </c>
      <c r="H13" s="409"/>
      <c r="I13" s="409"/>
      <c r="J13" s="414" t="str">
        <f>IF(J12=0,"",ROUND((J12+E41-G25)/inputOth!E7*1000,3)-G30)</f>
        <v/>
      </c>
      <c r="K13" s="376"/>
    </row>
    <row r="14" spans="2:11" x14ac:dyDescent="0.25">
      <c r="B14" s="546" t="s">
        <v>592</v>
      </c>
      <c r="C14" s="185"/>
      <c r="D14" s="185"/>
      <c r="E14" s="169">
        <f>Mvalloc!I15</f>
        <v>0</v>
      </c>
      <c r="G14" s="415" t="str">
        <f>CONCATENATE("",E1," Tot Exp/Non-Appr Must Be:")</f>
        <v>2025 Tot Exp/Non-Appr Must Be:</v>
      </c>
      <c r="H14" s="416"/>
      <c r="I14" s="417"/>
      <c r="J14" s="418">
        <f>IF(J12&gt;0,IF(E38&lt;E23,IF(J12=G25,E38,((J12-G25)*(1-D40))+E23),E38+(J12-G25)),0)</f>
        <v>0</v>
      </c>
      <c r="K14" s="376"/>
    </row>
    <row r="15" spans="2:11" x14ac:dyDescent="0.25">
      <c r="B15" s="192"/>
      <c r="C15" s="185"/>
      <c r="D15" s="185"/>
      <c r="E15" s="164"/>
      <c r="G15" s="419" t="s">
        <v>551</v>
      </c>
      <c r="H15" s="420"/>
      <c r="I15" s="420"/>
      <c r="J15" s="421">
        <f>IF(J12&gt;0,J14-E38,0)</f>
        <v>0</v>
      </c>
      <c r="K15" s="376"/>
    </row>
    <row r="16" spans="2:11" x14ac:dyDescent="0.25">
      <c r="B16" s="192"/>
      <c r="C16" s="185"/>
      <c r="D16" s="185"/>
      <c r="E16" s="164"/>
      <c r="G16" s="376"/>
      <c r="H16" s="376"/>
      <c r="I16" s="376"/>
      <c r="J16" s="376"/>
      <c r="K16" s="376"/>
    </row>
    <row r="17" spans="2:11" x14ac:dyDescent="0.25">
      <c r="B17" s="192"/>
      <c r="C17" s="185"/>
      <c r="D17" s="185"/>
      <c r="E17" s="164"/>
      <c r="G17" s="779" t="str">
        <f>CONCATENATE("Projected Carryover Into ",E1+1,"")</f>
        <v>Projected Carryover Into 2026</v>
      </c>
      <c r="H17" s="780"/>
      <c r="I17" s="780"/>
      <c r="J17" s="781"/>
      <c r="K17" s="376"/>
    </row>
    <row r="18" spans="2:11" x14ac:dyDescent="0.25">
      <c r="B18" s="192" t="s">
        <v>16</v>
      </c>
      <c r="C18" s="185"/>
      <c r="D18" s="185"/>
      <c r="E18" s="164"/>
      <c r="G18" s="408"/>
      <c r="H18" s="410"/>
      <c r="I18" s="410"/>
      <c r="J18" s="423"/>
      <c r="K18" s="376"/>
    </row>
    <row r="19" spans="2:11" x14ac:dyDescent="0.25">
      <c r="B19" s="189" t="s">
        <v>146</v>
      </c>
      <c r="C19" s="185"/>
      <c r="D19" s="185"/>
      <c r="E19" s="169">
        <f>'NR Rebate'!E10*-1</f>
        <v>0</v>
      </c>
      <c r="G19" s="426">
        <f>D35</f>
        <v>0</v>
      </c>
      <c r="H19" s="427" t="str">
        <f>CONCATENATE("",E1-1," Ending Cash Balance (est.)")</f>
        <v>2024 Ending Cash Balance (est.)</v>
      </c>
      <c r="I19" s="428"/>
      <c r="J19" s="423"/>
      <c r="K19" s="376"/>
    </row>
    <row r="20" spans="2:11" x14ac:dyDescent="0.25">
      <c r="B20" s="193" t="s">
        <v>143</v>
      </c>
      <c r="C20" s="185"/>
      <c r="D20" s="185"/>
      <c r="E20" s="164"/>
      <c r="G20" s="426">
        <f>E22</f>
        <v>0</v>
      </c>
      <c r="H20" s="410" t="str">
        <f>CONCATENATE("",E1," Non-AV Receipts (est.)")</f>
        <v>2025 Non-AV Receipts (est.)</v>
      </c>
      <c r="I20" s="428"/>
      <c r="J20" s="423"/>
      <c r="K20" s="376"/>
    </row>
    <row r="21" spans="2:11" x14ac:dyDescent="0.2">
      <c r="B21" s="193" t="s">
        <v>144</v>
      </c>
      <c r="C21" s="282" t="str">
        <f>IF(C22*0.1&lt;C20,"Exceed 10% Rule","")</f>
        <v/>
      </c>
      <c r="D21" s="282" t="str">
        <f>IF(D22*0.1&lt;D20,"Exceed 10% Rule","")</f>
        <v/>
      </c>
      <c r="E21" s="198" t="str">
        <f>IF((E41+E22)*0.1&lt;E20,"Exceed 10% Rule","")</f>
        <v/>
      </c>
      <c r="G21" s="433">
        <f>IF(E40&gt;0,E39,E41)</f>
        <v>0</v>
      </c>
      <c r="H21" s="410" t="str">
        <f>CONCATENATE("",E1," Ad Valorem Tax (est.)")</f>
        <v>2025 Ad Valorem Tax (est.)</v>
      </c>
      <c r="I21" s="428"/>
      <c r="J21" s="423"/>
      <c r="K21" s="434" t="str">
        <f>IF(G21=E41,"","Note: Does not include Delinquent Taxes")</f>
        <v/>
      </c>
    </row>
    <row r="22" spans="2:11" x14ac:dyDescent="0.25">
      <c r="B22" s="195" t="s">
        <v>17</v>
      </c>
      <c r="C22" s="639">
        <f>SUM(C8:C20)</f>
        <v>0</v>
      </c>
      <c r="D22" s="639">
        <f>SUM(D8:D20)</f>
        <v>0</v>
      </c>
      <c r="E22" s="639">
        <f>SUM(E8:E20)</f>
        <v>0</v>
      </c>
      <c r="G22" s="426">
        <f>SUM(G19:G21)</f>
        <v>0</v>
      </c>
      <c r="H22" s="410" t="str">
        <f>CONCATENATE("Total ",E1," Resources Available")</f>
        <v>Total 2025 Resources Available</v>
      </c>
      <c r="I22" s="428"/>
      <c r="J22" s="423"/>
      <c r="K22" s="376"/>
    </row>
    <row r="23" spans="2:11" x14ac:dyDescent="0.25">
      <c r="B23" s="196" t="s">
        <v>18</v>
      </c>
      <c r="C23" s="639">
        <f>C22+C6</f>
        <v>0</v>
      </c>
      <c r="D23" s="639">
        <f>D22+D6</f>
        <v>0</v>
      </c>
      <c r="E23" s="639">
        <f>E22+E6</f>
        <v>0</v>
      </c>
      <c r="G23" s="436"/>
      <c r="H23" s="410"/>
      <c r="I23" s="410"/>
      <c r="J23" s="423"/>
      <c r="K23" s="376"/>
    </row>
    <row r="24" spans="2:11" x14ac:dyDescent="0.25">
      <c r="B24" s="82" t="s">
        <v>19</v>
      </c>
      <c r="C24" s="283"/>
      <c r="D24" s="283"/>
      <c r="E24" s="169"/>
      <c r="G24" s="433">
        <f>C34*0.05+C34</f>
        <v>0</v>
      </c>
      <c r="H24" s="410" t="str">
        <f>CONCATENATE("Less ",E1-2," Expenditures + 5%")</f>
        <v>Less 2023 Expenditures + 5%</v>
      </c>
      <c r="I24" s="410"/>
      <c r="J24" s="423"/>
      <c r="K24" s="376"/>
    </row>
    <row r="25" spans="2:11" x14ac:dyDescent="0.25">
      <c r="B25" s="192"/>
      <c r="C25" s="185"/>
      <c r="D25" s="185"/>
      <c r="E25" s="164"/>
      <c r="G25" s="440">
        <f>G22-G24</f>
        <v>0</v>
      </c>
      <c r="H25" s="441" t="str">
        <f>CONCATENATE("Projected ",E1+1," carryover (est.)")</f>
        <v>Projected 2026 carryover (est.)</v>
      </c>
      <c r="I25" s="442"/>
      <c r="J25" s="443"/>
      <c r="K25" s="376"/>
    </row>
    <row r="26" spans="2:11" x14ac:dyDescent="0.25">
      <c r="B26" s="192"/>
      <c r="C26" s="185"/>
      <c r="D26" s="185"/>
      <c r="E26" s="164"/>
      <c r="G26" s="376"/>
      <c r="H26" s="376"/>
      <c r="I26" s="376"/>
      <c r="J26" s="376"/>
      <c r="K26" s="376"/>
    </row>
    <row r="27" spans="2:11" x14ac:dyDescent="0.25">
      <c r="B27" s="192"/>
      <c r="C27" s="185"/>
      <c r="D27" s="185"/>
      <c r="E27" s="164"/>
      <c r="G27" s="765" t="s">
        <v>858</v>
      </c>
      <c r="H27" s="766"/>
      <c r="I27" s="766"/>
      <c r="J27" s="767"/>
      <c r="K27" s="376"/>
    </row>
    <row r="28" spans="2:11" x14ac:dyDescent="0.25">
      <c r="B28" s="192"/>
      <c r="C28" s="185"/>
      <c r="D28" s="185"/>
      <c r="E28" s="164"/>
      <c r="G28" s="768"/>
      <c r="H28" s="769"/>
      <c r="I28" s="769"/>
      <c r="J28" s="770"/>
      <c r="K28" s="376"/>
    </row>
    <row r="29" spans="2:11" x14ac:dyDescent="0.25">
      <c r="B29" s="192"/>
      <c r="C29" s="185"/>
      <c r="D29" s="185"/>
      <c r="E29" s="164"/>
      <c r="G29" s="632" t="str">
        <f>'Budget Hearing Notice'!I22</f>
        <v xml:space="preserve"> </v>
      </c>
      <c r="H29" s="311" t="str">
        <f>CONCATENATE("",E1," Estimated Fund Mill Rate")</f>
        <v>2025 Estimated Fund Mill Rate</v>
      </c>
      <c r="I29" s="633"/>
      <c r="J29" s="634"/>
      <c r="K29" s="376"/>
    </row>
    <row r="30" spans="2:11" x14ac:dyDescent="0.25">
      <c r="B30" s="192"/>
      <c r="C30" s="185"/>
      <c r="D30" s="185"/>
      <c r="E30" s="164"/>
      <c r="G30" s="635" t="str">
        <f>'Budget Hearing Notice'!F22</f>
        <v xml:space="preserve">  </v>
      </c>
      <c r="H30" s="311" t="str">
        <f>CONCATENATE("",E1-1," Fund Mill Rate")</f>
        <v>2024 Fund Mill Rate</v>
      </c>
      <c r="I30" s="633"/>
      <c r="J30" s="634"/>
      <c r="K30" s="376"/>
    </row>
    <row r="31" spans="2:11" x14ac:dyDescent="0.25">
      <c r="B31" s="189" t="str">
        <f>CONCATENATE("Cash Reserve (",E1," column)")</f>
        <v>Cash Reserve (2025 column)</v>
      </c>
      <c r="C31" s="185"/>
      <c r="D31" s="185"/>
      <c r="E31" s="164"/>
      <c r="G31" s="636">
        <f>'Budget Hearing Notice'!I37</f>
        <v>0</v>
      </c>
      <c r="H31" s="637" t="s">
        <v>859</v>
      </c>
      <c r="I31" s="633"/>
      <c r="J31" s="634"/>
      <c r="K31" s="376"/>
    </row>
    <row r="32" spans="2:11" ht="15.75" customHeight="1" x14ac:dyDescent="0.25">
      <c r="B32" s="189" t="s">
        <v>143</v>
      </c>
      <c r="C32" s="185"/>
      <c r="D32" s="185"/>
      <c r="E32" s="164"/>
      <c r="G32" s="632">
        <f>'Budget Hearing Notice'!I36</f>
        <v>0</v>
      </c>
      <c r="H32" s="311" t="str">
        <f>CONCATENATE(E1," Estimated Total Mill Rate")</f>
        <v>2025 Estimated Total Mill Rate</v>
      </c>
      <c r="I32" s="633"/>
      <c r="J32" s="634"/>
      <c r="K32" s="376"/>
    </row>
    <row r="33" spans="2:11" x14ac:dyDescent="0.25">
      <c r="B33" s="189" t="s">
        <v>480</v>
      </c>
      <c r="C33" s="282" t="str">
        <f>IF(C34*0.1&lt;C32,"Exceed 10% Rule","")</f>
        <v/>
      </c>
      <c r="D33" s="282" t="str">
        <f>IF(D34*0.1&lt;D32,"Exceed 10% Rule","")</f>
        <v/>
      </c>
      <c r="E33" s="198" t="str">
        <f>IF(E34*0.1&lt;E32,"Exceed 10% Rule","")</f>
        <v/>
      </c>
      <c r="G33" s="638">
        <f>'Budget Hearing Notice'!F36</f>
        <v>0</v>
      </c>
      <c r="H33" s="311" t="str">
        <f>CONCATENATE(E1-1," Total Mill Rate")</f>
        <v>2024 Total Mill Rate</v>
      </c>
      <c r="I33" s="633"/>
      <c r="J33" s="634"/>
      <c r="K33" s="376"/>
    </row>
    <row r="34" spans="2:11" x14ac:dyDescent="0.25">
      <c r="B34" s="196" t="s">
        <v>20</v>
      </c>
      <c r="C34" s="639">
        <f>SUM(C25:C32)</f>
        <v>0</v>
      </c>
      <c r="D34" s="639">
        <f>SUM(D25:D32)</f>
        <v>0</v>
      </c>
      <c r="E34" s="639">
        <f>SUM(E25:E32)</f>
        <v>0</v>
      </c>
      <c r="G34" s="307"/>
      <c r="H34" s="308"/>
      <c r="I34" s="308"/>
      <c r="J34" s="309"/>
    </row>
    <row r="35" spans="2:11" x14ac:dyDescent="0.25">
      <c r="B35" s="82" t="s">
        <v>79</v>
      </c>
      <c r="C35" s="494">
        <f>C23-C34</f>
        <v>0</v>
      </c>
      <c r="D35" s="494">
        <f>D23-D34</f>
        <v>0</v>
      </c>
      <c r="E35" s="188" t="s">
        <v>204</v>
      </c>
      <c r="G35" s="771" t="s">
        <v>860</v>
      </c>
      <c r="H35" s="772"/>
      <c r="I35" s="772"/>
      <c r="J35" s="775" t="str">
        <f>IF(G32&gt;G31, "Yes", "No")</f>
        <v>No</v>
      </c>
    </row>
    <row r="36" spans="2:11" x14ac:dyDescent="0.25">
      <c r="B36" s="110" t="str">
        <f>CONCATENATE("",E1-2,"/",E1-1,"/",E1," Budget Authority Amount:")</f>
        <v>2023/2024/2025 Budget Authority Amount:</v>
      </c>
      <c r="C36" s="494">
        <f>inputOth!B55</f>
        <v>0</v>
      </c>
      <c r="D36" s="494">
        <f>inputPrYr!D21</f>
        <v>0</v>
      </c>
      <c r="E36" s="169">
        <f>E34</f>
        <v>0</v>
      </c>
      <c r="F36" s="200"/>
      <c r="G36" s="773"/>
      <c r="H36" s="774"/>
      <c r="I36" s="774"/>
      <c r="J36" s="776"/>
    </row>
    <row r="37" spans="2:11" x14ac:dyDescent="0.25">
      <c r="B37" s="111"/>
      <c r="C37" s="761" t="s">
        <v>482</v>
      </c>
      <c r="D37" s="762"/>
      <c r="E37" s="164"/>
      <c r="F37" s="200" t="str">
        <f>IF(E34/0.95-E34&lt;E37,"Exceeds 5%","")</f>
        <v/>
      </c>
      <c r="G37" s="754" t="str">
        <f>IF(J35="Yes", "Follow procedure prescribed by KSA 79-2988 to exceed the Revenue Neutral Rate.", " ")</f>
        <v xml:space="preserve"> </v>
      </c>
      <c r="H37" s="754"/>
      <c r="I37" s="754"/>
      <c r="J37" s="754"/>
      <c r="K37" s="376"/>
    </row>
    <row r="38" spans="2:11" x14ac:dyDescent="0.25">
      <c r="B38" s="291" t="str">
        <f>CONCATENATE(C101,"     ",D101)</f>
        <v xml:space="preserve">     </v>
      </c>
      <c r="C38" s="763" t="s">
        <v>483</v>
      </c>
      <c r="D38" s="764"/>
      <c r="E38" s="169">
        <f>E34+E37</f>
        <v>0</v>
      </c>
      <c r="G38" s="755"/>
      <c r="H38" s="755"/>
      <c r="I38" s="755"/>
      <c r="J38" s="755"/>
      <c r="K38" s="376"/>
    </row>
    <row r="39" spans="2:11" x14ac:dyDescent="0.25">
      <c r="B39" s="291" t="str">
        <f>CONCATENATE(C102,"     ",D102)</f>
        <v xml:space="preserve">     </v>
      </c>
      <c r="C39" s="257"/>
      <c r="D39" s="117" t="s">
        <v>22</v>
      </c>
      <c r="E39" s="494">
        <f>IF(E38-E23&gt;0,E38-E23,0)</f>
        <v>0</v>
      </c>
      <c r="G39" s="755"/>
      <c r="H39" s="755"/>
      <c r="I39" s="755"/>
      <c r="J39" s="755"/>
      <c r="K39" s="376"/>
    </row>
    <row r="40" spans="2:11" ht="15.75" customHeight="1" x14ac:dyDescent="0.25">
      <c r="B40" s="117"/>
      <c r="C40" s="296" t="s">
        <v>484</v>
      </c>
      <c r="D40" s="474">
        <f>inputOth!$E$45</f>
        <v>0</v>
      </c>
      <c r="E40" s="169">
        <f>ROUND(IF(D40&gt;0,(E39*D40),0),0)</f>
        <v>0</v>
      </c>
      <c r="G40" s="376"/>
      <c r="H40" s="376"/>
      <c r="I40" s="376"/>
      <c r="J40" s="376"/>
      <c r="K40" s="376"/>
    </row>
    <row r="41" spans="2:11" ht="15.75" customHeight="1" x14ac:dyDescent="0.25">
      <c r="B41" s="73"/>
      <c r="C41" s="759" t="str">
        <f>CONCATENATE("Amount of  ",$E$1-1," Ad Valorem Tax")</f>
        <v>Amount of  2024 Ad Valorem Tax</v>
      </c>
      <c r="D41" s="760"/>
      <c r="E41" s="494">
        <f>E39+E40</f>
        <v>0</v>
      </c>
      <c r="G41" s="376"/>
      <c r="H41" s="376"/>
      <c r="I41" s="376"/>
      <c r="J41" s="376"/>
      <c r="K41" s="376"/>
    </row>
    <row r="42" spans="2:11" x14ac:dyDescent="0.25">
      <c r="B42" s="73"/>
      <c r="C42" s="348"/>
      <c r="D42" s="73"/>
      <c r="E42" s="73"/>
      <c r="G42" s="376"/>
      <c r="H42" s="376"/>
      <c r="I42" s="376"/>
      <c r="J42" s="376"/>
      <c r="K42" s="376"/>
    </row>
    <row r="43" spans="2:11" x14ac:dyDescent="0.25">
      <c r="B43" s="73"/>
      <c r="C43" s="348"/>
      <c r="D43" s="73"/>
      <c r="E43" s="73"/>
      <c r="G43" s="376"/>
      <c r="H43" s="376"/>
      <c r="I43" s="376"/>
      <c r="J43" s="376"/>
      <c r="K43" s="376"/>
    </row>
    <row r="44" spans="2:11" x14ac:dyDescent="0.25">
      <c r="B44" s="77" t="s">
        <v>5</v>
      </c>
      <c r="C44" s="76"/>
      <c r="D44" s="76"/>
      <c r="E44" s="76"/>
      <c r="G44" s="376"/>
      <c r="H44" s="376"/>
      <c r="I44" s="376"/>
      <c r="J44" s="376"/>
      <c r="K44" s="376"/>
    </row>
    <row r="45" spans="2:11" x14ac:dyDescent="0.25">
      <c r="B45" s="73"/>
      <c r="C45" s="284" t="s">
        <v>6</v>
      </c>
      <c r="D45" s="286" t="s">
        <v>7</v>
      </c>
      <c r="E45" s="78" t="s">
        <v>8</v>
      </c>
      <c r="G45" s="376"/>
      <c r="H45" s="376"/>
      <c r="I45" s="376"/>
      <c r="J45" s="376"/>
      <c r="K45" s="376"/>
    </row>
    <row r="46" spans="2:11" x14ac:dyDescent="0.25">
      <c r="B46" s="294">
        <f>inputPrYr!B22</f>
        <v>0</v>
      </c>
      <c r="C46" s="285" t="str">
        <f>C5</f>
        <v>Actual for 2023</v>
      </c>
      <c r="D46" s="285" t="str">
        <f>D5</f>
        <v>Estimate for 2024</v>
      </c>
      <c r="E46" s="81" t="str">
        <f>E5</f>
        <v>Year for 2025</v>
      </c>
      <c r="G46" s="376"/>
      <c r="H46" s="376"/>
      <c r="I46" s="376"/>
      <c r="J46" s="376"/>
      <c r="K46" s="376"/>
    </row>
    <row r="47" spans="2:11" x14ac:dyDescent="0.25">
      <c r="B47" s="82" t="s">
        <v>78</v>
      </c>
      <c r="C47" s="185"/>
      <c r="D47" s="283">
        <f>C76</f>
        <v>0</v>
      </c>
      <c r="E47" s="169">
        <f>D76</f>
        <v>0</v>
      </c>
      <c r="G47" s="376"/>
      <c r="H47" s="376"/>
      <c r="I47" s="376"/>
      <c r="J47" s="376"/>
      <c r="K47" s="376"/>
    </row>
    <row r="48" spans="2:11" x14ac:dyDescent="0.25">
      <c r="B48" s="82" t="s">
        <v>80</v>
      </c>
      <c r="C48" s="283"/>
      <c r="D48" s="283"/>
      <c r="E48" s="188"/>
      <c r="G48" s="376"/>
      <c r="H48" s="376"/>
      <c r="I48" s="376"/>
      <c r="J48" s="376"/>
      <c r="K48" s="376"/>
    </row>
    <row r="49" spans="2:11" x14ac:dyDescent="0.25">
      <c r="B49" s="82" t="s">
        <v>10</v>
      </c>
      <c r="C49" s="185"/>
      <c r="D49" s="283">
        <f>IF(inputPrYr!H18&gt;0,inputPrYr!G24,inputPrYr!E22)</f>
        <v>0</v>
      </c>
      <c r="E49" s="188" t="s">
        <v>204</v>
      </c>
      <c r="G49" s="376"/>
      <c r="H49" s="376"/>
      <c r="I49" s="376"/>
      <c r="J49" s="376"/>
      <c r="K49" s="376"/>
    </row>
    <row r="50" spans="2:11" x14ac:dyDescent="0.25">
      <c r="B50" s="82" t="s">
        <v>11</v>
      </c>
      <c r="C50" s="185"/>
      <c r="D50" s="185"/>
      <c r="E50" s="164"/>
      <c r="G50" s="376"/>
      <c r="H50" s="376"/>
      <c r="I50" s="376"/>
      <c r="J50" s="376"/>
      <c r="K50" s="376"/>
    </row>
    <row r="51" spans="2:11" x14ac:dyDescent="0.25">
      <c r="B51" s="82" t="s">
        <v>12</v>
      </c>
      <c r="C51" s="185"/>
      <c r="D51" s="185"/>
      <c r="E51" s="169">
        <f>Mvalloc!D16</f>
        <v>0</v>
      </c>
      <c r="G51" s="779" t="str">
        <f>CONCATENATE("Desired Carryover Into ",E1+1,"")</f>
        <v>Desired Carryover Into 2026</v>
      </c>
      <c r="H51" s="780"/>
      <c r="I51" s="780"/>
      <c r="J51" s="781"/>
      <c r="K51" s="376"/>
    </row>
    <row r="52" spans="2:11" x14ac:dyDescent="0.25">
      <c r="B52" s="82" t="s">
        <v>13</v>
      </c>
      <c r="C52" s="185"/>
      <c r="D52" s="185"/>
      <c r="E52" s="169">
        <f>Mvalloc!F16</f>
        <v>0</v>
      </c>
      <c r="G52" s="408"/>
      <c r="H52" s="409"/>
      <c r="I52" s="410"/>
      <c r="J52" s="411"/>
      <c r="K52" s="376"/>
    </row>
    <row r="53" spans="2:11" x14ac:dyDescent="0.25">
      <c r="B53" s="82" t="s">
        <v>70</v>
      </c>
      <c r="C53" s="185"/>
      <c r="D53" s="185"/>
      <c r="E53" s="169">
        <f>Mvalloc!G16</f>
        <v>0</v>
      </c>
      <c r="G53" s="412" t="s">
        <v>486</v>
      </c>
      <c r="H53" s="410"/>
      <c r="I53" s="410"/>
      <c r="J53" s="413">
        <v>0</v>
      </c>
      <c r="K53" s="376"/>
    </row>
    <row r="54" spans="2:11" x14ac:dyDescent="0.25">
      <c r="B54" s="546" t="s">
        <v>591</v>
      </c>
      <c r="C54" s="185"/>
      <c r="D54" s="185"/>
      <c r="E54" s="169">
        <f>Mvalloc!H16</f>
        <v>0</v>
      </c>
      <c r="G54" s="408" t="s">
        <v>487</v>
      </c>
      <c r="H54" s="409"/>
      <c r="I54" s="409"/>
      <c r="J54" s="414" t="str">
        <f>IF(J53=0,"",ROUND((J53+E82-G66)/inputOth!E7*1000,3)-G71)</f>
        <v/>
      </c>
      <c r="K54" s="376"/>
    </row>
    <row r="55" spans="2:11" x14ac:dyDescent="0.25">
      <c r="B55" s="546" t="s">
        <v>592</v>
      </c>
      <c r="C55" s="185"/>
      <c r="D55" s="185"/>
      <c r="E55" s="169">
        <f>Mvalloc!I16</f>
        <v>0</v>
      </c>
      <c r="G55" s="415" t="str">
        <f>CONCATENATE("",E1," Tot Exp/Non-Appr Must Be:")</f>
        <v>2025 Tot Exp/Non-Appr Must Be:</v>
      </c>
      <c r="H55" s="416"/>
      <c r="I55" s="417"/>
      <c r="J55" s="418">
        <f>IF(J53&gt;0,IF(E79&lt;E64,IF(J53=G66,E79,((J53-G66)*(1-D81))+E64),E79+(J53-G66)),0)</f>
        <v>0</v>
      </c>
      <c r="K55" s="376"/>
    </row>
    <row r="56" spans="2:11" x14ac:dyDescent="0.25">
      <c r="B56" s="191"/>
      <c r="C56" s="185"/>
      <c r="D56" s="185"/>
      <c r="E56" s="164"/>
      <c r="G56" s="419" t="s">
        <v>551</v>
      </c>
      <c r="H56" s="420"/>
      <c r="I56" s="420"/>
      <c r="J56" s="421">
        <f>IF(J53&gt;0,J55-E79,0)</f>
        <v>0</v>
      </c>
      <c r="K56" s="376"/>
    </row>
    <row r="57" spans="2:11" x14ac:dyDescent="0.25">
      <c r="B57" s="191"/>
      <c r="C57" s="185"/>
      <c r="D57" s="185"/>
      <c r="E57" s="164"/>
      <c r="G57" s="376"/>
      <c r="H57" s="376"/>
      <c r="I57" s="376"/>
      <c r="J57" s="376"/>
      <c r="K57" s="376"/>
    </row>
    <row r="58" spans="2:11" x14ac:dyDescent="0.25">
      <c r="B58" s="192"/>
      <c r="C58" s="185"/>
      <c r="D58" s="185"/>
      <c r="E58" s="164"/>
      <c r="G58" s="779" t="str">
        <f>CONCATENATE("Projected Carryover Into ",E1+1,"")</f>
        <v>Projected Carryover Into 2026</v>
      </c>
      <c r="H58" s="780"/>
      <c r="I58" s="780"/>
      <c r="J58" s="781"/>
      <c r="K58" s="376"/>
    </row>
    <row r="59" spans="2:11" x14ac:dyDescent="0.25">
      <c r="B59" s="192" t="s">
        <v>16</v>
      </c>
      <c r="C59" s="185"/>
      <c r="D59" s="185"/>
      <c r="E59" s="164"/>
      <c r="G59" s="450"/>
      <c r="H59" s="409"/>
      <c r="I59" s="409"/>
      <c r="J59" s="451"/>
      <c r="K59" s="376"/>
    </row>
    <row r="60" spans="2:11" x14ac:dyDescent="0.25">
      <c r="B60" s="189" t="s">
        <v>146</v>
      </c>
      <c r="C60" s="185"/>
      <c r="D60" s="185"/>
      <c r="E60" s="169">
        <f>'NR Rebate'!E11*-1</f>
        <v>0</v>
      </c>
      <c r="G60" s="426">
        <f>D76</f>
        <v>0</v>
      </c>
      <c r="H60" s="427" t="str">
        <f>CONCATENATE("",E1-1," Ending Cash Balance (est.)")</f>
        <v>2024 Ending Cash Balance (est.)</v>
      </c>
      <c r="I60" s="428"/>
      <c r="J60" s="451"/>
      <c r="K60" s="376"/>
    </row>
    <row r="61" spans="2:11" x14ac:dyDescent="0.25">
      <c r="B61" s="193" t="s">
        <v>143</v>
      </c>
      <c r="C61" s="185"/>
      <c r="D61" s="185"/>
      <c r="E61" s="164"/>
      <c r="G61" s="426">
        <f>E63</f>
        <v>0</v>
      </c>
      <c r="H61" s="410" t="str">
        <f>CONCATENATE("",E1," Non-AV Receipts (est.)")</f>
        <v>2025 Non-AV Receipts (est.)</v>
      </c>
      <c r="I61" s="428"/>
      <c r="J61" s="451"/>
      <c r="K61" s="376"/>
    </row>
    <row r="62" spans="2:11" x14ac:dyDescent="0.25">
      <c r="B62" s="193" t="s">
        <v>144</v>
      </c>
      <c r="C62" s="282" t="str">
        <f>IF(C63*0.1&lt;C61,"Exceed 10% Rule","")</f>
        <v/>
      </c>
      <c r="D62" s="282" t="str">
        <f>IF(D63*0.1&lt;D61,"Exceed 10% Rule","")</f>
        <v/>
      </c>
      <c r="E62" s="198" t="str">
        <f>IF((E82+E63)*0.1&lt;E61,"Exceed 10% Rule","")</f>
        <v/>
      </c>
      <c r="G62" s="433">
        <f>IF(E81&gt;0,E80,E82)</f>
        <v>0</v>
      </c>
      <c r="H62" s="410" t="str">
        <f>CONCATENATE("",E1," Ad Valorem Tax (est.)")</f>
        <v>2025 Ad Valorem Tax (est.)</v>
      </c>
      <c r="I62" s="428"/>
      <c r="J62" s="451"/>
      <c r="K62" s="434" t="str">
        <f>IF(G62=E82,"","Note: Does not include Delinquent Taxes")</f>
        <v/>
      </c>
    </row>
    <row r="63" spans="2:11" x14ac:dyDescent="0.25">
      <c r="B63" s="195" t="s">
        <v>17</v>
      </c>
      <c r="C63" s="199">
        <f>SUM(C49:C61)</f>
        <v>0</v>
      </c>
      <c r="D63" s="199">
        <f>SUM(D49:D61)</f>
        <v>0</v>
      </c>
      <c r="E63" s="199">
        <f>SUM(E49:E61)</f>
        <v>0</v>
      </c>
      <c r="G63" s="453">
        <f>SUM(G60:G62)</f>
        <v>0</v>
      </c>
      <c r="H63" s="410" t="str">
        <f>CONCATENATE("Total ",E1," Resources Available")</f>
        <v>Total 2025 Resources Available</v>
      </c>
      <c r="I63" s="454"/>
      <c r="J63" s="451"/>
      <c r="K63" s="376"/>
    </row>
    <row r="64" spans="2:11" x14ac:dyDescent="0.25">
      <c r="B64" s="196" t="s">
        <v>18</v>
      </c>
      <c r="C64" s="199">
        <f>C63+C47</f>
        <v>0</v>
      </c>
      <c r="D64" s="199">
        <f>D63+D47</f>
        <v>0</v>
      </c>
      <c r="E64" s="199">
        <f>E63+E47</f>
        <v>0</v>
      </c>
      <c r="G64" s="455"/>
      <c r="H64" s="456"/>
      <c r="I64" s="409"/>
      <c r="J64" s="451"/>
      <c r="K64" s="376"/>
    </row>
    <row r="65" spans="2:11" x14ac:dyDescent="0.25">
      <c r="B65" s="82" t="s">
        <v>19</v>
      </c>
      <c r="C65" s="283"/>
      <c r="D65" s="283"/>
      <c r="E65" s="169"/>
      <c r="G65" s="433">
        <f>ROUND(C75*0.05+C75,0)</f>
        <v>0</v>
      </c>
      <c r="H65" s="410" t="str">
        <f>CONCATENATE("Less ",E1-2," Expenditures + 5%")</f>
        <v>Less 2023 Expenditures + 5%</v>
      </c>
      <c r="I65" s="454"/>
      <c r="J65" s="451"/>
      <c r="K65" s="376"/>
    </row>
    <row r="66" spans="2:11" x14ac:dyDescent="0.25">
      <c r="B66" s="192"/>
      <c r="C66" s="185"/>
      <c r="D66" s="185"/>
      <c r="E66" s="164"/>
      <c r="G66" s="440">
        <f>G63-G65</f>
        <v>0</v>
      </c>
      <c r="H66" s="441" t="str">
        <f>CONCATENATE("Projected ",E1+1," carryover (est.)")</f>
        <v>Projected 2026 carryover (est.)</v>
      </c>
      <c r="I66" s="457"/>
      <c r="J66" s="458"/>
      <c r="K66" s="376"/>
    </row>
    <row r="67" spans="2:11" x14ac:dyDescent="0.25">
      <c r="B67" s="192"/>
      <c r="C67" s="185"/>
      <c r="D67" s="185"/>
      <c r="E67" s="164"/>
      <c r="G67" s="376"/>
      <c r="H67" s="376"/>
      <c r="I67" s="376"/>
      <c r="J67" s="376"/>
      <c r="K67" s="376"/>
    </row>
    <row r="68" spans="2:11" x14ac:dyDescent="0.25">
      <c r="B68" s="192"/>
      <c r="C68" s="185"/>
      <c r="D68" s="185"/>
      <c r="E68" s="164"/>
      <c r="G68" s="765" t="s">
        <v>858</v>
      </c>
      <c r="H68" s="766"/>
      <c r="I68" s="766"/>
      <c r="J68" s="767"/>
      <c r="K68" s="376"/>
    </row>
    <row r="69" spans="2:11" x14ac:dyDescent="0.25">
      <c r="B69" s="192"/>
      <c r="C69" s="185"/>
      <c r="D69" s="185"/>
      <c r="E69" s="164"/>
      <c r="G69" s="768"/>
      <c r="H69" s="769"/>
      <c r="I69" s="769"/>
      <c r="J69" s="770"/>
      <c r="K69" s="376"/>
    </row>
    <row r="70" spans="2:11" x14ac:dyDescent="0.25">
      <c r="B70" s="192"/>
      <c r="C70" s="185"/>
      <c r="D70" s="185"/>
      <c r="E70" s="164"/>
      <c r="G70" s="632" t="str">
        <f>'Budget Hearing Notice'!I23</f>
        <v xml:space="preserve"> </v>
      </c>
      <c r="H70" s="311" t="str">
        <f>CONCATENATE("",E1," Estimated Fund Mill Rate")</f>
        <v>2025 Estimated Fund Mill Rate</v>
      </c>
      <c r="I70" s="633"/>
      <c r="J70" s="634"/>
      <c r="K70" s="376"/>
    </row>
    <row r="71" spans="2:11" x14ac:dyDescent="0.25">
      <c r="B71" s="192"/>
      <c r="C71" s="185"/>
      <c r="D71" s="185"/>
      <c r="E71" s="164"/>
      <c r="G71" s="635" t="str">
        <f>'Budget Hearing Notice'!F23</f>
        <v xml:space="preserve">  </v>
      </c>
      <c r="H71" s="311" t="str">
        <f>CONCATENATE("",E1-1," Fund Mill Rate")</f>
        <v>2024 Fund Mill Rate</v>
      </c>
      <c r="I71" s="633"/>
      <c r="J71" s="634"/>
      <c r="K71" s="376"/>
    </row>
    <row r="72" spans="2:11" x14ac:dyDescent="0.25">
      <c r="B72" s="189" t="str">
        <f>CONCATENATE("Cash Reserve (",E1," column)")</f>
        <v>Cash Reserve (2025 column)</v>
      </c>
      <c r="C72" s="185"/>
      <c r="D72" s="185"/>
      <c r="E72" s="164"/>
      <c r="G72" s="636">
        <f>'Budget Hearing Notice'!I37</f>
        <v>0</v>
      </c>
      <c r="H72" s="637" t="s">
        <v>859</v>
      </c>
      <c r="I72" s="633"/>
      <c r="J72" s="634"/>
      <c r="K72" s="376"/>
    </row>
    <row r="73" spans="2:11" ht="15.75" customHeight="1" x14ac:dyDescent="0.25">
      <c r="B73" s="189" t="s">
        <v>143</v>
      </c>
      <c r="C73" s="185"/>
      <c r="D73" s="185"/>
      <c r="E73" s="164"/>
      <c r="G73" s="632">
        <f>'Budget Hearing Notice'!I36</f>
        <v>0</v>
      </c>
      <c r="H73" s="311" t="str">
        <f>CONCATENATE(E1," Estimated Total Mill Rate")</f>
        <v>2025 Estimated Total Mill Rate</v>
      </c>
      <c r="I73" s="633"/>
      <c r="J73" s="634"/>
      <c r="K73" s="376"/>
    </row>
    <row r="74" spans="2:11" x14ac:dyDescent="0.25">
      <c r="B74" s="189" t="s">
        <v>480</v>
      </c>
      <c r="C74" s="282" t="str">
        <f>IF(C75*0.1&lt;C73,"Exceed 10% Rule","")</f>
        <v/>
      </c>
      <c r="D74" s="282" t="str">
        <f>IF(D75*0.1&lt;D73,"Exceed 10% Rule","")</f>
        <v/>
      </c>
      <c r="E74" s="198" t="str">
        <f>IF(E75*0.1&lt;E73,"Exceed 10% Rule","")</f>
        <v/>
      </c>
      <c r="G74" s="638">
        <f>'Budget Hearing Notice'!F36</f>
        <v>0</v>
      </c>
      <c r="H74" s="311" t="str">
        <f>CONCATENATE(E1-1," Total Mill Rate")</f>
        <v>2024 Total Mill Rate</v>
      </c>
      <c r="I74" s="633"/>
      <c r="J74" s="634"/>
    </row>
    <row r="75" spans="2:11" x14ac:dyDescent="0.25">
      <c r="B75" s="196" t="s">
        <v>20</v>
      </c>
      <c r="C75" s="199">
        <f>SUM(C66:C73)</f>
        <v>0</v>
      </c>
      <c r="D75" s="199">
        <f>SUM(D66:D73)</f>
        <v>0</v>
      </c>
      <c r="E75" s="199">
        <f>SUM(E66:E73)</f>
        <v>0</v>
      </c>
      <c r="G75" s="307"/>
      <c r="H75" s="308"/>
      <c r="I75" s="308"/>
      <c r="J75" s="309"/>
    </row>
    <row r="76" spans="2:11" x14ac:dyDescent="0.25">
      <c r="B76" s="82" t="s">
        <v>79</v>
      </c>
      <c r="C76" s="169">
        <f>C64-C75</f>
        <v>0</v>
      </c>
      <c r="D76" s="169">
        <f>D64-D75</f>
        <v>0</v>
      </c>
      <c r="E76" s="188" t="s">
        <v>204</v>
      </c>
      <c r="G76" s="771" t="s">
        <v>860</v>
      </c>
      <c r="H76" s="772"/>
      <c r="I76" s="772"/>
      <c r="J76" s="775" t="str">
        <f>IF(G73&gt;G72, "Yes", "No")</f>
        <v>No</v>
      </c>
    </row>
    <row r="77" spans="2:11" x14ac:dyDescent="0.25">
      <c r="B77" s="110" t="str">
        <f>CONCATENATE("",E1-2,"/",E1-1,"/",E1," Budget Authority Amount:")</f>
        <v>2023/2024/2025 Budget Authority Amount:</v>
      </c>
      <c r="C77" s="494">
        <f>inputOth!B56</f>
        <v>0</v>
      </c>
      <c r="D77" s="494">
        <f>inputPrYr!D22</f>
        <v>0</v>
      </c>
      <c r="E77" s="169">
        <f>E75</f>
        <v>0</v>
      </c>
      <c r="F77" s="200"/>
      <c r="G77" s="773"/>
      <c r="H77" s="774"/>
      <c r="I77" s="774"/>
      <c r="J77" s="776"/>
    </row>
    <row r="78" spans="2:11" x14ac:dyDescent="0.25">
      <c r="B78" s="111"/>
      <c r="C78" s="761" t="s">
        <v>482</v>
      </c>
      <c r="D78" s="762"/>
      <c r="E78" s="164"/>
      <c r="F78" s="200" t="str">
        <f>IF(E75/0.95-E75&lt;E78,"Exceeds 5%","")</f>
        <v/>
      </c>
      <c r="G78" s="754" t="str">
        <f>IF(J76="Yes", "Follow procedure prescribed by KSA 79-2988 to exceed the Revenue Neutral Rate.", " ")</f>
        <v xml:space="preserve"> </v>
      </c>
      <c r="H78" s="754"/>
      <c r="I78" s="754"/>
      <c r="J78" s="754"/>
    </row>
    <row r="79" spans="2:11" x14ac:dyDescent="0.25">
      <c r="B79" s="291" t="str">
        <f>CONCATENATE(C103,"     ",D103)</f>
        <v xml:space="preserve">     </v>
      </c>
      <c r="C79" s="763" t="s">
        <v>483</v>
      </c>
      <c r="D79" s="764"/>
      <c r="E79" s="169">
        <f>E75+E78</f>
        <v>0</v>
      </c>
      <c r="G79" s="755"/>
      <c r="H79" s="755"/>
      <c r="I79" s="755"/>
      <c r="J79" s="755"/>
    </row>
    <row r="80" spans="2:11" x14ac:dyDescent="0.25">
      <c r="B80" s="291" t="str">
        <f>CONCATENATE(C104,"      ",D104)</f>
        <v xml:space="preserve">      </v>
      </c>
      <c r="C80" s="257"/>
      <c r="D80" s="117" t="s">
        <v>22</v>
      </c>
      <c r="E80" s="169">
        <f>IF(E79-E64&gt;0,E79-E64,0)</f>
        <v>0</v>
      </c>
      <c r="G80" s="755"/>
      <c r="H80" s="755"/>
      <c r="I80" s="755"/>
      <c r="J80" s="755"/>
    </row>
    <row r="81" spans="2:5" x14ac:dyDescent="0.25">
      <c r="B81" s="117"/>
      <c r="C81" s="296" t="s">
        <v>484</v>
      </c>
      <c r="D81" s="474">
        <f>inputOth!$E$45</f>
        <v>0</v>
      </c>
      <c r="E81" s="169">
        <f>ROUND(IF(D81&gt;0,(E80*D81),0),0)</f>
        <v>0</v>
      </c>
    </row>
    <row r="82" spans="2:5" x14ac:dyDescent="0.25">
      <c r="B82" s="73"/>
      <c r="C82" s="759" t="str">
        <f>CONCATENATE("Amount of  ",$E$1-1," Ad Valorem Tax")</f>
        <v>Amount of  2024 Ad Valorem Tax</v>
      </c>
      <c r="D82" s="760"/>
      <c r="E82" s="169">
        <f>E80+E81</f>
        <v>0</v>
      </c>
    </row>
    <row r="83" spans="2:5" x14ac:dyDescent="0.25">
      <c r="B83" s="73"/>
      <c r="C83" s="348"/>
      <c r="D83" s="348"/>
      <c r="E83" s="348"/>
    </row>
    <row r="84" spans="2:5" x14ac:dyDescent="0.25">
      <c r="B84" s="554" t="s">
        <v>729</v>
      </c>
      <c r="C84" s="567"/>
      <c r="D84" s="567"/>
      <c r="E84" s="568"/>
    </row>
    <row r="85" spans="2:5" x14ac:dyDescent="0.25">
      <c r="B85" s="307"/>
      <c r="C85" s="348"/>
      <c r="D85" s="348"/>
      <c r="E85" s="569"/>
    </row>
    <row r="86" spans="2:5" x14ac:dyDescent="0.25">
      <c r="B86" s="555"/>
      <c r="C86" s="570"/>
      <c r="D86" s="570"/>
      <c r="E86" s="571"/>
    </row>
    <row r="87" spans="2:5" x14ac:dyDescent="0.25">
      <c r="B87" s="73"/>
      <c r="C87" s="348"/>
      <c r="D87" s="348"/>
      <c r="E87" s="348"/>
    </row>
    <row r="88" spans="2:5" x14ac:dyDescent="0.25">
      <c r="B88" s="117" t="s">
        <v>4</v>
      </c>
      <c r="C88" s="506"/>
      <c r="D88" s="73"/>
      <c r="E88" s="73"/>
    </row>
    <row r="89" spans="2:5" x14ac:dyDescent="0.25">
      <c r="B89" s="107"/>
    </row>
    <row r="97" spans="3:4" hidden="1" x14ac:dyDescent="0.25"/>
    <row r="98" spans="3:4" hidden="1" x14ac:dyDescent="0.25"/>
    <row r="99" spans="3:4" hidden="1" x14ac:dyDescent="0.25"/>
    <row r="100" spans="3:4" hidden="1" x14ac:dyDescent="0.25"/>
    <row r="101" spans="3:4" x14ac:dyDescent="0.25">
      <c r="C101" s="130" t="str">
        <f>IF(C34&gt;C36,"See Tab A","")</f>
        <v/>
      </c>
      <c r="D101" s="130" t="str">
        <f>IF(D34&gt;D36,"See Tab C","")</f>
        <v/>
      </c>
    </row>
    <row r="102" spans="3:4" x14ac:dyDescent="0.25">
      <c r="C102" s="130" t="str">
        <f>IF(C35&lt;0,"See Tab B","")</f>
        <v/>
      </c>
      <c r="D102" s="130" t="str">
        <f>IF(D35&lt;0,"See Tab D","")</f>
        <v/>
      </c>
    </row>
    <row r="103" spans="3:4" x14ac:dyDescent="0.25">
      <c r="C103" s="130" t="str">
        <f>IF(C75&gt;C77,"See Tab A","")</f>
        <v/>
      </c>
      <c r="D103" s="130" t="str">
        <f>IF(D75&gt;D77,"See Tab C","")</f>
        <v/>
      </c>
    </row>
    <row r="104" spans="3:4" x14ac:dyDescent="0.25">
      <c r="C104" s="130" t="str">
        <f>IF(C76&lt;0,"SeeTab B","")</f>
        <v/>
      </c>
      <c r="D104" s="130" t="str">
        <f>IF(D76&lt;0,"See Tab D","")</f>
        <v/>
      </c>
    </row>
  </sheetData>
  <sheetProtection sheet="1"/>
  <mergeCells count="18">
    <mergeCell ref="G78:J80"/>
    <mergeCell ref="G10:J10"/>
    <mergeCell ref="G17:J17"/>
    <mergeCell ref="G51:J51"/>
    <mergeCell ref="G58:J58"/>
    <mergeCell ref="G27:J28"/>
    <mergeCell ref="G35:I36"/>
    <mergeCell ref="J35:J36"/>
    <mergeCell ref="G37:J39"/>
    <mergeCell ref="G68:J69"/>
    <mergeCell ref="G76:I77"/>
    <mergeCell ref="J76:J77"/>
    <mergeCell ref="C82:D82"/>
    <mergeCell ref="C41:D41"/>
    <mergeCell ref="C37:D37"/>
    <mergeCell ref="C38:D38"/>
    <mergeCell ref="C78:D78"/>
    <mergeCell ref="C79:D79"/>
  </mergeCells>
  <phoneticPr fontId="0" type="noConversion"/>
  <conditionalFormatting sqref="C20">
    <cfRule type="cellIs" dxfId="142" priority="23" stopIfTrue="1" operator="greaterThan">
      <formula>$C$22*0.1</formula>
    </cfRule>
  </conditionalFormatting>
  <conditionalFormatting sqref="C32">
    <cfRule type="cellIs" dxfId="141" priority="20" stopIfTrue="1" operator="greaterThan">
      <formula>$C$34*0.1</formula>
    </cfRule>
  </conditionalFormatting>
  <conditionalFormatting sqref="C34">
    <cfRule type="expression" dxfId="140" priority="8">
      <formula>$C$34&gt;$C$36</formula>
    </cfRule>
  </conditionalFormatting>
  <conditionalFormatting sqref="C35">
    <cfRule type="expression" dxfId="139" priority="7">
      <formula>$C$35&lt;0</formula>
    </cfRule>
  </conditionalFormatting>
  <conditionalFormatting sqref="C61">
    <cfRule type="cellIs" dxfId="138" priority="17" stopIfTrue="1" operator="greaterThan">
      <formula>$C$63*0.1</formula>
    </cfRule>
  </conditionalFormatting>
  <conditionalFormatting sqref="C73">
    <cfRule type="cellIs" dxfId="137" priority="14" stopIfTrue="1" operator="greaterThan">
      <formula>$C$75*0.1</formula>
    </cfRule>
  </conditionalFormatting>
  <conditionalFormatting sqref="C75">
    <cfRule type="expression" dxfId="136" priority="4">
      <formula>$C$75&gt;$C$77</formula>
    </cfRule>
  </conditionalFormatting>
  <conditionalFormatting sqref="C76">
    <cfRule type="expression" dxfId="135" priority="3">
      <formula>$C$76&lt;0</formula>
    </cfRule>
  </conditionalFormatting>
  <conditionalFormatting sqref="D20">
    <cfRule type="cellIs" dxfId="134" priority="24" stopIfTrue="1" operator="greaterThan">
      <formula>$D$22*0.1</formula>
    </cfRule>
  </conditionalFormatting>
  <conditionalFormatting sqref="D32">
    <cfRule type="cellIs" dxfId="133" priority="21" stopIfTrue="1" operator="greaterThan">
      <formula>$D$34*0.1</formula>
    </cfRule>
  </conditionalFormatting>
  <conditionalFormatting sqref="D34">
    <cfRule type="expression" dxfId="132" priority="6">
      <formula>$D$34&gt;$D$36</formula>
    </cfRule>
  </conditionalFormatting>
  <conditionalFormatting sqref="D35">
    <cfRule type="expression" dxfId="131" priority="5">
      <formula>$D$35&lt;0</formula>
    </cfRule>
  </conditionalFormatting>
  <conditionalFormatting sqref="D61">
    <cfRule type="cellIs" dxfId="130" priority="18" stopIfTrue="1" operator="greaterThan">
      <formula>$D$63*0.1</formula>
    </cfRule>
  </conditionalFormatting>
  <conditionalFormatting sqref="D73">
    <cfRule type="cellIs" dxfId="129" priority="15" stopIfTrue="1" operator="greaterThan">
      <formula>$D$75*0.1</formula>
    </cfRule>
  </conditionalFormatting>
  <conditionalFormatting sqref="D75">
    <cfRule type="expression" dxfId="128" priority="2">
      <formula>$D$75&gt;$D$77</formula>
    </cfRule>
  </conditionalFormatting>
  <conditionalFormatting sqref="D76">
    <cfRule type="expression" dxfId="127" priority="1">
      <formula>$D$76&lt;0</formula>
    </cfRule>
  </conditionalFormatting>
  <conditionalFormatting sqref="E20">
    <cfRule type="cellIs" dxfId="126" priority="42" stopIfTrue="1" operator="greaterThan">
      <formula>$E$22*0.1+$E$41</formula>
    </cfRule>
  </conditionalFormatting>
  <conditionalFormatting sqref="E32">
    <cfRule type="cellIs" dxfId="125" priority="22" stopIfTrue="1" operator="greaterThan">
      <formula>$E$34*0.1</formula>
    </cfRule>
  </conditionalFormatting>
  <conditionalFormatting sqref="E37">
    <cfRule type="cellIs" dxfId="124" priority="19" stopIfTrue="1" operator="greaterThan">
      <formula>$E$34/0.95-$E$34</formula>
    </cfRule>
  </conditionalFormatting>
  <conditionalFormatting sqref="E61">
    <cfRule type="cellIs" dxfId="123" priority="43" stopIfTrue="1" operator="greaterThan">
      <formula>$E$63*0.1+$E$82</formula>
    </cfRule>
  </conditionalFormatting>
  <conditionalFormatting sqref="E73">
    <cfRule type="cellIs" dxfId="122" priority="16" stopIfTrue="1" operator="greaterThan">
      <formula>$E$75*0.1</formula>
    </cfRule>
  </conditionalFormatting>
  <conditionalFormatting sqref="E78">
    <cfRule type="cellIs" dxfId="121" priority="13" stopIfTrue="1" operator="greaterThan">
      <formula>$E$75/0.95-$E$75</formula>
    </cfRule>
  </conditionalFormatting>
  <conditionalFormatting sqref="J35">
    <cfRule type="containsText" dxfId="120" priority="10" operator="containsText" text="Yes">
      <formula>NOT(ISERROR(SEARCH("Yes",J35)))</formula>
    </cfRule>
  </conditionalFormatting>
  <conditionalFormatting sqref="J76">
    <cfRule type="containsText" dxfId="119" priority="9" operator="containsText" text="Yes">
      <formula>NOT(ISERROR(SEARCH("Yes",J76)))</formula>
    </cfRule>
  </conditionalFormatting>
  <pageMargins left="0.9" right="0.9" top="0.96" bottom="0.5" header="0.41" footer="0.3"/>
  <pageSetup scale="68"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1:K104"/>
  <sheetViews>
    <sheetView workbookViewId="0">
      <selection activeCell="F1" sqref="F1"/>
    </sheetView>
  </sheetViews>
  <sheetFormatPr defaultRowHeight="15.75" x14ac:dyDescent="0.25"/>
  <cols>
    <col min="1" max="1" width="2.3984375" style="130" customWidth="1"/>
    <col min="2" max="2" width="31.09765625" style="130" customWidth="1"/>
    <col min="3" max="4" width="15.69921875" style="130" customWidth="1"/>
    <col min="5" max="5" width="13.69921875" style="130" customWidth="1"/>
    <col min="6" max="6" width="8.796875" style="130"/>
    <col min="7" max="7" width="9.69921875" style="130" customWidth="1"/>
    <col min="8" max="8" width="8.796875" style="130"/>
    <col min="9" max="9" width="4.69921875" style="130" customWidth="1"/>
    <col min="10" max="10" width="9.69921875" style="130" customWidth="1"/>
    <col min="11" max="16384" width="8.796875" style="130"/>
  </cols>
  <sheetData>
    <row r="1" spans="2:11" x14ac:dyDescent="0.25">
      <c r="B1" s="112">
        <f>inputPrYr!D3</f>
        <v>0</v>
      </c>
      <c r="C1" s="73"/>
      <c r="D1" s="73"/>
      <c r="E1" s="111">
        <f>inputPrYr!D6</f>
        <v>2025</v>
      </c>
    </row>
    <row r="2" spans="2:11" x14ac:dyDescent="0.25">
      <c r="B2" s="115"/>
      <c r="C2" s="73"/>
      <c r="D2" s="127"/>
      <c r="E2" s="211"/>
    </row>
    <row r="3" spans="2:11" x14ac:dyDescent="0.25">
      <c r="B3" s="297" t="s">
        <v>485</v>
      </c>
      <c r="C3" s="76"/>
      <c r="D3" s="76"/>
      <c r="E3" s="76"/>
    </row>
    <row r="4" spans="2:11" x14ac:dyDescent="0.25">
      <c r="B4" s="77" t="s">
        <v>5</v>
      </c>
      <c r="C4" s="284" t="s">
        <v>6</v>
      </c>
      <c r="D4" s="286" t="s">
        <v>7</v>
      </c>
      <c r="E4" s="78" t="s">
        <v>8</v>
      </c>
    </row>
    <row r="5" spans="2:11" x14ac:dyDescent="0.25">
      <c r="B5" s="293">
        <f>inputPrYr!B23</f>
        <v>0</v>
      </c>
      <c r="C5" s="285" t="str">
        <f>General!C5</f>
        <v>Actual for 2023</v>
      </c>
      <c r="D5" s="285" t="str">
        <f>General!D5</f>
        <v>Estimate for 2024</v>
      </c>
      <c r="E5" s="81" t="str">
        <f>General!E5</f>
        <v>Year for 2025</v>
      </c>
    </row>
    <row r="6" spans="2:11" x14ac:dyDescent="0.25">
      <c r="B6" s="82" t="s">
        <v>78</v>
      </c>
      <c r="C6" s="185"/>
      <c r="D6" s="283">
        <f>C35</f>
        <v>0</v>
      </c>
      <c r="E6" s="169">
        <f>D35</f>
        <v>0</v>
      </c>
    </row>
    <row r="7" spans="2:11" x14ac:dyDescent="0.25">
      <c r="B7" s="82" t="s">
        <v>80</v>
      </c>
      <c r="C7" s="283"/>
      <c r="D7" s="283"/>
      <c r="E7" s="188"/>
    </row>
    <row r="8" spans="2:11" x14ac:dyDescent="0.25">
      <c r="B8" s="82" t="s">
        <v>10</v>
      </c>
      <c r="C8" s="185"/>
      <c r="D8" s="283">
        <f>IF(inputPrYr!H18&gt;0,inputPrYr!G25,inputPrYr!E23)</f>
        <v>0</v>
      </c>
      <c r="E8" s="188" t="s">
        <v>204</v>
      </c>
    </row>
    <row r="9" spans="2:11" x14ac:dyDescent="0.25">
      <c r="B9" s="82" t="s">
        <v>11</v>
      </c>
      <c r="C9" s="185"/>
      <c r="D9" s="185"/>
      <c r="E9" s="164"/>
    </row>
    <row r="10" spans="2:11" x14ac:dyDescent="0.25">
      <c r="B10" s="82" t="s">
        <v>12</v>
      </c>
      <c r="C10" s="185"/>
      <c r="D10" s="185"/>
      <c r="E10" s="169">
        <f>Mvalloc!D17</f>
        <v>0</v>
      </c>
    </row>
    <row r="11" spans="2:11" x14ac:dyDescent="0.25">
      <c r="B11" s="82" t="s">
        <v>13</v>
      </c>
      <c r="C11" s="185"/>
      <c r="D11" s="185"/>
      <c r="E11" s="169">
        <f>Mvalloc!F17</f>
        <v>0</v>
      </c>
      <c r="G11" s="779" t="str">
        <f>CONCATENATE("Desired Carryover Into ",E1+1,"")</f>
        <v>Desired Carryover Into 2026</v>
      </c>
      <c r="H11" s="786"/>
      <c r="I11" s="786"/>
      <c r="J11" s="787"/>
      <c r="K11" s="376"/>
    </row>
    <row r="12" spans="2:11" x14ac:dyDescent="0.25">
      <c r="B12" s="82" t="s">
        <v>70</v>
      </c>
      <c r="C12" s="185"/>
      <c r="D12" s="185"/>
      <c r="E12" s="169">
        <f>Mvalloc!G17</f>
        <v>0</v>
      </c>
      <c r="G12" s="408"/>
      <c r="H12" s="409"/>
      <c r="I12" s="410"/>
      <c r="J12" s="411"/>
      <c r="K12" s="376"/>
    </row>
    <row r="13" spans="2:11" x14ac:dyDescent="0.25">
      <c r="B13" s="546" t="s">
        <v>591</v>
      </c>
      <c r="C13" s="185"/>
      <c r="D13" s="185"/>
      <c r="E13" s="169">
        <f>Mvalloc!H17</f>
        <v>0</v>
      </c>
      <c r="G13" s="412" t="s">
        <v>486</v>
      </c>
      <c r="H13" s="410"/>
      <c r="I13" s="410"/>
      <c r="J13" s="413">
        <v>0</v>
      </c>
      <c r="K13" s="376"/>
    </row>
    <row r="14" spans="2:11" x14ac:dyDescent="0.25">
      <c r="B14" s="546" t="s">
        <v>592</v>
      </c>
      <c r="C14" s="185"/>
      <c r="D14" s="185"/>
      <c r="E14" s="169">
        <f>Mvalloc!I17</f>
        <v>0</v>
      </c>
      <c r="G14" s="408" t="s">
        <v>487</v>
      </c>
      <c r="H14" s="409"/>
      <c r="I14" s="409"/>
      <c r="J14" s="414" t="str">
        <f>IF(J13=0,"",ROUND((J13+E41-G26)/inputOth!E7*1000,3)-G31)</f>
        <v/>
      </c>
      <c r="K14" s="376"/>
    </row>
    <row r="15" spans="2:11" x14ac:dyDescent="0.25">
      <c r="B15" s="191"/>
      <c r="C15" s="185"/>
      <c r="D15" s="185"/>
      <c r="E15" s="164"/>
      <c r="G15" s="415" t="str">
        <f>CONCATENATE("",E1," Tot Exp/Non-Appr Must Be:")</f>
        <v>2025 Tot Exp/Non-Appr Must Be:</v>
      </c>
      <c r="H15" s="416"/>
      <c r="I15" s="417"/>
      <c r="J15" s="418">
        <f>IF(J13&gt;0,IF(E38&lt;E23,IF(J13=G26,E38,((J13-G26)*(1-D40))+E23),E38+(J13-G26)),0)</f>
        <v>0</v>
      </c>
      <c r="K15" s="376"/>
    </row>
    <row r="16" spans="2:11" x14ac:dyDescent="0.25">
      <c r="B16" s="191"/>
      <c r="C16" s="185"/>
      <c r="D16" s="185"/>
      <c r="E16" s="164"/>
      <c r="G16" s="419" t="s">
        <v>551</v>
      </c>
      <c r="H16" s="420"/>
      <c r="I16" s="420"/>
      <c r="J16" s="421">
        <f>IF(J13&gt;0,J15-E38,0)</f>
        <v>0</v>
      </c>
      <c r="K16" s="376"/>
    </row>
    <row r="17" spans="2:11" x14ac:dyDescent="0.25">
      <c r="B17" s="192"/>
      <c r="C17" s="185"/>
      <c r="D17" s="185"/>
      <c r="E17" s="164"/>
      <c r="G17" s="376"/>
      <c r="H17" s="376"/>
      <c r="I17" s="376"/>
      <c r="J17" s="376"/>
      <c r="K17" s="376"/>
    </row>
    <row r="18" spans="2:11" x14ac:dyDescent="0.25">
      <c r="B18" s="192" t="s">
        <v>16</v>
      </c>
      <c r="C18" s="185"/>
      <c r="D18" s="185"/>
      <c r="E18" s="164"/>
      <c r="G18" s="779" t="str">
        <f>CONCATENATE("Projected Carryover Into ",E1+1,"")</f>
        <v>Projected Carryover Into 2026</v>
      </c>
      <c r="H18" s="790"/>
      <c r="I18" s="790"/>
      <c r="J18" s="789"/>
      <c r="K18" s="376"/>
    </row>
    <row r="19" spans="2:11" x14ac:dyDescent="0.25">
      <c r="B19" s="189" t="s">
        <v>146</v>
      </c>
      <c r="C19" s="185"/>
      <c r="D19" s="185"/>
      <c r="E19" s="494">
        <f>'NR Rebate'!E12*-1</f>
        <v>0</v>
      </c>
      <c r="G19" s="408"/>
      <c r="H19" s="410"/>
      <c r="I19" s="410"/>
      <c r="J19" s="423"/>
      <c r="K19" s="376"/>
    </row>
    <row r="20" spans="2:11" x14ac:dyDescent="0.25">
      <c r="B20" s="193" t="s">
        <v>143</v>
      </c>
      <c r="C20" s="185"/>
      <c r="D20" s="185"/>
      <c r="E20" s="164"/>
      <c r="G20" s="426">
        <f>D35</f>
        <v>0</v>
      </c>
      <c r="H20" s="427" t="str">
        <f>CONCATENATE("",E1-1," Ending Cash Balance (est.)")</f>
        <v>2024 Ending Cash Balance (est.)</v>
      </c>
      <c r="I20" s="428"/>
      <c r="J20" s="423"/>
      <c r="K20" s="376"/>
    </row>
    <row r="21" spans="2:11" x14ac:dyDescent="0.25">
      <c r="B21" s="193" t="s">
        <v>144</v>
      </c>
      <c r="C21" s="282" t="str">
        <f>IF(C22*0.1&lt;C20,"Exceed 10% Rule","")</f>
        <v/>
      </c>
      <c r="D21" s="282" t="str">
        <f>IF(D22*0.1&lt;D20,"Exceed 10% Rule","")</f>
        <v/>
      </c>
      <c r="E21" s="198" t="str">
        <f>IF((E41+E22)*0.1&lt;E20,"Exceed 10% Rule","")</f>
        <v/>
      </c>
      <c r="G21" s="426">
        <f>E22</f>
        <v>0</v>
      </c>
      <c r="H21" s="410" t="str">
        <f>CONCATENATE("",E1," Non-AV Receipts (est.)")</f>
        <v>2025 Non-AV Receipts (est.)</v>
      </c>
      <c r="I21" s="428"/>
      <c r="J21" s="423"/>
      <c r="K21" s="376"/>
    </row>
    <row r="22" spans="2:11" x14ac:dyDescent="0.2">
      <c r="B22" s="195" t="s">
        <v>17</v>
      </c>
      <c r="C22" s="199">
        <f>SUM(C8:C20)</f>
        <v>0</v>
      </c>
      <c r="D22" s="199">
        <f>SUM(D8:D20)</f>
        <v>0</v>
      </c>
      <c r="E22" s="199">
        <f>SUM(E8:E20)</f>
        <v>0</v>
      </c>
      <c r="G22" s="433">
        <f>IF(E40&gt;0,E39,E41)</f>
        <v>0</v>
      </c>
      <c r="H22" s="410" t="str">
        <f>CONCATENATE("",E1," Ad Valorem Tax (est.)")</f>
        <v>2025 Ad Valorem Tax (est.)</v>
      </c>
      <c r="I22" s="428"/>
      <c r="J22" s="423"/>
      <c r="K22" s="434" t="str">
        <f>IF(G22=E41,"","Note: Does not include Delinquent Taxes")</f>
        <v/>
      </c>
    </row>
    <row r="23" spans="2:11" x14ac:dyDescent="0.25">
      <c r="B23" s="196" t="s">
        <v>18</v>
      </c>
      <c r="C23" s="199">
        <f>C22+C6</f>
        <v>0</v>
      </c>
      <c r="D23" s="199">
        <f>D22+D6</f>
        <v>0</v>
      </c>
      <c r="E23" s="199">
        <f>E22+E6</f>
        <v>0</v>
      </c>
      <c r="G23" s="426">
        <f>SUM(G20:G22)</f>
        <v>0</v>
      </c>
      <c r="H23" s="410" t="str">
        <f>CONCATENATE("Total ",E1," Resources Available")</f>
        <v>Total 2025 Resources Available</v>
      </c>
      <c r="I23" s="428"/>
      <c r="J23" s="423"/>
      <c r="K23" s="376"/>
    </row>
    <row r="24" spans="2:11" x14ac:dyDescent="0.25">
      <c r="B24" s="82" t="s">
        <v>19</v>
      </c>
      <c r="C24" s="283"/>
      <c r="D24" s="283"/>
      <c r="E24" s="169"/>
      <c r="G24" s="436"/>
      <c r="H24" s="410"/>
      <c r="I24" s="410"/>
      <c r="J24" s="423"/>
      <c r="K24" s="376"/>
    </row>
    <row r="25" spans="2:11" x14ac:dyDescent="0.25">
      <c r="B25" s="192"/>
      <c r="C25" s="185"/>
      <c r="D25" s="185"/>
      <c r="E25" s="164"/>
      <c r="G25" s="433">
        <f>C34*0.05+C34</f>
        <v>0</v>
      </c>
      <c r="H25" s="410" t="str">
        <f>CONCATENATE("Less ",E1-2," Expenditures + 5%")</f>
        <v>Less 2023 Expenditures + 5%</v>
      </c>
      <c r="I25" s="410"/>
      <c r="J25" s="423"/>
      <c r="K25" s="376"/>
    </row>
    <row r="26" spans="2:11" x14ac:dyDescent="0.25">
      <c r="B26" s="192"/>
      <c r="C26" s="185"/>
      <c r="D26" s="185"/>
      <c r="E26" s="164"/>
      <c r="G26" s="440">
        <f>G23-G25</f>
        <v>0</v>
      </c>
      <c r="H26" s="441" t="str">
        <f>CONCATENATE("Projected ",E1+1," carryover (est.)")</f>
        <v>Projected 2026 carryover (est.)</v>
      </c>
      <c r="I26" s="442"/>
      <c r="J26" s="443"/>
      <c r="K26" s="376"/>
    </row>
    <row r="27" spans="2:11" x14ac:dyDescent="0.25">
      <c r="B27" s="192"/>
      <c r="C27" s="185"/>
      <c r="D27" s="185"/>
      <c r="E27" s="164"/>
      <c r="G27" s="376"/>
      <c r="H27" s="376"/>
      <c r="I27" s="376"/>
      <c r="J27" s="376"/>
      <c r="K27" s="376"/>
    </row>
    <row r="28" spans="2:11" x14ac:dyDescent="0.25">
      <c r="B28" s="192"/>
      <c r="C28" s="185"/>
      <c r="D28" s="185"/>
      <c r="E28" s="164"/>
      <c r="G28" s="765" t="s">
        <v>858</v>
      </c>
      <c r="H28" s="766"/>
      <c r="I28" s="766"/>
      <c r="J28" s="767"/>
      <c r="K28" s="376"/>
    </row>
    <row r="29" spans="2:11" x14ac:dyDescent="0.25">
      <c r="B29" s="192"/>
      <c r="C29" s="185"/>
      <c r="D29" s="185"/>
      <c r="E29" s="164"/>
      <c r="G29" s="768"/>
      <c r="H29" s="769"/>
      <c r="I29" s="769"/>
      <c r="J29" s="770"/>
      <c r="K29" s="376"/>
    </row>
    <row r="30" spans="2:11" x14ac:dyDescent="0.25">
      <c r="B30" s="192"/>
      <c r="C30" s="185"/>
      <c r="D30" s="185"/>
      <c r="E30" s="164"/>
      <c r="G30" s="632" t="str">
        <f>'Budget Hearing Notice'!I24</f>
        <v xml:space="preserve"> </v>
      </c>
      <c r="H30" s="311" t="str">
        <f>CONCATENATE("",E1," Estimated Fund Mill Rate")</f>
        <v>2025 Estimated Fund Mill Rate</v>
      </c>
      <c r="I30" s="633"/>
      <c r="J30" s="634"/>
      <c r="K30" s="376"/>
    </row>
    <row r="31" spans="2:11" x14ac:dyDescent="0.25">
      <c r="B31" s="189" t="str">
        <f>CONCATENATE("Cash Reserve (",E1," column)")</f>
        <v>Cash Reserve (2025 column)</v>
      </c>
      <c r="C31" s="185"/>
      <c r="D31" s="185"/>
      <c r="E31" s="164"/>
      <c r="G31" s="635" t="str">
        <f>'Budget Hearing Notice'!F24</f>
        <v xml:space="preserve">  </v>
      </c>
      <c r="H31" s="311" t="str">
        <f>CONCATENATE("",E1-1," Fund Mill Rate")</f>
        <v>2024 Fund Mill Rate</v>
      </c>
      <c r="I31" s="633"/>
      <c r="J31" s="634"/>
      <c r="K31" s="376"/>
    </row>
    <row r="32" spans="2:11" x14ac:dyDescent="0.25">
      <c r="B32" s="189" t="s">
        <v>143</v>
      </c>
      <c r="C32" s="185"/>
      <c r="D32" s="185"/>
      <c r="E32" s="164"/>
      <c r="G32" s="636">
        <f>'Budget Hearing Notice'!I37</f>
        <v>0</v>
      </c>
      <c r="H32" s="637" t="s">
        <v>859</v>
      </c>
      <c r="I32" s="633"/>
      <c r="J32" s="634"/>
      <c r="K32" s="376"/>
    </row>
    <row r="33" spans="2:11" x14ac:dyDescent="0.25">
      <c r="B33" s="189" t="s">
        <v>145</v>
      </c>
      <c r="C33" s="282" t="str">
        <f>IF(C34*0.1&lt;C32,"Exceed 10% Rule","")</f>
        <v/>
      </c>
      <c r="D33" s="282" t="str">
        <f>IF(D34*0.1&lt;D32,"Exceed 10% Rule","")</f>
        <v/>
      </c>
      <c r="E33" s="198" t="str">
        <f>IF(E34*0.1&lt;E32,"Exceed 10% Rule","")</f>
        <v/>
      </c>
      <c r="G33" s="632">
        <f>'Budget Hearing Notice'!I36</f>
        <v>0</v>
      </c>
      <c r="H33" s="311" t="str">
        <f>CONCATENATE(E1," Estimated Total Mill Rate")</f>
        <v>2025 Estimated Total Mill Rate</v>
      </c>
      <c r="I33" s="633"/>
      <c r="J33" s="634"/>
      <c r="K33" s="376"/>
    </row>
    <row r="34" spans="2:11" x14ac:dyDescent="0.25">
      <c r="B34" s="196" t="s">
        <v>20</v>
      </c>
      <c r="C34" s="199">
        <f>SUM(C25:C32)</f>
        <v>0</v>
      </c>
      <c r="D34" s="199">
        <f>SUM(D25:D32)</f>
        <v>0</v>
      </c>
      <c r="E34" s="199">
        <f>SUM(E25:E32)</f>
        <v>0</v>
      </c>
      <c r="G34" s="638">
        <f>'Budget Hearing Notice'!F36</f>
        <v>0</v>
      </c>
      <c r="H34" s="311" t="str">
        <f>CONCATENATE(E1-1," Total Mill Rate")</f>
        <v>2024 Total Mill Rate</v>
      </c>
      <c r="I34" s="633"/>
      <c r="J34" s="634"/>
      <c r="K34" s="376"/>
    </row>
    <row r="35" spans="2:11" x14ac:dyDescent="0.25">
      <c r="B35" s="82" t="s">
        <v>79</v>
      </c>
      <c r="C35" s="494">
        <f>C23-C34</f>
        <v>0</v>
      </c>
      <c r="D35" s="494">
        <f>D23-D34</f>
        <v>0</v>
      </c>
      <c r="E35" s="188" t="s">
        <v>204</v>
      </c>
      <c r="G35" s="307"/>
      <c r="H35" s="308"/>
      <c r="I35" s="308"/>
      <c r="J35" s="309"/>
    </row>
    <row r="36" spans="2:11" x14ac:dyDescent="0.25">
      <c r="B36" s="110" t="str">
        <f>CONCATENATE("",E1-2,"/",E1-1,"/",E1," Budget Authority Amount:")</f>
        <v>2023/2024/2025 Budget Authority Amount:</v>
      </c>
      <c r="C36" s="494">
        <f>inputOth!B57</f>
        <v>0</v>
      </c>
      <c r="D36" s="494">
        <f>inputPrYr!D23</f>
        <v>0</v>
      </c>
      <c r="E36" s="169">
        <f>E34</f>
        <v>0</v>
      </c>
      <c r="F36" s="200"/>
      <c r="G36" s="771" t="s">
        <v>860</v>
      </c>
      <c r="H36" s="772"/>
      <c r="I36" s="772"/>
      <c r="J36" s="775" t="str">
        <f>IF(G33&gt;G32, "Yes", "No")</f>
        <v>No</v>
      </c>
    </row>
    <row r="37" spans="2:11" x14ac:dyDescent="0.25">
      <c r="B37" s="111"/>
      <c r="C37" s="761" t="s">
        <v>482</v>
      </c>
      <c r="D37" s="762"/>
      <c r="E37" s="164"/>
      <c r="F37" s="200" t="str">
        <f>IF(E34/0.95-E34&lt;E37,"Exceeds 5%","")</f>
        <v/>
      </c>
      <c r="G37" s="773"/>
      <c r="H37" s="774"/>
      <c r="I37" s="774"/>
      <c r="J37" s="776"/>
    </row>
    <row r="38" spans="2:11" x14ac:dyDescent="0.25">
      <c r="B38" s="291" t="str">
        <f>CONCATENATE(C101,"     ",D101)</f>
        <v xml:space="preserve">     </v>
      </c>
      <c r="C38" s="763" t="s">
        <v>483</v>
      </c>
      <c r="D38" s="764"/>
      <c r="E38" s="169">
        <f>E34+E37</f>
        <v>0</v>
      </c>
      <c r="G38" s="754" t="str">
        <f>IF(J36="Yes", "Follow procedure prescribed by KSA 79-2988 to exceed the Revenue Neutral Rate.", " ")</f>
        <v xml:space="preserve"> </v>
      </c>
      <c r="H38" s="754"/>
      <c r="I38" s="754"/>
      <c r="J38" s="754"/>
      <c r="K38" s="376"/>
    </row>
    <row r="39" spans="2:11" x14ac:dyDescent="0.25">
      <c r="B39" s="291" t="str">
        <f>CONCATENATE(C102,"     ",D102)</f>
        <v xml:space="preserve">     </v>
      </c>
      <c r="C39" s="257"/>
      <c r="D39" s="117" t="s">
        <v>22</v>
      </c>
      <c r="E39" s="494">
        <f>IF(E38-E23&gt;0,E38-E23,0)</f>
        <v>0</v>
      </c>
      <c r="G39" s="755"/>
      <c r="H39" s="755"/>
      <c r="I39" s="755"/>
      <c r="J39" s="755"/>
      <c r="K39" s="376"/>
    </row>
    <row r="40" spans="2:11" x14ac:dyDescent="0.25">
      <c r="B40" s="117"/>
      <c r="C40" s="296" t="s">
        <v>484</v>
      </c>
      <c r="D40" s="474">
        <f>inputOth!$E$45</f>
        <v>0</v>
      </c>
      <c r="E40" s="494">
        <f>ROUND(IF(D40&gt;0,(E39*D40),0),0)</f>
        <v>0</v>
      </c>
      <c r="G40" s="755"/>
      <c r="H40" s="755"/>
      <c r="I40" s="755"/>
      <c r="J40" s="755"/>
      <c r="K40" s="376"/>
    </row>
    <row r="41" spans="2:11" x14ac:dyDescent="0.25">
      <c r="B41" s="73"/>
      <c r="C41" s="759" t="str">
        <f>CONCATENATE("Amount of  ",$E$1-1," Ad Valorem Tax")</f>
        <v>Amount of  2024 Ad Valorem Tax</v>
      </c>
      <c r="D41" s="760"/>
      <c r="E41" s="494">
        <f>E39+E40</f>
        <v>0</v>
      </c>
      <c r="G41" s="376"/>
      <c r="H41" s="376"/>
      <c r="I41" s="376"/>
      <c r="J41" s="376"/>
      <c r="K41" s="376"/>
    </row>
    <row r="42" spans="2:11" x14ac:dyDescent="0.25">
      <c r="B42" s="73"/>
      <c r="C42" s="348"/>
      <c r="D42" s="73"/>
      <c r="E42" s="73"/>
      <c r="G42" s="376"/>
      <c r="H42" s="376"/>
      <c r="I42" s="376"/>
      <c r="J42" s="376"/>
      <c r="K42" s="376"/>
    </row>
    <row r="43" spans="2:11" x14ac:dyDescent="0.25">
      <c r="B43" s="73"/>
      <c r="C43" s="348"/>
      <c r="D43" s="73"/>
      <c r="E43" s="73"/>
      <c r="G43" s="376"/>
      <c r="H43" s="376"/>
      <c r="I43" s="376"/>
      <c r="J43" s="376"/>
      <c r="K43" s="376"/>
    </row>
    <row r="44" spans="2:11" x14ac:dyDescent="0.25">
      <c r="B44" s="77" t="s">
        <v>5</v>
      </c>
      <c r="C44" s="76"/>
      <c r="D44" s="76"/>
      <c r="E44" s="76"/>
      <c r="G44" s="376"/>
      <c r="H44" s="376"/>
      <c r="I44" s="376"/>
      <c r="J44" s="376"/>
      <c r="K44" s="376"/>
    </row>
    <row r="45" spans="2:11" x14ac:dyDescent="0.25">
      <c r="B45" s="73"/>
      <c r="C45" s="284" t="s">
        <v>6</v>
      </c>
      <c r="D45" s="286" t="s">
        <v>7</v>
      </c>
      <c r="E45" s="78" t="s">
        <v>8</v>
      </c>
      <c r="G45" s="376"/>
      <c r="H45" s="376"/>
      <c r="I45" s="376"/>
      <c r="J45" s="376"/>
      <c r="K45" s="376"/>
    </row>
    <row r="46" spans="2:11" x14ac:dyDescent="0.25">
      <c r="B46" s="294">
        <f>inputPrYr!B24</f>
        <v>0</v>
      </c>
      <c r="C46" s="285" t="str">
        <f>C5</f>
        <v>Actual for 2023</v>
      </c>
      <c r="D46" s="285" t="str">
        <f>D5</f>
        <v>Estimate for 2024</v>
      </c>
      <c r="E46" s="81" t="str">
        <f>E5</f>
        <v>Year for 2025</v>
      </c>
      <c r="G46" s="376"/>
      <c r="H46" s="376"/>
      <c r="I46" s="376"/>
      <c r="J46" s="376"/>
      <c r="K46" s="376"/>
    </row>
    <row r="47" spans="2:11" x14ac:dyDescent="0.25">
      <c r="B47" s="82" t="s">
        <v>78</v>
      </c>
      <c r="C47" s="185"/>
      <c r="D47" s="283">
        <f>C76</f>
        <v>0</v>
      </c>
      <c r="E47" s="169">
        <f>D76</f>
        <v>0</v>
      </c>
      <c r="G47" s="376"/>
      <c r="H47" s="376"/>
      <c r="I47" s="376"/>
      <c r="J47" s="376"/>
      <c r="K47" s="376"/>
    </row>
    <row r="48" spans="2:11" x14ac:dyDescent="0.25">
      <c r="B48" s="82" t="s">
        <v>80</v>
      </c>
      <c r="C48" s="283"/>
      <c r="D48" s="283"/>
      <c r="E48" s="188"/>
      <c r="G48" s="376"/>
      <c r="H48" s="376"/>
      <c r="I48" s="376"/>
      <c r="J48" s="376"/>
      <c r="K48" s="376"/>
    </row>
    <row r="49" spans="2:11" x14ac:dyDescent="0.25">
      <c r="B49" s="82" t="s">
        <v>10</v>
      </c>
      <c r="C49" s="185"/>
      <c r="D49" s="283">
        <f>IF(inputPrYr!H18&gt;0,inputPrYr!G26,inputPrYr!E24)</f>
        <v>0</v>
      </c>
      <c r="E49" s="188" t="s">
        <v>204</v>
      </c>
      <c r="G49" s="376"/>
      <c r="H49" s="376"/>
      <c r="I49" s="376"/>
      <c r="J49" s="376"/>
      <c r="K49" s="376"/>
    </row>
    <row r="50" spans="2:11" x14ac:dyDescent="0.25">
      <c r="B50" s="82" t="s">
        <v>11</v>
      </c>
      <c r="C50" s="185"/>
      <c r="D50" s="185"/>
      <c r="E50" s="164"/>
      <c r="G50" s="376"/>
      <c r="H50" s="376"/>
      <c r="I50" s="376"/>
      <c r="J50" s="376"/>
      <c r="K50" s="376"/>
    </row>
    <row r="51" spans="2:11" x14ac:dyDescent="0.25">
      <c r="B51" s="82" t="s">
        <v>12</v>
      </c>
      <c r="C51" s="185"/>
      <c r="D51" s="185"/>
      <c r="E51" s="169">
        <f>Mvalloc!D18</f>
        <v>0</v>
      </c>
      <c r="G51" s="376"/>
      <c r="H51" s="376"/>
      <c r="I51" s="376"/>
      <c r="J51" s="376"/>
      <c r="K51" s="376"/>
    </row>
    <row r="52" spans="2:11" x14ac:dyDescent="0.25">
      <c r="B52" s="82" t="s">
        <v>13</v>
      </c>
      <c r="C52" s="185"/>
      <c r="D52" s="185"/>
      <c r="E52" s="169">
        <f>Mvalloc!F18</f>
        <v>0</v>
      </c>
      <c r="G52" s="779" t="str">
        <f>CONCATENATE("Desired Carryover Into ",E1+1,"")</f>
        <v>Desired Carryover Into 2026</v>
      </c>
      <c r="H52" s="786"/>
      <c r="I52" s="786"/>
      <c r="J52" s="787"/>
      <c r="K52" s="376"/>
    </row>
    <row r="53" spans="2:11" x14ac:dyDescent="0.25">
      <c r="B53" s="82" t="s">
        <v>70</v>
      </c>
      <c r="C53" s="185"/>
      <c r="D53" s="185"/>
      <c r="E53" s="169">
        <f>Mvalloc!G18</f>
        <v>0</v>
      </c>
      <c r="G53" s="408"/>
      <c r="H53" s="409"/>
      <c r="I53" s="410"/>
      <c r="J53" s="411"/>
      <c r="K53" s="376"/>
    </row>
    <row r="54" spans="2:11" x14ac:dyDescent="0.25">
      <c r="B54" s="546" t="s">
        <v>591</v>
      </c>
      <c r="C54" s="185"/>
      <c r="D54" s="185"/>
      <c r="E54" s="169">
        <f>Mvalloc!H18</f>
        <v>0</v>
      </c>
      <c r="G54" s="412" t="s">
        <v>486</v>
      </c>
      <c r="H54" s="410"/>
      <c r="I54" s="410"/>
      <c r="J54" s="413">
        <v>0</v>
      </c>
      <c r="K54" s="376"/>
    </row>
    <row r="55" spans="2:11" x14ac:dyDescent="0.25">
      <c r="B55" s="546" t="s">
        <v>592</v>
      </c>
      <c r="C55" s="185"/>
      <c r="D55" s="185"/>
      <c r="E55" s="169">
        <f>Mvalloc!I18</f>
        <v>0</v>
      </c>
      <c r="G55" s="408" t="s">
        <v>487</v>
      </c>
      <c r="H55" s="409"/>
      <c r="I55" s="409"/>
      <c r="J55" s="414" t="str">
        <f>IF(J54=0,"",ROUND((J54+E82-G67)/inputOth!E7*1000,3)-G72)</f>
        <v/>
      </c>
      <c r="K55" s="376"/>
    </row>
    <row r="56" spans="2:11" x14ac:dyDescent="0.25">
      <c r="B56" s="192"/>
      <c r="C56" s="185"/>
      <c r="D56" s="185"/>
      <c r="E56" s="164"/>
      <c r="G56" s="415" t="str">
        <f>CONCATENATE("",E1," Tot Exp/Non-Appr Must Be:")</f>
        <v>2025 Tot Exp/Non-Appr Must Be:</v>
      </c>
      <c r="H56" s="416"/>
      <c r="I56" s="417"/>
      <c r="J56" s="418">
        <f>IF(J54&gt;0,IF(E79&lt;E64,IF(J54=G67,E79,((J54-G67)*(1-D81))+E64),E79+(J54-G67)),0)</f>
        <v>0</v>
      </c>
      <c r="K56" s="376"/>
    </row>
    <row r="57" spans="2:11" x14ac:dyDescent="0.25">
      <c r="B57" s="192"/>
      <c r="C57" s="185"/>
      <c r="D57" s="185"/>
      <c r="E57" s="164"/>
      <c r="G57" s="419" t="s">
        <v>551</v>
      </c>
      <c r="H57" s="420"/>
      <c r="I57" s="420"/>
      <c r="J57" s="421">
        <f>IF(J54&gt;0,J56-E79,0)</f>
        <v>0</v>
      </c>
      <c r="K57" s="376"/>
    </row>
    <row r="58" spans="2:11" x14ac:dyDescent="0.25">
      <c r="B58" s="192"/>
      <c r="C58" s="185"/>
      <c r="D58" s="185"/>
      <c r="E58" s="164"/>
      <c r="G58" s="376"/>
      <c r="H58" s="376"/>
      <c r="I58" s="376"/>
      <c r="J58" s="376"/>
      <c r="K58" s="376"/>
    </row>
    <row r="59" spans="2:11" x14ac:dyDescent="0.25">
      <c r="B59" s="192" t="s">
        <v>16</v>
      </c>
      <c r="C59" s="185"/>
      <c r="D59" s="185"/>
      <c r="E59" s="164"/>
      <c r="G59" s="779" t="str">
        <f>CONCATENATE("Projected Carryover Into ",E1+1,"")</f>
        <v>Projected Carryover Into 2026</v>
      </c>
      <c r="H59" s="788"/>
      <c r="I59" s="788"/>
      <c r="J59" s="789"/>
      <c r="K59" s="376"/>
    </row>
    <row r="60" spans="2:11" x14ac:dyDescent="0.25">
      <c r="B60" s="189" t="s">
        <v>146</v>
      </c>
      <c r="C60" s="185"/>
      <c r="D60" s="185"/>
      <c r="E60" s="494">
        <f>'NR Rebate'!E13*-1</f>
        <v>0</v>
      </c>
      <c r="G60" s="450"/>
      <c r="H60" s="409"/>
      <c r="I60" s="409"/>
      <c r="J60" s="451"/>
      <c r="K60" s="376"/>
    </row>
    <row r="61" spans="2:11" x14ac:dyDescent="0.25">
      <c r="B61" s="193" t="s">
        <v>143</v>
      </c>
      <c r="C61" s="185"/>
      <c r="D61" s="185"/>
      <c r="E61" s="164"/>
      <c r="G61" s="426">
        <f>D76</f>
        <v>0</v>
      </c>
      <c r="H61" s="427" t="str">
        <f>CONCATENATE("",E1-1," Ending Cash Balance (est.)")</f>
        <v>2024 Ending Cash Balance (est.)</v>
      </c>
      <c r="I61" s="428"/>
      <c r="J61" s="451"/>
      <c r="K61" s="376"/>
    </row>
    <row r="62" spans="2:11" x14ac:dyDescent="0.25">
      <c r="B62" s="193" t="s">
        <v>144</v>
      </c>
      <c r="C62" s="282" t="str">
        <f>IF(C63*0.1&lt;C61,"Exceed 10% Rule","")</f>
        <v/>
      </c>
      <c r="D62" s="282" t="str">
        <f>IF(D63*0.1&lt;D61,"Exceed 10% Rule","")</f>
        <v/>
      </c>
      <c r="E62" s="198" t="str">
        <f>IF((E82+E63)*0.1&lt;E61,"Exceed 10% Rule","")</f>
        <v/>
      </c>
      <c r="G62" s="426">
        <f>E63</f>
        <v>0</v>
      </c>
      <c r="H62" s="410" t="str">
        <f>CONCATENATE("",E1," Non-AV Receipts (est.)")</f>
        <v>2025 Non-AV Receipts (est.)</v>
      </c>
      <c r="I62" s="428"/>
      <c r="J62" s="451"/>
      <c r="K62" s="376"/>
    </row>
    <row r="63" spans="2:11" x14ac:dyDescent="0.25">
      <c r="B63" s="195" t="s">
        <v>17</v>
      </c>
      <c r="C63" s="199">
        <f>SUM(C49:C61)</f>
        <v>0</v>
      </c>
      <c r="D63" s="199">
        <f>SUM(D49:D61)</f>
        <v>0</v>
      </c>
      <c r="E63" s="199">
        <f>SUM(E49:E61)</f>
        <v>0</v>
      </c>
      <c r="G63" s="433">
        <f>IF(E81&gt;0,E80,E82)</f>
        <v>0</v>
      </c>
      <c r="H63" s="410" t="str">
        <f>CONCATENATE("",E1," Ad Valorem Tax (est.)")</f>
        <v>2025 Ad Valorem Tax (est.)</v>
      </c>
      <c r="I63" s="428"/>
      <c r="J63" s="451"/>
      <c r="K63" s="434" t="str">
        <f>IF(G63=E82,"","Note: Does not include Delinquent Taxes")</f>
        <v/>
      </c>
    </row>
    <row r="64" spans="2:11" x14ac:dyDescent="0.25">
      <c r="B64" s="196" t="s">
        <v>18</v>
      </c>
      <c r="C64" s="199">
        <f>C63+C47</f>
        <v>0</v>
      </c>
      <c r="D64" s="199">
        <f>D63+D47</f>
        <v>0</v>
      </c>
      <c r="E64" s="199">
        <f>E63+E47</f>
        <v>0</v>
      </c>
      <c r="G64" s="426">
        <f>SUM(G61:G63)</f>
        <v>0</v>
      </c>
      <c r="H64" s="410" t="str">
        <f>CONCATENATE("Total ",E1," Resources Available")</f>
        <v>Total 2025 Resources Available</v>
      </c>
      <c r="I64" s="454"/>
      <c r="J64" s="451"/>
      <c r="K64" s="376"/>
    </row>
    <row r="65" spans="2:11" x14ac:dyDescent="0.25">
      <c r="B65" s="82" t="s">
        <v>19</v>
      </c>
      <c r="C65" s="283"/>
      <c r="D65" s="283"/>
      <c r="E65" s="169"/>
      <c r="G65" s="455"/>
      <c r="H65" s="456"/>
      <c r="I65" s="409"/>
      <c r="J65" s="451"/>
      <c r="K65" s="376"/>
    </row>
    <row r="66" spans="2:11" x14ac:dyDescent="0.25">
      <c r="B66" s="192"/>
      <c r="C66" s="185"/>
      <c r="D66" s="185"/>
      <c r="E66" s="164"/>
      <c r="G66" s="433">
        <f>ROUND(C75*0.05+C75,0)</f>
        <v>0</v>
      </c>
      <c r="H66" s="410" t="str">
        <f>CONCATENATE("Less ",E1-2," Expenditures + 5%")</f>
        <v>Less 2023 Expenditures + 5%</v>
      </c>
      <c r="I66" s="454"/>
      <c r="J66" s="451"/>
      <c r="K66" s="376"/>
    </row>
    <row r="67" spans="2:11" x14ac:dyDescent="0.25">
      <c r="B67" s="192"/>
      <c r="C67" s="185"/>
      <c r="D67" s="185"/>
      <c r="E67" s="164"/>
      <c r="G67" s="440">
        <f>G64-G66</f>
        <v>0</v>
      </c>
      <c r="H67" s="441" t="str">
        <f>CONCATENATE("Projected ",E1+1," carryover (est.)")</f>
        <v>Projected 2026 carryover (est.)</v>
      </c>
      <c r="I67" s="457"/>
      <c r="J67" s="458"/>
      <c r="K67" s="376"/>
    </row>
    <row r="68" spans="2:11" x14ac:dyDescent="0.25">
      <c r="B68" s="192"/>
      <c r="C68" s="185"/>
      <c r="D68" s="185"/>
      <c r="E68" s="164"/>
      <c r="G68" s="376"/>
      <c r="H68" s="376"/>
      <c r="I68" s="376"/>
      <c r="J68" s="376"/>
      <c r="K68" s="376"/>
    </row>
    <row r="69" spans="2:11" x14ac:dyDescent="0.25">
      <c r="B69" s="192"/>
      <c r="C69" s="185"/>
      <c r="D69" s="185"/>
      <c r="E69" s="164"/>
      <c r="G69" s="765" t="s">
        <v>858</v>
      </c>
      <c r="H69" s="766"/>
      <c r="I69" s="766"/>
      <c r="J69" s="767"/>
      <c r="K69" s="376"/>
    </row>
    <row r="70" spans="2:11" x14ac:dyDescent="0.25">
      <c r="B70" s="192"/>
      <c r="C70" s="185"/>
      <c r="D70" s="185"/>
      <c r="E70" s="164"/>
      <c r="G70" s="768"/>
      <c r="H70" s="769"/>
      <c r="I70" s="769"/>
      <c r="J70" s="770"/>
      <c r="K70" s="376"/>
    </row>
    <row r="71" spans="2:11" x14ac:dyDescent="0.25">
      <c r="B71" s="192"/>
      <c r="C71" s="185"/>
      <c r="D71" s="185"/>
      <c r="E71" s="164"/>
      <c r="G71" s="632" t="str">
        <f>'Budget Hearing Notice'!I25</f>
        <v xml:space="preserve"> </v>
      </c>
      <c r="H71" s="311" t="str">
        <f>CONCATENATE("",E1," Estimated Fund Mill Rate")</f>
        <v>2025 Estimated Fund Mill Rate</v>
      </c>
      <c r="I71" s="633"/>
      <c r="J71" s="634"/>
      <c r="K71" s="376"/>
    </row>
    <row r="72" spans="2:11" x14ac:dyDescent="0.25">
      <c r="B72" s="189" t="str">
        <f>CONCATENATE("Cash Reserve (",E1," column)")</f>
        <v>Cash Reserve (2025 column)</v>
      </c>
      <c r="C72" s="185"/>
      <c r="D72" s="185"/>
      <c r="E72" s="164"/>
      <c r="G72" s="635" t="str">
        <f>'Budget Hearing Notice'!F25</f>
        <v xml:space="preserve">  </v>
      </c>
      <c r="H72" s="311" t="str">
        <f>CONCATENATE("",E1-1," Fund Mill Rate")</f>
        <v>2024 Fund Mill Rate</v>
      </c>
      <c r="I72" s="633"/>
      <c r="J72" s="634"/>
      <c r="K72" s="376"/>
    </row>
    <row r="73" spans="2:11" x14ac:dyDescent="0.25">
      <c r="B73" s="189" t="s">
        <v>143</v>
      </c>
      <c r="C73" s="185"/>
      <c r="D73" s="185"/>
      <c r="E73" s="164"/>
      <c r="G73" s="636">
        <f>'Budget Hearing Notice'!I37</f>
        <v>0</v>
      </c>
      <c r="H73" s="637" t="s">
        <v>859</v>
      </c>
      <c r="I73" s="633"/>
      <c r="J73" s="634"/>
      <c r="K73" s="376"/>
    </row>
    <row r="74" spans="2:11" x14ac:dyDescent="0.25">
      <c r="B74" s="189" t="s">
        <v>145</v>
      </c>
      <c r="C74" s="282" t="str">
        <f>IF(C75*0.1&lt;C73,"Exceed 10% Rule","")</f>
        <v/>
      </c>
      <c r="D74" s="282" t="str">
        <f>IF(D75*0.1&lt;D73,"Exceed 10% Rule","")</f>
        <v/>
      </c>
      <c r="E74" s="198" t="str">
        <f>IF(E75*0.1&lt;E73,"Exceed 10% Rule","")</f>
        <v/>
      </c>
      <c r="G74" s="632">
        <f>'Budget Hearing Notice'!I36</f>
        <v>0</v>
      </c>
      <c r="H74" s="311" t="str">
        <f>CONCATENATE(E1," Estimated Total Mill Rate")</f>
        <v>2025 Estimated Total Mill Rate</v>
      </c>
      <c r="I74" s="633"/>
      <c r="J74" s="634"/>
      <c r="K74" s="376"/>
    </row>
    <row r="75" spans="2:11" x14ac:dyDescent="0.25">
      <c r="B75" s="196" t="s">
        <v>20</v>
      </c>
      <c r="C75" s="199">
        <f>SUM(C66:C73)</f>
        <v>0</v>
      </c>
      <c r="D75" s="199">
        <f>SUM(D66:D73)</f>
        <v>0</v>
      </c>
      <c r="E75" s="199">
        <f>SUM(E66:E73)</f>
        <v>0</v>
      </c>
      <c r="G75" s="638">
        <f>'Budget Hearing Notice'!F36</f>
        <v>0</v>
      </c>
      <c r="H75" s="311" t="str">
        <f>CONCATENATE(E1-1," Total Mill Rate")</f>
        <v>2024 Total Mill Rate</v>
      </c>
      <c r="I75" s="633"/>
      <c r="J75" s="634"/>
    </row>
    <row r="76" spans="2:11" x14ac:dyDescent="0.25">
      <c r="B76" s="82" t="s">
        <v>79</v>
      </c>
      <c r="C76" s="169">
        <f>C64-C75</f>
        <v>0</v>
      </c>
      <c r="D76" s="169">
        <f>D64-D75</f>
        <v>0</v>
      </c>
      <c r="E76" s="188" t="s">
        <v>204</v>
      </c>
      <c r="G76" s="307"/>
      <c r="H76" s="308"/>
      <c r="I76" s="308"/>
      <c r="J76" s="309"/>
    </row>
    <row r="77" spans="2:11" x14ac:dyDescent="0.25">
      <c r="B77" s="110" t="str">
        <f>CONCATENATE("",E1-2,"/",E1-1,"/",E1," Budget Authority Amount:")</f>
        <v>2023/2024/2025 Budget Authority Amount:</v>
      </c>
      <c r="C77" s="494">
        <f>inputOth!B58</f>
        <v>0</v>
      </c>
      <c r="D77" s="494">
        <f>inputPrYr!D24</f>
        <v>0</v>
      </c>
      <c r="E77" s="169">
        <f>E75</f>
        <v>0</v>
      </c>
      <c r="F77" s="200"/>
      <c r="G77" s="771" t="s">
        <v>860</v>
      </c>
      <c r="H77" s="772"/>
      <c r="I77" s="772"/>
      <c r="J77" s="775" t="str">
        <f>IF(G74&gt;G73, "Yes", "No")</f>
        <v>No</v>
      </c>
    </row>
    <row r="78" spans="2:11" x14ac:dyDescent="0.25">
      <c r="B78" s="111"/>
      <c r="C78" s="761" t="s">
        <v>482</v>
      </c>
      <c r="D78" s="762"/>
      <c r="E78" s="164"/>
      <c r="F78" s="200" t="str">
        <f>IF(E75/0.95-E75&lt;E78,"Exceeds 5%","")</f>
        <v/>
      </c>
      <c r="G78" s="773"/>
      <c r="H78" s="774"/>
      <c r="I78" s="774"/>
      <c r="J78" s="776"/>
    </row>
    <row r="79" spans="2:11" x14ac:dyDescent="0.25">
      <c r="B79" s="291" t="str">
        <f>CONCATENATE(C103,"     ",D103)</f>
        <v xml:space="preserve">     </v>
      </c>
      <c r="C79" s="763" t="s">
        <v>483</v>
      </c>
      <c r="D79" s="764"/>
      <c r="E79" s="169">
        <f>E75+E78</f>
        <v>0</v>
      </c>
      <c r="G79" s="754" t="str">
        <f>IF(J77="Yes", "Follow procedure prescribed by KSA 79-2988 to exceed the Revenue Neutral Rate.", " ")</f>
        <v xml:space="preserve"> </v>
      </c>
      <c r="H79" s="754"/>
      <c r="I79" s="754"/>
      <c r="J79" s="754"/>
    </row>
    <row r="80" spans="2:11" x14ac:dyDescent="0.25">
      <c r="B80" s="291" t="str">
        <f>CONCATENATE(C104,"      ",D104)</f>
        <v xml:space="preserve">      </v>
      </c>
      <c r="C80" s="257"/>
      <c r="D80" s="117" t="s">
        <v>22</v>
      </c>
      <c r="E80" s="169">
        <f>IF(E79-E64&gt;0,E79-E64,0)</f>
        <v>0</v>
      </c>
      <c r="G80" s="755"/>
      <c r="H80" s="755"/>
      <c r="I80" s="755"/>
      <c r="J80" s="755"/>
    </row>
    <row r="81" spans="2:10" x14ac:dyDescent="0.25">
      <c r="B81" s="117"/>
      <c r="C81" s="296" t="s">
        <v>484</v>
      </c>
      <c r="D81" s="474">
        <f>inputOth!$E$45</f>
        <v>0</v>
      </c>
      <c r="E81" s="169">
        <f>ROUND(IF(D81&gt;0,(E80*D81),0),0)</f>
        <v>0</v>
      </c>
      <c r="G81" s="755"/>
      <c r="H81" s="755"/>
      <c r="I81" s="755"/>
      <c r="J81" s="755"/>
    </row>
    <row r="82" spans="2:10" x14ac:dyDescent="0.25">
      <c r="B82" s="73"/>
      <c r="C82" s="759" t="str">
        <f>CONCATENATE("Amount of  ",$E$1-1," Ad Valorem Tax")</f>
        <v>Amount of  2024 Ad Valorem Tax</v>
      </c>
      <c r="D82" s="760"/>
      <c r="E82" s="169">
        <f>E80+E81</f>
        <v>0</v>
      </c>
    </row>
    <row r="83" spans="2:10" x14ac:dyDescent="0.25">
      <c r="B83" s="73"/>
      <c r="C83" s="348"/>
      <c r="D83" s="348"/>
      <c r="E83" s="348"/>
    </row>
    <row r="84" spans="2:10" x14ac:dyDescent="0.25">
      <c r="B84" s="554" t="s">
        <v>729</v>
      </c>
      <c r="C84" s="567"/>
      <c r="D84" s="567"/>
      <c r="E84" s="568"/>
    </row>
    <row r="85" spans="2:10" x14ac:dyDescent="0.25">
      <c r="B85" s="307"/>
      <c r="C85" s="348"/>
      <c r="D85" s="348"/>
      <c r="E85" s="569"/>
    </row>
    <row r="86" spans="2:10" x14ac:dyDescent="0.25">
      <c r="B86" s="555"/>
      <c r="C86" s="570"/>
      <c r="D86" s="570"/>
      <c r="E86" s="571"/>
    </row>
    <row r="87" spans="2:10" x14ac:dyDescent="0.25">
      <c r="B87" s="73"/>
      <c r="C87" s="348"/>
      <c r="D87" s="348"/>
      <c r="E87" s="348"/>
    </row>
    <row r="88" spans="2:10" x14ac:dyDescent="0.25">
      <c r="B88" s="117" t="s">
        <v>4</v>
      </c>
      <c r="C88" s="506"/>
      <c r="D88" s="73"/>
      <c r="E88" s="348"/>
    </row>
    <row r="89" spans="2:10" x14ac:dyDescent="0.25">
      <c r="B89" s="107"/>
    </row>
    <row r="96" spans="2:10" hidden="1" x14ac:dyDescent="0.25"/>
    <row r="97" spans="3:4" hidden="1" x14ac:dyDescent="0.25"/>
    <row r="98" spans="3:4" hidden="1" x14ac:dyDescent="0.25"/>
    <row r="99" spans="3:4" hidden="1" x14ac:dyDescent="0.25"/>
    <row r="101" spans="3:4" x14ac:dyDescent="0.25">
      <c r="C101" s="130" t="str">
        <f>IF(C34&gt;C36,"See Tab A","")</f>
        <v/>
      </c>
      <c r="D101" s="130" t="str">
        <f>IF(D34&gt;D36,"See Tab C","")</f>
        <v/>
      </c>
    </row>
    <row r="102" spans="3:4" x14ac:dyDescent="0.25">
      <c r="C102" s="130" t="str">
        <f>IF(C35&lt;0,"See Tab B","")</f>
        <v/>
      </c>
      <c r="D102" s="130" t="str">
        <f>IF(D35&lt;0,"See Tab D","")</f>
        <v/>
      </c>
    </row>
    <row r="103" spans="3:4" x14ac:dyDescent="0.25">
      <c r="C103" s="130" t="str">
        <f>IF(C75&gt;C77,"See Tab A","")</f>
        <v/>
      </c>
      <c r="D103" s="130" t="str">
        <f>IF(D75&gt;D77,"See Tab C","")</f>
        <v/>
      </c>
    </row>
    <row r="104" spans="3:4" x14ac:dyDescent="0.25">
      <c r="C104" s="130" t="str">
        <f>IF(C76&lt;0,"SeeTab B","")</f>
        <v/>
      </c>
      <c r="D104" s="130" t="str">
        <f>IF(D76&lt;0,"See Tab D","")</f>
        <v/>
      </c>
    </row>
  </sheetData>
  <sheetProtection sheet="1"/>
  <mergeCells count="18">
    <mergeCell ref="J36:J37"/>
    <mergeCell ref="G38:J40"/>
    <mergeCell ref="C37:D37"/>
    <mergeCell ref="C38:D38"/>
    <mergeCell ref="G11:J11"/>
    <mergeCell ref="G18:J18"/>
    <mergeCell ref="G28:J29"/>
    <mergeCell ref="G36:I37"/>
    <mergeCell ref="C82:D82"/>
    <mergeCell ref="C41:D41"/>
    <mergeCell ref="C78:D78"/>
    <mergeCell ref="C79:D79"/>
    <mergeCell ref="G52:J52"/>
    <mergeCell ref="G59:J59"/>
    <mergeCell ref="G69:J70"/>
    <mergeCell ref="G77:I78"/>
    <mergeCell ref="J77:J78"/>
    <mergeCell ref="G79:J81"/>
  </mergeCells>
  <phoneticPr fontId="0" type="noConversion"/>
  <conditionalFormatting sqref="C20">
    <cfRule type="cellIs" dxfId="118" priority="23" stopIfTrue="1" operator="greaterThan">
      <formula>$C$22*0.1</formula>
    </cfRule>
  </conditionalFormatting>
  <conditionalFormatting sqref="C32">
    <cfRule type="cellIs" dxfId="117" priority="20" stopIfTrue="1" operator="greaterThan">
      <formula>$C$34*0.1</formula>
    </cfRule>
  </conditionalFormatting>
  <conditionalFormatting sqref="C34">
    <cfRule type="expression" dxfId="116" priority="8">
      <formula>$C$34&gt;$C$36</formula>
    </cfRule>
  </conditionalFormatting>
  <conditionalFormatting sqref="C35">
    <cfRule type="expression" dxfId="115" priority="7">
      <formula>$C$35&lt;0</formula>
    </cfRule>
  </conditionalFormatting>
  <conditionalFormatting sqref="C61">
    <cfRule type="cellIs" dxfId="114" priority="17" stopIfTrue="1" operator="greaterThan">
      <formula>$C$63*0.1</formula>
    </cfRule>
  </conditionalFormatting>
  <conditionalFormatting sqref="C73">
    <cfRule type="cellIs" dxfId="113" priority="14" stopIfTrue="1" operator="greaterThan">
      <formula>$C$75*0.1</formula>
    </cfRule>
  </conditionalFormatting>
  <conditionalFormatting sqref="C75">
    <cfRule type="expression" dxfId="112" priority="4">
      <formula>$C$75&gt;$C$77</formula>
    </cfRule>
  </conditionalFormatting>
  <conditionalFormatting sqref="C76">
    <cfRule type="expression" dxfId="111" priority="3">
      <formula>$C$76&lt;0</formula>
    </cfRule>
  </conditionalFormatting>
  <conditionalFormatting sqref="D20">
    <cfRule type="cellIs" dxfId="110" priority="24" stopIfTrue="1" operator="greaterThan">
      <formula>$D$22*0.1</formula>
    </cfRule>
  </conditionalFormatting>
  <conditionalFormatting sqref="D32">
    <cfRule type="cellIs" dxfId="109" priority="21" stopIfTrue="1" operator="greaterThan">
      <formula>$D$34*0.1</formula>
    </cfRule>
  </conditionalFormatting>
  <conditionalFormatting sqref="D34">
    <cfRule type="expression" dxfId="108" priority="6">
      <formula>$D$34&gt;$D$36</formula>
    </cfRule>
  </conditionalFormatting>
  <conditionalFormatting sqref="D35">
    <cfRule type="expression" dxfId="107" priority="5">
      <formula>$D$35&lt;0</formula>
    </cfRule>
  </conditionalFormatting>
  <conditionalFormatting sqref="D61">
    <cfRule type="cellIs" dxfId="106" priority="18" stopIfTrue="1" operator="greaterThan">
      <formula>$D$63*0.1</formula>
    </cfRule>
  </conditionalFormatting>
  <conditionalFormatting sqref="D73">
    <cfRule type="cellIs" dxfId="105" priority="15" stopIfTrue="1" operator="greaterThan">
      <formula>$D$75*0.1</formula>
    </cfRule>
  </conditionalFormatting>
  <conditionalFormatting sqref="D75">
    <cfRule type="expression" dxfId="104" priority="2">
      <formula>$D$75&gt;$D$77</formula>
    </cfRule>
  </conditionalFormatting>
  <conditionalFormatting sqref="D76">
    <cfRule type="expression" dxfId="103" priority="1">
      <formula>$D$76&lt;0</formula>
    </cfRule>
  </conditionalFormatting>
  <conditionalFormatting sqref="E20">
    <cfRule type="cellIs" dxfId="102" priority="44" stopIfTrue="1" operator="greaterThan">
      <formula>$E$22*0.1+$E$41</formula>
    </cfRule>
  </conditionalFormatting>
  <conditionalFormatting sqref="E32">
    <cfRule type="cellIs" dxfId="101" priority="22" stopIfTrue="1" operator="greaterThan">
      <formula>$E$34*0.1</formula>
    </cfRule>
  </conditionalFormatting>
  <conditionalFormatting sqref="E37">
    <cfRule type="cellIs" dxfId="100" priority="19" stopIfTrue="1" operator="greaterThan">
      <formula>$E$34/0.95-$E$34</formula>
    </cfRule>
  </conditionalFormatting>
  <conditionalFormatting sqref="E61">
    <cfRule type="cellIs" dxfId="99" priority="45" stopIfTrue="1" operator="greaterThan">
      <formula>$E$63*0.1+$E$82</formula>
    </cfRule>
  </conditionalFormatting>
  <conditionalFormatting sqref="E73">
    <cfRule type="cellIs" dxfId="98" priority="16" stopIfTrue="1" operator="greaterThan">
      <formula>$E$75*0.1</formula>
    </cfRule>
  </conditionalFormatting>
  <conditionalFormatting sqref="E78">
    <cfRule type="cellIs" dxfId="97" priority="13" stopIfTrue="1" operator="greaterThan">
      <formula>$E$75/0.95-$E$75</formula>
    </cfRule>
  </conditionalFormatting>
  <conditionalFormatting sqref="J36">
    <cfRule type="containsText" dxfId="96" priority="9" operator="containsText" text="Yes">
      <formula>NOT(ISERROR(SEARCH("Yes",J36)))</formula>
    </cfRule>
  </conditionalFormatting>
  <conditionalFormatting sqref="J77">
    <cfRule type="containsText" dxfId="95" priority="10" operator="containsText" text="Yes">
      <formula>NOT(ISERROR(SEARCH("Yes",J77)))</formula>
    </cfRule>
  </conditionalFormatting>
  <pageMargins left="0.9" right="0.9" top="0.96" bottom="0.5" header="0.41" footer="0.3"/>
  <pageSetup scale="68"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B1:K104"/>
  <sheetViews>
    <sheetView workbookViewId="0">
      <selection activeCell="F1" sqref="F1"/>
    </sheetView>
  </sheetViews>
  <sheetFormatPr defaultRowHeight="15.75" x14ac:dyDescent="0.25"/>
  <cols>
    <col min="1" max="1" width="2.3984375" style="130" customWidth="1"/>
    <col min="2" max="2" width="31" style="130" customWidth="1"/>
    <col min="3" max="4" width="15.69921875" style="130" customWidth="1"/>
    <col min="5" max="5" width="13.69921875" style="130" customWidth="1"/>
    <col min="6" max="6" width="8.796875" style="130"/>
    <col min="7" max="7" width="9.69921875" style="130" customWidth="1"/>
    <col min="8" max="8" width="8.796875" style="130"/>
    <col min="9" max="9" width="4.69921875" style="130" customWidth="1"/>
    <col min="10" max="10" width="9.69921875" style="130" customWidth="1"/>
    <col min="11" max="16384" width="8.796875" style="130"/>
  </cols>
  <sheetData>
    <row r="1" spans="2:11" x14ac:dyDescent="0.25">
      <c r="B1" s="112">
        <f>inputPrYr!D3</f>
        <v>0</v>
      </c>
      <c r="C1" s="73"/>
      <c r="D1" s="73"/>
      <c r="E1" s="111">
        <f>inputPrYr!D6</f>
        <v>2025</v>
      </c>
    </row>
    <row r="2" spans="2:11" x14ac:dyDescent="0.25">
      <c r="B2" s="115"/>
      <c r="C2" s="73"/>
      <c r="D2" s="127"/>
      <c r="E2" s="75"/>
    </row>
    <row r="3" spans="2:11" x14ac:dyDescent="0.25">
      <c r="B3" s="297" t="s">
        <v>485</v>
      </c>
      <c r="C3" s="76"/>
      <c r="D3" s="76"/>
      <c r="E3" s="76"/>
    </row>
    <row r="4" spans="2:11" x14ac:dyDescent="0.25">
      <c r="B4" s="77" t="s">
        <v>5</v>
      </c>
      <c r="C4" s="284" t="s">
        <v>6</v>
      </c>
      <c r="D4" s="286" t="s">
        <v>7</v>
      </c>
      <c r="E4" s="78" t="s">
        <v>8</v>
      </c>
    </row>
    <row r="5" spans="2:11" x14ac:dyDescent="0.25">
      <c r="B5" s="293">
        <f>inputPrYr!B25</f>
        <v>0</v>
      </c>
      <c r="C5" s="285" t="str">
        <f>General!C5</f>
        <v>Actual for 2023</v>
      </c>
      <c r="D5" s="285" t="str">
        <f>General!D5</f>
        <v>Estimate for 2024</v>
      </c>
      <c r="E5" s="81" t="str">
        <f>General!E5</f>
        <v>Year for 2025</v>
      </c>
    </row>
    <row r="6" spans="2:11" x14ac:dyDescent="0.25">
      <c r="B6" s="82" t="s">
        <v>78</v>
      </c>
      <c r="C6" s="185"/>
      <c r="D6" s="283">
        <f>C35</f>
        <v>0</v>
      </c>
      <c r="E6" s="169">
        <f>D35</f>
        <v>0</v>
      </c>
    </row>
    <row r="7" spans="2:11" x14ac:dyDescent="0.25">
      <c r="B7" s="82" t="s">
        <v>80</v>
      </c>
      <c r="C7" s="283"/>
      <c r="D7" s="283"/>
      <c r="E7" s="188"/>
    </row>
    <row r="8" spans="2:11" x14ac:dyDescent="0.25">
      <c r="B8" s="82" t="s">
        <v>10</v>
      </c>
      <c r="C8" s="185"/>
      <c r="D8" s="283">
        <f>IF(inputPrYr!H18&gt;0,inputPrYr!G27,inputPrYr!E25)</f>
        <v>0</v>
      </c>
      <c r="E8" s="188" t="s">
        <v>204</v>
      </c>
    </row>
    <row r="9" spans="2:11" x14ac:dyDescent="0.25">
      <c r="B9" s="82" t="s">
        <v>11</v>
      </c>
      <c r="C9" s="185"/>
      <c r="D9" s="185"/>
      <c r="E9" s="164"/>
    </row>
    <row r="10" spans="2:11" x14ac:dyDescent="0.25">
      <c r="B10" s="82" t="s">
        <v>12</v>
      </c>
      <c r="C10" s="185"/>
      <c r="D10" s="185"/>
      <c r="E10" s="169">
        <f>Mvalloc!D19</f>
        <v>0</v>
      </c>
      <c r="G10" s="779" t="str">
        <f>CONCATENATE("Desired Carryover Into ",E1+1,"")</f>
        <v>Desired Carryover Into 2026</v>
      </c>
      <c r="H10" s="786"/>
      <c r="I10" s="786"/>
      <c r="J10" s="787"/>
      <c r="K10" s="376"/>
    </row>
    <row r="11" spans="2:11" x14ac:dyDescent="0.25">
      <c r="B11" s="82" t="s">
        <v>13</v>
      </c>
      <c r="C11" s="185"/>
      <c r="D11" s="185"/>
      <c r="E11" s="169">
        <f>Mvalloc!F19</f>
        <v>0</v>
      </c>
      <c r="G11" s="408"/>
      <c r="H11" s="409"/>
      <c r="I11" s="410"/>
      <c r="J11" s="411"/>
      <c r="K11" s="376"/>
    </row>
    <row r="12" spans="2:11" x14ac:dyDescent="0.25">
      <c r="B12" s="82" t="s">
        <v>70</v>
      </c>
      <c r="C12" s="185"/>
      <c r="D12" s="185"/>
      <c r="E12" s="169">
        <f>Mvalloc!G19</f>
        <v>0</v>
      </c>
      <c r="G12" s="412" t="s">
        <v>486</v>
      </c>
      <c r="H12" s="410"/>
      <c r="I12" s="410"/>
      <c r="J12" s="413">
        <v>0</v>
      </c>
      <c r="K12" s="376"/>
    </row>
    <row r="13" spans="2:11" x14ac:dyDescent="0.25">
      <c r="B13" s="546" t="s">
        <v>591</v>
      </c>
      <c r="C13" s="185"/>
      <c r="D13" s="185"/>
      <c r="E13" s="169">
        <f>Mvalloc!H19</f>
        <v>0</v>
      </c>
      <c r="G13" s="408" t="s">
        <v>487</v>
      </c>
      <c r="H13" s="409"/>
      <c r="I13" s="409"/>
      <c r="J13" s="414" t="str">
        <f>IF(J12=0,"",ROUND((J12+E41-G25)/inputOth!E7*1000,3)-G30)</f>
        <v/>
      </c>
      <c r="K13" s="376"/>
    </row>
    <row r="14" spans="2:11" x14ac:dyDescent="0.25">
      <c r="B14" s="546" t="s">
        <v>592</v>
      </c>
      <c r="C14" s="185"/>
      <c r="D14" s="185"/>
      <c r="E14" s="169">
        <f>Mvalloc!I19</f>
        <v>0</v>
      </c>
      <c r="G14" s="415" t="str">
        <f>CONCATENATE("",E1," Tot Exp/Non-Appr Must Be:")</f>
        <v>2025 Tot Exp/Non-Appr Must Be:</v>
      </c>
      <c r="H14" s="416"/>
      <c r="I14" s="417"/>
      <c r="J14" s="418">
        <f>IF(J12&gt;0,IF(E38&lt;E23,IF(J12=G25,E38,((J12-G25)*(1-D40))+E23),E38+(J12-G25)),0)</f>
        <v>0</v>
      </c>
      <c r="K14" s="376"/>
    </row>
    <row r="15" spans="2:11" x14ac:dyDescent="0.25">
      <c r="B15" s="192"/>
      <c r="C15" s="185"/>
      <c r="D15" s="185"/>
      <c r="E15" s="164"/>
      <c r="G15" s="419" t="s">
        <v>551</v>
      </c>
      <c r="H15" s="420"/>
      <c r="I15" s="420"/>
      <c r="J15" s="421">
        <f>IF(J12&gt;0,J14-E38,0)</f>
        <v>0</v>
      </c>
      <c r="K15" s="376"/>
    </row>
    <row r="16" spans="2:11" x14ac:dyDescent="0.25">
      <c r="B16" s="192"/>
      <c r="C16" s="185"/>
      <c r="D16" s="185"/>
      <c r="E16" s="164"/>
      <c r="G16" s="376"/>
      <c r="H16" s="376"/>
      <c r="I16" s="376"/>
      <c r="J16" s="376"/>
      <c r="K16" s="376"/>
    </row>
    <row r="17" spans="2:11" x14ac:dyDescent="0.25">
      <c r="B17" s="192"/>
      <c r="C17" s="185"/>
      <c r="D17" s="185"/>
      <c r="E17" s="164"/>
      <c r="G17" s="779" t="str">
        <f>CONCATENATE("Projected Carryover Into ",E1+1,"")</f>
        <v>Projected Carryover Into 2026</v>
      </c>
      <c r="H17" s="790"/>
      <c r="I17" s="790"/>
      <c r="J17" s="789"/>
      <c r="K17" s="376"/>
    </row>
    <row r="18" spans="2:11" x14ac:dyDescent="0.25">
      <c r="B18" s="192" t="s">
        <v>16</v>
      </c>
      <c r="C18" s="185"/>
      <c r="D18" s="185"/>
      <c r="E18" s="164"/>
      <c r="G18" s="408"/>
      <c r="H18" s="410"/>
      <c r="I18" s="410"/>
      <c r="J18" s="423"/>
      <c r="K18" s="376"/>
    </row>
    <row r="19" spans="2:11" x14ac:dyDescent="0.25">
      <c r="B19" s="189" t="s">
        <v>146</v>
      </c>
      <c r="C19" s="185"/>
      <c r="D19" s="185"/>
      <c r="E19" s="169">
        <f>'NR Rebate'!E14*-1</f>
        <v>0</v>
      </c>
      <c r="G19" s="426">
        <f>D35</f>
        <v>0</v>
      </c>
      <c r="H19" s="427" t="str">
        <f>CONCATENATE("",E1-1," Ending Cash Balance (est.)")</f>
        <v>2024 Ending Cash Balance (est.)</v>
      </c>
      <c r="I19" s="428"/>
      <c r="J19" s="423"/>
      <c r="K19" s="376"/>
    </row>
    <row r="20" spans="2:11" x14ac:dyDescent="0.25">
      <c r="B20" s="193" t="s">
        <v>143</v>
      </c>
      <c r="C20" s="185"/>
      <c r="D20" s="185"/>
      <c r="E20" s="164"/>
      <c r="G20" s="426">
        <f>E22</f>
        <v>0</v>
      </c>
      <c r="H20" s="410" t="str">
        <f>CONCATENATE("",E1," Non-AV Receipts (est.)")</f>
        <v>2025 Non-AV Receipts (est.)</v>
      </c>
      <c r="I20" s="428"/>
      <c r="J20" s="423"/>
      <c r="K20" s="376"/>
    </row>
    <row r="21" spans="2:11" x14ac:dyDescent="0.2">
      <c r="B21" s="193" t="s">
        <v>144</v>
      </c>
      <c r="C21" s="282" t="str">
        <f>IF(C22*0.1&lt;C20,"Exceed 10% Rule","")</f>
        <v/>
      </c>
      <c r="D21" s="282" t="str">
        <f>IF(D22*0.1&lt;D20,"Exceed 10% Rule","")</f>
        <v/>
      </c>
      <c r="E21" s="198" t="str">
        <f>IF((E41+E22)*0.1&lt;E20,"Exceed 10% Rule","")</f>
        <v/>
      </c>
      <c r="G21" s="433">
        <f>IF(E40&gt;0,E39,E41)</f>
        <v>0</v>
      </c>
      <c r="H21" s="410" t="str">
        <f>CONCATENATE("",E1," Ad Valorem Tax (est.)")</f>
        <v>2025 Ad Valorem Tax (est.)</v>
      </c>
      <c r="I21" s="410"/>
      <c r="J21" s="377"/>
      <c r="K21" s="553" t="str">
        <f>IF(G21=E41,"","Note: Does not include Delinquent Taxes")</f>
        <v/>
      </c>
    </row>
    <row r="22" spans="2:11" x14ac:dyDescent="0.25">
      <c r="B22" s="195" t="s">
        <v>17</v>
      </c>
      <c r="C22" s="199">
        <f>SUM(C8:C20)</f>
        <v>0</v>
      </c>
      <c r="D22" s="199">
        <f>SUM(D8:D20)</f>
        <v>0</v>
      </c>
      <c r="E22" s="199">
        <f>SUM(E8:E20)</f>
        <v>0</v>
      </c>
      <c r="G22" s="426">
        <f>SUM(G19:G21)</f>
        <v>0</v>
      </c>
      <c r="H22" s="410" t="str">
        <f>CONCATENATE("Total ",E1," Resources Available")</f>
        <v>Total 2025 Resources Available</v>
      </c>
      <c r="I22" s="428"/>
      <c r="J22" s="423"/>
      <c r="K22" s="376"/>
    </row>
    <row r="23" spans="2:11" x14ac:dyDescent="0.25">
      <c r="B23" s="196" t="s">
        <v>18</v>
      </c>
      <c r="C23" s="199">
        <f>C22+C6</f>
        <v>0</v>
      </c>
      <c r="D23" s="199">
        <f>D22+D6</f>
        <v>0</v>
      </c>
      <c r="E23" s="199">
        <f>E22+E6</f>
        <v>0</v>
      </c>
      <c r="G23" s="436"/>
      <c r="H23" s="410"/>
      <c r="I23" s="410"/>
      <c r="J23" s="423"/>
      <c r="K23" s="376"/>
    </row>
    <row r="24" spans="2:11" x14ac:dyDescent="0.25">
      <c r="B24" s="82" t="s">
        <v>19</v>
      </c>
      <c r="C24" s="283"/>
      <c r="D24" s="283"/>
      <c r="E24" s="169"/>
      <c r="G24" s="433">
        <f>C34*0.05+C34</f>
        <v>0</v>
      </c>
      <c r="H24" s="410" t="str">
        <f>CONCATENATE("Less ",E1-2," Expenditures + 5%")</f>
        <v>Less 2023 Expenditures + 5%</v>
      </c>
      <c r="I24" s="410"/>
      <c r="J24" s="423"/>
      <c r="K24" s="376"/>
    </row>
    <row r="25" spans="2:11" x14ac:dyDescent="0.25">
      <c r="B25" s="192"/>
      <c r="C25" s="185"/>
      <c r="D25" s="185"/>
      <c r="E25" s="164"/>
      <c r="G25" s="440">
        <f>G22-G24</f>
        <v>0</v>
      </c>
      <c r="H25" s="441" t="str">
        <f>CONCATENATE("Projected ",E1+1," carryover (est.)")</f>
        <v>Projected 2026 carryover (est.)</v>
      </c>
      <c r="I25" s="442"/>
      <c r="J25" s="443"/>
      <c r="K25" s="376"/>
    </row>
    <row r="26" spans="2:11" x14ac:dyDescent="0.25">
      <c r="B26" s="192"/>
      <c r="C26" s="185"/>
      <c r="D26" s="185"/>
      <c r="E26" s="164"/>
      <c r="G26" s="376"/>
      <c r="H26" s="376"/>
      <c r="I26" s="376"/>
      <c r="J26" s="376"/>
      <c r="K26" s="376"/>
    </row>
    <row r="27" spans="2:11" x14ac:dyDescent="0.25">
      <c r="B27" s="192"/>
      <c r="C27" s="185"/>
      <c r="D27" s="185"/>
      <c r="E27" s="164"/>
      <c r="G27" s="765" t="s">
        <v>858</v>
      </c>
      <c r="H27" s="766"/>
      <c r="I27" s="766"/>
      <c r="J27" s="767"/>
      <c r="K27" s="376"/>
    </row>
    <row r="28" spans="2:11" x14ac:dyDescent="0.25">
      <c r="B28" s="192"/>
      <c r="C28" s="185"/>
      <c r="D28" s="185"/>
      <c r="E28" s="164"/>
      <c r="G28" s="768"/>
      <c r="H28" s="769"/>
      <c r="I28" s="769"/>
      <c r="J28" s="770"/>
      <c r="K28" s="376"/>
    </row>
    <row r="29" spans="2:11" x14ac:dyDescent="0.25">
      <c r="B29" s="185"/>
      <c r="C29" s="185"/>
      <c r="D29" s="185"/>
      <c r="E29" s="164"/>
      <c r="G29" s="632" t="str">
        <f>'Budget Hearing Notice'!I26</f>
        <v xml:space="preserve"> </v>
      </c>
      <c r="H29" s="311" t="str">
        <f>CONCATENATE("",E1," Estimated Fund Mill Rate")</f>
        <v>2025 Estimated Fund Mill Rate</v>
      </c>
      <c r="I29" s="633"/>
      <c r="J29" s="634"/>
      <c r="K29" s="376"/>
    </row>
    <row r="30" spans="2:11" x14ac:dyDescent="0.25">
      <c r="B30" s="192"/>
      <c r="C30" s="185"/>
      <c r="D30" s="185"/>
      <c r="E30" s="164"/>
      <c r="G30" s="635" t="str">
        <f>'Budget Hearing Notice'!F26</f>
        <v xml:space="preserve">  </v>
      </c>
      <c r="H30" s="311" t="str">
        <f>CONCATENATE("",E1-1," Fund Mill Rate")</f>
        <v>2024 Fund Mill Rate</v>
      </c>
      <c r="I30" s="633"/>
      <c r="J30" s="634"/>
      <c r="K30" s="376"/>
    </row>
    <row r="31" spans="2:11" x14ac:dyDescent="0.25">
      <c r="B31" s="189" t="str">
        <f>CONCATENATE("Cash Reserve (",E1," column)")</f>
        <v>Cash Reserve (2025 column)</v>
      </c>
      <c r="C31" s="185"/>
      <c r="D31" s="185"/>
      <c r="E31" s="164"/>
      <c r="G31" s="636">
        <f>'Budget Hearing Notice'!I37</f>
        <v>0</v>
      </c>
      <c r="H31" s="637" t="s">
        <v>859</v>
      </c>
      <c r="I31" s="633"/>
      <c r="J31" s="634"/>
      <c r="K31" s="376"/>
    </row>
    <row r="32" spans="2:11" x14ac:dyDescent="0.25">
      <c r="B32" s="189" t="s">
        <v>143</v>
      </c>
      <c r="C32" s="185"/>
      <c r="D32" s="185"/>
      <c r="E32" s="164"/>
      <c r="G32" s="632">
        <f>'Budget Hearing Notice'!I36</f>
        <v>0</v>
      </c>
      <c r="H32" s="311" t="str">
        <f>CONCATENATE(E1," Estimated Total Mill Rate")</f>
        <v>2025 Estimated Total Mill Rate</v>
      </c>
      <c r="I32" s="633"/>
      <c r="J32" s="634"/>
      <c r="K32" s="376"/>
    </row>
    <row r="33" spans="2:11" x14ac:dyDescent="0.25">
      <c r="B33" s="189" t="s">
        <v>480</v>
      </c>
      <c r="C33" s="282" t="str">
        <f>IF(C34*0.1&lt;C32,"Exceed 10% Rule","")</f>
        <v/>
      </c>
      <c r="D33" s="282" t="str">
        <f>IF(D34*0.1&lt;D32,"Exceed 10% Rule","")</f>
        <v/>
      </c>
      <c r="E33" s="198" t="str">
        <f>IF(E34*0.1&lt;E32,"Exceed 10% Rule","")</f>
        <v/>
      </c>
      <c r="G33" s="638">
        <f>'Budget Hearing Notice'!F36</f>
        <v>0</v>
      </c>
      <c r="H33" s="311" t="str">
        <f>CONCATENATE(E1-1," Total Mill Rate")</f>
        <v>2024 Total Mill Rate</v>
      </c>
      <c r="I33" s="633"/>
      <c r="J33" s="634"/>
      <c r="K33" s="376"/>
    </row>
    <row r="34" spans="2:11" x14ac:dyDescent="0.25">
      <c r="B34" s="196" t="s">
        <v>20</v>
      </c>
      <c r="C34" s="199">
        <f>SUM(C25:C32)</f>
        <v>0</v>
      </c>
      <c r="D34" s="199">
        <f>SUM(D25:D32)</f>
        <v>0</v>
      </c>
      <c r="E34" s="199">
        <f>SUM(E25:E32)</f>
        <v>0</v>
      </c>
      <c r="G34" s="307"/>
      <c r="H34" s="308"/>
      <c r="I34" s="308"/>
      <c r="J34" s="309"/>
    </row>
    <row r="35" spans="2:11" x14ac:dyDescent="0.25">
      <c r="B35" s="82" t="s">
        <v>79</v>
      </c>
      <c r="C35" s="169">
        <f>C23-C34</f>
        <v>0</v>
      </c>
      <c r="D35" s="169">
        <f>D23-D34</f>
        <v>0</v>
      </c>
      <c r="E35" s="188" t="s">
        <v>204</v>
      </c>
      <c r="G35" s="771" t="s">
        <v>860</v>
      </c>
      <c r="H35" s="772"/>
      <c r="I35" s="772"/>
      <c r="J35" s="775" t="str">
        <f>IF(G32&gt;G31, "Yes", "No")</f>
        <v>No</v>
      </c>
    </row>
    <row r="36" spans="2:11" x14ac:dyDescent="0.25">
      <c r="B36" s="110" t="str">
        <f>CONCATENATE("",E1-2,"/",E1-1,"/",E1," Budget Authority Amount:")</f>
        <v>2023/2024/2025 Budget Authority Amount:</v>
      </c>
      <c r="C36" s="494">
        <f>inputOth!B59</f>
        <v>0</v>
      </c>
      <c r="D36" s="494">
        <f>inputPrYr!D25</f>
        <v>0</v>
      </c>
      <c r="E36" s="169">
        <f>E34</f>
        <v>0</v>
      </c>
      <c r="F36" s="200"/>
      <c r="G36" s="773"/>
      <c r="H36" s="774"/>
      <c r="I36" s="774"/>
      <c r="J36" s="776"/>
    </row>
    <row r="37" spans="2:11" x14ac:dyDescent="0.25">
      <c r="B37" s="111"/>
      <c r="C37" s="761" t="s">
        <v>482</v>
      </c>
      <c r="D37" s="762"/>
      <c r="E37" s="164"/>
      <c r="F37" s="200" t="str">
        <f>IF(E34/0.95-E34&lt;E37,"Exceeds 5%","")</f>
        <v/>
      </c>
      <c r="G37" s="754" t="str">
        <f>IF(J35="Yes", "Follow procedure prescribed by KSA 79-2988 to exceed the Revenue Neutral Rate.", " ")</f>
        <v xml:space="preserve"> </v>
      </c>
      <c r="H37" s="754"/>
      <c r="I37" s="754"/>
      <c r="J37" s="754"/>
      <c r="K37" s="376"/>
    </row>
    <row r="38" spans="2:11" x14ac:dyDescent="0.25">
      <c r="B38" s="291" t="str">
        <f>CONCATENATE(C101,"     ",D101)</f>
        <v xml:space="preserve">     </v>
      </c>
      <c r="C38" s="763" t="s">
        <v>483</v>
      </c>
      <c r="D38" s="764"/>
      <c r="E38" s="169">
        <f>E34+E37</f>
        <v>0</v>
      </c>
      <c r="G38" s="755"/>
      <c r="H38" s="755"/>
      <c r="I38" s="755"/>
      <c r="J38" s="755"/>
      <c r="K38" s="376"/>
    </row>
    <row r="39" spans="2:11" x14ac:dyDescent="0.25">
      <c r="B39" s="291" t="str">
        <f>CONCATENATE(C102,"     ",D102)</f>
        <v xml:space="preserve">     </v>
      </c>
      <c r="C39" s="257"/>
      <c r="D39" s="117" t="s">
        <v>22</v>
      </c>
      <c r="E39" s="169">
        <f>IF(E38-E23&gt;0,E38-E23,0)</f>
        <v>0</v>
      </c>
      <c r="G39" s="755"/>
      <c r="H39" s="755"/>
      <c r="I39" s="755"/>
      <c r="J39" s="755"/>
      <c r="K39" s="376"/>
    </row>
    <row r="40" spans="2:11" x14ac:dyDescent="0.25">
      <c r="B40" s="117"/>
      <c r="C40" s="296" t="s">
        <v>484</v>
      </c>
      <c r="D40" s="474">
        <f>inputOth!$E$45</f>
        <v>0</v>
      </c>
      <c r="E40" s="169">
        <f>ROUND(IF(D40&gt;0,(E39*D40),0),0)</f>
        <v>0</v>
      </c>
      <c r="G40" s="376"/>
      <c r="H40" s="376"/>
      <c r="I40" s="376"/>
      <c r="J40" s="376"/>
      <c r="K40" s="376"/>
    </row>
    <row r="41" spans="2:11" x14ac:dyDescent="0.25">
      <c r="B41" s="73"/>
      <c r="C41" s="759" t="str">
        <f>CONCATENATE("Amount of  ",$E$1-1," Ad Valorem Tax")</f>
        <v>Amount of  2024 Ad Valorem Tax</v>
      </c>
      <c r="D41" s="760"/>
      <c r="E41" s="169">
        <f>E39+E40</f>
        <v>0</v>
      </c>
      <c r="G41" s="376"/>
      <c r="H41" s="376"/>
      <c r="I41" s="376"/>
      <c r="J41" s="376"/>
      <c r="K41" s="376"/>
    </row>
    <row r="42" spans="2:11" x14ac:dyDescent="0.25">
      <c r="B42" s="73"/>
      <c r="C42" s="348"/>
      <c r="D42" s="73"/>
      <c r="E42" s="73"/>
      <c r="G42" s="376"/>
      <c r="H42" s="376"/>
      <c r="I42" s="376"/>
      <c r="J42" s="376"/>
      <c r="K42" s="376"/>
    </row>
    <row r="43" spans="2:11" x14ac:dyDescent="0.25">
      <c r="B43" s="73"/>
      <c r="C43" s="348"/>
      <c r="D43" s="73"/>
      <c r="E43" s="73"/>
      <c r="G43" s="376"/>
      <c r="H43" s="376"/>
      <c r="I43" s="376"/>
      <c r="J43" s="376"/>
      <c r="K43" s="376"/>
    </row>
    <row r="44" spans="2:11" x14ac:dyDescent="0.25">
      <c r="B44" s="77" t="s">
        <v>5</v>
      </c>
      <c r="C44" s="76"/>
      <c r="D44" s="76"/>
      <c r="E44" s="76"/>
      <c r="G44" s="376"/>
      <c r="H44" s="376"/>
      <c r="I44" s="376"/>
      <c r="J44" s="376"/>
      <c r="K44" s="376"/>
    </row>
    <row r="45" spans="2:11" x14ac:dyDescent="0.25">
      <c r="B45" s="73"/>
      <c r="C45" s="284" t="s">
        <v>6</v>
      </c>
      <c r="D45" s="286" t="s">
        <v>7</v>
      </c>
      <c r="E45" s="78" t="s">
        <v>8</v>
      </c>
      <c r="G45" s="376"/>
      <c r="H45" s="376"/>
      <c r="I45" s="376"/>
      <c r="J45" s="376"/>
      <c r="K45" s="376"/>
    </row>
    <row r="46" spans="2:11" x14ac:dyDescent="0.25">
      <c r="B46" s="294">
        <f>inputPrYr!B26</f>
        <v>0</v>
      </c>
      <c r="C46" s="285" t="str">
        <f>C5</f>
        <v>Actual for 2023</v>
      </c>
      <c r="D46" s="285" t="str">
        <f>D5</f>
        <v>Estimate for 2024</v>
      </c>
      <c r="E46" s="81" t="str">
        <f>E5</f>
        <v>Year for 2025</v>
      </c>
      <c r="G46" s="376"/>
      <c r="H46" s="376"/>
      <c r="I46" s="376"/>
      <c r="J46" s="376"/>
      <c r="K46" s="376"/>
    </row>
    <row r="47" spans="2:11" x14ac:dyDescent="0.25">
      <c r="B47" s="82" t="s">
        <v>78</v>
      </c>
      <c r="C47" s="185"/>
      <c r="D47" s="283">
        <f>C76</f>
        <v>0</v>
      </c>
      <c r="E47" s="169">
        <f>D76</f>
        <v>0</v>
      </c>
      <c r="G47" s="376"/>
      <c r="H47" s="376"/>
      <c r="I47" s="376"/>
      <c r="J47" s="376"/>
      <c r="K47" s="376"/>
    </row>
    <row r="48" spans="2:11" x14ac:dyDescent="0.25">
      <c r="B48" s="82" t="s">
        <v>80</v>
      </c>
      <c r="C48" s="283"/>
      <c r="D48" s="283"/>
      <c r="E48" s="188"/>
      <c r="G48" s="376"/>
      <c r="H48" s="376"/>
      <c r="I48" s="376"/>
      <c r="J48" s="376"/>
      <c r="K48" s="376"/>
    </row>
    <row r="49" spans="2:11" x14ac:dyDescent="0.25">
      <c r="B49" s="82" t="s">
        <v>10</v>
      </c>
      <c r="C49" s="185"/>
      <c r="D49" s="283">
        <f>IF(inputPrYr!H18&gt;0,inputPrYr!G28,inputPrYr!E26)</f>
        <v>0</v>
      </c>
      <c r="E49" s="188" t="s">
        <v>204</v>
      </c>
      <c r="G49" s="376"/>
      <c r="H49" s="376"/>
      <c r="I49" s="376"/>
      <c r="J49" s="376"/>
      <c r="K49" s="376"/>
    </row>
    <row r="50" spans="2:11" x14ac:dyDescent="0.25">
      <c r="B50" s="82" t="s">
        <v>11</v>
      </c>
      <c r="C50" s="185"/>
      <c r="D50" s="185"/>
      <c r="E50" s="164"/>
      <c r="G50" s="376"/>
      <c r="H50" s="376"/>
      <c r="I50" s="376"/>
      <c r="J50" s="376"/>
      <c r="K50" s="376"/>
    </row>
    <row r="51" spans="2:11" x14ac:dyDescent="0.25">
      <c r="B51" s="82" t="s">
        <v>12</v>
      </c>
      <c r="C51" s="185"/>
      <c r="D51" s="185"/>
      <c r="E51" s="169">
        <f>Mvalloc!D20</f>
        <v>0</v>
      </c>
      <c r="G51" s="779" t="str">
        <f>CONCATENATE("Desired Carryover Into ",E1+1,"")</f>
        <v>Desired Carryover Into 2026</v>
      </c>
      <c r="H51" s="786"/>
      <c r="I51" s="786"/>
      <c r="J51" s="787"/>
      <c r="K51" s="376"/>
    </row>
    <row r="52" spans="2:11" x14ac:dyDescent="0.25">
      <c r="B52" s="82" t="s">
        <v>13</v>
      </c>
      <c r="C52" s="185"/>
      <c r="D52" s="185"/>
      <c r="E52" s="169">
        <f>Mvalloc!F20</f>
        <v>0</v>
      </c>
      <c r="G52" s="408"/>
      <c r="H52" s="409"/>
      <c r="I52" s="410"/>
      <c r="J52" s="411"/>
      <c r="K52" s="376"/>
    </row>
    <row r="53" spans="2:11" x14ac:dyDescent="0.25">
      <c r="B53" s="82" t="s">
        <v>70</v>
      </c>
      <c r="C53" s="185"/>
      <c r="D53" s="185"/>
      <c r="E53" s="169">
        <f>Mvalloc!G20</f>
        <v>0</v>
      </c>
      <c r="G53" s="412" t="s">
        <v>486</v>
      </c>
      <c r="H53" s="410"/>
      <c r="I53" s="410"/>
      <c r="J53" s="413">
        <v>0</v>
      </c>
      <c r="K53" s="376"/>
    </row>
    <row r="54" spans="2:11" x14ac:dyDescent="0.25">
      <c r="B54" s="546" t="s">
        <v>591</v>
      </c>
      <c r="C54" s="185"/>
      <c r="D54" s="185"/>
      <c r="E54" s="169">
        <f>Mvalloc!H20</f>
        <v>0</v>
      </c>
      <c r="G54" s="408" t="s">
        <v>487</v>
      </c>
      <c r="H54" s="409"/>
      <c r="I54" s="409"/>
      <c r="J54" s="414" t="str">
        <f>IF(J53=0,"",ROUND((J53+E82-G66)/inputOth!E7*1000,3)-G71)</f>
        <v/>
      </c>
      <c r="K54" s="376"/>
    </row>
    <row r="55" spans="2:11" x14ac:dyDescent="0.25">
      <c r="B55" s="546" t="s">
        <v>592</v>
      </c>
      <c r="C55" s="185"/>
      <c r="D55" s="185"/>
      <c r="E55" s="169">
        <f>Mvalloc!I20</f>
        <v>0</v>
      </c>
      <c r="G55" s="415" t="str">
        <f>CONCATENATE("",E1," Tot Exp/Non-Appr Must Be:")</f>
        <v>2025 Tot Exp/Non-Appr Must Be:</v>
      </c>
      <c r="H55" s="416"/>
      <c r="I55" s="417"/>
      <c r="J55" s="418">
        <f>IF(J53&gt;0,IF(E79&lt;E64,IF(J53=G66,E79,((J53-G66)*(1-D81))+E64),E79+(J53-G66)),0)</f>
        <v>0</v>
      </c>
      <c r="K55" s="376"/>
    </row>
    <row r="56" spans="2:11" x14ac:dyDescent="0.25">
      <c r="B56" s="191"/>
      <c r="C56" s="185"/>
      <c r="D56" s="185"/>
      <c r="E56" s="164"/>
      <c r="G56" s="419" t="s">
        <v>551</v>
      </c>
      <c r="H56" s="420"/>
      <c r="I56" s="420"/>
      <c r="J56" s="421">
        <f>IF(J53&gt;0,J55-E79,0)</f>
        <v>0</v>
      </c>
      <c r="K56" s="376"/>
    </row>
    <row r="57" spans="2:11" x14ac:dyDescent="0.25">
      <c r="B57" s="191"/>
      <c r="C57" s="185"/>
      <c r="D57" s="185"/>
      <c r="E57" s="164"/>
      <c r="G57" s="376"/>
      <c r="H57" s="376"/>
      <c r="I57" s="376"/>
      <c r="J57" s="376"/>
      <c r="K57" s="376"/>
    </row>
    <row r="58" spans="2:11" x14ac:dyDescent="0.25">
      <c r="B58" s="192"/>
      <c r="C58" s="185"/>
      <c r="D58" s="185"/>
      <c r="E58" s="164"/>
      <c r="G58" s="779" t="str">
        <f>CONCATENATE("Projected Carryover Into ",E1+1,"")</f>
        <v>Projected Carryover Into 2026</v>
      </c>
      <c r="H58" s="788"/>
      <c r="I58" s="788"/>
      <c r="J58" s="789"/>
      <c r="K58" s="376"/>
    </row>
    <row r="59" spans="2:11" x14ac:dyDescent="0.25">
      <c r="B59" s="192" t="s">
        <v>16</v>
      </c>
      <c r="C59" s="185"/>
      <c r="D59" s="185"/>
      <c r="E59" s="164"/>
      <c r="G59" s="450"/>
      <c r="H59" s="409"/>
      <c r="I59" s="409"/>
      <c r="J59" s="451"/>
      <c r="K59" s="376"/>
    </row>
    <row r="60" spans="2:11" x14ac:dyDescent="0.25">
      <c r="B60" s="189" t="s">
        <v>146</v>
      </c>
      <c r="C60" s="185"/>
      <c r="D60" s="185"/>
      <c r="E60" s="169">
        <f>'NR Rebate'!E15*-1</f>
        <v>0</v>
      </c>
      <c r="G60" s="426">
        <f>D76</f>
        <v>0</v>
      </c>
      <c r="H60" s="427" t="str">
        <f>CONCATENATE("",E1-1," Ending Cash Balance (est.)")</f>
        <v>2024 Ending Cash Balance (est.)</v>
      </c>
      <c r="I60" s="428"/>
      <c r="J60" s="451"/>
      <c r="K60" s="376"/>
    </row>
    <row r="61" spans="2:11" x14ac:dyDescent="0.25">
      <c r="B61" s="193" t="s">
        <v>143</v>
      </c>
      <c r="C61" s="185"/>
      <c r="D61" s="185"/>
      <c r="E61" s="164"/>
      <c r="G61" s="426">
        <f>E63</f>
        <v>0</v>
      </c>
      <c r="H61" s="410" t="str">
        <f>CONCATENATE("",E1," Non-AV Receipts (est.)")</f>
        <v>2025 Non-AV Receipts (est.)</v>
      </c>
      <c r="I61" s="428"/>
      <c r="J61" s="451"/>
      <c r="K61" s="376"/>
    </row>
    <row r="62" spans="2:11" x14ac:dyDescent="0.25">
      <c r="B62" s="193" t="s">
        <v>144</v>
      </c>
      <c r="C62" s="282" t="str">
        <f>IF(C63*0.1&lt;C61,"Exceed 10% Rule","")</f>
        <v/>
      </c>
      <c r="D62" s="282" t="str">
        <f>IF(D63*0.1&lt;D61,"Exceed 10% Rule","")</f>
        <v/>
      </c>
      <c r="E62" s="198" t="str">
        <f>IF((E82+E63)*0.1&lt;E61,"Exceed 10% Rule","")</f>
        <v/>
      </c>
      <c r="G62" s="433">
        <f>IF(E81&gt;0,E80,E82)</f>
        <v>0</v>
      </c>
      <c r="H62" s="410" t="str">
        <f>CONCATENATE("",E1," Ad Valorem Tax (est.)")</f>
        <v>2025 Ad Valorem Tax (est.)</v>
      </c>
      <c r="I62" s="410"/>
      <c r="J62" s="552"/>
      <c r="K62" s="553" t="str">
        <f>IF(G62=E82,"","Note: Does not include Delinquent Taxes")</f>
        <v/>
      </c>
    </row>
    <row r="63" spans="2:11" x14ac:dyDescent="0.25">
      <c r="B63" s="195" t="s">
        <v>17</v>
      </c>
      <c r="C63" s="199">
        <f>SUM(C49:C61)</f>
        <v>0</v>
      </c>
      <c r="D63" s="199">
        <f>SUM(D49:D61)</f>
        <v>0</v>
      </c>
      <c r="E63" s="199">
        <f>SUM(E49:E61)</f>
        <v>0</v>
      </c>
      <c r="G63" s="453">
        <f>SUM(G60:G62)</f>
        <v>0</v>
      </c>
      <c r="H63" s="410" t="str">
        <f>CONCATENATE("Total ",E1," Resources Available")</f>
        <v>Total 2025 Resources Available</v>
      </c>
      <c r="I63" s="454"/>
      <c r="J63" s="451"/>
      <c r="K63" s="376"/>
    </row>
    <row r="64" spans="2:11" x14ac:dyDescent="0.25">
      <c r="B64" s="196" t="s">
        <v>18</v>
      </c>
      <c r="C64" s="199">
        <f>C63+C47</f>
        <v>0</v>
      </c>
      <c r="D64" s="199">
        <f>D63+D47</f>
        <v>0</v>
      </c>
      <c r="E64" s="199">
        <f>E63+E47</f>
        <v>0</v>
      </c>
      <c r="G64" s="455"/>
      <c r="H64" s="456"/>
      <c r="I64" s="409"/>
      <c r="J64" s="451"/>
      <c r="K64" s="376"/>
    </row>
    <row r="65" spans="2:11" x14ac:dyDescent="0.25">
      <c r="B65" s="82" t="s">
        <v>19</v>
      </c>
      <c r="C65" s="283"/>
      <c r="D65" s="283"/>
      <c r="E65" s="169"/>
      <c r="G65" s="433">
        <f>ROUND(C75*0.05+C75,0)</f>
        <v>0</v>
      </c>
      <c r="H65" s="410" t="str">
        <f>CONCATENATE("Less ",E1-2," Expenditures + 5%")</f>
        <v>Less 2023 Expenditures + 5%</v>
      </c>
      <c r="I65" s="454"/>
      <c r="J65" s="451"/>
      <c r="K65" s="376"/>
    </row>
    <row r="66" spans="2:11" x14ac:dyDescent="0.25">
      <c r="B66" s="192"/>
      <c r="C66" s="185"/>
      <c r="D66" s="185"/>
      <c r="E66" s="164"/>
      <c r="G66" s="440">
        <f>G63-G65</f>
        <v>0</v>
      </c>
      <c r="H66" s="441" t="str">
        <f>CONCATENATE("Projected ",E1+1," carryover (est.)")</f>
        <v>Projected 2026 carryover (est.)</v>
      </c>
      <c r="I66" s="457"/>
      <c r="J66" s="458"/>
      <c r="K66" s="376"/>
    </row>
    <row r="67" spans="2:11" x14ac:dyDescent="0.25">
      <c r="B67" s="192"/>
      <c r="C67" s="185"/>
      <c r="D67" s="185"/>
      <c r="E67" s="164"/>
      <c r="G67" s="376"/>
      <c r="H67" s="376"/>
      <c r="I67" s="376"/>
      <c r="J67" s="376"/>
      <c r="K67" s="376"/>
    </row>
    <row r="68" spans="2:11" ht="16.5" customHeight="1" x14ac:dyDescent="0.25">
      <c r="B68" s="192"/>
      <c r="C68" s="185"/>
      <c r="D68" s="185"/>
      <c r="E68" s="164"/>
      <c r="G68" s="765" t="s">
        <v>858</v>
      </c>
      <c r="H68" s="766"/>
      <c r="I68" s="766"/>
      <c r="J68" s="767"/>
      <c r="K68" s="376"/>
    </row>
    <row r="69" spans="2:11" x14ac:dyDescent="0.25">
      <c r="B69" s="192"/>
      <c r="C69" s="185"/>
      <c r="D69" s="185"/>
      <c r="E69" s="164"/>
      <c r="G69" s="768"/>
      <c r="H69" s="769"/>
      <c r="I69" s="769"/>
      <c r="J69" s="770"/>
      <c r="K69" s="376"/>
    </row>
    <row r="70" spans="2:11" x14ac:dyDescent="0.25">
      <c r="B70" s="192"/>
      <c r="C70" s="185"/>
      <c r="D70" s="185"/>
      <c r="E70" s="164"/>
      <c r="G70" s="632" t="str">
        <f>'Budget Hearing Notice'!I27</f>
        <v xml:space="preserve"> </v>
      </c>
      <c r="H70" s="311" t="str">
        <f>CONCATENATE("",E1," Estimated Fund Mill Rate")</f>
        <v>2025 Estimated Fund Mill Rate</v>
      </c>
      <c r="I70" s="633"/>
      <c r="J70" s="634"/>
      <c r="K70" s="376"/>
    </row>
    <row r="71" spans="2:11" x14ac:dyDescent="0.25">
      <c r="B71" s="192"/>
      <c r="C71" s="185"/>
      <c r="D71" s="185"/>
      <c r="E71" s="164"/>
      <c r="G71" s="635" t="str">
        <f>'Budget Hearing Notice'!F27</f>
        <v xml:space="preserve">  </v>
      </c>
      <c r="H71" s="311" t="str">
        <f>CONCATENATE("",E1-1," Fund Mill Rate")</f>
        <v>2024 Fund Mill Rate</v>
      </c>
      <c r="I71" s="633"/>
      <c r="J71" s="634"/>
      <c r="K71" s="376"/>
    </row>
    <row r="72" spans="2:11" x14ac:dyDescent="0.25">
      <c r="B72" s="189" t="str">
        <f>CONCATENATE("Cash Reserve (",E1," column)")</f>
        <v>Cash Reserve (2025 column)</v>
      </c>
      <c r="C72" s="185"/>
      <c r="D72" s="185"/>
      <c r="E72" s="164"/>
      <c r="G72" s="636">
        <f>'Budget Hearing Notice'!I37</f>
        <v>0</v>
      </c>
      <c r="H72" s="637" t="s">
        <v>859</v>
      </c>
      <c r="I72" s="633"/>
      <c r="J72" s="634"/>
      <c r="K72" s="376"/>
    </row>
    <row r="73" spans="2:11" x14ac:dyDescent="0.25">
      <c r="B73" s="189" t="s">
        <v>143</v>
      </c>
      <c r="C73" s="185"/>
      <c r="D73" s="185"/>
      <c r="E73" s="164"/>
      <c r="G73" s="632">
        <f>'Budget Hearing Notice'!I36</f>
        <v>0</v>
      </c>
      <c r="H73" s="311" t="str">
        <f>CONCATENATE(E1," Estimated Total Mill Rate")</f>
        <v>2025 Estimated Total Mill Rate</v>
      </c>
      <c r="I73" s="633"/>
      <c r="J73" s="634"/>
      <c r="K73" s="376"/>
    </row>
    <row r="74" spans="2:11" x14ac:dyDescent="0.25">
      <c r="B74" s="189" t="s">
        <v>480</v>
      </c>
      <c r="C74" s="282" t="str">
        <f>IF(C75*0.1&lt;C73,"Exceed 10% Rule","")</f>
        <v/>
      </c>
      <c r="D74" s="282" t="str">
        <f>IF(D75*0.1&lt;D73,"Exceed 10% Rule","")</f>
        <v/>
      </c>
      <c r="E74" s="198" t="str">
        <f>IF(E75*0.1&lt;E73,"Exceed 10% Rule","")</f>
        <v/>
      </c>
      <c r="G74" s="638">
        <f>'Budget Hearing Notice'!F36</f>
        <v>0</v>
      </c>
      <c r="H74" s="311" t="str">
        <f>CONCATENATE(E1-1," Total Mill Rate")</f>
        <v>2024 Total Mill Rate</v>
      </c>
      <c r="I74" s="633"/>
      <c r="J74" s="634"/>
    </row>
    <row r="75" spans="2:11" x14ac:dyDescent="0.25">
      <c r="B75" s="196" t="s">
        <v>20</v>
      </c>
      <c r="C75" s="199">
        <f>SUM(C66:C73)</f>
        <v>0</v>
      </c>
      <c r="D75" s="199">
        <f>SUM(D66:D73)</f>
        <v>0</v>
      </c>
      <c r="E75" s="199">
        <f>SUM(E66:E73)</f>
        <v>0</v>
      </c>
      <c r="G75" s="307"/>
      <c r="H75" s="308"/>
      <c r="I75" s="308"/>
      <c r="J75" s="309"/>
    </row>
    <row r="76" spans="2:11" ht="18.75" customHeight="1" x14ac:dyDescent="0.25">
      <c r="B76" s="82" t="s">
        <v>79</v>
      </c>
      <c r="C76" s="169">
        <f>C64-C75</f>
        <v>0</v>
      </c>
      <c r="D76" s="169">
        <f>D64-D75</f>
        <v>0</v>
      </c>
      <c r="E76" s="188" t="s">
        <v>204</v>
      </c>
      <c r="G76" s="771" t="s">
        <v>860</v>
      </c>
      <c r="H76" s="772"/>
      <c r="I76" s="772"/>
      <c r="J76" s="775" t="str">
        <f>IF(G73&gt;G72, "Yes", "No")</f>
        <v>No</v>
      </c>
    </row>
    <row r="77" spans="2:11" ht="15.75" customHeight="1" x14ac:dyDescent="0.25">
      <c r="B77" s="110" t="str">
        <f>CONCATENATE("",E1-2,"/",E1-1,"/",E1," Budget Authority Amount:")</f>
        <v>2023/2024/2025 Budget Authority Amount:</v>
      </c>
      <c r="C77" s="494">
        <f>inputOth!B60</f>
        <v>0</v>
      </c>
      <c r="D77" s="494">
        <f>inputPrYr!D26</f>
        <v>0</v>
      </c>
      <c r="E77" s="169">
        <f>E75</f>
        <v>0</v>
      </c>
      <c r="F77" s="200"/>
      <c r="G77" s="773"/>
      <c r="H77" s="774"/>
      <c r="I77" s="774"/>
      <c r="J77" s="776"/>
    </row>
    <row r="78" spans="2:11" x14ac:dyDescent="0.25">
      <c r="B78" s="111"/>
      <c r="C78" s="761" t="s">
        <v>482</v>
      </c>
      <c r="D78" s="762"/>
      <c r="E78" s="164"/>
      <c r="F78" s="200" t="str">
        <f>IF(E75/0.95-E75&lt;E78,"Exceeds 5%","")</f>
        <v/>
      </c>
      <c r="G78" s="754" t="str">
        <f>IF(J76="Yes", "Follow procedure prescribed by KSA 79-2988 to exceed the Revenue Neutral Rate.", " ")</f>
        <v xml:space="preserve"> </v>
      </c>
      <c r="H78" s="754"/>
      <c r="I78" s="754"/>
      <c r="J78" s="754"/>
    </row>
    <row r="79" spans="2:11" x14ac:dyDescent="0.25">
      <c r="B79" s="291" t="str">
        <f>CONCATENATE(C103,"     ",D103)</f>
        <v xml:space="preserve">     </v>
      </c>
      <c r="C79" s="763" t="s">
        <v>483</v>
      </c>
      <c r="D79" s="764"/>
      <c r="E79" s="169">
        <f>E75+E78</f>
        <v>0</v>
      </c>
      <c r="G79" s="755"/>
      <c r="H79" s="755"/>
      <c r="I79" s="755"/>
      <c r="J79" s="755"/>
    </row>
    <row r="80" spans="2:11" x14ac:dyDescent="0.25">
      <c r="B80" s="291" t="str">
        <f>CONCATENATE(C104,"      ",D104)</f>
        <v xml:space="preserve">      </v>
      </c>
      <c r="C80" s="257"/>
      <c r="D80" s="117" t="s">
        <v>22</v>
      </c>
      <c r="E80" s="169">
        <f>IF(E79-E64&gt;0,E79-E64,0)</f>
        <v>0</v>
      </c>
      <c r="G80" s="755"/>
      <c r="H80" s="755"/>
      <c r="I80" s="755"/>
      <c r="J80" s="755"/>
    </row>
    <row r="81" spans="2:5" x14ac:dyDescent="0.25">
      <c r="B81" s="117"/>
      <c r="C81" s="296" t="s">
        <v>484</v>
      </c>
      <c r="D81" s="474">
        <f>inputOth!$E$45</f>
        <v>0</v>
      </c>
      <c r="E81" s="169">
        <f>ROUND(IF(D81&gt;0,(E80*D81),0),0)</f>
        <v>0</v>
      </c>
    </row>
    <row r="82" spans="2:5" x14ac:dyDescent="0.25">
      <c r="B82" s="73"/>
      <c r="C82" s="759" t="str">
        <f>CONCATENATE("Amount of  ",$E$1-1," Ad Valorem Tax")</f>
        <v>Amount of  2024 Ad Valorem Tax</v>
      </c>
      <c r="D82" s="760"/>
      <c r="E82" s="169">
        <f>E80+E81</f>
        <v>0</v>
      </c>
    </row>
    <row r="83" spans="2:5" x14ac:dyDescent="0.25">
      <c r="B83" s="73"/>
      <c r="C83" s="348"/>
      <c r="D83" s="348"/>
      <c r="E83" s="348"/>
    </row>
    <row r="84" spans="2:5" x14ac:dyDescent="0.25">
      <c r="B84" s="554" t="s">
        <v>729</v>
      </c>
      <c r="C84" s="567"/>
      <c r="D84" s="567"/>
      <c r="E84" s="568"/>
    </row>
    <row r="85" spans="2:5" x14ac:dyDescent="0.25">
      <c r="B85" s="307"/>
      <c r="C85" s="348"/>
      <c r="D85" s="348"/>
      <c r="E85" s="569"/>
    </row>
    <row r="86" spans="2:5" x14ac:dyDescent="0.25">
      <c r="B86" s="555"/>
      <c r="C86" s="570"/>
      <c r="D86" s="570"/>
      <c r="E86" s="571"/>
    </row>
    <row r="87" spans="2:5" x14ac:dyDescent="0.25">
      <c r="B87" s="73"/>
      <c r="C87" s="348"/>
      <c r="D87" s="348"/>
      <c r="E87" s="348"/>
    </row>
    <row r="88" spans="2:5" x14ac:dyDescent="0.25">
      <c r="B88" s="117" t="s">
        <v>4</v>
      </c>
      <c r="C88" s="506"/>
      <c r="D88" s="73"/>
      <c r="E88" s="73"/>
    </row>
    <row r="89" spans="2:5" x14ac:dyDescent="0.25">
      <c r="B89" s="107"/>
    </row>
    <row r="96" spans="2:5" hidden="1" x14ac:dyDescent="0.25"/>
    <row r="97" spans="3:4" hidden="1" x14ac:dyDescent="0.25"/>
    <row r="98" spans="3:4" hidden="1" x14ac:dyDescent="0.25"/>
    <row r="99" spans="3:4" hidden="1" x14ac:dyDescent="0.25"/>
    <row r="101" spans="3:4" x14ac:dyDescent="0.25">
      <c r="C101" s="130" t="str">
        <f>IF(C34&gt;C36,"See Tab A","")</f>
        <v/>
      </c>
      <c r="D101" s="130" t="str">
        <f>IF(D34&gt;D36,"See Tab C","")</f>
        <v/>
      </c>
    </row>
    <row r="102" spans="3:4" x14ac:dyDescent="0.25">
      <c r="C102" s="130" t="str">
        <f>IF(C35&lt;0,"See Tab B","")</f>
        <v/>
      </c>
      <c r="D102" s="130" t="str">
        <f>IF(D35&lt;0,"See Tab D","")</f>
        <v/>
      </c>
    </row>
    <row r="103" spans="3:4" x14ac:dyDescent="0.25">
      <c r="C103" s="130" t="str">
        <f>IF(C75&gt;C77,"See Tab A","")</f>
        <v/>
      </c>
      <c r="D103" s="130" t="str">
        <f>IF(D75&gt;D77,"See Tab C","")</f>
        <v/>
      </c>
    </row>
    <row r="104" spans="3:4" x14ac:dyDescent="0.25">
      <c r="C104" s="130" t="str">
        <f>IF(C76&lt;0,"SeeTab B","")</f>
        <v/>
      </c>
      <c r="D104" s="130" t="str">
        <f>IF(D76&lt;0,"See Tab D","")</f>
        <v/>
      </c>
    </row>
  </sheetData>
  <sheetProtection sheet="1"/>
  <mergeCells count="18">
    <mergeCell ref="C37:D37"/>
    <mergeCell ref="C38:D38"/>
    <mergeCell ref="G10:J10"/>
    <mergeCell ref="G17:J17"/>
    <mergeCell ref="G27:J28"/>
    <mergeCell ref="G35:I36"/>
    <mergeCell ref="J35:J36"/>
    <mergeCell ref="G37:J39"/>
    <mergeCell ref="C82:D82"/>
    <mergeCell ref="C41:D41"/>
    <mergeCell ref="C78:D78"/>
    <mergeCell ref="C79:D79"/>
    <mergeCell ref="G51:J51"/>
    <mergeCell ref="G58:J58"/>
    <mergeCell ref="G68:J69"/>
    <mergeCell ref="G76:I77"/>
    <mergeCell ref="J76:J77"/>
    <mergeCell ref="G78:J80"/>
  </mergeCells>
  <phoneticPr fontId="0" type="noConversion"/>
  <conditionalFormatting sqref="C20">
    <cfRule type="cellIs" dxfId="94" priority="23" stopIfTrue="1" operator="greaterThan">
      <formula>$C$22*0.1</formula>
    </cfRule>
  </conditionalFormatting>
  <conditionalFormatting sqref="C32">
    <cfRule type="cellIs" dxfId="93" priority="20" stopIfTrue="1" operator="greaterThan">
      <formula>$C$34*0.1</formula>
    </cfRule>
  </conditionalFormatting>
  <conditionalFormatting sqref="C34">
    <cfRule type="expression" dxfId="92" priority="8">
      <formula>$C$34&gt;$C$36</formula>
    </cfRule>
  </conditionalFormatting>
  <conditionalFormatting sqref="C35">
    <cfRule type="expression" dxfId="91" priority="7">
      <formula>$C$35&lt;0</formula>
    </cfRule>
  </conditionalFormatting>
  <conditionalFormatting sqref="C61">
    <cfRule type="cellIs" dxfId="90" priority="17" stopIfTrue="1" operator="greaterThan">
      <formula>$C$63*0.1</formula>
    </cfRule>
  </conditionalFormatting>
  <conditionalFormatting sqref="C73">
    <cfRule type="cellIs" dxfId="89" priority="14" stopIfTrue="1" operator="greaterThan">
      <formula>$C$75*0.1</formula>
    </cfRule>
  </conditionalFormatting>
  <conditionalFormatting sqref="C75">
    <cfRule type="expression" dxfId="88" priority="4">
      <formula>$C$75&gt;$C$77</formula>
    </cfRule>
  </conditionalFormatting>
  <conditionalFormatting sqref="C76">
    <cfRule type="expression" dxfId="87" priority="3">
      <formula>$C$76&lt;0</formula>
    </cfRule>
  </conditionalFormatting>
  <conditionalFormatting sqref="D20">
    <cfRule type="cellIs" dxfId="86" priority="24" stopIfTrue="1" operator="greaterThan">
      <formula>$D$22*0.1</formula>
    </cfRule>
  </conditionalFormatting>
  <conditionalFormatting sqref="D32">
    <cfRule type="cellIs" dxfId="85" priority="21" stopIfTrue="1" operator="greaterThan">
      <formula>$D$34*0.1</formula>
    </cfRule>
  </conditionalFormatting>
  <conditionalFormatting sqref="D34">
    <cfRule type="expression" dxfId="84" priority="6">
      <formula>$D$34&gt;$D$36</formula>
    </cfRule>
  </conditionalFormatting>
  <conditionalFormatting sqref="D35">
    <cfRule type="expression" dxfId="83" priority="5">
      <formula>$D$35&lt;0</formula>
    </cfRule>
  </conditionalFormatting>
  <conditionalFormatting sqref="D61">
    <cfRule type="cellIs" dxfId="82" priority="18" stopIfTrue="1" operator="greaterThan">
      <formula>$D$63*0.1</formula>
    </cfRule>
  </conditionalFormatting>
  <conditionalFormatting sqref="D73">
    <cfRule type="cellIs" dxfId="81" priority="15" stopIfTrue="1" operator="greaterThan">
      <formula>$D$75*0.1</formula>
    </cfRule>
  </conditionalFormatting>
  <conditionalFormatting sqref="D75">
    <cfRule type="expression" dxfId="80" priority="2">
      <formula>$D$75&gt;$D$77</formula>
    </cfRule>
  </conditionalFormatting>
  <conditionalFormatting sqref="D76">
    <cfRule type="expression" dxfId="79" priority="1">
      <formula>$D$76&lt;0</formula>
    </cfRule>
  </conditionalFormatting>
  <conditionalFormatting sqref="E20">
    <cfRule type="cellIs" dxfId="78" priority="46" stopIfTrue="1" operator="greaterThan">
      <formula>$E$22*0.1+$E$41</formula>
    </cfRule>
  </conditionalFormatting>
  <conditionalFormatting sqref="E32">
    <cfRule type="cellIs" dxfId="77" priority="22" stopIfTrue="1" operator="greaterThan">
      <formula>$E$34*0.1</formula>
    </cfRule>
  </conditionalFormatting>
  <conditionalFormatting sqref="E37">
    <cfRule type="cellIs" dxfId="76" priority="19" stopIfTrue="1" operator="greaterThan">
      <formula>$E$34/0.95-$E$34</formula>
    </cfRule>
  </conditionalFormatting>
  <conditionalFormatting sqref="E61">
    <cfRule type="cellIs" dxfId="75" priority="47" stopIfTrue="1" operator="greaterThan">
      <formula>$E$63*0.1+$E$82</formula>
    </cfRule>
  </conditionalFormatting>
  <conditionalFormatting sqref="E73">
    <cfRule type="cellIs" dxfId="74" priority="16" stopIfTrue="1" operator="greaterThan">
      <formula>$E$75*0.1</formula>
    </cfRule>
  </conditionalFormatting>
  <conditionalFormatting sqref="E78">
    <cfRule type="cellIs" dxfId="73" priority="13" stopIfTrue="1" operator="greaterThan">
      <formula>$E$75/0.95-$E$75</formula>
    </cfRule>
  </conditionalFormatting>
  <conditionalFormatting sqref="J35">
    <cfRule type="containsText" dxfId="72" priority="10" operator="containsText" text="Yes">
      <formula>NOT(ISERROR(SEARCH("Yes",J35)))</formula>
    </cfRule>
  </conditionalFormatting>
  <conditionalFormatting sqref="J76">
    <cfRule type="containsText" dxfId="71" priority="9" operator="containsText" text="Yes">
      <formula>NOT(ISERROR(SEARCH("Yes",J76)))</formula>
    </cfRule>
  </conditionalFormatting>
  <pageMargins left="0.9" right="0.9" top="0.96" bottom="0.5" header="0.41" footer="0.3"/>
  <pageSetup scale="68"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B1:K104"/>
  <sheetViews>
    <sheetView workbookViewId="0">
      <selection activeCell="F1" sqref="F1"/>
    </sheetView>
  </sheetViews>
  <sheetFormatPr defaultRowHeight="15.75" x14ac:dyDescent="0.25"/>
  <cols>
    <col min="1" max="1" width="2.3984375" style="130" customWidth="1"/>
    <col min="2" max="2" width="31" style="130" customWidth="1"/>
    <col min="3" max="4" width="15.69921875" style="130" customWidth="1"/>
    <col min="5" max="5" width="13.69921875" style="130" customWidth="1"/>
    <col min="6" max="6" width="8.796875" style="130"/>
    <col min="7" max="7" width="9.69921875" style="130" customWidth="1"/>
    <col min="8" max="8" width="8.796875" style="130"/>
    <col min="9" max="9" width="4.69921875" style="130" customWidth="1"/>
    <col min="10" max="10" width="9.69921875" style="130" customWidth="1"/>
    <col min="11" max="16384" width="8.796875" style="130"/>
  </cols>
  <sheetData>
    <row r="1" spans="2:11" x14ac:dyDescent="0.25">
      <c r="B1" s="112">
        <f>inputPrYr!D3</f>
        <v>0</v>
      </c>
      <c r="C1" s="73"/>
      <c r="D1" s="73"/>
      <c r="E1" s="111">
        <f>inputPrYr!D6</f>
        <v>2025</v>
      </c>
    </row>
    <row r="2" spans="2:11" x14ac:dyDescent="0.25">
      <c r="B2" s="115"/>
      <c r="C2" s="73"/>
      <c r="D2" s="127"/>
      <c r="E2" s="75"/>
    </row>
    <row r="3" spans="2:11" x14ac:dyDescent="0.25">
      <c r="B3" s="297" t="s">
        <v>485</v>
      </c>
      <c r="C3" s="76"/>
      <c r="D3" s="76"/>
      <c r="E3" s="76"/>
    </row>
    <row r="4" spans="2:11" x14ac:dyDescent="0.25">
      <c r="B4" s="77" t="s">
        <v>5</v>
      </c>
      <c r="C4" s="284" t="s">
        <v>6</v>
      </c>
      <c r="D4" s="286" t="s">
        <v>7</v>
      </c>
      <c r="E4" s="78" t="s">
        <v>8</v>
      </c>
    </row>
    <row r="5" spans="2:11" x14ac:dyDescent="0.25">
      <c r="B5" s="293">
        <f>inputPrYr!B27</f>
        <v>0</v>
      </c>
      <c r="C5" s="285" t="str">
        <f>General!C5</f>
        <v>Actual for 2023</v>
      </c>
      <c r="D5" s="285" t="str">
        <f>General!D5</f>
        <v>Estimate for 2024</v>
      </c>
      <c r="E5" s="81" t="str">
        <f>General!E5</f>
        <v>Year for 2025</v>
      </c>
    </row>
    <row r="6" spans="2:11" x14ac:dyDescent="0.25">
      <c r="B6" s="82" t="s">
        <v>78</v>
      </c>
      <c r="C6" s="185"/>
      <c r="D6" s="283">
        <f>C35</f>
        <v>0</v>
      </c>
      <c r="E6" s="169">
        <f>D35</f>
        <v>0</v>
      </c>
    </row>
    <row r="7" spans="2:11" x14ac:dyDescent="0.25">
      <c r="B7" s="82" t="s">
        <v>80</v>
      </c>
      <c r="C7" s="283"/>
      <c r="D7" s="283"/>
      <c r="E7" s="188"/>
    </row>
    <row r="8" spans="2:11" x14ac:dyDescent="0.25">
      <c r="B8" s="82" t="s">
        <v>10</v>
      </c>
      <c r="C8" s="185"/>
      <c r="D8" s="283">
        <f>IF(inputPrYr!H18&gt;0,inputPrYr!G29,inputPrYr!E27)</f>
        <v>0</v>
      </c>
      <c r="E8" s="188" t="s">
        <v>204</v>
      </c>
    </row>
    <row r="9" spans="2:11" x14ac:dyDescent="0.25">
      <c r="B9" s="82" t="s">
        <v>11</v>
      </c>
      <c r="C9" s="185"/>
      <c r="D9" s="185"/>
      <c r="E9" s="164"/>
    </row>
    <row r="10" spans="2:11" x14ac:dyDescent="0.25">
      <c r="B10" s="82" t="s">
        <v>12</v>
      </c>
      <c r="C10" s="185"/>
      <c r="D10" s="185"/>
      <c r="E10" s="169">
        <f>Mvalloc!D21</f>
        <v>0</v>
      </c>
      <c r="G10" s="779" t="str">
        <f>CONCATENATE("Desired Carryover Into ",E1+1,"")</f>
        <v>Desired Carryover Into 2026</v>
      </c>
      <c r="H10" s="786"/>
      <c r="I10" s="786"/>
      <c r="J10" s="787"/>
      <c r="K10" s="376"/>
    </row>
    <row r="11" spans="2:11" x14ac:dyDescent="0.25">
      <c r="B11" s="82" t="s">
        <v>13</v>
      </c>
      <c r="C11" s="185"/>
      <c r="D11" s="185"/>
      <c r="E11" s="169">
        <f>Mvalloc!F21</f>
        <v>0</v>
      </c>
      <c r="G11" s="408"/>
      <c r="H11" s="409"/>
      <c r="I11" s="410"/>
      <c r="J11" s="411"/>
      <c r="K11" s="376"/>
    </row>
    <row r="12" spans="2:11" x14ac:dyDescent="0.25">
      <c r="B12" s="82" t="s">
        <v>70</v>
      </c>
      <c r="C12" s="185"/>
      <c r="D12" s="185"/>
      <c r="E12" s="169">
        <f>Mvalloc!G21</f>
        <v>0</v>
      </c>
      <c r="G12" s="412" t="s">
        <v>486</v>
      </c>
      <c r="H12" s="410"/>
      <c r="I12" s="410"/>
      <c r="J12" s="413">
        <v>0</v>
      </c>
      <c r="K12" s="376"/>
    </row>
    <row r="13" spans="2:11" x14ac:dyDescent="0.25">
      <c r="B13" s="546" t="s">
        <v>591</v>
      </c>
      <c r="C13" s="185"/>
      <c r="D13" s="185"/>
      <c r="E13" s="169">
        <f>Mvalloc!H21</f>
        <v>0</v>
      </c>
      <c r="G13" s="408" t="s">
        <v>487</v>
      </c>
      <c r="H13" s="409"/>
      <c r="I13" s="409"/>
      <c r="J13" s="414" t="str">
        <f>IF(J12=0,"",ROUND((J12+E41-G25)/inputOth!E7*1000,3)-G30)</f>
        <v/>
      </c>
      <c r="K13" s="376"/>
    </row>
    <row r="14" spans="2:11" x14ac:dyDescent="0.25">
      <c r="B14" s="546" t="s">
        <v>592</v>
      </c>
      <c r="C14" s="185"/>
      <c r="D14" s="185"/>
      <c r="E14" s="169">
        <f>Mvalloc!I21</f>
        <v>0</v>
      </c>
      <c r="G14" s="415" t="str">
        <f>CONCATENATE("",E1," Tot Exp/Non-Appr Must Be:")</f>
        <v>2025 Tot Exp/Non-Appr Must Be:</v>
      </c>
      <c r="H14" s="416"/>
      <c r="I14" s="417"/>
      <c r="J14" s="418">
        <f>IF(J12&gt;0,IF(E38&lt;E23,IF(J12=G25,E38,((J12-G25)*(1-D40))+E23),E38+(J12-G25)),0)</f>
        <v>0</v>
      </c>
      <c r="K14" s="376"/>
    </row>
    <row r="15" spans="2:11" x14ac:dyDescent="0.25">
      <c r="B15" s="191"/>
      <c r="C15" s="185"/>
      <c r="D15" s="185"/>
      <c r="E15" s="164"/>
      <c r="G15" s="419" t="s">
        <v>551</v>
      </c>
      <c r="H15" s="420"/>
      <c r="I15" s="420"/>
      <c r="J15" s="421">
        <f>IF(J12&gt;0,J14-E38,0)</f>
        <v>0</v>
      </c>
      <c r="K15" s="376"/>
    </row>
    <row r="16" spans="2:11" x14ac:dyDescent="0.25">
      <c r="B16" s="191"/>
      <c r="C16" s="185"/>
      <c r="D16" s="185"/>
      <c r="E16" s="164"/>
      <c r="G16" s="376"/>
      <c r="H16" s="376"/>
      <c r="I16" s="376"/>
      <c r="J16" s="376"/>
      <c r="K16" s="376"/>
    </row>
    <row r="17" spans="2:11" x14ac:dyDescent="0.25">
      <c r="B17" s="192"/>
      <c r="C17" s="185"/>
      <c r="D17" s="185"/>
      <c r="E17" s="164"/>
      <c r="G17" s="779" t="str">
        <f>CONCATENATE("Projected Carryover Into ",E1+1,"")</f>
        <v>Projected Carryover Into 2026</v>
      </c>
      <c r="H17" s="790"/>
      <c r="I17" s="790"/>
      <c r="J17" s="789"/>
      <c r="K17" s="376"/>
    </row>
    <row r="18" spans="2:11" x14ac:dyDescent="0.25">
      <c r="B18" s="192" t="s">
        <v>16</v>
      </c>
      <c r="C18" s="185"/>
      <c r="D18" s="185"/>
      <c r="E18" s="164"/>
      <c r="G18" s="408"/>
      <c r="H18" s="410"/>
      <c r="I18" s="410"/>
      <c r="J18" s="423"/>
      <c r="K18" s="376"/>
    </row>
    <row r="19" spans="2:11" x14ac:dyDescent="0.25">
      <c r="B19" s="189" t="s">
        <v>146</v>
      </c>
      <c r="C19" s="185"/>
      <c r="D19" s="185"/>
      <c r="E19" s="169">
        <f>'NR Rebate'!E16*-1</f>
        <v>0</v>
      </c>
      <c r="G19" s="426">
        <f>D35</f>
        <v>0</v>
      </c>
      <c r="H19" s="427" t="str">
        <f>CONCATENATE("",E1-1," Ending Cash Balance (est.)")</f>
        <v>2024 Ending Cash Balance (est.)</v>
      </c>
      <c r="I19" s="428"/>
      <c r="J19" s="423"/>
      <c r="K19" s="376"/>
    </row>
    <row r="20" spans="2:11" x14ac:dyDescent="0.25">
      <c r="B20" s="193" t="s">
        <v>143</v>
      </c>
      <c r="C20" s="185"/>
      <c r="D20" s="185"/>
      <c r="E20" s="164"/>
      <c r="G20" s="426">
        <f>E22</f>
        <v>0</v>
      </c>
      <c r="H20" s="410" t="str">
        <f>CONCATENATE("",E1," Non-AV Receipts (est.)")</f>
        <v>2025 Non-AV Receipts (est.)</v>
      </c>
      <c r="I20" s="428"/>
      <c r="J20" s="423"/>
      <c r="K20" s="376"/>
    </row>
    <row r="21" spans="2:11" x14ac:dyDescent="0.2">
      <c r="B21" s="193" t="s">
        <v>144</v>
      </c>
      <c r="C21" s="282" t="str">
        <f>IF(C22*0.1&lt;C20,"Exceed 10% Rule","")</f>
        <v/>
      </c>
      <c r="D21" s="282" t="str">
        <f>IF(D22*0.1&lt;D20,"Exceed 10% Rule","")</f>
        <v/>
      </c>
      <c r="E21" s="198" t="str">
        <f>IF((E41+E22)*0.1&lt;E20,"Exceed 10% Rule","")</f>
        <v/>
      </c>
      <c r="G21" s="433">
        <f>IF(E40&gt;0,E39,E41)</f>
        <v>0</v>
      </c>
      <c r="H21" s="410" t="str">
        <f>CONCATENATE("",E1," Ad Valorem Tax (est.)")</f>
        <v>2025 Ad Valorem Tax (est.)</v>
      </c>
      <c r="I21" s="428"/>
      <c r="J21" s="423"/>
      <c r="K21" s="434" t="str">
        <f>IF(G21=E41,"","Note: Does not include Delinquent Taxes")</f>
        <v/>
      </c>
    </row>
    <row r="22" spans="2:11" x14ac:dyDescent="0.25">
      <c r="B22" s="195" t="s">
        <v>17</v>
      </c>
      <c r="C22" s="199">
        <f>SUM(C8:C20)</f>
        <v>0</v>
      </c>
      <c r="D22" s="199">
        <f>SUM(D8:D20)</f>
        <v>0</v>
      </c>
      <c r="E22" s="199">
        <f>SUM(E8:E20)</f>
        <v>0</v>
      </c>
      <c r="G22" s="426">
        <f>SUM(G19:G21)</f>
        <v>0</v>
      </c>
      <c r="H22" s="410" t="str">
        <f>CONCATENATE("Total ",E1," Resources Available")</f>
        <v>Total 2025 Resources Available</v>
      </c>
      <c r="I22" s="428"/>
      <c r="J22" s="423"/>
      <c r="K22" s="376"/>
    </row>
    <row r="23" spans="2:11" x14ac:dyDescent="0.25">
      <c r="B23" s="196" t="s">
        <v>18</v>
      </c>
      <c r="C23" s="199">
        <f>C22+C6</f>
        <v>0</v>
      </c>
      <c r="D23" s="199">
        <f>D22+D6</f>
        <v>0</v>
      </c>
      <c r="E23" s="199">
        <f>E22+E6</f>
        <v>0</v>
      </c>
      <c r="G23" s="436"/>
      <c r="H23" s="410"/>
      <c r="I23" s="410"/>
      <c r="J23" s="423"/>
      <c r="K23" s="376"/>
    </row>
    <row r="24" spans="2:11" x14ac:dyDescent="0.25">
      <c r="B24" s="82" t="s">
        <v>19</v>
      </c>
      <c r="C24" s="283"/>
      <c r="D24" s="283"/>
      <c r="E24" s="169"/>
      <c r="G24" s="433">
        <f>ROUND(C34*0.05+C34,0)</f>
        <v>0</v>
      </c>
      <c r="H24" s="410" t="str">
        <f>CONCATENATE("Less ",E1-2," Expenditures + 5%")</f>
        <v>Less 2023 Expenditures + 5%</v>
      </c>
      <c r="I24" s="410"/>
      <c r="J24" s="423"/>
      <c r="K24" s="376"/>
    </row>
    <row r="25" spans="2:11" x14ac:dyDescent="0.25">
      <c r="B25" s="192"/>
      <c r="C25" s="185"/>
      <c r="D25" s="185"/>
      <c r="E25" s="164"/>
      <c r="G25" s="440">
        <f>G22-G24</f>
        <v>0</v>
      </c>
      <c r="H25" s="441" t="str">
        <f>CONCATENATE("Projected ",E1+1," carryover (est.)")</f>
        <v>Projected 2026 carryover (est.)</v>
      </c>
      <c r="I25" s="442"/>
      <c r="J25" s="443"/>
      <c r="K25" s="376"/>
    </row>
    <row r="26" spans="2:11" x14ac:dyDescent="0.25">
      <c r="B26" s="192"/>
      <c r="C26" s="185"/>
      <c r="D26" s="185"/>
      <c r="E26" s="164"/>
      <c r="G26" s="376"/>
      <c r="H26" s="376"/>
      <c r="I26" s="376"/>
      <c r="J26" s="376"/>
      <c r="K26" s="376"/>
    </row>
    <row r="27" spans="2:11" x14ac:dyDescent="0.25">
      <c r="B27" s="192"/>
      <c r="C27" s="185"/>
      <c r="D27" s="185"/>
      <c r="E27" s="164"/>
      <c r="G27" s="765" t="s">
        <v>858</v>
      </c>
      <c r="H27" s="766"/>
      <c r="I27" s="766"/>
      <c r="J27" s="767"/>
      <c r="K27" s="376"/>
    </row>
    <row r="28" spans="2:11" x14ac:dyDescent="0.25">
      <c r="B28" s="192"/>
      <c r="C28" s="185"/>
      <c r="D28" s="185"/>
      <c r="E28" s="164"/>
      <c r="G28" s="768"/>
      <c r="H28" s="769"/>
      <c r="I28" s="769"/>
      <c r="J28" s="770"/>
      <c r="K28" s="376"/>
    </row>
    <row r="29" spans="2:11" x14ac:dyDescent="0.25">
      <c r="B29" s="185"/>
      <c r="C29" s="185"/>
      <c r="D29" s="185"/>
      <c r="E29" s="164"/>
      <c r="G29" s="632" t="str">
        <f>'Budget Hearing Notice'!I28</f>
        <v xml:space="preserve"> </v>
      </c>
      <c r="H29" s="311" t="str">
        <f>CONCATENATE("",E1," Estimated Fund Mill Rate")</f>
        <v>2025 Estimated Fund Mill Rate</v>
      </c>
      <c r="I29" s="633"/>
      <c r="J29" s="634"/>
      <c r="K29" s="376"/>
    </row>
    <row r="30" spans="2:11" x14ac:dyDescent="0.25">
      <c r="B30" s="192"/>
      <c r="C30" s="185"/>
      <c r="D30" s="185"/>
      <c r="E30" s="164"/>
      <c r="G30" s="635" t="str">
        <f>'Budget Hearing Notice'!F28</f>
        <v xml:space="preserve">  </v>
      </c>
      <c r="H30" s="311" t="str">
        <f>CONCATENATE("",E1-1," Fund Mill Rate")</f>
        <v>2024 Fund Mill Rate</v>
      </c>
      <c r="I30" s="633"/>
      <c r="J30" s="634"/>
      <c r="K30" s="376"/>
    </row>
    <row r="31" spans="2:11" x14ac:dyDescent="0.25">
      <c r="B31" s="189" t="str">
        <f>CONCATENATE("Cash Reserve (",E1," column)")</f>
        <v>Cash Reserve (2025 column)</v>
      </c>
      <c r="C31" s="185"/>
      <c r="D31" s="185"/>
      <c r="E31" s="164"/>
      <c r="G31" s="636">
        <f>'Budget Hearing Notice'!I37</f>
        <v>0</v>
      </c>
      <c r="H31" s="637" t="s">
        <v>859</v>
      </c>
      <c r="I31" s="633"/>
      <c r="J31" s="634"/>
      <c r="K31" s="376"/>
    </row>
    <row r="32" spans="2:11" x14ac:dyDescent="0.25">
      <c r="B32" s="189" t="s">
        <v>143</v>
      </c>
      <c r="C32" s="185"/>
      <c r="D32" s="185"/>
      <c r="E32" s="164"/>
      <c r="G32" s="632">
        <f>'Budget Hearing Notice'!I36</f>
        <v>0</v>
      </c>
      <c r="H32" s="311" t="str">
        <f>CONCATENATE(E1," Estimated Total Mill Rate")</f>
        <v>2025 Estimated Total Mill Rate</v>
      </c>
      <c r="I32" s="633"/>
      <c r="J32" s="634"/>
      <c r="K32" s="376"/>
    </row>
    <row r="33" spans="2:11" x14ac:dyDescent="0.25">
      <c r="B33" s="189" t="s">
        <v>480</v>
      </c>
      <c r="C33" s="282" t="str">
        <f>IF(C34*0.1&lt;C32,"Exceed 10% Rule","")</f>
        <v/>
      </c>
      <c r="D33" s="282" t="str">
        <f>IF(D34*0.1&lt;D32,"Exceed 10% Rule","")</f>
        <v/>
      </c>
      <c r="E33" s="198" t="str">
        <f>IF(E34*0.1&lt;E32,"Exceed 10% Rule","")</f>
        <v/>
      </c>
      <c r="G33" s="638">
        <f>'Budget Hearing Notice'!F36</f>
        <v>0</v>
      </c>
      <c r="H33" s="311" t="str">
        <f>CONCATENATE(E1-1," Total Mill Rate")</f>
        <v>2024 Total Mill Rate</v>
      </c>
      <c r="I33" s="633"/>
      <c r="J33" s="634"/>
      <c r="K33" s="376"/>
    </row>
    <row r="34" spans="2:11" x14ac:dyDescent="0.25">
      <c r="B34" s="196" t="s">
        <v>20</v>
      </c>
      <c r="C34" s="199">
        <f>SUM(C25:C32)</f>
        <v>0</v>
      </c>
      <c r="D34" s="199">
        <f>SUM(D25:D32)</f>
        <v>0</v>
      </c>
      <c r="E34" s="199">
        <f>SUM(E25:E32)</f>
        <v>0</v>
      </c>
      <c r="G34" s="307"/>
      <c r="H34" s="308"/>
      <c r="I34" s="308"/>
      <c r="J34" s="309"/>
    </row>
    <row r="35" spans="2:11" x14ac:dyDescent="0.25">
      <c r="B35" s="82" t="s">
        <v>79</v>
      </c>
      <c r="C35" s="169">
        <f>C23-C34</f>
        <v>0</v>
      </c>
      <c r="D35" s="169">
        <f>D23-D34</f>
        <v>0</v>
      </c>
      <c r="E35" s="188" t="s">
        <v>204</v>
      </c>
      <c r="G35" s="771" t="s">
        <v>860</v>
      </c>
      <c r="H35" s="772"/>
      <c r="I35" s="772"/>
      <c r="J35" s="775" t="str">
        <f>IF(G32&gt;G31, "Yes", "No")</f>
        <v>No</v>
      </c>
    </row>
    <row r="36" spans="2:11" x14ac:dyDescent="0.25">
      <c r="B36" s="110" t="str">
        <f>CONCATENATE("",E1-2,"/",E1-1,"/",E1," Budget Authority Amount:")</f>
        <v>2023/2024/2025 Budget Authority Amount:</v>
      </c>
      <c r="C36" s="494">
        <f>inputOth!B61</f>
        <v>0</v>
      </c>
      <c r="D36" s="494">
        <f>inputPrYr!D27</f>
        <v>0</v>
      </c>
      <c r="E36" s="169">
        <f>E34</f>
        <v>0</v>
      </c>
      <c r="F36" s="200"/>
      <c r="G36" s="773"/>
      <c r="H36" s="774"/>
      <c r="I36" s="774"/>
      <c r="J36" s="776"/>
    </row>
    <row r="37" spans="2:11" x14ac:dyDescent="0.25">
      <c r="B37" s="111"/>
      <c r="C37" s="761" t="s">
        <v>482</v>
      </c>
      <c r="D37" s="762"/>
      <c r="E37" s="164"/>
      <c r="F37" s="200" t="str">
        <f>IF(E34/0.95-E34&lt;E37,"Exceeds 5%","")</f>
        <v/>
      </c>
      <c r="G37" s="754" t="str">
        <f>IF(J35="Yes", "Follow procedure prescribed by KSA 79-2988 to exceed the Revenue Neutral Rate.", " ")</f>
        <v xml:space="preserve"> </v>
      </c>
      <c r="H37" s="754"/>
      <c r="I37" s="754"/>
      <c r="J37" s="754"/>
      <c r="K37" s="376"/>
    </row>
    <row r="38" spans="2:11" x14ac:dyDescent="0.25">
      <c r="B38" s="291" t="str">
        <f>CONCATENATE(C101,"     ",D101)</f>
        <v xml:space="preserve">     </v>
      </c>
      <c r="C38" s="763" t="s">
        <v>483</v>
      </c>
      <c r="D38" s="764"/>
      <c r="E38" s="169">
        <f>E34+E37</f>
        <v>0</v>
      </c>
      <c r="G38" s="755"/>
      <c r="H38" s="755"/>
      <c r="I38" s="755"/>
      <c r="J38" s="755"/>
      <c r="K38" s="376"/>
    </row>
    <row r="39" spans="2:11" x14ac:dyDescent="0.25">
      <c r="B39" s="291" t="str">
        <f>CONCATENATE(C102,"     ",D102)</f>
        <v xml:space="preserve">     </v>
      </c>
      <c r="C39" s="257"/>
      <c r="D39" s="117" t="s">
        <v>22</v>
      </c>
      <c r="E39" s="169">
        <f>IF(E38-E23&gt;0,E38-E23,0)</f>
        <v>0</v>
      </c>
      <c r="G39" s="755"/>
      <c r="H39" s="755"/>
      <c r="I39" s="755"/>
      <c r="J39" s="755"/>
      <c r="K39" s="376"/>
    </row>
    <row r="40" spans="2:11" x14ac:dyDescent="0.25">
      <c r="B40" s="117"/>
      <c r="C40" s="296" t="s">
        <v>484</v>
      </c>
      <c r="D40" s="474">
        <f>inputOth!$E$45</f>
        <v>0</v>
      </c>
      <c r="E40" s="169">
        <f>ROUND(IF(D40&gt;0,(E39*D40),0),0)</f>
        <v>0</v>
      </c>
      <c r="G40" s="376"/>
      <c r="H40" s="376"/>
      <c r="I40" s="376"/>
      <c r="J40" s="376"/>
      <c r="K40" s="376"/>
    </row>
    <row r="41" spans="2:11" x14ac:dyDescent="0.25">
      <c r="B41" s="73"/>
      <c r="C41" s="759" t="str">
        <f>CONCATENATE("Amount of  ",$E$1-1," Ad Valorem Tax")</f>
        <v>Amount of  2024 Ad Valorem Tax</v>
      </c>
      <c r="D41" s="760"/>
      <c r="E41" s="169">
        <f>E39+E40</f>
        <v>0</v>
      </c>
      <c r="G41" s="376"/>
      <c r="H41" s="376"/>
      <c r="I41" s="376"/>
      <c r="J41" s="376"/>
      <c r="K41" s="376"/>
    </row>
    <row r="42" spans="2:11" x14ac:dyDescent="0.25">
      <c r="B42" s="73"/>
      <c r="C42" s="348"/>
      <c r="D42" s="73"/>
      <c r="E42" s="73"/>
      <c r="G42" s="376"/>
      <c r="H42" s="376"/>
      <c r="I42" s="376"/>
      <c r="J42" s="376"/>
      <c r="K42" s="376"/>
    </row>
    <row r="43" spans="2:11" x14ac:dyDescent="0.25">
      <c r="B43" s="73"/>
      <c r="C43" s="348"/>
      <c r="D43" s="73"/>
      <c r="E43" s="73"/>
      <c r="G43" s="376"/>
      <c r="H43" s="376"/>
      <c r="I43" s="376"/>
      <c r="J43" s="376"/>
      <c r="K43" s="376"/>
    </row>
    <row r="44" spans="2:11" x14ac:dyDescent="0.25">
      <c r="B44" s="77" t="s">
        <v>5</v>
      </c>
      <c r="C44" s="76"/>
      <c r="D44" s="76"/>
      <c r="E44" s="76"/>
      <c r="G44" s="376"/>
      <c r="H44" s="376"/>
      <c r="I44" s="376"/>
      <c r="J44" s="376"/>
      <c r="K44" s="376"/>
    </row>
    <row r="45" spans="2:11" x14ac:dyDescent="0.25">
      <c r="B45" s="73"/>
      <c r="C45" s="284" t="s">
        <v>6</v>
      </c>
      <c r="D45" s="286" t="s">
        <v>7</v>
      </c>
      <c r="E45" s="78" t="s">
        <v>8</v>
      </c>
      <c r="G45" s="376"/>
      <c r="H45" s="376"/>
      <c r="I45" s="376"/>
      <c r="J45" s="376"/>
      <c r="K45" s="376"/>
    </row>
    <row r="46" spans="2:11" x14ac:dyDescent="0.25">
      <c r="B46" s="294">
        <f>inputPrYr!B28</f>
        <v>0</v>
      </c>
      <c r="C46" s="285" t="str">
        <f>C5</f>
        <v>Actual for 2023</v>
      </c>
      <c r="D46" s="285" t="str">
        <f>D5</f>
        <v>Estimate for 2024</v>
      </c>
      <c r="E46" s="81" t="str">
        <f>E5</f>
        <v>Year for 2025</v>
      </c>
      <c r="G46" s="376"/>
      <c r="H46" s="376"/>
      <c r="I46" s="376"/>
      <c r="J46" s="376"/>
      <c r="K46" s="376"/>
    </row>
    <row r="47" spans="2:11" x14ac:dyDescent="0.25">
      <c r="B47" s="82" t="s">
        <v>78</v>
      </c>
      <c r="C47" s="185"/>
      <c r="D47" s="283">
        <f>C76</f>
        <v>0</v>
      </c>
      <c r="E47" s="169">
        <f>D76</f>
        <v>0</v>
      </c>
      <c r="G47" s="376"/>
      <c r="H47" s="376"/>
      <c r="I47" s="376"/>
      <c r="J47" s="376"/>
      <c r="K47" s="376"/>
    </row>
    <row r="48" spans="2:11" x14ac:dyDescent="0.25">
      <c r="B48" s="82" t="s">
        <v>80</v>
      </c>
      <c r="C48" s="283"/>
      <c r="D48" s="283"/>
      <c r="E48" s="188"/>
      <c r="G48" s="376"/>
      <c r="H48" s="376"/>
      <c r="I48" s="376"/>
      <c r="J48" s="376"/>
      <c r="K48" s="376"/>
    </row>
    <row r="49" spans="2:11" x14ac:dyDescent="0.25">
      <c r="B49" s="82" t="s">
        <v>10</v>
      </c>
      <c r="C49" s="185"/>
      <c r="D49" s="283">
        <f>IF(inputPrYr!H18&gt;0,inputPrYr!G30,inputPrYr!E28)</f>
        <v>0</v>
      </c>
      <c r="E49" s="188" t="s">
        <v>204</v>
      </c>
      <c r="G49" s="376"/>
      <c r="H49" s="376"/>
      <c r="I49" s="376"/>
      <c r="J49" s="376"/>
      <c r="K49" s="376"/>
    </row>
    <row r="50" spans="2:11" x14ac:dyDescent="0.25">
      <c r="B50" s="82" t="s">
        <v>11</v>
      </c>
      <c r="C50" s="185"/>
      <c r="D50" s="185"/>
      <c r="E50" s="164"/>
      <c r="G50" s="376"/>
      <c r="H50" s="376"/>
      <c r="I50" s="376"/>
      <c r="J50" s="376"/>
      <c r="K50" s="376"/>
    </row>
    <row r="51" spans="2:11" x14ac:dyDescent="0.25">
      <c r="B51" s="82" t="s">
        <v>12</v>
      </c>
      <c r="C51" s="185"/>
      <c r="D51" s="185"/>
      <c r="E51" s="169">
        <f>Mvalloc!D22</f>
        <v>0</v>
      </c>
      <c r="G51" s="779" t="str">
        <f>CONCATENATE("Desired Carryover Into ",E1+1,"")</f>
        <v>Desired Carryover Into 2026</v>
      </c>
      <c r="H51" s="786"/>
      <c r="I51" s="786"/>
      <c r="J51" s="787"/>
      <c r="K51" s="376"/>
    </row>
    <row r="52" spans="2:11" x14ac:dyDescent="0.25">
      <c r="B52" s="82" t="s">
        <v>13</v>
      </c>
      <c r="C52" s="185"/>
      <c r="D52" s="185"/>
      <c r="E52" s="169">
        <f>Mvalloc!F22</f>
        <v>0</v>
      </c>
      <c r="G52" s="408"/>
      <c r="H52" s="409"/>
      <c r="I52" s="410"/>
      <c r="J52" s="411"/>
      <c r="K52" s="376"/>
    </row>
    <row r="53" spans="2:11" x14ac:dyDescent="0.25">
      <c r="B53" s="82" t="s">
        <v>70</v>
      </c>
      <c r="C53" s="185"/>
      <c r="D53" s="185"/>
      <c r="E53" s="169">
        <f>Mvalloc!G22</f>
        <v>0</v>
      </c>
      <c r="G53" s="412" t="s">
        <v>486</v>
      </c>
      <c r="H53" s="410"/>
      <c r="I53" s="410"/>
      <c r="J53" s="413">
        <v>0</v>
      </c>
      <c r="K53" s="376"/>
    </row>
    <row r="54" spans="2:11" x14ac:dyDescent="0.25">
      <c r="B54" s="546" t="s">
        <v>591</v>
      </c>
      <c r="C54" s="185"/>
      <c r="D54" s="185"/>
      <c r="E54" s="169">
        <f>Mvalloc!H22</f>
        <v>0</v>
      </c>
      <c r="G54" s="408" t="s">
        <v>487</v>
      </c>
      <c r="H54" s="409"/>
      <c r="I54" s="409"/>
      <c r="J54" s="414" t="str">
        <f>IF(J53=0,"",ROUND((J53+E82-G66)/inputOth!E7*1000,3)-G71)</f>
        <v/>
      </c>
      <c r="K54" s="376"/>
    </row>
    <row r="55" spans="2:11" x14ac:dyDescent="0.25">
      <c r="B55" s="546" t="s">
        <v>592</v>
      </c>
      <c r="C55" s="185"/>
      <c r="D55" s="185"/>
      <c r="E55" s="169">
        <f>Mvalloc!I22</f>
        <v>0</v>
      </c>
      <c r="G55" s="415" t="str">
        <f>CONCATENATE("",E1," Tot Exp/Non-Appr Must Be:")</f>
        <v>2025 Tot Exp/Non-Appr Must Be:</v>
      </c>
      <c r="H55" s="416"/>
      <c r="I55" s="417"/>
      <c r="J55" s="418">
        <f>IF(J53&gt;0,IF(E79&lt;E64,IF(J53=G66,E79,((J53-G66)*(1-D81))+E64),E79+(J53-G66)),0)</f>
        <v>0</v>
      </c>
      <c r="K55" s="376"/>
    </row>
    <row r="56" spans="2:11" x14ac:dyDescent="0.25">
      <c r="B56" s="191"/>
      <c r="C56" s="185"/>
      <c r="D56" s="185"/>
      <c r="E56" s="164"/>
      <c r="G56" s="419" t="s">
        <v>551</v>
      </c>
      <c r="H56" s="420"/>
      <c r="I56" s="420"/>
      <c r="J56" s="421">
        <f>IF(J53&gt;0,J55-E79,0)</f>
        <v>0</v>
      </c>
      <c r="K56" s="376"/>
    </row>
    <row r="57" spans="2:11" x14ac:dyDescent="0.25">
      <c r="B57" s="191"/>
      <c r="C57" s="185"/>
      <c r="D57" s="185"/>
      <c r="E57" s="164"/>
      <c r="G57" s="376"/>
      <c r="H57" s="376"/>
      <c r="I57" s="376"/>
      <c r="J57" s="376"/>
      <c r="K57" s="376"/>
    </row>
    <row r="58" spans="2:11" x14ac:dyDescent="0.25">
      <c r="B58" s="192"/>
      <c r="C58" s="185"/>
      <c r="D58" s="185"/>
      <c r="E58" s="164"/>
      <c r="G58" s="779" t="str">
        <f>CONCATENATE("Projected Carryover Into ",E1+1,"")</f>
        <v>Projected Carryover Into 2026</v>
      </c>
      <c r="H58" s="788"/>
      <c r="I58" s="788"/>
      <c r="J58" s="789"/>
      <c r="K58" s="376"/>
    </row>
    <row r="59" spans="2:11" x14ac:dyDescent="0.25">
      <c r="B59" s="192" t="s">
        <v>16</v>
      </c>
      <c r="C59" s="185"/>
      <c r="D59" s="185"/>
      <c r="E59" s="164"/>
      <c r="G59" s="450"/>
      <c r="H59" s="409"/>
      <c r="I59" s="409"/>
      <c r="J59" s="451"/>
      <c r="K59" s="376"/>
    </row>
    <row r="60" spans="2:11" x14ac:dyDescent="0.25">
      <c r="B60" s="189" t="s">
        <v>146</v>
      </c>
      <c r="C60" s="185"/>
      <c r="D60" s="185"/>
      <c r="E60" s="169">
        <f>'NR Rebate'!E17*-1</f>
        <v>0</v>
      </c>
      <c r="G60" s="426">
        <f>D76</f>
        <v>0</v>
      </c>
      <c r="H60" s="427" t="str">
        <f>CONCATENATE("",E1-1," Ending Cash Balance (est.)")</f>
        <v>2024 Ending Cash Balance (est.)</v>
      </c>
      <c r="I60" s="428"/>
      <c r="J60" s="451"/>
      <c r="K60" s="376"/>
    </row>
    <row r="61" spans="2:11" x14ac:dyDescent="0.25">
      <c r="B61" s="193" t="s">
        <v>143</v>
      </c>
      <c r="C61" s="185"/>
      <c r="D61" s="185"/>
      <c r="E61" s="164"/>
      <c r="G61" s="426">
        <f>E63</f>
        <v>0</v>
      </c>
      <c r="H61" s="410" t="str">
        <f>CONCATENATE("",E1," Non-AV Receipts (est.)")</f>
        <v>2025 Non-AV Receipts (est.)</v>
      </c>
      <c r="I61" s="428"/>
      <c r="J61" s="451"/>
      <c r="K61" s="376"/>
    </row>
    <row r="62" spans="2:11" x14ac:dyDescent="0.25">
      <c r="B62" s="193" t="s">
        <v>144</v>
      </c>
      <c r="C62" s="282" t="str">
        <f>IF(C63*0.1&lt;C61,"Exceed 10% Rule","")</f>
        <v/>
      </c>
      <c r="D62" s="282" t="str">
        <f>IF(D63*0.1&lt;D61,"Exceed 10% Rule","")</f>
        <v/>
      </c>
      <c r="E62" s="198" t="str">
        <f>IF((E82+E63)*0.1&lt;E61,"Exceed 10% Rule","")</f>
        <v/>
      </c>
      <c r="G62" s="433">
        <f>IF(E81&gt;0,E80,E82)</f>
        <v>0</v>
      </c>
      <c r="H62" s="410" t="str">
        <f>CONCATENATE("",E1," Ad Valorem Tax (est.)")</f>
        <v>2025 Ad Valorem Tax (est.)</v>
      </c>
      <c r="I62" s="428"/>
      <c r="J62" s="451"/>
      <c r="K62" s="434" t="str">
        <f>IF(G62=E82,"","Note: Does not include Delinquent Taxes")</f>
        <v/>
      </c>
    </row>
    <row r="63" spans="2:11" x14ac:dyDescent="0.25">
      <c r="B63" s="195" t="s">
        <v>17</v>
      </c>
      <c r="C63" s="199">
        <f>SUM(C49:C61)</f>
        <v>0</v>
      </c>
      <c r="D63" s="199">
        <f>SUM(D49:D61)</f>
        <v>0</v>
      </c>
      <c r="E63" s="199">
        <f>SUM(E49:E61)</f>
        <v>0</v>
      </c>
      <c r="G63" s="453">
        <f>SUM(G60:G62)</f>
        <v>0</v>
      </c>
      <c r="H63" s="410" t="str">
        <f>CONCATENATE("Total ",E1," Resources Available")</f>
        <v>Total 2025 Resources Available</v>
      </c>
      <c r="I63" s="454"/>
      <c r="J63" s="451"/>
      <c r="K63" s="376"/>
    </row>
    <row r="64" spans="2:11" x14ac:dyDescent="0.25">
      <c r="B64" s="196" t="s">
        <v>18</v>
      </c>
      <c r="C64" s="199">
        <f>C63+C47</f>
        <v>0</v>
      </c>
      <c r="D64" s="199">
        <f>D63+D47</f>
        <v>0</v>
      </c>
      <c r="E64" s="199">
        <f>E63+E47</f>
        <v>0</v>
      </c>
      <c r="G64" s="455"/>
      <c r="H64" s="456"/>
      <c r="I64" s="409"/>
      <c r="J64" s="451"/>
      <c r="K64" s="376"/>
    </row>
    <row r="65" spans="2:11" x14ac:dyDescent="0.25">
      <c r="B65" s="82" t="s">
        <v>19</v>
      </c>
      <c r="C65" s="283"/>
      <c r="D65" s="283"/>
      <c r="E65" s="169"/>
      <c r="G65" s="433">
        <f>ROUND(C75*0.05+C75,0)</f>
        <v>0</v>
      </c>
      <c r="H65" s="410" t="str">
        <f>CONCATENATE("Less ",E1-2," Expenditures + 5%")</f>
        <v>Less 2023 Expenditures + 5%</v>
      </c>
      <c r="I65" s="454"/>
      <c r="J65" s="451"/>
      <c r="K65" s="376"/>
    </row>
    <row r="66" spans="2:11" x14ac:dyDescent="0.25">
      <c r="B66" s="192"/>
      <c r="C66" s="185"/>
      <c r="D66" s="185"/>
      <c r="E66" s="164"/>
      <c r="G66" s="440">
        <f>G63-G65</f>
        <v>0</v>
      </c>
      <c r="H66" s="441" t="str">
        <f>CONCATENATE("Projected ",E1+1," carryover (est.)")</f>
        <v>Projected 2026 carryover (est.)</v>
      </c>
      <c r="I66" s="457"/>
      <c r="J66" s="458"/>
      <c r="K66" s="376"/>
    </row>
    <row r="67" spans="2:11" x14ac:dyDescent="0.25">
      <c r="B67" s="192"/>
      <c r="C67" s="185"/>
      <c r="D67" s="185"/>
      <c r="E67" s="164"/>
      <c r="G67" s="376"/>
      <c r="H67" s="376"/>
      <c r="I67" s="376"/>
      <c r="J67" s="376"/>
      <c r="K67" s="376"/>
    </row>
    <row r="68" spans="2:11" x14ac:dyDescent="0.25">
      <c r="B68" s="192"/>
      <c r="C68" s="185"/>
      <c r="D68" s="185"/>
      <c r="E68" s="164"/>
      <c r="G68" s="765" t="s">
        <v>858</v>
      </c>
      <c r="H68" s="766"/>
      <c r="I68" s="766"/>
      <c r="J68" s="767"/>
      <c r="K68" s="376"/>
    </row>
    <row r="69" spans="2:11" x14ac:dyDescent="0.25">
      <c r="B69" s="192"/>
      <c r="C69" s="185"/>
      <c r="D69" s="185"/>
      <c r="E69" s="164"/>
      <c r="G69" s="768"/>
      <c r="H69" s="769"/>
      <c r="I69" s="769"/>
      <c r="J69" s="770"/>
      <c r="K69" s="376"/>
    </row>
    <row r="70" spans="2:11" x14ac:dyDescent="0.25">
      <c r="B70" s="192"/>
      <c r="C70" s="185"/>
      <c r="D70" s="185"/>
      <c r="E70" s="164"/>
      <c r="G70" s="632" t="str">
        <f>'Budget Hearing Notice'!I29</f>
        <v xml:space="preserve"> </v>
      </c>
      <c r="H70" s="311" t="str">
        <f>CONCATENATE("",E1," Estimated Fund Mill Rate")</f>
        <v>2025 Estimated Fund Mill Rate</v>
      </c>
      <c r="I70" s="633"/>
      <c r="J70" s="634"/>
      <c r="K70" s="376"/>
    </row>
    <row r="71" spans="2:11" x14ac:dyDescent="0.25">
      <c r="B71" s="192"/>
      <c r="C71" s="185"/>
      <c r="D71" s="185"/>
      <c r="E71" s="164"/>
      <c r="G71" s="635" t="str">
        <f>'Budget Hearing Notice'!F29</f>
        <v xml:space="preserve">  </v>
      </c>
      <c r="H71" s="311" t="str">
        <f>CONCATENATE("",E1-1," Fund Mill Rate")</f>
        <v>2024 Fund Mill Rate</v>
      </c>
      <c r="I71" s="633"/>
      <c r="J71" s="634"/>
      <c r="K71" s="376"/>
    </row>
    <row r="72" spans="2:11" x14ac:dyDescent="0.25">
      <c r="B72" s="189" t="str">
        <f>CONCATENATE("Cash Reserve (",E1," column)")</f>
        <v>Cash Reserve (2025 column)</v>
      </c>
      <c r="C72" s="185"/>
      <c r="D72" s="185"/>
      <c r="E72" s="164"/>
      <c r="G72" s="636">
        <f>'Budget Hearing Notice'!I37</f>
        <v>0</v>
      </c>
      <c r="H72" s="637" t="s">
        <v>859</v>
      </c>
      <c r="I72" s="633"/>
      <c r="J72" s="634"/>
      <c r="K72" s="376"/>
    </row>
    <row r="73" spans="2:11" x14ac:dyDescent="0.25">
      <c r="B73" s="189" t="s">
        <v>143</v>
      </c>
      <c r="C73" s="185"/>
      <c r="D73" s="185"/>
      <c r="E73" s="164"/>
      <c r="G73" s="632">
        <f>'Budget Hearing Notice'!I36</f>
        <v>0</v>
      </c>
      <c r="H73" s="311" t="str">
        <f>CONCATENATE(E1," Estimated Total Mill Rate")</f>
        <v>2025 Estimated Total Mill Rate</v>
      </c>
      <c r="I73" s="633"/>
      <c r="J73" s="634"/>
      <c r="K73" s="376"/>
    </row>
    <row r="74" spans="2:11" x14ac:dyDescent="0.25">
      <c r="B74" s="189" t="s">
        <v>480</v>
      </c>
      <c r="C74" s="282" t="str">
        <f>IF(C75*0.1&lt;C73,"Exceed 10% Rule","")</f>
        <v/>
      </c>
      <c r="D74" s="282" t="str">
        <f>IF(D75*0.1&lt;D73,"Exceed 10% Rule","")</f>
        <v/>
      </c>
      <c r="E74" s="198" t="str">
        <f>IF(E75*0.1&lt;E73,"Exceed 10% Rule","")</f>
        <v/>
      </c>
      <c r="G74" s="638">
        <f>'Budget Hearing Notice'!F36</f>
        <v>0</v>
      </c>
      <c r="H74" s="311" t="str">
        <f>CONCATENATE(E1-1," Total Mill Rate")</f>
        <v>2024 Total Mill Rate</v>
      </c>
      <c r="I74" s="633"/>
      <c r="J74" s="634"/>
    </row>
    <row r="75" spans="2:11" x14ac:dyDescent="0.25">
      <c r="B75" s="196" t="s">
        <v>20</v>
      </c>
      <c r="C75" s="199">
        <f>SUM(C66:C73)</f>
        <v>0</v>
      </c>
      <c r="D75" s="199">
        <f>SUM(D66:D73)</f>
        <v>0</v>
      </c>
      <c r="E75" s="199">
        <f>SUM(E66:E73)</f>
        <v>0</v>
      </c>
      <c r="G75" s="307"/>
      <c r="H75" s="308"/>
      <c r="I75" s="308"/>
      <c r="J75" s="309"/>
    </row>
    <row r="76" spans="2:11" x14ac:dyDescent="0.25">
      <c r="B76" s="82" t="s">
        <v>79</v>
      </c>
      <c r="C76" s="169">
        <f>C64-C75</f>
        <v>0</v>
      </c>
      <c r="D76" s="169">
        <f>D64-D75</f>
        <v>0</v>
      </c>
      <c r="E76" s="188" t="s">
        <v>204</v>
      </c>
      <c r="G76" s="771" t="s">
        <v>860</v>
      </c>
      <c r="H76" s="772"/>
      <c r="I76" s="772"/>
      <c r="J76" s="775" t="str">
        <f>IF(G73&gt;G72, "Yes", "No")</f>
        <v>No</v>
      </c>
    </row>
    <row r="77" spans="2:11" x14ac:dyDescent="0.25">
      <c r="B77" s="110" t="str">
        <f>CONCATENATE("",E1-2,"/",E1-1,"/",E1," Budget Authority Amount:")</f>
        <v>2023/2024/2025 Budget Authority Amount:</v>
      </c>
      <c r="C77" s="494">
        <f>inputOth!B62</f>
        <v>0</v>
      </c>
      <c r="D77" s="494">
        <f>inputPrYr!D28</f>
        <v>0</v>
      </c>
      <c r="E77" s="169">
        <f>E75</f>
        <v>0</v>
      </c>
      <c r="F77" s="200"/>
      <c r="G77" s="773"/>
      <c r="H77" s="774"/>
      <c r="I77" s="774"/>
      <c r="J77" s="776"/>
    </row>
    <row r="78" spans="2:11" x14ac:dyDescent="0.25">
      <c r="B78" s="111"/>
      <c r="C78" s="761" t="s">
        <v>482</v>
      </c>
      <c r="D78" s="762"/>
      <c r="E78" s="164"/>
      <c r="F78" s="200" t="str">
        <f>IF(E75/0.95-E75&lt;E78,"Exceeds 5%","")</f>
        <v/>
      </c>
      <c r="G78" s="754" t="str">
        <f>IF(J76="Yes", "Follow procedure prescribed by KSA 79-2988 to exceed the Revenue Neutral Rate.", " ")</f>
        <v xml:space="preserve"> </v>
      </c>
      <c r="H78" s="754"/>
      <c r="I78" s="754"/>
      <c r="J78" s="754"/>
    </row>
    <row r="79" spans="2:11" x14ac:dyDescent="0.25">
      <c r="B79" s="291" t="str">
        <f>CONCATENATE(C103,"     ",D103)</f>
        <v xml:space="preserve">     </v>
      </c>
      <c r="C79" s="763" t="s">
        <v>483</v>
      </c>
      <c r="D79" s="764"/>
      <c r="E79" s="169">
        <f>E75+E78</f>
        <v>0</v>
      </c>
      <c r="G79" s="755"/>
      <c r="H79" s="755"/>
      <c r="I79" s="755"/>
      <c r="J79" s="755"/>
    </row>
    <row r="80" spans="2:11" x14ac:dyDescent="0.25">
      <c r="B80" s="291" t="str">
        <f>CONCATENATE(C104,"      ",D104)</f>
        <v xml:space="preserve">      </v>
      </c>
      <c r="C80" s="257"/>
      <c r="D80" s="117" t="s">
        <v>22</v>
      </c>
      <c r="E80" s="169">
        <f>IF(E79-E64&gt;0,E79-E64,0)</f>
        <v>0</v>
      </c>
      <c r="G80" s="755"/>
      <c r="H80" s="755"/>
      <c r="I80" s="755"/>
      <c r="J80" s="755"/>
    </row>
    <row r="81" spans="2:5" x14ac:dyDescent="0.25">
      <c r="B81" s="117"/>
      <c r="C81" s="296" t="s">
        <v>484</v>
      </c>
      <c r="D81" s="474">
        <f>inputOth!$E$45</f>
        <v>0</v>
      </c>
      <c r="E81" s="169">
        <f>ROUND(IF(D81&gt;0,(E80*D81),0),0)</f>
        <v>0</v>
      </c>
    </row>
    <row r="82" spans="2:5" x14ac:dyDescent="0.25">
      <c r="B82" s="73"/>
      <c r="C82" s="759" t="str">
        <f>CONCATENATE("Amount of  ",$E$1-1," Ad Valorem Tax")</f>
        <v>Amount of  2024 Ad Valorem Tax</v>
      </c>
      <c r="D82" s="760"/>
      <c r="E82" s="169">
        <f>E80+E81</f>
        <v>0</v>
      </c>
    </row>
    <row r="83" spans="2:5" x14ac:dyDescent="0.25">
      <c r="B83" s="73"/>
      <c r="C83" s="348"/>
      <c r="D83" s="348"/>
      <c r="E83" s="348"/>
    </row>
    <row r="84" spans="2:5" x14ac:dyDescent="0.25">
      <c r="B84" s="554" t="s">
        <v>729</v>
      </c>
      <c r="C84" s="567"/>
      <c r="D84" s="567"/>
      <c r="E84" s="568"/>
    </row>
    <row r="85" spans="2:5" x14ac:dyDescent="0.25">
      <c r="B85" s="307"/>
      <c r="C85" s="348"/>
      <c r="D85" s="348"/>
      <c r="E85" s="569"/>
    </row>
    <row r="86" spans="2:5" x14ac:dyDescent="0.25">
      <c r="B86" s="555"/>
      <c r="C86" s="570"/>
      <c r="D86" s="570"/>
      <c r="E86" s="571"/>
    </row>
    <row r="87" spans="2:5" x14ac:dyDescent="0.25">
      <c r="B87" s="73"/>
      <c r="C87" s="348"/>
      <c r="D87" s="348"/>
      <c r="E87" s="348"/>
    </row>
    <row r="88" spans="2:5" x14ac:dyDescent="0.25">
      <c r="B88" s="117" t="s">
        <v>4</v>
      </c>
      <c r="C88" s="506"/>
      <c r="D88" s="73"/>
      <c r="E88" s="73"/>
    </row>
    <row r="89" spans="2:5" x14ac:dyDescent="0.25">
      <c r="B89" s="107"/>
    </row>
    <row r="96" spans="2:5" hidden="1" x14ac:dyDescent="0.25"/>
    <row r="97" spans="3:4" hidden="1" x14ac:dyDescent="0.25"/>
    <row r="98" spans="3:4" hidden="1" x14ac:dyDescent="0.25"/>
    <row r="99" spans="3:4" hidden="1" x14ac:dyDescent="0.25"/>
    <row r="101" spans="3:4" x14ac:dyDescent="0.25">
      <c r="C101" s="130" t="str">
        <f>IF(C34&gt;C36,"See Tab A","")</f>
        <v/>
      </c>
      <c r="D101" s="130" t="str">
        <f>IF(D34&gt;D36,"See Tab C","")</f>
        <v/>
      </c>
    </row>
    <row r="102" spans="3:4" x14ac:dyDescent="0.25">
      <c r="C102" s="130" t="str">
        <f>IF(C35&lt;0,"See Tab B","")</f>
        <v/>
      </c>
      <c r="D102" s="130" t="str">
        <f>IF(D35&lt;0,"See Tab D","")</f>
        <v/>
      </c>
    </row>
    <row r="103" spans="3:4" x14ac:dyDescent="0.25">
      <c r="C103" s="130" t="str">
        <f>IF(C75&gt;C77,"See Tab A","")</f>
        <v/>
      </c>
      <c r="D103" s="130" t="str">
        <f>IF(D75&gt;D77,"See Tab C","")</f>
        <v/>
      </c>
    </row>
    <row r="104" spans="3:4" x14ac:dyDescent="0.25">
      <c r="C104" s="130" t="str">
        <f>IF(C76&lt;0,"SeeTab B","")</f>
        <v/>
      </c>
      <c r="D104" s="130" t="str">
        <f>IF(D76&lt;0,"See Tab D","")</f>
        <v/>
      </c>
    </row>
  </sheetData>
  <sheetProtection sheet="1"/>
  <mergeCells count="18">
    <mergeCell ref="J35:J36"/>
    <mergeCell ref="G37:J39"/>
    <mergeCell ref="G10:J10"/>
    <mergeCell ref="G17:J17"/>
    <mergeCell ref="G51:J51"/>
    <mergeCell ref="G27:J28"/>
    <mergeCell ref="G35:I36"/>
    <mergeCell ref="G58:J58"/>
    <mergeCell ref="C82:D82"/>
    <mergeCell ref="C41:D41"/>
    <mergeCell ref="C37:D37"/>
    <mergeCell ref="C38:D38"/>
    <mergeCell ref="C78:D78"/>
    <mergeCell ref="C79:D79"/>
    <mergeCell ref="G68:J69"/>
    <mergeCell ref="G76:I77"/>
    <mergeCell ref="J76:J77"/>
    <mergeCell ref="G78:J80"/>
  </mergeCells>
  <phoneticPr fontId="0" type="noConversion"/>
  <conditionalFormatting sqref="C20">
    <cfRule type="cellIs" dxfId="70" priority="23" stopIfTrue="1" operator="greaterThan">
      <formula>$C$22*0.1</formula>
    </cfRule>
  </conditionalFormatting>
  <conditionalFormatting sqref="C32">
    <cfRule type="cellIs" dxfId="69" priority="20" stopIfTrue="1" operator="greaterThan">
      <formula>$C$34*0.1</formula>
    </cfRule>
  </conditionalFormatting>
  <conditionalFormatting sqref="C34">
    <cfRule type="expression" dxfId="68" priority="8">
      <formula>$C$34&gt;$C$36</formula>
    </cfRule>
  </conditionalFormatting>
  <conditionalFormatting sqref="C35">
    <cfRule type="expression" dxfId="67" priority="7">
      <formula>$C$35&lt;0</formula>
    </cfRule>
  </conditionalFormatting>
  <conditionalFormatting sqref="C61">
    <cfRule type="cellIs" dxfId="66" priority="17" stopIfTrue="1" operator="greaterThan">
      <formula>$C$63*0.1</formula>
    </cfRule>
  </conditionalFormatting>
  <conditionalFormatting sqref="C73">
    <cfRule type="cellIs" dxfId="65" priority="14" stopIfTrue="1" operator="greaterThan">
      <formula>$C$75*0.1</formula>
    </cfRule>
  </conditionalFormatting>
  <conditionalFormatting sqref="C75">
    <cfRule type="expression" dxfId="64" priority="4">
      <formula>$C$75&gt;$C$77</formula>
    </cfRule>
  </conditionalFormatting>
  <conditionalFormatting sqref="C76">
    <cfRule type="expression" dxfId="63" priority="3">
      <formula>$C$76&lt;0</formula>
    </cfRule>
  </conditionalFormatting>
  <conditionalFormatting sqref="D20">
    <cfRule type="cellIs" dxfId="62" priority="24" stopIfTrue="1" operator="greaterThan">
      <formula>$D$22*0.1</formula>
    </cfRule>
  </conditionalFormatting>
  <conditionalFormatting sqref="D32">
    <cfRule type="cellIs" dxfId="61" priority="21" stopIfTrue="1" operator="greaterThan">
      <formula>$D$34*0.1</formula>
    </cfRule>
  </conditionalFormatting>
  <conditionalFormatting sqref="D34">
    <cfRule type="expression" dxfId="60" priority="6">
      <formula>$D$34&gt;$D$36</formula>
    </cfRule>
  </conditionalFormatting>
  <conditionalFormatting sqref="D35">
    <cfRule type="expression" dxfId="59" priority="5">
      <formula>$D$35&lt;0</formula>
    </cfRule>
  </conditionalFormatting>
  <conditionalFormatting sqref="D61">
    <cfRule type="cellIs" dxfId="58" priority="18" stopIfTrue="1" operator="greaterThan">
      <formula>$D$63*0.1</formula>
    </cfRule>
  </conditionalFormatting>
  <conditionalFormatting sqref="D73">
    <cfRule type="cellIs" dxfId="57" priority="15" stopIfTrue="1" operator="greaterThan">
      <formula>$D$75*0.1</formula>
    </cfRule>
  </conditionalFormatting>
  <conditionalFormatting sqref="D75">
    <cfRule type="expression" dxfId="56" priority="2">
      <formula>$D$75&gt;$D$77</formula>
    </cfRule>
  </conditionalFormatting>
  <conditionalFormatting sqref="D76">
    <cfRule type="expression" dxfId="55" priority="1">
      <formula>$D$76&lt;0</formula>
    </cfRule>
  </conditionalFormatting>
  <conditionalFormatting sqref="E20">
    <cfRule type="cellIs" dxfId="54" priority="48" stopIfTrue="1" operator="greaterThan">
      <formula>$E$22*0.1+$E$41</formula>
    </cfRule>
  </conditionalFormatting>
  <conditionalFormatting sqref="E32">
    <cfRule type="cellIs" dxfId="53" priority="22" stopIfTrue="1" operator="greaterThan">
      <formula>$E$34*0.1</formula>
    </cfRule>
  </conditionalFormatting>
  <conditionalFormatting sqref="E37">
    <cfRule type="cellIs" dxfId="52" priority="19" stopIfTrue="1" operator="greaterThan">
      <formula>$E$34/0.95-$E$34</formula>
    </cfRule>
  </conditionalFormatting>
  <conditionalFormatting sqref="E61">
    <cfRule type="cellIs" dxfId="51" priority="49" stopIfTrue="1" operator="greaterThan">
      <formula>$E$63*0.1+$E$82</formula>
    </cfRule>
  </conditionalFormatting>
  <conditionalFormatting sqref="E73">
    <cfRule type="cellIs" dxfId="50" priority="16" stopIfTrue="1" operator="greaterThan">
      <formula>$E$75*0.1</formula>
    </cfRule>
  </conditionalFormatting>
  <conditionalFormatting sqref="E78">
    <cfRule type="cellIs" dxfId="49" priority="13" stopIfTrue="1" operator="greaterThan">
      <formula>$E$75/0.95-$E$75</formula>
    </cfRule>
  </conditionalFormatting>
  <conditionalFormatting sqref="J35">
    <cfRule type="containsText" dxfId="48" priority="9" operator="containsText" text="Yes">
      <formula>NOT(ISERROR(SEARCH("Yes",J35)))</formula>
    </cfRule>
  </conditionalFormatting>
  <conditionalFormatting sqref="J76">
    <cfRule type="containsText" dxfId="47" priority="10" operator="containsText" text="Yes">
      <formula>NOT(ISERROR(SEARCH("Yes",J76)))</formula>
    </cfRule>
  </conditionalFormatting>
  <pageMargins left="0.9" right="0.9" top="0.96" bottom="0.5" header="0.41" footer="0.3"/>
  <pageSetup scale="68"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B1:E65"/>
  <sheetViews>
    <sheetView workbookViewId="0">
      <selection activeCell="F1" sqref="F1"/>
    </sheetView>
  </sheetViews>
  <sheetFormatPr defaultRowHeight="15.75" x14ac:dyDescent="0.25"/>
  <cols>
    <col min="1" max="1" width="2.3984375" style="107" customWidth="1"/>
    <col min="2" max="2" width="31" style="107" customWidth="1"/>
    <col min="3" max="5" width="14.19921875" style="107" customWidth="1"/>
    <col min="6" max="16384" width="8.796875" style="107"/>
  </cols>
  <sheetData>
    <row r="1" spans="2:5" x14ac:dyDescent="0.25">
      <c r="B1" s="112">
        <f>inputPrYr!D3</f>
        <v>0</v>
      </c>
      <c r="C1" s="73"/>
      <c r="D1" s="73"/>
      <c r="E1" s="111">
        <f>inputPrYr!D6</f>
        <v>2025</v>
      </c>
    </row>
    <row r="2" spans="2:5" x14ac:dyDescent="0.25">
      <c r="B2" s="73"/>
      <c r="C2" s="73"/>
      <c r="D2" s="73"/>
      <c r="E2" s="117"/>
    </row>
    <row r="3" spans="2:5" x14ac:dyDescent="0.25">
      <c r="B3" s="115" t="s">
        <v>91</v>
      </c>
      <c r="C3" s="76"/>
      <c r="D3" s="76"/>
      <c r="E3" s="76"/>
    </row>
    <row r="4" spans="2:5" x14ac:dyDescent="0.25">
      <c r="B4" s="77" t="s">
        <v>5</v>
      </c>
      <c r="C4" s="206" t="s">
        <v>6</v>
      </c>
      <c r="D4" s="78" t="s">
        <v>7</v>
      </c>
      <c r="E4" s="78" t="s">
        <v>8</v>
      </c>
    </row>
    <row r="5" spans="2:5" x14ac:dyDescent="0.25">
      <c r="B5" s="293">
        <f>inputPrYr!B32</f>
        <v>0</v>
      </c>
      <c r="C5" s="81" t="str">
        <f>General!C5</f>
        <v>Actual for 2023</v>
      </c>
      <c r="D5" s="81" t="str">
        <f>General!D5</f>
        <v>Estimate for 2024</v>
      </c>
      <c r="E5" s="81" t="str">
        <f>General!E5</f>
        <v>Year for 2025</v>
      </c>
    </row>
    <row r="6" spans="2:5" x14ac:dyDescent="0.25">
      <c r="B6" s="212" t="s">
        <v>92</v>
      </c>
      <c r="C6" s="164"/>
      <c r="D6" s="494">
        <f>C28</f>
        <v>0</v>
      </c>
      <c r="E6" s="494">
        <f>D28</f>
        <v>0</v>
      </c>
    </row>
    <row r="7" spans="2:5" s="130" customFormat="1" x14ac:dyDescent="0.25">
      <c r="B7" s="213" t="s">
        <v>80</v>
      </c>
      <c r="C7" s="92"/>
      <c r="D7" s="92"/>
      <c r="E7" s="92"/>
    </row>
    <row r="8" spans="2:5" x14ac:dyDescent="0.25">
      <c r="B8" s="191"/>
      <c r="C8" s="164"/>
      <c r="D8" s="164"/>
      <c r="E8" s="164"/>
    </row>
    <row r="9" spans="2:5" x14ac:dyDescent="0.25">
      <c r="B9" s="191"/>
      <c r="C9" s="164"/>
      <c r="D9" s="164"/>
      <c r="E9" s="164"/>
    </row>
    <row r="10" spans="2:5" x14ac:dyDescent="0.25">
      <c r="B10" s="191"/>
      <c r="C10" s="164"/>
      <c r="D10" s="164"/>
      <c r="E10" s="164"/>
    </row>
    <row r="11" spans="2:5" x14ac:dyDescent="0.25">
      <c r="B11" s="191"/>
      <c r="C11" s="164"/>
      <c r="D11" s="164"/>
      <c r="E11" s="164"/>
    </row>
    <row r="12" spans="2:5" x14ac:dyDescent="0.25">
      <c r="B12" s="214" t="s">
        <v>16</v>
      </c>
      <c r="C12" s="164"/>
      <c r="D12" s="164"/>
      <c r="E12" s="164"/>
    </row>
    <row r="13" spans="2:5" x14ac:dyDescent="0.25">
      <c r="B13" s="193" t="s">
        <v>143</v>
      </c>
      <c r="C13" s="164"/>
      <c r="D13" s="186"/>
      <c r="E13" s="186"/>
    </row>
    <row r="14" spans="2:5" x14ac:dyDescent="0.25">
      <c r="B14" s="193" t="s">
        <v>144</v>
      </c>
      <c r="C14" s="198" t="str">
        <f>IF(C15*0.1&lt;C13,"Exceed 10% Rule","")</f>
        <v/>
      </c>
      <c r="D14" s="194" t="str">
        <f>IF(D15*0.1&lt;D13,"Exceed 10% Rule","")</f>
        <v/>
      </c>
      <c r="E14" s="194" t="str">
        <f>IF(E15*0.1&lt;E13,"Exceed 10% Rule","")</f>
        <v/>
      </c>
    </row>
    <row r="15" spans="2:5" x14ac:dyDescent="0.25">
      <c r="B15" s="196" t="s">
        <v>17</v>
      </c>
      <c r="C15" s="639">
        <f>SUM(C8:C13)</f>
        <v>0</v>
      </c>
      <c r="D15" s="639">
        <f>SUM(D8:D13)</f>
        <v>0</v>
      </c>
      <c r="E15" s="639">
        <f>SUM(E8:E13)</f>
        <v>0</v>
      </c>
    </row>
    <row r="16" spans="2:5" x14ac:dyDescent="0.25">
      <c r="B16" s="196" t="s">
        <v>18</v>
      </c>
      <c r="C16" s="639">
        <f>C6+C15</f>
        <v>0</v>
      </c>
      <c r="D16" s="639">
        <f>D6+D15</f>
        <v>0</v>
      </c>
      <c r="E16" s="639">
        <f>E6+E15</f>
        <v>0</v>
      </c>
    </row>
    <row r="17" spans="2:5" x14ac:dyDescent="0.25">
      <c r="B17" s="82" t="s">
        <v>19</v>
      </c>
      <c r="C17" s="169"/>
      <c r="D17" s="169"/>
      <c r="E17" s="169"/>
    </row>
    <row r="18" spans="2:5" x14ac:dyDescent="0.25">
      <c r="B18" s="191"/>
      <c r="C18" s="164"/>
      <c r="D18" s="164"/>
      <c r="E18" s="164"/>
    </row>
    <row r="19" spans="2:5" x14ac:dyDescent="0.25">
      <c r="B19" s="191"/>
      <c r="C19" s="164"/>
      <c r="D19" s="164"/>
      <c r="E19" s="164"/>
    </row>
    <row r="20" spans="2:5" x14ac:dyDescent="0.25">
      <c r="B20" s="191"/>
      <c r="C20" s="164"/>
      <c r="D20" s="164"/>
      <c r="E20" s="164"/>
    </row>
    <row r="21" spans="2:5" x14ac:dyDescent="0.25">
      <c r="B21" s="191"/>
      <c r="C21" s="164"/>
      <c r="D21" s="164"/>
      <c r="E21" s="164"/>
    </row>
    <row r="22" spans="2:5" x14ac:dyDescent="0.25">
      <c r="B22" s="191"/>
      <c r="C22" s="164"/>
      <c r="D22" s="164"/>
      <c r="E22" s="164"/>
    </row>
    <row r="23" spans="2:5" x14ac:dyDescent="0.25">
      <c r="B23" s="191"/>
      <c r="C23" s="164"/>
      <c r="D23" s="164"/>
      <c r="E23" s="164"/>
    </row>
    <row r="24" spans="2:5" x14ac:dyDescent="0.25">
      <c r="B24" s="189" t="str">
        <f>CONCATENATE("Cash Reserve (",E1," column)")</f>
        <v>Cash Reserve (2025 column)</v>
      </c>
      <c r="C24" s="164"/>
      <c r="D24" s="164"/>
      <c r="E24" s="164"/>
    </row>
    <row r="25" spans="2:5" x14ac:dyDescent="0.25">
      <c r="B25" s="189" t="s">
        <v>143</v>
      </c>
      <c r="C25" s="164"/>
      <c r="D25" s="186"/>
      <c r="E25" s="186"/>
    </row>
    <row r="26" spans="2:5" x14ac:dyDescent="0.25">
      <c r="B26" s="189" t="s">
        <v>480</v>
      </c>
      <c r="C26" s="198" t="str">
        <f>IF(C27*0.1&lt;C25,"Exceed 10% Rule","")</f>
        <v/>
      </c>
      <c r="D26" s="194" t="str">
        <f>IF(D27*0.1&lt;D25,"Exceed 10% Rule","")</f>
        <v/>
      </c>
      <c r="E26" s="194" t="str">
        <f>IF(E27*0.1&lt;E25,"Exceed 10% Rule","")</f>
        <v/>
      </c>
    </row>
    <row r="27" spans="2:5" x14ac:dyDescent="0.25">
      <c r="B27" s="196" t="s">
        <v>20</v>
      </c>
      <c r="C27" s="639">
        <f>SUM(C18:C25)</f>
        <v>0</v>
      </c>
      <c r="D27" s="639">
        <f>SUM(D18:D25)</f>
        <v>0</v>
      </c>
      <c r="E27" s="639">
        <f>SUM(E18:E25)</f>
        <v>0</v>
      </c>
    </row>
    <row r="28" spans="2:5" x14ac:dyDescent="0.25">
      <c r="B28" s="82" t="s">
        <v>79</v>
      </c>
      <c r="C28" s="494">
        <f>C16-C27</f>
        <v>0</v>
      </c>
      <c r="D28" s="494">
        <f>D16-D27</f>
        <v>0</v>
      </c>
      <c r="E28" s="494">
        <f>E16-E27</f>
        <v>0</v>
      </c>
    </row>
    <row r="29" spans="2:5" x14ac:dyDescent="0.25">
      <c r="B29" s="110" t="str">
        <f>CONCATENATE("",E1-2,"/",E1-1,"/",E1," Budget Authority Amount:")</f>
        <v>2023/2024/2025 Budget Authority Amount:</v>
      </c>
      <c r="C29" s="494">
        <f>inputOth!B63</f>
        <v>0</v>
      </c>
      <c r="D29" s="494">
        <f>inputPrYr!D32</f>
        <v>0</v>
      </c>
      <c r="E29" s="498">
        <f>E27</f>
        <v>0</v>
      </c>
    </row>
    <row r="30" spans="2:5" x14ac:dyDescent="0.25">
      <c r="B30" s="111"/>
      <c r="C30" s="201" t="str">
        <f>IF(C27&gt;C29,"See Tab A","")</f>
        <v/>
      </c>
      <c r="D30" s="201" t="str">
        <f>IF(D27&gt;D29,"See Tab C","")</f>
        <v/>
      </c>
      <c r="E30" s="499" t="str">
        <f>IF(E28&lt;0,"See Tab E","")</f>
        <v/>
      </c>
    </row>
    <row r="31" spans="2:5" x14ac:dyDescent="0.25">
      <c r="B31" s="111"/>
      <c r="C31" s="201" t="str">
        <f>IF(C28&lt;0,"See Tab B","")</f>
        <v/>
      </c>
      <c r="D31" s="256" t="str">
        <f>IF(D28&lt;0,"See Tab D","")</f>
        <v/>
      </c>
      <c r="E31" s="113"/>
    </row>
    <row r="32" spans="2:5" x14ac:dyDescent="0.25">
      <c r="B32" s="73"/>
      <c r="C32" s="113"/>
      <c r="D32" s="113"/>
      <c r="E32" s="113"/>
    </row>
    <row r="33" spans="2:5" x14ac:dyDescent="0.25">
      <c r="B33" s="77" t="s">
        <v>5</v>
      </c>
      <c r="C33" s="76"/>
      <c r="D33" s="76"/>
      <c r="E33" s="76"/>
    </row>
    <row r="34" spans="2:5" x14ac:dyDescent="0.25">
      <c r="B34" s="73"/>
      <c r="C34" s="206" t="s">
        <v>6</v>
      </c>
      <c r="D34" s="78" t="s">
        <v>7</v>
      </c>
      <c r="E34" s="78" t="s">
        <v>8</v>
      </c>
    </row>
    <row r="35" spans="2:5" x14ac:dyDescent="0.25">
      <c r="B35" s="294">
        <f>inputPrYr!B33</f>
        <v>0</v>
      </c>
      <c r="C35" s="81" t="str">
        <f>C5</f>
        <v>Actual for 2023</v>
      </c>
      <c r="D35" s="81" t="str">
        <f>D5</f>
        <v>Estimate for 2024</v>
      </c>
      <c r="E35" s="81" t="str">
        <f>E5</f>
        <v>Year for 2025</v>
      </c>
    </row>
    <row r="36" spans="2:5" x14ac:dyDescent="0.25">
      <c r="B36" s="212" t="s">
        <v>92</v>
      </c>
      <c r="C36" s="164"/>
      <c r="D36" s="169">
        <f>C58</f>
        <v>0</v>
      </c>
      <c r="E36" s="169">
        <f>D58</f>
        <v>0</v>
      </c>
    </row>
    <row r="37" spans="2:5" s="130" customFormat="1" x14ac:dyDescent="0.25">
      <c r="B37" s="212" t="s">
        <v>80</v>
      </c>
      <c r="C37" s="92"/>
      <c r="D37" s="92"/>
      <c r="E37" s="92"/>
    </row>
    <row r="38" spans="2:5" x14ac:dyDescent="0.25">
      <c r="B38" s="191"/>
      <c r="C38" s="164"/>
      <c r="D38" s="164"/>
      <c r="E38" s="164"/>
    </row>
    <row r="39" spans="2:5" x14ac:dyDescent="0.25">
      <c r="B39" s="191"/>
      <c r="C39" s="164"/>
      <c r="D39" s="164"/>
      <c r="E39" s="164"/>
    </row>
    <row r="40" spans="2:5" x14ac:dyDescent="0.25">
      <c r="B40" s="191"/>
      <c r="C40" s="164"/>
      <c r="D40" s="164"/>
      <c r="E40" s="164"/>
    </row>
    <row r="41" spans="2:5" x14ac:dyDescent="0.25">
      <c r="B41" s="191"/>
      <c r="C41" s="164"/>
      <c r="D41" s="164"/>
      <c r="E41" s="164"/>
    </row>
    <row r="42" spans="2:5" x14ac:dyDescent="0.25">
      <c r="B42" s="214" t="s">
        <v>16</v>
      </c>
      <c r="C42" s="164"/>
      <c r="D42" s="164"/>
      <c r="E42" s="164"/>
    </row>
    <row r="43" spans="2:5" x14ac:dyDescent="0.25">
      <c r="B43" s="193" t="s">
        <v>143</v>
      </c>
      <c r="C43" s="164"/>
      <c r="D43" s="186"/>
      <c r="E43" s="186"/>
    </row>
    <row r="44" spans="2:5" x14ac:dyDescent="0.25">
      <c r="B44" s="193" t="s">
        <v>144</v>
      </c>
      <c r="C44" s="198" t="str">
        <f>IF(C45*0.1&lt;C43,"Exceed 10% Rule","")</f>
        <v/>
      </c>
      <c r="D44" s="194" t="str">
        <f>IF(D45*0.1&lt;D43,"Exceed 10% Rule","")</f>
        <v/>
      </c>
      <c r="E44" s="194" t="str">
        <f>IF(E45*0.1&lt;E43,"Exceed 10% Rule","")</f>
        <v/>
      </c>
    </row>
    <row r="45" spans="2:5" x14ac:dyDescent="0.25">
      <c r="B45" s="196" t="s">
        <v>17</v>
      </c>
      <c r="C45" s="639">
        <f>SUM(C38:C43)</f>
        <v>0</v>
      </c>
      <c r="D45" s="639">
        <f>SUM(D38:D43)</f>
        <v>0</v>
      </c>
      <c r="E45" s="639">
        <f>SUM(E38:E43)</f>
        <v>0</v>
      </c>
    </row>
    <row r="46" spans="2:5" x14ac:dyDescent="0.25">
      <c r="B46" s="196" t="s">
        <v>18</v>
      </c>
      <c r="C46" s="639">
        <f>C36+C45</f>
        <v>0</v>
      </c>
      <c r="D46" s="639">
        <f>D36+D45</f>
        <v>0</v>
      </c>
      <c r="E46" s="639">
        <f>E36+E45</f>
        <v>0</v>
      </c>
    </row>
    <row r="47" spans="2:5" x14ac:dyDescent="0.25">
      <c r="B47" s="82" t="s">
        <v>19</v>
      </c>
      <c r="C47" s="169"/>
      <c r="D47" s="169"/>
      <c r="E47" s="169"/>
    </row>
    <row r="48" spans="2:5" x14ac:dyDescent="0.25">
      <c r="B48" s="191"/>
      <c r="C48" s="164"/>
      <c r="D48" s="164"/>
      <c r="E48" s="164"/>
    </row>
    <row r="49" spans="2:5" x14ac:dyDescent="0.25">
      <c r="B49" s="191"/>
      <c r="C49" s="164"/>
      <c r="D49" s="164"/>
      <c r="E49" s="164"/>
    </row>
    <row r="50" spans="2:5" x14ac:dyDescent="0.25">
      <c r="B50" s="191"/>
      <c r="C50" s="164"/>
      <c r="D50" s="164"/>
      <c r="E50" s="164"/>
    </row>
    <row r="51" spans="2:5" x14ac:dyDescent="0.25">
      <c r="B51" s="191"/>
      <c r="C51" s="164"/>
      <c r="D51" s="164"/>
      <c r="E51" s="164"/>
    </row>
    <row r="52" spans="2:5" x14ac:dyDescent="0.25">
      <c r="B52" s="191"/>
      <c r="C52" s="164"/>
      <c r="D52" s="164"/>
      <c r="E52" s="164"/>
    </row>
    <row r="53" spans="2:5" x14ac:dyDescent="0.25">
      <c r="B53" s="191"/>
      <c r="C53" s="164"/>
      <c r="D53" s="164"/>
      <c r="E53" s="164"/>
    </row>
    <row r="54" spans="2:5" x14ac:dyDescent="0.25">
      <c r="B54" s="189" t="str">
        <f>CONCATENATE("Cash Reserve (",E1," column)")</f>
        <v>Cash Reserve (2025 column)</v>
      </c>
      <c r="C54" s="164"/>
      <c r="D54" s="164"/>
      <c r="E54" s="164"/>
    </row>
    <row r="55" spans="2:5" x14ac:dyDescent="0.25">
      <c r="B55" s="189" t="s">
        <v>143</v>
      </c>
      <c r="C55" s="164"/>
      <c r="D55" s="186"/>
      <c r="E55" s="186"/>
    </row>
    <row r="56" spans="2:5" x14ac:dyDescent="0.25">
      <c r="B56" s="189" t="s">
        <v>480</v>
      </c>
      <c r="C56" s="198" t="str">
        <f>IF(C57*0.1&lt;C55,"Exceed 10% Rule","")</f>
        <v/>
      </c>
      <c r="D56" s="194" t="str">
        <f>IF(D57*0.1&lt;D55,"Exceed 10% Rule","")</f>
        <v/>
      </c>
      <c r="E56" s="194" t="str">
        <f>IF(E57*0.1&lt;E55,"Exceed 10% Rule","")</f>
        <v/>
      </c>
    </row>
    <row r="57" spans="2:5" x14ac:dyDescent="0.25">
      <c r="B57" s="196" t="s">
        <v>20</v>
      </c>
      <c r="C57" s="639">
        <f>SUM(C48:C55)</f>
        <v>0</v>
      </c>
      <c r="D57" s="639">
        <f>SUM(D48:D55)</f>
        <v>0</v>
      </c>
      <c r="E57" s="639">
        <f>SUM(E48:E55)</f>
        <v>0</v>
      </c>
    </row>
    <row r="58" spans="2:5" x14ac:dyDescent="0.25">
      <c r="B58" s="82" t="s">
        <v>79</v>
      </c>
      <c r="C58" s="494">
        <f>C46-C57</f>
        <v>0</v>
      </c>
      <c r="D58" s="494">
        <f>D46-D57</f>
        <v>0</v>
      </c>
      <c r="E58" s="494">
        <f>E46-E57</f>
        <v>0</v>
      </c>
    </row>
    <row r="59" spans="2:5" x14ac:dyDescent="0.25">
      <c r="B59" s="110" t="str">
        <f>CONCATENATE("",E1-2,"/",E1-1,"/",E1," Budget Authority Amount:")</f>
        <v>2023/2024/2025 Budget Authority Amount:</v>
      </c>
      <c r="C59" s="494">
        <f>inputOth!B64</f>
        <v>0</v>
      </c>
      <c r="D59" s="494">
        <f>inputPrYr!D33</f>
        <v>0</v>
      </c>
      <c r="E59" s="498">
        <f>E57</f>
        <v>0</v>
      </c>
    </row>
    <row r="60" spans="2:5" x14ac:dyDescent="0.25">
      <c r="B60" s="111"/>
      <c r="C60" s="201" t="str">
        <f>IF(C57&gt;C59,"See Tab A","")</f>
        <v/>
      </c>
      <c r="D60" s="201" t="str">
        <f>IF(D57&gt;D59,"See Tab C","")</f>
        <v/>
      </c>
      <c r="E60" s="500" t="str">
        <f>IF(E58&lt;0,"See Tab E","")</f>
        <v/>
      </c>
    </row>
    <row r="61" spans="2:5" x14ac:dyDescent="0.25">
      <c r="B61" s="578" t="s">
        <v>729</v>
      </c>
      <c r="C61" s="500"/>
      <c r="D61" s="500"/>
      <c r="E61" s="572"/>
    </row>
    <row r="62" spans="2:5" x14ac:dyDescent="0.25">
      <c r="B62" s="573"/>
      <c r="C62" s="201"/>
      <c r="D62" s="201"/>
      <c r="E62" s="574"/>
    </row>
    <row r="63" spans="2:5" x14ac:dyDescent="0.25">
      <c r="B63" s="575"/>
      <c r="C63" s="576" t="str">
        <f>IF(C58&lt;0,"See Tab B","")</f>
        <v/>
      </c>
      <c r="D63" s="577" t="str">
        <f>IF(D58&lt;0,"See Tab D","")</f>
        <v/>
      </c>
      <c r="E63" s="91"/>
    </row>
    <row r="64" spans="2:5" x14ac:dyDescent="0.25">
      <c r="B64" s="73"/>
      <c r="C64" s="73"/>
      <c r="D64" s="73"/>
      <c r="E64" s="73"/>
    </row>
    <row r="65" spans="2:5" x14ac:dyDescent="0.25">
      <c r="B65" s="117" t="s">
        <v>4</v>
      </c>
      <c r="C65" s="505"/>
      <c r="D65" s="73"/>
      <c r="E65" s="73"/>
    </row>
  </sheetData>
  <sheetProtection sheet="1"/>
  <phoneticPr fontId="9" type="noConversion"/>
  <conditionalFormatting sqref="C13">
    <cfRule type="cellIs" dxfId="46" priority="22" stopIfTrue="1" operator="greaterThan">
      <formula>$C$15*0.1</formula>
    </cfRule>
  </conditionalFormatting>
  <conditionalFormatting sqref="C25">
    <cfRule type="cellIs" dxfId="45" priority="19" stopIfTrue="1" operator="greaterThan">
      <formula>$C$27*0.1</formula>
    </cfRule>
  </conditionalFormatting>
  <conditionalFormatting sqref="C27">
    <cfRule type="expression" dxfId="44" priority="10">
      <formula>$C$27&gt;$C$29</formula>
    </cfRule>
  </conditionalFormatting>
  <conditionalFormatting sqref="C28">
    <cfRule type="expression" dxfId="43" priority="9">
      <formula>$C$28&lt;0</formula>
    </cfRule>
  </conditionalFormatting>
  <conditionalFormatting sqref="C43">
    <cfRule type="cellIs" dxfId="42" priority="16" stopIfTrue="1" operator="greaterThan">
      <formula>$C$45*0.1</formula>
    </cfRule>
  </conditionalFormatting>
  <conditionalFormatting sqref="C55">
    <cfRule type="cellIs" dxfId="41" priority="13" stopIfTrue="1" operator="greaterThan">
      <formula>$C$57*0.1</formula>
    </cfRule>
  </conditionalFormatting>
  <conditionalFormatting sqref="C57">
    <cfRule type="expression" dxfId="40" priority="5">
      <formula>$C$57&gt;$C$59</formula>
    </cfRule>
  </conditionalFormatting>
  <conditionalFormatting sqref="C58">
    <cfRule type="expression" dxfId="39" priority="4">
      <formula>$C$58&lt;0</formula>
    </cfRule>
  </conditionalFormatting>
  <conditionalFormatting sqref="D13">
    <cfRule type="cellIs" dxfId="38" priority="23" stopIfTrue="1" operator="greaterThan">
      <formula>$D$15*0.1</formula>
    </cfRule>
  </conditionalFormatting>
  <conditionalFormatting sqref="D25">
    <cfRule type="cellIs" dxfId="37" priority="20" stopIfTrue="1" operator="greaterThan">
      <formula>$D$27*0.1</formula>
    </cfRule>
  </conditionalFormatting>
  <conditionalFormatting sqref="D27">
    <cfRule type="expression" dxfId="36" priority="8">
      <formula>$D$27&gt;$D$29</formula>
    </cfRule>
  </conditionalFormatting>
  <conditionalFormatting sqref="D28">
    <cfRule type="expression" dxfId="35" priority="7">
      <formula>$D$28&lt;0</formula>
    </cfRule>
  </conditionalFormatting>
  <conditionalFormatting sqref="D43">
    <cfRule type="cellIs" dxfId="34" priority="17" stopIfTrue="1" operator="greaterThan">
      <formula>$D$45*0.1</formula>
    </cfRule>
  </conditionalFormatting>
  <conditionalFormatting sqref="D55">
    <cfRule type="cellIs" dxfId="33" priority="14" stopIfTrue="1" operator="greaterThan">
      <formula>$D$57*0.1</formula>
    </cfRule>
  </conditionalFormatting>
  <conditionalFormatting sqref="D57">
    <cfRule type="expression" dxfId="32" priority="3">
      <formula>$D$57&gt;$D$59</formula>
    </cfRule>
  </conditionalFormatting>
  <conditionalFormatting sqref="D58">
    <cfRule type="expression" dxfId="31" priority="2">
      <formula>$D$58&lt;0</formula>
    </cfRule>
  </conditionalFormatting>
  <conditionalFormatting sqref="E13">
    <cfRule type="cellIs" dxfId="30" priority="24" stopIfTrue="1" operator="greaterThan">
      <formula>$E$15*0.1</formula>
    </cfRule>
  </conditionalFormatting>
  <conditionalFormatting sqref="E25">
    <cfRule type="cellIs" dxfId="29" priority="21" stopIfTrue="1" operator="greaterThan">
      <formula>$E$27*0.1</formula>
    </cfRule>
  </conditionalFormatting>
  <conditionalFormatting sqref="E28">
    <cfRule type="expression" dxfId="28" priority="6">
      <formula>$E$28&lt;0</formula>
    </cfRule>
  </conditionalFormatting>
  <conditionalFormatting sqref="E43">
    <cfRule type="cellIs" dxfId="27" priority="18" stopIfTrue="1" operator="greaterThan">
      <formula>$E$45*0.1</formula>
    </cfRule>
  </conditionalFormatting>
  <conditionalFormatting sqref="E55">
    <cfRule type="cellIs" dxfId="26" priority="15" stopIfTrue="1" operator="greaterThan">
      <formula>$E$57*0.1</formula>
    </cfRule>
  </conditionalFormatting>
  <conditionalFormatting sqref="E58">
    <cfRule type="expression" dxfId="25" priority="1">
      <formula>$E$58&lt;0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3"/>
  <sheetViews>
    <sheetView topLeftCell="A10" workbookViewId="0">
      <selection activeCell="D6" sqref="D6"/>
    </sheetView>
  </sheetViews>
  <sheetFormatPr defaultRowHeight="15.75" x14ac:dyDescent="0.25"/>
  <cols>
    <col min="1" max="1" width="10.69921875" style="3" customWidth="1"/>
    <col min="2" max="2" width="21.09765625" style="3" customWidth="1"/>
    <col min="3" max="3" width="11.69921875" style="3" customWidth="1"/>
    <col min="4" max="4" width="15" style="3" customWidth="1"/>
    <col min="5" max="5" width="14.09765625" style="3" customWidth="1"/>
    <col min="6" max="6" width="2.69921875" style="3" customWidth="1"/>
    <col min="7" max="7" width="18.59765625" style="3" customWidth="1"/>
    <col min="8" max="16384" width="8.796875" style="3"/>
  </cols>
  <sheetData>
    <row r="1" spans="1:8" x14ac:dyDescent="0.25">
      <c r="A1" s="692" t="s">
        <v>575</v>
      </c>
      <c r="B1" s="693"/>
      <c r="C1" s="693"/>
      <c r="D1" s="693"/>
      <c r="E1" s="693"/>
    </row>
    <row r="2" spans="1:8" x14ac:dyDescent="0.25">
      <c r="A2" s="10"/>
      <c r="B2" s="10"/>
      <c r="C2" s="10"/>
      <c r="D2" s="10"/>
      <c r="E2" s="10"/>
    </row>
    <row r="3" spans="1:8" x14ac:dyDescent="0.25">
      <c r="A3" s="24" t="s">
        <v>567</v>
      </c>
      <c r="B3" s="10"/>
      <c r="C3" s="10"/>
      <c r="D3" s="490"/>
      <c r="E3" s="10"/>
    </row>
    <row r="4" spans="1:8" x14ac:dyDescent="0.25">
      <c r="A4" s="24" t="s">
        <v>568</v>
      </c>
      <c r="B4" s="10"/>
      <c r="C4" s="10"/>
      <c r="D4" s="490"/>
      <c r="E4" s="10"/>
    </row>
    <row r="5" spans="1:8" x14ac:dyDescent="0.25">
      <c r="A5" s="10"/>
      <c r="B5" s="10"/>
      <c r="C5" s="10"/>
      <c r="D5" s="10"/>
      <c r="E5" s="10"/>
    </row>
    <row r="6" spans="1:8" x14ac:dyDescent="0.25">
      <c r="A6" s="15" t="s">
        <v>569</v>
      </c>
      <c r="B6" s="10"/>
      <c r="C6" s="10"/>
      <c r="D6" s="53">
        <v>2025</v>
      </c>
      <c r="E6" s="10"/>
    </row>
    <row r="7" spans="1:8" x14ac:dyDescent="0.25">
      <c r="A7" s="15"/>
      <c r="B7" s="10"/>
      <c r="C7" s="10"/>
      <c r="D7" s="10"/>
      <c r="E7" s="10"/>
    </row>
    <row r="8" spans="1:8" x14ac:dyDescent="0.25">
      <c r="A8" s="694" t="s">
        <v>570</v>
      </c>
      <c r="B8" s="694"/>
      <c r="C8" s="694"/>
      <c r="D8" s="694"/>
      <c r="E8" s="694"/>
    </row>
    <row r="9" spans="1:8" x14ac:dyDescent="0.25">
      <c r="A9" s="694"/>
      <c r="B9" s="694"/>
      <c r="C9" s="694"/>
      <c r="D9" s="694"/>
      <c r="E9" s="694"/>
    </row>
    <row r="10" spans="1:8" ht="15.75" customHeight="1" x14ac:dyDescent="0.25">
      <c r="A10" s="694"/>
      <c r="B10" s="694"/>
      <c r="C10" s="694"/>
      <c r="D10" s="694"/>
      <c r="E10" s="694"/>
      <c r="F10" s="73"/>
      <c r="G10" s="695" t="s">
        <v>572</v>
      </c>
      <c r="H10" s="696"/>
    </row>
    <row r="11" spans="1:8" ht="15.75" customHeight="1" x14ac:dyDescent="0.25">
      <c r="A11" s="690" t="s">
        <v>571</v>
      </c>
      <c r="B11" s="691"/>
      <c r="C11" s="691"/>
      <c r="D11" s="691"/>
      <c r="E11" s="691"/>
      <c r="F11" s="73"/>
      <c r="G11" s="697"/>
      <c r="H11" s="698"/>
    </row>
    <row r="12" spans="1:8" x14ac:dyDescent="0.25">
      <c r="A12" s="24"/>
      <c r="B12" s="10"/>
      <c r="C12" s="10"/>
      <c r="D12" s="10"/>
      <c r="E12" s="10"/>
      <c r="F12" s="73"/>
      <c r="G12" s="697"/>
      <c r="H12" s="698"/>
    </row>
    <row r="13" spans="1:8" x14ac:dyDescent="0.25">
      <c r="A13" s="531" t="s">
        <v>94</v>
      </c>
      <c r="B13" s="530"/>
      <c r="C13" s="331"/>
      <c r="D13" s="12"/>
      <c r="E13" s="39"/>
      <c r="F13" s="73"/>
      <c r="G13" s="697"/>
      <c r="H13" s="698"/>
    </row>
    <row r="14" spans="1:8" x14ac:dyDescent="0.25">
      <c r="A14" s="529" t="str">
        <f>CONCATENATE("the ",D6-1," Budget, Certificate Page:")</f>
        <v>the 2024 Budget, Certificate Page:</v>
      </c>
      <c r="B14" s="528"/>
      <c r="C14" s="524"/>
      <c r="D14" s="10"/>
      <c r="E14" s="10"/>
      <c r="F14" s="73"/>
      <c r="G14" s="697"/>
      <c r="H14" s="698"/>
    </row>
    <row r="15" spans="1:8" x14ac:dyDescent="0.25">
      <c r="A15" s="527" t="s">
        <v>213</v>
      </c>
      <c r="B15" s="526"/>
      <c r="C15" s="524"/>
      <c r="D15" s="68">
        <f>$D$6-1</f>
        <v>2024</v>
      </c>
      <c r="E15" s="67">
        <f>$D$6-2</f>
        <v>2023</v>
      </c>
      <c r="F15" s="73"/>
      <c r="G15" s="697"/>
      <c r="H15" s="698"/>
    </row>
    <row r="16" spans="1:8" x14ac:dyDescent="0.25">
      <c r="A16" s="11" t="s">
        <v>190</v>
      </c>
      <c r="B16" s="10"/>
      <c r="C16" s="40" t="s">
        <v>189</v>
      </c>
      <c r="D16" s="69" t="s">
        <v>229</v>
      </c>
      <c r="E16" s="66" t="s">
        <v>10</v>
      </c>
      <c r="F16" s="73"/>
      <c r="G16" s="699"/>
      <c r="H16" s="700"/>
    </row>
    <row r="17" spans="1:8" x14ac:dyDescent="0.25">
      <c r="A17" s="10"/>
      <c r="B17" s="22" t="s">
        <v>191</v>
      </c>
      <c r="C17" s="37" t="s">
        <v>192</v>
      </c>
      <c r="D17" s="4"/>
      <c r="E17" s="537"/>
      <c r="F17" s="409"/>
      <c r="G17" s="122" t="s">
        <v>494</v>
      </c>
      <c r="H17" s="90" t="s">
        <v>23</v>
      </c>
    </row>
    <row r="18" spans="1:8" x14ac:dyDescent="0.25">
      <c r="A18" s="10"/>
      <c r="B18" s="22" t="s">
        <v>211</v>
      </c>
      <c r="C18" s="37" t="s">
        <v>99</v>
      </c>
      <c r="D18" s="4"/>
      <c r="E18" s="537"/>
      <c r="F18" s="409"/>
      <c r="G18" s="123" t="str">
        <f>CONCATENATE("",E15," Ad Valorem Tax")</f>
        <v>2023 Ad Valorem Tax</v>
      </c>
      <c r="H18" s="349">
        <v>0</v>
      </c>
    </row>
    <row r="19" spans="1:8" x14ac:dyDescent="0.25">
      <c r="A19" s="10"/>
      <c r="B19" s="22" t="s">
        <v>492</v>
      </c>
      <c r="C19" s="37" t="s">
        <v>493</v>
      </c>
      <c r="D19" s="4"/>
      <c r="E19" s="537"/>
      <c r="F19" s="409"/>
      <c r="G19" s="169">
        <f>IF(H18&gt;0,ROUND(E17-(E17*H18),0),0)</f>
        <v>0</v>
      </c>
      <c r="H19" s="130"/>
    </row>
    <row r="20" spans="1:8" x14ac:dyDescent="0.25">
      <c r="A20" s="10"/>
      <c r="B20" s="22" t="s">
        <v>193</v>
      </c>
      <c r="C20" s="20" t="s">
        <v>212</v>
      </c>
      <c r="D20" s="4"/>
      <c r="E20" s="537"/>
      <c r="F20" s="409"/>
      <c r="G20" s="169">
        <f>IF(H18&gt;0,ROUND(E18-(E18*H18),0),0)</f>
        <v>0</v>
      </c>
      <c r="H20" s="130"/>
    </row>
    <row r="21" spans="1:8" x14ac:dyDescent="0.25">
      <c r="A21" s="10"/>
      <c r="B21" s="539"/>
      <c r="C21" s="298"/>
      <c r="D21" s="4"/>
      <c r="E21" s="537"/>
      <c r="F21" s="409"/>
      <c r="G21" s="169">
        <f>IF(H18&gt;0,ROUND(E19-(E19*H18),0),0)</f>
        <v>0</v>
      </c>
      <c r="H21" s="130"/>
    </row>
    <row r="22" spans="1:8" x14ac:dyDescent="0.25">
      <c r="A22" s="10"/>
      <c r="B22" s="537"/>
      <c r="C22" s="298"/>
      <c r="D22" s="4"/>
      <c r="E22" s="537"/>
      <c r="F22" s="409"/>
      <c r="G22" s="169">
        <f>IF(H18&gt;0,ROUND(E20-(E20*H18),0),0)</f>
        <v>0</v>
      </c>
      <c r="H22" s="130"/>
    </row>
    <row r="23" spans="1:8" x14ac:dyDescent="0.25">
      <c r="A23" s="10"/>
      <c r="B23" s="538"/>
      <c r="C23" s="298"/>
      <c r="D23" s="4"/>
      <c r="E23" s="537"/>
      <c r="F23" s="409"/>
      <c r="G23" s="169">
        <f>IF(H18&gt;0,ROUND(E21-(E21*H18),0),0)</f>
        <v>0</v>
      </c>
      <c r="H23" s="130"/>
    </row>
    <row r="24" spans="1:8" x14ac:dyDescent="0.25">
      <c r="A24" s="10"/>
      <c r="B24" s="538"/>
      <c r="C24" s="298"/>
      <c r="D24" s="4"/>
      <c r="E24" s="537"/>
      <c r="F24" s="409"/>
      <c r="G24" s="169">
        <f>IF(H18&gt;0,ROUND(E22-(E22*H18),0),0)</f>
        <v>0</v>
      </c>
      <c r="H24" s="130"/>
    </row>
    <row r="25" spans="1:8" x14ac:dyDescent="0.25">
      <c r="A25" s="10"/>
      <c r="B25" s="538"/>
      <c r="C25" s="298"/>
      <c r="D25" s="4"/>
      <c r="E25" s="537"/>
      <c r="F25" s="409"/>
      <c r="G25" s="169">
        <f>IF(H18&gt;0,ROUND(E23-(E23*H18),0),0)</f>
        <v>0</v>
      </c>
      <c r="H25" s="130"/>
    </row>
    <row r="26" spans="1:8" x14ac:dyDescent="0.25">
      <c r="A26" s="10"/>
      <c r="B26" s="538"/>
      <c r="C26" s="298"/>
      <c r="D26" s="4"/>
      <c r="E26" s="537"/>
      <c r="F26" s="409"/>
      <c r="G26" s="169">
        <f>IF(H18&gt;0,ROUND(E24-(E24*H18),0),0)</f>
        <v>0</v>
      </c>
      <c r="H26" s="130"/>
    </row>
    <row r="27" spans="1:8" x14ac:dyDescent="0.25">
      <c r="A27" s="10"/>
      <c r="B27" s="6"/>
      <c r="C27" s="298"/>
      <c r="D27" s="4"/>
      <c r="E27" s="4"/>
      <c r="F27" s="409"/>
      <c r="G27" s="169">
        <f>IF(H18&gt;0,ROUND(E25-(E25*H18),0),0)</f>
        <v>0</v>
      </c>
      <c r="H27" s="130"/>
    </row>
    <row r="28" spans="1:8" x14ac:dyDescent="0.25">
      <c r="A28" s="10"/>
      <c r="B28" s="6"/>
      <c r="C28" s="298"/>
      <c r="D28" s="4"/>
      <c r="E28" s="4"/>
      <c r="F28" s="409"/>
      <c r="G28" s="169">
        <f>IF(H18&gt;0,ROUND(E26-(E26*H18),0),0)</f>
        <v>0</v>
      </c>
      <c r="H28" s="130"/>
    </row>
    <row r="29" spans="1:8" x14ac:dyDescent="0.25">
      <c r="A29" s="43" t="str">
        <f>CONCATENATE("Total Ad Valorem Tax for ",D6-1," Budgeted Year")</f>
        <v>Total Ad Valorem Tax for 2024 Budgeted Year</v>
      </c>
      <c r="B29" s="32"/>
      <c r="C29" s="34"/>
      <c r="D29" s="70"/>
      <c r="E29" s="51">
        <f>SUM(E17:E28)</f>
        <v>0</v>
      </c>
      <c r="F29" s="409"/>
      <c r="G29" s="169">
        <f>IF(H18&gt;0,ROUND(E27-(E27*H18),0),0)</f>
        <v>0</v>
      </c>
    </row>
    <row r="30" spans="1:8" x14ac:dyDescent="0.25">
      <c r="A30" s="10"/>
      <c r="B30" s="10"/>
      <c r="C30" s="10"/>
      <c r="D30" s="13"/>
      <c r="E30" s="41"/>
      <c r="F30" s="409"/>
      <c r="G30" s="169">
        <f>IF(H18&gt;0,ROUND(E28-(E28*H18),0),0)</f>
        <v>0</v>
      </c>
    </row>
    <row r="31" spans="1:8" x14ac:dyDescent="0.25">
      <c r="A31" s="10" t="s">
        <v>90</v>
      </c>
      <c r="B31" s="10"/>
      <c r="C31" s="10"/>
      <c r="D31" s="10"/>
      <c r="E31" s="10"/>
    </row>
    <row r="32" spans="1:8" x14ac:dyDescent="0.25">
      <c r="A32" s="10"/>
      <c r="B32" s="50"/>
      <c r="C32" s="10"/>
      <c r="D32" s="8"/>
      <c r="E32" s="10"/>
    </row>
    <row r="33" spans="1:5" x14ac:dyDescent="0.25">
      <c r="A33" s="10"/>
      <c r="B33" s="50"/>
      <c r="C33" s="10"/>
      <c r="D33" s="8"/>
      <c r="E33" s="10"/>
    </row>
    <row r="34" spans="1:5" x14ac:dyDescent="0.25">
      <c r="A34" s="10"/>
      <c r="B34" s="50"/>
      <c r="C34" s="10"/>
      <c r="D34" s="8"/>
      <c r="E34" s="10"/>
    </row>
    <row r="35" spans="1:5" x14ac:dyDescent="0.25">
      <c r="A35" s="10"/>
      <c r="B35" s="50"/>
      <c r="C35" s="10"/>
      <c r="D35" s="8"/>
      <c r="E35" s="10"/>
    </row>
    <row r="36" spans="1:5" x14ac:dyDescent="0.25">
      <c r="A36" s="43" t="str">
        <f>CONCATENATE("Total Expenditures for ",D6-1,"")</f>
        <v>Total Expenditures for 2024</v>
      </c>
      <c r="B36" s="71"/>
      <c r="C36" s="33"/>
      <c r="D36" s="51">
        <f>SUM(D17:D28,D32:D35)</f>
        <v>0</v>
      </c>
      <c r="E36" s="10"/>
    </row>
    <row r="37" spans="1:5" x14ac:dyDescent="0.25">
      <c r="A37" s="10"/>
      <c r="B37" s="10"/>
      <c r="C37" s="10"/>
      <c r="D37" s="10"/>
      <c r="E37" s="10"/>
    </row>
    <row r="38" spans="1:5" x14ac:dyDescent="0.25">
      <c r="A38" s="11" t="s">
        <v>228</v>
      </c>
      <c r="B38" s="10"/>
      <c r="C38" s="10"/>
      <c r="D38" s="10"/>
      <c r="E38" s="10"/>
    </row>
    <row r="39" spans="1:5" x14ac:dyDescent="0.25">
      <c r="A39" s="16">
        <v>1</v>
      </c>
      <c r="B39" s="50"/>
      <c r="C39" s="10"/>
      <c r="D39" s="10"/>
      <c r="E39" s="10"/>
    </row>
    <row r="40" spans="1:5" x14ac:dyDescent="0.25">
      <c r="A40" s="16">
        <v>2</v>
      </c>
      <c r="B40" s="50"/>
      <c r="C40" s="10"/>
      <c r="D40" s="10"/>
      <c r="E40" s="10"/>
    </row>
    <row r="41" spans="1:5" x14ac:dyDescent="0.25">
      <c r="A41" s="16">
        <v>3</v>
      </c>
      <c r="B41" s="50"/>
      <c r="C41" s="10"/>
      <c r="D41" s="10"/>
      <c r="E41" s="10"/>
    </row>
    <row r="42" spans="1:5" x14ac:dyDescent="0.25">
      <c r="A42" s="16">
        <v>4</v>
      </c>
      <c r="B42" s="50"/>
      <c r="C42" s="10"/>
      <c r="D42" s="10"/>
      <c r="E42" s="10"/>
    </row>
    <row r="43" spans="1:5" x14ac:dyDescent="0.25">
      <c r="A43" s="16">
        <v>5</v>
      </c>
      <c r="B43" s="50"/>
      <c r="C43" s="10"/>
      <c r="D43" s="10"/>
      <c r="E43" s="10"/>
    </row>
    <row r="44" spans="1:5" x14ac:dyDescent="0.25">
      <c r="A44" s="10"/>
      <c r="B44" s="10"/>
      <c r="C44" s="10"/>
      <c r="D44" s="10"/>
      <c r="E44" s="10"/>
    </row>
    <row r="45" spans="1:5" x14ac:dyDescent="0.25">
      <c r="A45" s="531" t="s">
        <v>94</v>
      </c>
      <c r="B45" s="530"/>
      <c r="C45" s="10"/>
      <c r="D45" s="688" t="str">
        <f>CONCATENATE("",D6-3," Tax Rate                    (",D6-2," Column)")</f>
        <v>2022 Tax Rate                    (2023 Column)</v>
      </c>
      <c r="E45" s="10"/>
    </row>
    <row r="46" spans="1:5" x14ac:dyDescent="0.25">
      <c r="A46" s="527" t="str">
        <f>CONCATENATE("the ",D6-1," Budget, Budget Summary Page:")</f>
        <v>the 2024 Budget, Budget Summary Page:</v>
      </c>
      <c r="B46" s="522"/>
      <c r="C46" s="10"/>
      <c r="D46" s="689"/>
      <c r="E46" s="10"/>
    </row>
    <row r="47" spans="1:5" ht="15.75" customHeight="1" x14ac:dyDescent="0.25">
      <c r="A47" s="10"/>
      <c r="B47" s="523" t="str">
        <f>B17</f>
        <v>General</v>
      </c>
      <c r="C47" s="10"/>
      <c r="D47" s="42"/>
      <c r="E47" s="10"/>
    </row>
    <row r="48" spans="1:5" x14ac:dyDescent="0.25">
      <c r="A48" s="10"/>
      <c r="B48" s="9" t="str">
        <f>B18</f>
        <v>Debt Service</v>
      </c>
      <c r="C48" s="10"/>
      <c r="D48" s="5"/>
      <c r="E48" s="10"/>
    </row>
    <row r="49" spans="1:5" x14ac:dyDescent="0.25">
      <c r="A49" s="10"/>
      <c r="B49" s="9" t="str">
        <f>B19</f>
        <v>Library</v>
      </c>
      <c r="C49" s="10"/>
      <c r="D49" s="5"/>
      <c r="E49" s="10"/>
    </row>
    <row r="50" spans="1:5" x14ac:dyDescent="0.25">
      <c r="A50" s="10"/>
      <c r="B50" s="9" t="str">
        <f t="shared" ref="B50:B58" si="0">B20</f>
        <v>Road</v>
      </c>
      <c r="C50" s="10"/>
      <c r="D50" s="5"/>
      <c r="E50" s="10"/>
    </row>
    <row r="51" spans="1:5" x14ac:dyDescent="0.25">
      <c r="A51" s="10"/>
      <c r="B51" s="22">
        <f t="shared" si="0"/>
        <v>0</v>
      </c>
      <c r="C51" s="10"/>
      <c r="D51" s="5"/>
      <c r="E51" s="10"/>
    </row>
    <row r="52" spans="1:5" x14ac:dyDescent="0.25">
      <c r="A52" s="10"/>
      <c r="B52" s="22">
        <f t="shared" si="0"/>
        <v>0</v>
      </c>
      <c r="C52" s="10"/>
      <c r="D52" s="5"/>
      <c r="E52" s="10"/>
    </row>
    <row r="53" spans="1:5" x14ac:dyDescent="0.25">
      <c r="A53" s="10"/>
      <c r="B53" s="22">
        <f t="shared" si="0"/>
        <v>0</v>
      </c>
      <c r="C53" s="10"/>
      <c r="D53" s="5"/>
      <c r="E53" s="10"/>
    </row>
    <row r="54" spans="1:5" x14ac:dyDescent="0.25">
      <c r="A54" s="10"/>
      <c r="B54" s="22">
        <f t="shared" si="0"/>
        <v>0</v>
      </c>
      <c r="C54" s="10"/>
      <c r="D54" s="5"/>
      <c r="E54" s="10"/>
    </row>
    <row r="55" spans="1:5" x14ac:dyDescent="0.25">
      <c r="A55" s="10"/>
      <c r="B55" s="22">
        <f t="shared" si="0"/>
        <v>0</v>
      </c>
      <c r="C55" s="10"/>
      <c r="D55" s="5"/>
      <c r="E55" s="10"/>
    </row>
    <row r="56" spans="1:5" x14ac:dyDescent="0.25">
      <c r="A56" s="10"/>
      <c r="B56" s="22">
        <f t="shared" si="0"/>
        <v>0</v>
      </c>
      <c r="C56" s="10"/>
      <c r="D56" s="5"/>
      <c r="E56" s="10"/>
    </row>
    <row r="57" spans="1:5" x14ac:dyDescent="0.25">
      <c r="A57" s="10"/>
      <c r="B57" s="22">
        <f t="shared" si="0"/>
        <v>0</v>
      </c>
      <c r="C57" s="10"/>
      <c r="D57" s="5"/>
      <c r="E57" s="10"/>
    </row>
    <row r="58" spans="1:5" x14ac:dyDescent="0.25">
      <c r="A58" s="10"/>
      <c r="B58" s="22">
        <f t="shared" si="0"/>
        <v>0</v>
      </c>
      <c r="C58" s="10"/>
      <c r="D58" s="5"/>
      <c r="E58" s="10"/>
    </row>
    <row r="59" spans="1:5" ht="16.5" thickBot="1" x14ac:dyDescent="0.3">
      <c r="A59" s="25" t="str">
        <f>CONCATENATE("Total ",D6-3," Tax Levy Rate")</f>
        <v>Total 2022 Tax Levy Rate</v>
      </c>
      <c r="B59" s="49"/>
      <c r="C59" s="33"/>
      <c r="D59" s="52">
        <f>SUM(D47:D58)</f>
        <v>0</v>
      </c>
      <c r="E59" s="10"/>
    </row>
    <row r="60" spans="1:5" ht="16.5" thickTop="1" x14ac:dyDescent="0.25">
      <c r="A60" s="10"/>
      <c r="B60" s="10"/>
      <c r="C60" s="10"/>
      <c r="D60" s="10"/>
      <c r="E60" s="10"/>
    </row>
    <row r="61" spans="1:5" x14ac:dyDescent="0.25">
      <c r="A61" s="521" t="str">
        <f>CONCATENATE("Total Tax Levied (",D6-2," budget column)")</f>
        <v>Total Tax Levied (2023 budget column)</v>
      </c>
      <c r="B61" s="520"/>
      <c r="C61" s="32"/>
      <c r="D61" s="33"/>
      <c r="E61" s="4"/>
    </row>
    <row r="62" spans="1:5" x14ac:dyDescent="0.25">
      <c r="A62" s="521" t="str">
        <f>CONCATENATE("Assessed Valuation (",D6-2," budget column)")</f>
        <v>Assessed Valuation (2023 budget column)</v>
      </c>
      <c r="B62" s="520"/>
      <c r="C62" s="34"/>
      <c r="D62" s="36"/>
      <c r="E62" s="4"/>
    </row>
    <row r="63" spans="1:5" x14ac:dyDescent="0.25">
      <c r="A63" s="11"/>
      <c r="B63" s="10"/>
      <c r="C63" s="10"/>
      <c r="D63" s="10"/>
      <c r="E63" s="44"/>
    </row>
    <row r="64" spans="1:5" x14ac:dyDescent="0.25">
      <c r="A64" s="10"/>
      <c r="B64" s="10"/>
      <c r="C64" s="10"/>
      <c r="D64" s="10"/>
      <c r="E64" s="14"/>
    </row>
    <row r="65" spans="1:5" x14ac:dyDescent="0.25">
      <c r="A65" s="519" t="s">
        <v>133</v>
      </c>
      <c r="B65" s="530"/>
      <c r="C65" s="35"/>
      <c r="D65" s="45">
        <f>D6-3</f>
        <v>2022</v>
      </c>
      <c r="E65" s="45">
        <f>D6-2</f>
        <v>2023</v>
      </c>
    </row>
    <row r="66" spans="1:5" x14ac:dyDescent="0.25">
      <c r="A66" s="518" t="s">
        <v>108</v>
      </c>
      <c r="B66" s="517"/>
      <c r="C66" s="46"/>
      <c r="D66" s="8"/>
      <c r="E66" s="8"/>
    </row>
    <row r="67" spans="1:5" x14ac:dyDescent="0.25">
      <c r="A67" s="516" t="s">
        <v>109</v>
      </c>
      <c r="B67" s="520"/>
      <c r="C67" s="47"/>
      <c r="D67" s="8"/>
      <c r="E67" s="8"/>
    </row>
    <row r="68" spans="1:5" x14ac:dyDescent="0.25">
      <c r="A68" s="516" t="s">
        <v>110</v>
      </c>
      <c r="B68" s="520"/>
      <c r="C68" s="47"/>
      <c r="D68" s="8"/>
      <c r="E68" s="8"/>
    </row>
    <row r="69" spans="1:5" x14ac:dyDescent="0.25">
      <c r="A69" s="516"/>
      <c r="B69" s="520"/>
      <c r="C69" s="48"/>
      <c r="D69" s="8"/>
      <c r="E69" s="8"/>
    </row>
    <row r="70" spans="1:5" x14ac:dyDescent="0.25">
      <c r="A70"/>
      <c r="B70"/>
      <c r="C70"/>
      <c r="D70"/>
      <c r="E70"/>
    </row>
    <row r="71" spans="1:5" x14ac:dyDescent="0.25">
      <c r="A71"/>
      <c r="B71"/>
      <c r="C71"/>
      <c r="D71"/>
      <c r="E71"/>
    </row>
    <row r="72" spans="1:5" x14ac:dyDescent="0.25">
      <c r="A72"/>
      <c r="B72"/>
      <c r="C72"/>
      <c r="D72"/>
      <c r="E72"/>
    </row>
    <row r="73" spans="1:5" x14ac:dyDescent="0.25">
      <c r="A73"/>
      <c r="B73"/>
      <c r="C73"/>
      <c r="D73"/>
      <c r="E73"/>
    </row>
    <row r="74" spans="1:5" x14ac:dyDescent="0.25">
      <c r="A74"/>
      <c r="B74"/>
      <c r="C74"/>
      <c r="D74"/>
      <c r="E74"/>
    </row>
    <row r="75" spans="1:5" x14ac:dyDescent="0.25">
      <c r="A75"/>
      <c r="B75"/>
      <c r="C75"/>
      <c r="D75"/>
      <c r="E75"/>
    </row>
    <row r="76" spans="1:5" x14ac:dyDescent="0.25">
      <c r="A76"/>
      <c r="B76"/>
      <c r="C76"/>
      <c r="D76"/>
      <c r="E76"/>
    </row>
    <row r="77" spans="1:5" x14ac:dyDescent="0.25">
      <c r="A77"/>
      <c r="B77"/>
      <c r="C77"/>
      <c r="D77"/>
      <c r="E77"/>
    </row>
    <row r="78" spans="1:5" x14ac:dyDescent="0.25">
      <c r="A78"/>
      <c r="B78"/>
      <c r="C78"/>
      <c r="D78"/>
      <c r="E78"/>
    </row>
    <row r="79" spans="1:5" x14ac:dyDescent="0.25">
      <c r="A79"/>
      <c r="B79"/>
      <c r="C79"/>
      <c r="D79"/>
      <c r="E79"/>
    </row>
    <row r="80" spans="1:5" x14ac:dyDescent="0.25">
      <c r="A80"/>
      <c r="B80"/>
      <c r="C80"/>
      <c r="D80"/>
      <c r="E80"/>
    </row>
    <row r="81" spans="1:7" x14ac:dyDescent="0.25">
      <c r="A81"/>
      <c r="B81"/>
      <c r="C81"/>
      <c r="D81"/>
      <c r="E81"/>
    </row>
    <row r="82" spans="1:7" s="7" customFormat="1" x14ac:dyDescent="0.25">
      <c r="A82"/>
      <c r="B82"/>
      <c r="C82"/>
      <c r="D82"/>
      <c r="E82"/>
    </row>
    <row r="83" spans="1:7" x14ac:dyDescent="0.25">
      <c r="A83"/>
      <c r="B83"/>
      <c r="C83"/>
      <c r="D83"/>
      <c r="E83"/>
    </row>
    <row r="84" spans="1:7" x14ac:dyDescent="0.25">
      <c r="A84"/>
      <c r="B84"/>
      <c r="C84"/>
      <c r="D84"/>
      <c r="E84"/>
    </row>
    <row r="85" spans="1:7" x14ac:dyDescent="0.25">
      <c r="A85"/>
      <c r="B85"/>
      <c r="C85"/>
      <c r="D85"/>
      <c r="E85"/>
    </row>
    <row r="86" spans="1:7" x14ac:dyDescent="0.25">
      <c r="A86"/>
      <c r="B86"/>
      <c r="C86"/>
      <c r="D86"/>
      <c r="E86"/>
    </row>
    <row r="87" spans="1:7" x14ac:dyDescent="0.25">
      <c r="A87"/>
      <c r="B87"/>
      <c r="C87"/>
      <c r="D87"/>
      <c r="E87"/>
    </row>
    <row r="88" spans="1:7" x14ac:dyDescent="0.25">
      <c r="A88"/>
      <c r="B88"/>
      <c r="C88"/>
      <c r="D88"/>
      <c r="E88"/>
    </row>
    <row r="89" spans="1:7" x14ac:dyDescent="0.25">
      <c r="A89"/>
      <c r="B89"/>
      <c r="C89"/>
      <c r="D89"/>
      <c r="E89"/>
    </row>
    <row r="90" spans="1:7" x14ac:dyDescent="0.25">
      <c r="A90"/>
      <c r="B90"/>
      <c r="C90"/>
      <c r="D90"/>
      <c r="E90"/>
    </row>
    <row r="91" spans="1:7" x14ac:dyDescent="0.25">
      <c r="A91"/>
      <c r="B91"/>
      <c r="C91"/>
      <c r="D91"/>
      <c r="E91"/>
    </row>
    <row r="92" spans="1:7" s="1" customFormat="1" x14ac:dyDescent="0.25">
      <c r="A92"/>
      <c r="B92"/>
      <c r="C92"/>
      <c r="D92"/>
      <c r="E92"/>
      <c r="G92" s="3"/>
    </row>
    <row r="93" spans="1:7" s="1" customFormat="1" x14ac:dyDescent="0.25">
      <c r="A93" s="3"/>
      <c r="B93" s="3"/>
      <c r="C93" s="3"/>
      <c r="D93" s="3"/>
      <c r="E93" s="3"/>
      <c r="G93" s="3"/>
    </row>
  </sheetData>
  <sheetProtection sheet="1" objects="1" scenarios="1"/>
  <mergeCells count="5">
    <mergeCell ref="D45:D46"/>
    <mergeCell ref="A11:E11"/>
    <mergeCell ref="A1:E1"/>
    <mergeCell ref="A8:E10"/>
    <mergeCell ref="G10: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B1:E65"/>
  <sheetViews>
    <sheetView workbookViewId="0">
      <selection activeCell="F2" sqref="F2"/>
    </sheetView>
  </sheetViews>
  <sheetFormatPr defaultRowHeight="15.75" x14ac:dyDescent="0.25"/>
  <cols>
    <col min="1" max="1" width="4.3984375" style="107" customWidth="1"/>
    <col min="2" max="2" width="31" style="107" customWidth="1"/>
    <col min="3" max="5" width="14.19921875" style="107" customWidth="1"/>
    <col min="6" max="16384" width="8.796875" style="107"/>
  </cols>
  <sheetData>
    <row r="1" spans="2:5" x14ac:dyDescent="0.25">
      <c r="B1" s="112">
        <f>inputPrYr!D3</f>
        <v>0</v>
      </c>
      <c r="C1" s="73"/>
      <c r="D1" s="73"/>
      <c r="E1" s="111">
        <f>inputPrYr!D6</f>
        <v>2025</v>
      </c>
    </row>
    <row r="2" spans="2:5" x14ac:dyDescent="0.25">
      <c r="B2" s="73"/>
      <c r="C2" s="73"/>
      <c r="D2" s="73"/>
      <c r="E2" s="117"/>
    </row>
    <row r="3" spans="2:5" x14ac:dyDescent="0.25">
      <c r="B3" s="115" t="s">
        <v>91</v>
      </c>
      <c r="C3" s="76"/>
      <c r="D3" s="76"/>
      <c r="E3" s="76"/>
    </row>
    <row r="4" spans="2:5" x14ac:dyDescent="0.25">
      <c r="B4" s="77" t="s">
        <v>5</v>
      </c>
      <c r="C4" s="206" t="s">
        <v>6</v>
      </c>
      <c r="D4" s="78" t="s">
        <v>7</v>
      </c>
      <c r="E4" s="78" t="s">
        <v>8</v>
      </c>
    </row>
    <row r="5" spans="2:5" x14ac:dyDescent="0.25">
      <c r="B5" s="293">
        <f>inputPrYr!B34</f>
        <v>0</v>
      </c>
      <c r="C5" s="81" t="str">
        <f>General!C5</f>
        <v>Actual for 2023</v>
      </c>
      <c r="D5" s="81" t="str">
        <f>General!D5</f>
        <v>Estimate for 2024</v>
      </c>
      <c r="E5" s="81" t="str">
        <f>General!E5</f>
        <v>Year for 2025</v>
      </c>
    </row>
    <row r="6" spans="2:5" x14ac:dyDescent="0.25">
      <c r="B6" s="212" t="s">
        <v>92</v>
      </c>
      <c r="C6" s="164"/>
      <c r="D6" s="169">
        <f>C28</f>
        <v>0</v>
      </c>
      <c r="E6" s="169">
        <f>D28</f>
        <v>0</v>
      </c>
    </row>
    <row r="7" spans="2:5" s="130" customFormat="1" x14ac:dyDescent="0.25">
      <c r="B7" s="213" t="s">
        <v>80</v>
      </c>
      <c r="C7" s="92"/>
      <c r="D7" s="92"/>
      <c r="E7" s="92"/>
    </row>
    <row r="8" spans="2:5" x14ac:dyDescent="0.25">
      <c r="B8" s="191"/>
      <c r="C8" s="164"/>
      <c r="D8" s="164"/>
      <c r="E8" s="164"/>
    </row>
    <row r="9" spans="2:5" x14ac:dyDescent="0.25">
      <c r="B9" s="191"/>
      <c r="C9" s="164"/>
      <c r="D9" s="164"/>
      <c r="E9" s="164"/>
    </row>
    <row r="10" spans="2:5" x14ac:dyDescent="0.25">
      <c r="B10" s="191"/>
      <c r="C10" s="164"/>
      <c r="D10" s="164"/>
      <c r="E10" s="164"/>
    </row>
    <row r="11" spans="2:5" x14ac:dyDescent="0.25">
      <c r="B11" s="191"/>
      <c r="C11" s="164"/>
      <c r="D11" s="164"/>
      <c r="E11" s="164"/>
    </row>
    <row r="12" spans="2:5" x14ac:dyDescent="0.25">
      <c r="B12" s="214" t="s">
        <v>16</v>
      </c>
      <c r="C12" s="164"/>
      <c r="D12" s="164"/>
      <c r="E12" s="164"/>
    </row>
    <row r="13" spans="2:5" x14ac:dyDescent="0.25">
      <c r="B13" s="193" t="s">
        <v>143</v>
      </c>
      <c r="C13" s="164"/>
      <c r="D13" s="186"/>
      <c r="E13" s="186"/>
    </row>
    <row r="14" spans="2:5" x14ac:dyDescent="0.25">
      <c r="B14" s="193" t="s">
        <v>144</v>
      </c>
      <c r="C14" s="198" t="str">
        <f>IF(C15*0.1&lt;C13,"Exceed 10% Rule","")</f>
        <v/>
      </c>
      <c r="D14" s="194" t="str">
        <f>IF(D15*0.1&lt;D13,"Exceed 10% Rule","")</f>
        <v/>
      </c>
      <c r="E14" s="194" t="str">
        <f>IF(E15*0.1&lt;E13,"Exceed 10% Rule","")</f>
        <v/>
      </c>
    </row>
    <row r="15" spans="2:5" x14ac:dyDescent="0.25">
      <c r="B15" s="196" t="s">
        <v>17</v>
      </c>
      <c r="C15" s="640">
        <f>SUM(C8:C13)</f>
        <v>0</v>
      </c>
      <c r="D15" s="640">
        <f>SUM(D8:D13)</f>
        <v>0</v>
      </c>
      <c r="E15" s="640">
        <f>SUM(E8:E13)</f>
        <v>0</v>
      </c>
    </row>
    <row r="16" spans="2:5" x14ac:dyDescent="0.25">
      <c r="B16" s="196" t="s">
        <v>18</v>
      </c>
      <c r="C16" s="640">
        <f>C6+C15</f>
        <v>0</v>
      </c>
      <c r="D16" s="640">
        <f>D6+D15</f>
        <v>0</v>
      </c>
      <c r="E16" s="640">
        <f>E6+E15</f>
        <v>0</v>
      </c>
    </row>
    <row r="17" spans="2:5" x14ac:dyDescent="0.25">
      <c r="B17" s="82" t="s">
        <v>19</v>
      </c>
      <c r="C17" s="169"/>
      <c r="D17" s="169"/>
      <c r="E17" s="169"/>
    </row>
    <row r="18" spans="2:5" x14ac:dyDescent="0.25">
      <c r="B18" s="191"/>
      <c r="C18" s="164"/>
      <c r="D18" s="164"/>
      <c r="E18" s="164"/>
    </row>
    <row r="19" spans="2:5" x14ac:dyDescent="0.25">
      <c r="B19" s="191"/>
      <c r="C19" s="164"/>
      <c r="D19" s="164"/>
      <c r="E19" s="164"/>
    </row>
    <row r="20" spans="2:5" x14ac:dyDescent="0.25">
      <c r="B20" s="191"/>
      <c r="C20" s="164"/>
      <c r="D20" s="164"/>
      <c r="E20" s="164"/>
    </row>
    <row r="21" spans="2:5" x14ac:dyDescent="0.25">
      <c r="B21" s="191"/>
      <c r="C21" s="164"/>
      <c r="D21" s="164"/>
      <c r="E21" s="164"/>
    </row>
    <row r="22" spans="2:5" x14ac:dyDescent="0.25">
      <c r="B22" s="191"/>
      <c r="C22" s="164"/>
      <c r="D22" s="164"/>
      <c r="E22" s="164"/>
    </row>
    <row r="23" spans="2:5" x14ac:dyDescent="0.25">
      <c r="B23" s="191"/>
      <c r="C23" s="164"/>
      <c r="D23" s="164"/>
      <c r="E23" s="164"/>
    </row>
    <row r="24" spans="2:5" x14ac:dyDescent="0.25">
      <c r="B24" s="189" t="str">
        <f>CONCATENATE("Cash Reserve (",E1," column)")</f>
        <v>Cash Reserve (2025 column)</v>
      </c>
      <c r="C24" s="164"/>
      <c r="D24" s="164"/>
      <c r="E24" s="164"/>
    </row>
    <row r="25" spans="2:5" x14ac:dyDescent="0.25">
      <c r="B25" s="189" t="s">
        <v>143</v>
      </c>
      <c r="C25" s="164"/>
      <c r="D25" s="186"/>
      <c r="E25" s="186"/>
    </row>
    <row r="26" spans="2:5" x14ac:dyDescent="0.25">
      <c r="B26" s="189" t="s">
        <v>480</v>
      </c>
      <c r="C26" s="198" t="str">
        <f>IF(C27*0.1&lt;C25,"Exceed 10% Rule","")</f>
        <v/>
      </c>
      <c r="D26" s="194" t="str">
        <f>IF(D27*0.1&lt;D25,"Exceed 10% Rule","")</f>
        <v/>
      </c>
      <c r="E26" s="194" t="str">
        <f>IF(E27*0.1&lt;E25,"Exceed 10% Rule","")</f>
        <v/>
      </c>
    </row>
    <row r="27" spans="2:5" x14ac:dyDescent="0.25">
      <c r="B27" s="196" t="s">
        <v>20</v>
      </c>
      <c r="C27" s="640">
        <f>SUM(C18:C25)</f>
        <v>0</v>
      </c>
      <c r="D27" s="640">
        <f>SUM(D18:D25)</f>
        <v>0</v>
      </c>
      <c r="E27" s="640">
        <f>SUM(E18:E25)</f>
        <v>0</v>
      </c>
    </row>
    <row r="28" spans="2:5" x14ac:dyDescent="0.25">
      <c r="B28" s="82" t="s">
        <v>79</v>
      </c>
      <c r="C28" s="498">
        <f>C16-C27</f>
        <v>0</v>
      </c>
      <c r="D28" s="498">
        <f>D16-D27</f>
        <v>0</v>
      </c>
      <c r="E28" s="498">
        <f>E16-E27</f>
        <v>0</v>
      </c>
    </row>
    <row r="29" spans="2:5" x14ac:dyDescent="0.25">
      <c r="B29" s="110" t="str">
        <f>CONCATENATE("",E1-2,"/",E1-1,"/",E1," Budget Authority Amount:")</f>
        <v>2023/2024/2025 Budget Authority Amount:</v>
      </c>
      <c r="C29" s="494">
        <f>inputOth!B65</f>
        <v>0</v>
      </c>
      <c r="D29" s="494">
        <f>inputPrYr!D34</f>
        <v>0</v>
      </c>
      <c r="E29" s="498">
        <f>E27</f>
        <v>0</v>
      </c>
    </row>
    <row r="30" spans="2:5" x14ac:dyDescent="0.25">
      <c r="B30" s="111"/>
      <c r="C30" s="201" t="str">
        <f>IF(C27&gt;C29,"See Tab A","")</f>
        <v/>
      </c>
      <c r="D30" s="201" t="str">
        <f>IF(D27&gt;D29,"See Tab C","")</f>
        <v/>
      </c>
      <c r="E30" s="499" t="str">
        <f>IF(E28&lt;0,"See Tab E","")</f>
        <v/>
      </c>
    </row>
    <row r="31" spans="2:5" x14ac:dyDescent="0.25">
      <c r="B31" s="111"/>
      <c r="C31" s="201" t="str">
        <f>IF(C28&lt;0,"See Tab B","")</f>
        <v/>
      </c>
      <c r="D31" s="256" t="str">
        <f>IF(D28&lt;0,"See Tab D","")</f>
        <v/>
      </c>
      <c r="E31" s="113"/>
    </row>
    <row r="32" spans="2:5" x14ac:dyDescent="0.25">
      <c r="B32" s="73"/>
      <c r="C32" s="113"/>
      <c r="D32" s="113"/>
      <c r="E32" s="113"/>
    </row>
    <row r="33" spans="2:5" x14ac:dyDescent="0.25">
      <c r="B33" s="77" t="s">
        <v>5</v>
      </c>
      <c r="C33" s="76"/>
      <c r="D33" s="76"/>
      <c r="E33" s="76"/>
    </row>
    <row r="34" spans="2:5" x14ac:dyDescent="0.25">
      <c r="B34" s="73"/>
      <c r="C34" s="206" t="s">
        <v>6</v>
      </c>
      <c r="D34" s="78" t="s">
        <v>7</v>
      </c>
      <c r="E34" s="78" t="s">
        <v>8</v>
      </c>
    </row>
    <row r="35" spans="2:5" x14ac:dyDescent="0.25">
      <c r="B35" s="294">
        <f>inputPrYr!B35</f>
        <v>0</v>
      </c>
      <c r="C35" s="81" t="str">
        <f>C5</f>
        <v>Actual for 2023</v>
      </c>
      <c r="D35" s="81" t="str">
        <f>D5</f>
        <v>Estimate for 2024</v>
      </c>
      <c r="E35" s="81" t="str">
        <f>E5</f>
        <v>Year for 2025</v>
      </c>
    </row>
    <row r="36" spans="2:5" x14ac:dyDescent="0.25">
      <c r="B36" s="212" t="s">
        <v>92</v>
      </c>
      <c r="C36" s="164"/>
      <c r="D36" s="169">
        <f>C58</f>
        <v>0</v>
      </c>
      <c r="E36" s="169">
        <f>D58</f>
        <v>0</v>
      </c>
    </row>
    <row r="37" spans="2:5" s="130" customFormat="1" x14ac:dyDescent="0.25">
      <c r="B37" s="212" t="s">
        <v>80</v>
      </c>
      <c r="C37" s="92"/>
      <c r="D37" s="92"/>
      <c r="E37" s="92"/>
    </row>
    <row r="38" spans="2:5" x14ac:dyDescent="0.25">
      <c r="B38" s="191"/>
      <c r="C38" s="164"/>
      <c r="D38" s="164"/>
      <c r="E38" s="164"/>
    </row>
    <row r="39" spans="2:5" x14ac:dyDescent="0.25">
      <c r="B39" s="191"/>
      <c r="C39" s="164"/>
      <c r="D39" s="164"/>
      <c r="E39" s="164"/>
    </row>
    <row r="40" spans="2:5" x14ac:dyDescent="0.25">
      <c r="B40" s="191"/>
      <c r="C40" s="164"/>
      <c r="D40" s="164"/>
      <c r="E40" s="164"/>
    </row>
    <row r="41" spans="2:5" x14ac:dyDescent="0.25">
      <c r="B41" s="191"/>
      <c r="C41" s="164"/>
      <c r="D41" s="164"/>
      <c r="E41" s="164"/>
    </row>
    <row r="42" spans="2:5" x14ac:dyDescent="0.25">
      <c r="B42" s="214" t="s">
        <v>16</v>
      </c>
      <c r="C42" s="164"/>
      <c r="D42" s="164"/>
      <c r="E42" s="164"/>
    </row>
    <row r="43" spans="2:5" x14ac:dyDescent="0.25">
      <c r="B43" s="193" t="s">
        <v>143</v>
      </c>
      <c r="C43" s="164"/>
      <c r="D43" s="186"/>
      <c r="E43" s="186"/>
    </row>
    <row r="44" spans="2:5" x14ac:dyDescent="0.25">
      <c r="B44" s="193" t="s">
        <v>144</v>
      </c>
      <c r="C44" s="198" t="str">
        <f>IF(C45*0.1&lt;C43,"Exceed 10% Rule","")</f>
        <v/>
      </c>
      <c r="D44" s="194" t="str">
        <f>IF(D45*0.1&lt;D43,"Exceed 10% Rule","")</f>
        <v/>
      </c>
      <c r="E44" s="194" t="str">
        <f>IF(E45*0.1&lt;E43,"Exceed 10% Rule","")</f>
        <v/>
      </c>
    </row>
    <row r="45" spans="2:5" x14ac:dyDescent="0.25">
      <c r="B45" s="196" t="s">
        <v>17</v>
      </c>
      <c r="C45" s="640">
        <f>SUM(C38:C43)</f>
        <v>0</v>
      </c>
      <c r="D45" s="640">
        <f>SUM(D38:D43)</f>
        <v>0</v>
      </c>
      <c r="E45" s="640">
        <f>SUM(E38:E43)</f>
        <v>0</v>
      </c>
    </row>
    <row r="46" spans="2:5" x14ac:dyDescent="0.25">
      <c r="B46" s="196" t="s">
        <v>18</v>
      </c>
      <c r="C46" s="640">
        <f>C36+C45</f>
        <v>0</v>
      </c>
      <c r="D46" s="640">
        <f>D36+D45</f>
        <v>0</v>
      </c>
      <c r="E46" s="640">
        <f>E36+E45</f>
        <v>0</v>
      </c>
    </row>
    <row r="47" spans="2:5" x14ac:dyDescent="0.25">
      <c r="B47" s="82" t="s">
        <v>19</v>
      </c>
      <c r="C47" s="169"/>
      <c r="D47" s="169"/>
      <c r="E47" s="169"/>
    </row>
    <row r="48" spans="2:5" x14ac:dyDescent="0.25">
      <c r="B48" s="191"/>
      <c r="C48" s="164"/>
      <c r="D48" s="164"/>
      <c r="E48" s="164"/>
    </row>
    <row r="49" spans="2:5" x14ac:dyDescent="0.25">
      <c r="B49" s="191"/>
      <c r="C49" s="164"/>
      <c r="D49" s="164"/>
      <c r="E49" s="164"/>
    </row>
    <row r="50" spans="2:5" x14ac:dyDescent="0.25">
      <c r="B50" s="191"/>
      <c r="C50" s="164"/>
      <c r="D50" s="164"/>
      <c r="E50" s="164"/>
    </row>
    <row r="51" spans="2:5" x14ac:dyDescent="0.25">
      <c r="B51" s="191"/>
      <c r="C51" s="164"/>
      <c r="D51" s="164"/>
      <c r="E51" s="164"/>
    </row>
    <row r="52" spans="2:5" x14ac:dyDescent="0.25">
      <c r="B52" s="191"/>
      <c r="C52" s="164"/>
      <c r="D52" s="164"/>
      <c r="E52" s="164"/>
    </row>
    <row r="53" spans="2:5" x14ac:dyDescent="0.25">
      <c r="B53" s="191"/>
      <c r="C53" s="164"/>
      <c r="D53" s="164"/>
      <c r="E53" s="164"/>
    </row>
    <row r="54" spans="2:5" x14ac:dyDescent="0.25">
      <c r="B54" s="189" t="str">
        <f>CONCATENATE("Cash Reserve (",E1," column)")</f>
        <v>Cash Reserve (2025 column)</v>
      </c>
      <c r="C54" s="164"/>
      <c r="D54" s="164"/>
      <c r="E54" s="164"/>
    </row>
    <row r="55" spans="2:5" x14ac:dyDescent="0.25">
      <c r="B55" s="189" t="s">
        <v>143</v>
      </c>
      <c r="C55" s="164"/>
      <c r="D55" s="186"/>
      <c r="E55" s="186"/>
    </row>
    <row r="56" spans="2:5" x14ac:dyDescent="0.25">
      <c r="B56" s="189" t="s">
        <v>480</v>
      </c>
      <c r="C56" s="198" t="str">
        <f>IF(C57*0.1&lt;C55,"Exceed 10% Rule","")</f>
        <v/>
      </c>
      <c r="D56" s="194" t="str">
        <f>IF(D57*0.1&lt;D55,"Exceed 10% Rule","")</f>
        <v/>
      </c>
      <c r="E56" s="194" t="str">
        <f>IF(E57*0.1&lt;E55,"Exceed 10% Rule","")</f>
        <v/>
      </c>
    </row>
    <row r="57" spans="2:5" x14ac:dyDescent="0.25">
      <c r="B57" s="196" t="s">
        <v>20</v>
      </c>
      <c r="C57" s="640">
        <f>SUM(C48:C55)</f>
        <v>0</v>
      </c>
      <c r="D57" s="640">
        <f>SUM(D48:D55)</f>
        <v>0</v>
      </c>
      <c r="E57" s="640">
        <f>SUM(E48:E55)</f>
        <v>0</v>
      </c>
    </row>
    <row r="58" spans="2:5" x14ac:dyDescent="0.25">
      <c r="B58" s="82" t="s">
        <v>79</v>
      </c>
      <c r="C58" s="498">
        <f>C46-C57</f>
        <v>0</v>
      </c>
      <c r="D58" s="498">
        <f>D46-D57</f>
        <v>0</v>
      </c>
      <c r="E58" s="498">
        <f>E46-E57</f>
        <v>0</v>
      </c>
    </row>
    <row r="59" spans="2:5" x14ac:dyDescent="0.25">
      <c r="B59" s="110" t="str">
        <f>CONCATENATE("",E1-2,"/",E1-1,"/",E1," Budget Authority Amount:")</f>
        <v>2023/2024/2025 Budget Authority Amount:</v>
      </c>
      <c r="C59" s="494">
        <f>inputOth!B66</f>
        <v>0</v>
      </c>
      <c r="D59" s="494">
        <f>inputPrYr!D35</f>
        <v>0</v>
      </c>
      <c r="E59" s="498">
        <f>E57</f>
        <v>0</v>
      </c>
    </row>
    <row r="60" spans="2:5" x14ac:dyDescent="0.25">
      <c r="B60" s="111"/>
      <c r="C60" s="201" t="str">
        <f>IF(C57&gt;C59,"See Tab A","")</f>
        <v/>
      </c>
      <c r="D60" s="201" t="str">
        <f>IF(D57&gt;D59,"See Tab C","")</f>
        <v/>
      </c>
      <c r="E60" s="500" t="str">
        <f>IF(E58&lt;0,"See Tab E","")</f>
        <v/>
      </c>
    </row>
    <row r="61" spans="2:5" x14ac:dyDescent="0.25">
      <c r="B61" s="578" t="s">
        <v>729</v>
      </c>
      <c r="C61" s="500"/>
      <c r="D61" s="500"/>
      <c r="E61" s="572"/>
    </row>
    <row r="62" spans="2:5" x14ac:dyDescent="0.25">
      <c r="B62" s="573"/>
      <c r="C62" s="201"/>
      <c r="D62" s="201"/>
      <c r="E62" s="574"/>
    </row>
    <row r="63" spans="2:5" x14ac:dyDescent="0.25">
      <c r="B63" s="575"/>
      <c r="C63" s="576" t="str">
        <f>IF(C58&lt;0,"See Tab B","")</f>
        <v/>
      </c>
      <c r="D63" s="577" t="str">
        <f>IF(D58&lt;0,"See Tab D","")</f>
        <v/>
      </c>
      <c r="E63" s="91"/>
    </row>
    <row r="64" spans="2:5" x14ac:dyDescent="0.25">
      <c r="B64" s="73"/>
      <c r="C64" s="73"/>
      <c r="D64" s="73"/>
      <c r="E64" s="73"/>
    </row>
    <row r="65" spans="2:5" x14ac:dyDescent="0.25">
      <c r="B65" s="117" t="s">
        <v>4</v>
      </c>
      <c r="C65" s="505"/>
      <c r="D65" s="73"/>
      <c r="E65" s="73"/>
    </row>
  </sheetData>
  <sheetProtection sheet="1"/>
  <phoneticPr fontId="9" type="noConversion"/>
  <conditionalFormatting sqref="C13">
    <cfRule type="cellIs" dxfId="24" priority="22" stopIfTrue="1" operator="greaterThan">
      <formula>$C$15*0.1</formula>
    </cfRule>
  </conditionalFormatting>
  <conditionalFormatting sqref="C25">
    <cfRule type="cellIs" dxfId="23" priority="19" stopIfTrue="1" operator="greaterThan">
      <formula>$C$27*0.1</formula>
    </cfRule>
  </conditionalFormatting>
  <conditionalFormatting sqref="C27">
    <cfRule type="expression" dxfId="22" priority="10">
      <formula>$C$27&gt;$C$29</formula>
    </cfRule>
  </conditionalFormatting>
  <conditionalFormatting sqref="C28">
    <cfRule type="expression" dxfId="21" priority="9">
      <formula>$C$28&lt;0</formula>
    </cfRule>
  </conditionalFormatting>
  <conditionalFormatting sqref="C43">
    <cfRule type="cellIs" dxfId="20" priority="16" stopIfTrue="1" operator="greaterThan">
      <formula>$C$45*0.1</formula>
    </cfRule>
  </conditionalFormatting>
  <conditionalFormatting sqref="C55">
    <cfRule type="cellIs" dxfId="19" priority="13" stopIfTrue="1" operator="greaterThan">
      <formula>$C$57*0.1</formula>
    </cfRule>
  </conditionalFormatting>
  <conditionalFormatting sqref="C57">
    <cfRule type="expression" dxfId="18" priority="5">
      <formula>$C$57&gt;$C$59</formula>
    </cfRule>
  </conditionalFormatting>
  <conditionalFormatting sqref="C58">
    <cfRule type="expression" dxfId="17" priority="4">
      <formula>$C$58&lt;0</formula>
    </cfRule>
  </conditionalFormatting>
  <conditionalFormatting sqref="D13">
    <cfRule type="cellIs" dxfId="16" priority="23" stopIfTrue="1" operator="greaterThan">
      <formula>$D$15*0.1</formula>
    </cfRule>
  </conditionalFormatting>
  <conditionalFormatting sqref="D25">
    <cfRule type="cellIs" dxfId="15" priority="20" stopIfTrue="1" operator="greaterThan">
      <formula>$D$27*0.1</formula>
    </cfRule>
  </conditionalFormatting>
  <conditionalFormatting sqref="D27">
    <cfRule type="expression" dxfId="14" priority="8">
      <formula>$D$27&gt;$D$29</formula>
    </cfRule>
  </conditionalFormatting>
  <conditionalFormatting sqref="D28">
    <cfRule type="expression" dxfId="13" priority="7">
      <formula>$D$28&lt;0</formula>
    </cfRule>
  </conditionalFormatting>
  <conditionalFormatting sqref="D43">
    <cfRule type="cellIs" dxfId="12" priority="17" stopIfTrue="1" operator="greaterThan">
      <formula>$D$45*0.1</formula>
    </cfRule>
  </conditionalFormatting>
  <conditionalFormatting sqref="D55">
    <cfRule type="cellIs" dxfId="11" priority="14" stopIfTrue="1" operator="greaterThan">
      <formula>$D$57*0.1</formula>
    </cfRule>
  </conditionalFormatting>
  <conditionalFormatting sqref="D57">
    <cfRule type="expression" dxfId="10" priority="3">
      <formula>$D$57&gt;$D$59</formula>
    </cfRule>
  </conditionalFormatting>
  <conditionalFormatting sqref="D58">
    <cfRule type="expression" dxfId="9" priority="2">
      <formula>$D$58&lt;0</formula>
    </cfRule>
  </conditionalFormatting>
  <conditionalFormatting sqref="E13">
    <cfRule type="cellIs" dxfId="8" priority="24" stopIfTrue="1" operator="greaterThan">
      <formula>$E$15*0.1</formula>
    </cfRule>
  </conditionalFormatting>
  <conditionalFormatting sqref="E25">
    <cfRule type="cellIs" dxfId="7" priority="21" stopIfTrue="1" operator="greaterThan">
      <formula>$E$27*0.1</formula>
    </cfRule>
  </conditionalFormatting>
  <conditionalFormatting sqref="E28">
    <cfRule type="expression" dxfId="6" priority="6">
      <formula>$E$28&lt;0</formula>
    </cfRule>
  </conditionalFormatting>
  <conditionalFormatting sqref="E43">
    <cfRule type="cellIs" dxfId="5" priority="18" stopIfTrue="1" operator="greaterThan">
      <formula>$E$45*0.1</formula>
    </cfRule>
  </conditionalFormatting>
  <conditionalFormatting sqref="E55">
    <cfRule type="cellIs" dxfId="4" priority="15" stopIfTrue="1" operator="greaterThan">
      <formula>$E$57*0.1</formula>
    </cfRule>
  </conditionalFormatting>
  <conditionalFormatting sqref="E58">
    <cfRule type="expression" dxfId="3" priority="1">
      <formula>$E$58&lt;0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L45"/>
  <sheetViews>
    <sheetView workbookViewId="0">
      <selection activeCell="F37" sqref="F37"/>
    </sheetView>
  </sheetViews>
  <sheetFormatPr defaultRowHeight="15.75" x14ac:dyDescent="0.25"/>
  <cols>
    <col min="1" max="1" width="10.3984375" style="107" customWidth="1"/>
    <col min="2" max="2" width="6.69921875" style="107" customWidth="1"/>
    <col min="3" max="3" width="10.3984375" style="107" customWidth="1"/>
    <col min="4" max="4" width="6.69921875" style="107" customWidth="1"/>
    <col min="5" max="5" width="10.3984375" style="107" customWidth="1"/>
    <col min="6" max="6" width="6.69921875" style="107" customWidth="1"/>
    <col min="7" max="7" width="10.3984375" style="107" customWidth="1"/>
    <col min="8" max="8" width="6.69921875" style="107" customWidth="1"/>
    <col min="9" max="9" width="10.3984375" style="107" customWidth="1"/>
    <col min="10" max="16384" width="8.796875" style="107"/>
  </cols>
  <sheetData>
    <row r="1" spans="1:11" x14ac:dyDescent="0.25">
      <c r="A1" s="112">
        <f>inputPrYr!$D$3</f>
        <v>0</v>
      </c>
      <c r="B1" s="215"/>
      <c r="C1" s="73"/>
      <c r="D1" s="73"/>
      <c r="E1" s="73"/>
      <c r="F1" s="72" t="s">
        <v>216</v>
      </c>
      <c r="G1" s="73"/>
      <c r="H1" s="73"/>
      <c r="I1" s="73"/>
      <c r="J1" s="73"/>
      <c r="K1" s="73">
        <f>inputPrYr!$D$6</f>
        <v>2025</v>
      </c>
    </row>
    <row r="2" spans="1:11" x14ac:dyDescent="0.25">
      <c r="A2" s="73"/>
      <c r="B2" s="73"/>
      <c r="C2" s="73"/>
      <c r="D2" s="73"/>
      <c r="E2" s="73"/>
      <c r="F2" s="216" t="str">
        <f>CONCATENATE("(Only the actual budget year for ",K1-2," is reported)")</f>
        <v>(Only the actual budget year for 2023 is reported)</v>
      </c>
      <c r="G2" s="73"/>
      <c r="H2" s="73"/>
      <c r="I2" s="73"/>
      <c r="J2" s="73"/>
      <c r="K2" s="73"/>
    </row>
    <row r="3" spans="1:11" x14ac:dyDescent="0.25">
      <c r="A3" s="73" t="s">
        <v>217</v>
      </c>
      <c r="B3" s="73"/>
      <c r="C3" s="73"/>
      <c r="D3" s="73"/>
      <c r="E3" s="73"/>
      <c r="F3" s="215"/>
      <c r="G3" s="73"/>
      <c r="H3" s="73"/>
      <c r="I3" s="73"/>
      <c r="J3" s="73"/>
      <c r="K3" s="73"/>
    </row>
    <row r="4" spans="1:11" x14ac:dyDescent="0.25">
      <c r="A4" s="73" t="s">
        <v>218</v>
      </c>
      <c r="B4" s="73"/>
      <c r="C4" s="73" t="s">
        <v>219</v>
      </c>
      <c r="D4" s="73"/>
      <c r="E4" s="73" t="s">
        <v>220</v>
      </c>
      <c r="F4" s="215"/>
      <c r="G4" s="73" t="s">
        <v>221</v>
      </c>
      <c r="H4" s="73"/>
      <c r="I4" s="73" t="s">
        <v>222</v>
      </c>
      <c r="J4" s="73"/>
      <c r="K4" s="73"/>
    </row>
    <row r="5" spans="1:11" x14ac:dyDescent="0.25">
      <c r="A5" s="792">
        <f>inputPrYr!B39</f>
        <v>0</v>
      </c>
      <c r="B5" s="793"/>
      <c r="C5" s="792">
        <f>inputPrYr!B40</f>
        <v>0</v>
      </c>
      <c r="D5" s="793"/>
      <c r="E5" s="792">
        <f>inputPrYr!B41</f>
        <v>0</v>
      </c>
      <c r="F5" s="793"/>
      <c r="G5" s="794">
        <f>inputPrYr!B42</f>
        <v>0</v>
      </c>
      <c r="H5" s="793"/>
      <c r="I5" s="794">
        <f>inputPrYr!B43</f>
        <v>0</v>
      </c>
      <c r="J5" s="793"/>
      <c r="K5" s="80"/>
    </row>
    <row r="6" spans="1:11" x14ac:dyDescent="0.25">
      <c r="A6" s="217" t="s">
        <v>223</v>
      </c>
      <c r="B6" s="218"/>
      <c r="C6" s="219" t="s">
        <v>223</v>
      </c>
      <c r="D6" s="220"/>
      <c r="E6" s="219" t="s">
        <v>223</v>
      </c>
      <c r="F6" s="221"/>
      <c r="G6" s="219" t="s">
        <v>223</v>
      </c>
      <c r="H6" s="83"/>
      <c r="I6" s="219" t="s">
        <v>223</v>
      </c>
      <c r="J6" s="73"/>
      <c r="K6" s="90" t="s">
        <v>194</v>
      </c>
    </row>
    <row r="7" spans="1:11" x14ac:dyDescent="0.25">
      <c r="A7" s="222" t="s">
        <v>224</v>
      </c>
      <c r="B7" s="223"/>
      <c r="C7" s="224" t="s">
        <v>224</v>
      </c>
      <c r="D7" s="223"/>
      <c r="E7" s="224" t="s">
        <v>224</v>
      </c>
      <c r="F7" s="223"/>
      <c r="G7" s="224" t="s">
        <v>224</v>
      </c>
      <c r="H7" s="223"/>
      <c r="I7" s="224" t="s">
        <v>224</v>
      </c>
      <c r="J7" s="223"/>
      <c r="K7" s="225">
        <f>SUM(B7+D7+F7+H7+J7)</f>
        <v>0</v>
      </c>
    </row>
    <row r="8" spans="1:11" x14ac:dyDescent="0.25">
      <c r="A8" s="226" t="s">
        <v>80</v>
      </c>
      <c r="B8" s="227"/>
      <c r="C8" s="226" t="s">
        <v>80</v>
      </c>
      <c r="D8" s="228"/>
      <c r="E8" s="226" t="s">
        <v>80</v>
      </c>
      <c r="F8" s="215"/>
      <c r="G8" s="226" t="s">
        <v>80</v>
      </c>
      <c r="H8" s="73"/>
      <c r="I8" s="226" t="s">
        <v>80</v>
      </c>
      <c r="J8" s="73"/>
      <c r="K8" s="215"/>
    </row>
    <row r="9" spans="1:11" x14ac:dyDescent="0.25">
      <c r="A9" s="229"/>
      <c r="B9" s="223"/>
      <c r="C9" s="229"/>
      <c r="D9" s="223"/>
      <c r="E9" s="229"/>
      <c r="F9" s="223"/>
      <c r="G9" s="229"/>
      <c r="H9" s="223"/>
      <c r="I9" s="229"/>
      <c r="J9" s="223"/>
      <c r="K9" s="215"/>
    </row>
    <row r="10" spans="1:11" x14ac:dyDescent="0.25">
      <c r="A10" s="229"/>
      <c r="B10" s="223"/>
      <c r="C10" s="229"/>
      <c r="D10" s="223"/>
      <c r="E10" s="229"/>
      <c r="F10" s="223"/>
      <c r="G10" s="229"/>
      <c r="H10" s="223"/>
      <c r="I10" s="229"/>
      <c r="J10" s="223"/>
      <c r="K10" s="215"/>
    </row>
    <row r="11" spans="1:11" x14ac:dyDescent="0.25">
      <c r="A11" s="229"/>
      <c r="B11" s="223"/>
      <c r="C11" s="230"/>
      <c r="D11" s="231"/>
      <c r="E11" s="230"/>
      <c r="F11" s="223"/>
      <c r="G11" s="230"/>
      <c r="H11" s="223"/>
      <c r="I11" s="232"/>
      <c r="J11" s="223"/>
      <c r="K11" s="215"/>
    </row>
    <row r="12" spans="1:11" x14ac:dyDescent="0.25">
      <c r="A12" s="229"/>
      <c r="B12" s="233"/>
      <c r="C12" s="229"/>
      <c r="D12" s="234"/>
      <c r="E12" s="235"/>
      <c r="F12" s="223"/>
      <c r="G12" s="235"/>
      <c r="H12" s="223"/>
      <c r="I12" s="235"/>
      <c r="J12" s="223"/>
      <c r="K12" s="215"/>
    </row>
    <row r="13" spans="1:11" x14ac:dyDescent="0.25">
      <c r="A13" s="236"/>
      <c r="B13" s="237"/>
      <c r="C13" s="238"/>
      <c r="D13" s="234"/>
      <c r="E13" s="238"/>
      <c r="F13" s="223"/>
      <c r="G13" s="238"/>
      <c r="H13" s="223"/>
      <c r="I13" s="232"/>
      <c r="J13" s="223"/>
      <c r="K13" s="215"/>
    </row>
    <row r="14" spans="1:11" x14ac:dyDescent="0.25">
      <c r="A14" s="229"/>
      <c r="B14" s="223"/>
      <c r="C14" s="235"/>
      <c r="D14" s="234"/>
      <c r="E14" s="235"/>
      <c r="F14" s="223"/>
      <c r="G14" s="235"/>
      <c r="H14" s="223"/>
      <c r="I14" s="235"/>
      <c r="J14" s="223"/>
      <c r="K14" s="215"/>
    </row>
    <row r="15" spans="1:11" x14ac:dyDescent="0.25">
      <c r="A15" s="229"/>
      <c r="B15" s="223"/>
      <c r="C15" s="235"/>
      <c r="D15" s="234"/>
      <c r="E15" s="235"/>
      <c r="F15" s="223"/>
      <c r="G15" s="235"/>
      <c r="H15" s="223"/>
      <c r="I15" s="235"/>
      <c r="J15" s="223"/>
      <c r="K15" s="215"/>
    </row>
    <row r="16" spans="1:11" x14ac:dyDescent="0.25">
      <c r="A16" s="229"/>
      <c r="B16" s="237"/>
      <c r="C16" s="229"/>
      <c r="D16" s="234"/>
      <c r="E16" s="229"/>
      <c r="F16" s="223"/>
      <c r="G16" s="235"/>
      <c r="H16" s="223"/>
      <c r="I16" s="229"/>
      <c r="J16" s="223"/>
      <c r="K16" s="215"/>
    </row>
    <row r="17" spans="1:12" x14ac:dyDescent="0.25">
      <c r="A17" s="226" t="s">
        <v>17</v>
      </c>
      <c r="B17" s="225">
        <f>SUM(B9:B16)</f>
        <v>0</v>
      </c>
      <c r="C17" s="226" t="s">
        <v>17</v>
      </c>
      <c r="D17" s="225">
        <f>SUM(D9:D16)</f>
        <v>0</v>
      </c>
      <c r="E17" s="226" t="s">
        <v>17</v>
      </c>
      <c r="F17" s="239">
        <f>SUM(F9:F16)</f>
        <v>0</v>
      </c>
      <c r="G17" s="226" t="s">
        <v>17</v>
      </c>
      <c r="H17" s="225">
        <f>SUM(H9:H16)</f>
        <v>0</v>
      </c>
      <c r="I17" s="226" t="s">
        <v>17</v>
      </c>
      <c r="J17" s="225">
        <f>SUM(J9:J16)</f>
        <v>0</v>
      </c>
      <c r="K17" s="225">
        <f>SUM(B17+D17+F17+H17+J17)</f>
        <v>0</v>
      </c>
    </row>
    <row r="18" spans="1:12" x14ac:dyDescent="0.25">
      <c r="A18" s="226" t="s">
        <v>18</v>
      </c>
      <c r="B18" s="225">
        <f>SUM(B7+B17)</f>
        <v>0</v>
      </c>
      <c r="C18" s="226" t="s">
        <v>18</v>
      </c>
      <c r="D18" s="225">
        <f>SUM(D7+D17)</f>
        <v>0</v>
      </c>
      <c r="E18" s="226" t="s">
        <v>18</v>
      </c>
      <c r="F18" s="225">
        <f>SUM(F7+F17)</f>
        <v>0</v>
      </c>
      <c r="G18" s="226" t="s">
        <v>18</v>
      </c>
      <c r="H18" s="225">
        <f>SUM(H7+H17)</f>
        <v>0</v>
      </c>
      <c r="I18" s="226" t="s">
        <v>18</v>
      </c>
      <c r="J18" s="225">
        <f>SUM(J7+J17)</f>
        <v>0</v>
      </c>
      <c r="K18" s="225">
        <f>SUM(B18+D18+F18+H18+J18)</f>
        <v>0</v>
      </c>
    </row>
    <row r="19" spans="1:12" x14ac:dyDescent="0.25">
      <c r="A19" s="226" t="s">
        <v>19</v>
      </c>
      <c r="B19" s="227"/>
      <c r="C19" s="226" t="s">
        <v>19</v>
      </c>
      <c r="D19" s="228"/>
      <c r="E19" s="226" t="s">
        <v>19</v>
      </c>
      <c r="F19" s="215"/>
      <c r="G19" s="226" t="s">
        <v>19</v>
      </c>
      <c r="H19" s="73"/>
      <c r="I19" s="226" t="s">
        <v>19</v>
      </c>
      <c r="J19" s="73"/>
      <c r="K19" s="215"/>
    </row>
    <row r="20" spans="1:12" x14ac:dyDescent="0.25">
      <c r="A20" s="229"/>
      <c r="B20" s="223"/>
      <c r="C20" s="235"/>
      <c r="D20" s="223"/>
      <c r="E20" s="235"/>
      <c r="F20" s="223"/>
      <c r="G20" s="235"/>
      <c r="H20" s="223"/>
      <c r="I20" s="235"/>
      <c r="J20" s="223"/>
      <c r="K20" s="215"/>
    </row>
    <row r="21" spans="1:12" x14ac:dyDescent="0.25">
      <c r="A21" s="229"/>
      <c r="B21" s="223"/>
      <c r="C21" s="235"/>
      <c r="D21" s="223"/>
      <c r="E21" s="235"/>
      <c r="F21" s="223"/>
      <c r="G21" s="235"/>
      <c r="H21" s="223"/>
      <c r="I21" s="235"/>
      <c r="J21" s="223"/>
      <c r="K21" s="215"/>
    </row>
    <row r="22" spans="1:12" x14ac:dyDescent="0.25">
      <c r="A22" s="229"/>
      <c r="B22" s="223"/>
      <c r="C22" s="238"/>
      <c r="D22" s="223"/>
      <c r="E22" s="238"/>
      <c r="F22" s="223"/>
      <c r="G22" s="238"/>
      <c r="H22" s="223"/>
      <c r="I22" s="232"/>
      <c r="J22" s="223"/>
      <c r="K22" s="215"/>
    </row>
    <row r="23" spans="1:12" x14ac:dyDescent="0.25">
      <c r="A23" s="229"/>
      <c r="B23" s="223"/>
      <c r="C23" s="235"/>
      <c r="D23" s="223"/>
      <c r="E23" s="235"/>
      <c r="F23" s="223"/>
      <c r="G23" s="235"/>
      <c r="H23" s="223"/>
      <c r="I23" s="235"/>
      <c r="J23" s="223"/>
      <c r="K23" s="215"/>
    </row>
    <row r="24" spans="1:12" x14ac:dyDescent="0.25">
      <c r="A24" s="229"/>
      <c r="B24" s="223"/>
      <c r="C24" s="238"/>
      <c r="D24" s="223"/>
      <c r="E24" s="238"/>
      <c r="F24" s="223"/>
      <c r="G24" s="238"/>
      <c r="H24" s="223"/>
      <c r="I24" s="232"/>
      <c r="J24" s="223"/>
      <c r="K24" s="215"/>
    </row>
    <row r="25" spans="1:12" x14ac:dyDescent="0.25">
      <c r="A25" s="229"/>
      <c r="B25" s="223"/>
      <c r="C25" s="235"/>
      <c r="D25" s="223"/>
      <c r="E25" s="235"/>
      <c r="F25" s="223"/>
      <c r="G25" s="235"/>
      <c r="H25" s="223"/>
      <c r="I25" s="235"/>
      <c r="J25" s="223"/>
      <c r="K25" s="215"/>
    </row>
    <row r="26" spans="1:12" x14ac:dyDescent="0.25">
      <c r="A26" s="229"/>
      <c r="B26" s="223"/>
      <c r="C26" s="235"/>
      <c r="D26" s="223"/>
      <c r="E26" s="235"/>
      <c r="F26" s="223"/>
      <c r="G26" s="235"/>
      <c r="H26" s="223"/>
      <c r="I26" s="235"/>
      <c r="J26" s="223"/>
      <c r="K26" s="215"/>
    </row>
    <row r="27" spans="1:12" x14ac:dyDescent="0.25">
      <c r="A27" s="229"/>
      <c r="B27" s="223"/>
      <c r="C27" s="229"/>
      <c r="D27" s="223"/>
      <c r="E27" s="229"/>
      <c r="F27" s="223"/>
      <c r="G27" s="235"/>
      <c r="H27" s="223"/>
      <c r="I27" s="235"/>
      <c r="J27" s="223"/>
      <c r="K27" s="215"/>
    </row>
    <row r="28" spans="1:12" x14ac:dyDescent="0.25">
      <c r="A28" s="226" t="s">
        <v>20</v>
      </c>
      <c r="B28" s="225">
        <f>SUM(B20:B27)</f>
        <v>0</v>
      </c>
      <c r="C28" s="226" t="s">
        <v>20</v>
      </c>
      <c r="D28" s="225">
        <f>SUM(D20:D27)</f>
        <v>0</v>
      </c>
      <c r="E28" s="226" t="s">
        <v>20</v>
      </c>
      <c r="F28" s="239">
        <f>SUM(F20:F27)</f>
        <v>0</v>
      </c>
      <c r="G28" s="226" t="s">
        <v>20</v>
      </c>
      <c r="H28" s="239">
        <f>SUM(H20:H27)</f>
        <v>0</v>
      </c>
      <c r="I28" s="226" t="s">
        <v>20</v>
      </c>
      <c r="J28" s="225">
        <f>SUM(J20:J27)</f>
        <v>0</v>
      </c>
      <c r="K28" s="225">
        <f>SUM(B28+D28+F28+H28+J28)</f>
        <v>0</v>
      </c>
    </row>
    <row r="29" spans="1:12" x14ac:dyDescent="0.25">
      <c r="A29" s="226" t="s">
        <v>225</v>
      </c>
      <c r="B29" s="225">
        <f>SUM(B18-B28)</f>
        <v>0</v>
      </c>
      <c r="C29" s="226" t="s">
        <v>225</v>
      </c>
      <c r="D29" s="225">
        <f>SUM(D18-D28)</f>
        <v>0</v>
      </c>
      <c r="E29" s="226" t="s">
        <v>225</v>
      </c>
      <c r="F29" s="225">
        <f>SUM(F18-F28)</f>
        <v>0</v>
      </c>
      <c r="G29" s="226" t="s">
        <v>225</v>
      </c>
      <c r="H29" s="225">
        <f>SUM(H18-H28)</f>
        <v>0</v>
      </c>
      <c r="I29" s="226" t="s">
        <v>225</v>
      </c>
      <c r="J29" s="225">
        <f>SUM(J18-J28)</f>
        <v>0</v>
      </c>
      <c r="K29" s="240">
        <f>SUM(B29+D29+F29+H29+J29)</f>
        <v>0</v>
      </c>
      <c r="L29" s="107" t="s">
        <v>226</v>
      </c>
    </row>
    <row r="30" spans="1:12" x14ac:dyDescent="0.25">
      <c r="A30" s="226"/>
      <c r="B30" s="255" t="str">
        <f>IF(B29&lt;0,"See Tab B","")</f>
        <v/>
      </c>
      <c r="C30" s="226"/>
      <c r="D30" s="255" t="str">
        <f>IF(D29&lt;0,"See Tab B","")</f>
        <v/>
      </c>
      <c r="E30" s="226"/>
      <c r="F30" s="255" t="str">
        <f>IF(F29&lt;0,"See Tab B","")</f>
        <v/>
      </c>
      <c r="G30" s="73"/>
      <c r="H30" s="255" t="str">
        <f>IF(H29&lt;0,"See Tab B","")</f>
        <v/>
      </c>
      <c r="I30" s="73"/>
      <c r="J30" s="255" t="str">
        <f>IF(J29&lt;0,"See Tab B","")</f>
        <v/>
      </c>
      <c r="K30" s="240">
        <f>SUM(K7+K17-K28)</f>
        <v>0</v>
      </c>
      <c r="L30" s="107" t="s">
        <v>226</v>
      </c>
    </row>
    <row r="31" spans="1:12" x14ac:dyDescent="0.25">
      <c r="A31" s="73"/>
      <c r="B31" s="113"/>
      <c r="C31" s="73"/>
      <c r="D31" s="215"/>
      <c r="E31" s="73"/>
      <c r="F31" s="73"/>
      <c r="G31" s="73"/>
      <c r="H31" s="791" t="s">
        <v>227</v>
      </c>
      <c r="I31" s="791"/>
      <c r="J31" s="791"/>
      <c r="K31" s="791"/>
    </row>
    <row r="32" spans="1:12" x14ac:dyDescent="0.25">
      <c r="A32" s="73"/>
      <c r="B32" s="113"/>
      <c r="C32" s="73"/>
      <c r="D32" s="215"/>
      <c r="E32" s="73"/>
      <c r="F32" s="73"/>
      <c r="G32" s="73"/>
      <c r="H32" s="73"/>
      <c r="I32" s="73"/>
      <c r="J32" s="73"/>
      <c r="K32" s="73"/>
    </row>
    <row r="33" spans="1:11" x14ac:dyDescent="0.25">
      <c r="A33" s="554" t="s">
        <v>729</v>
      </c>
      <c r="B33" s="579"/>
      <c r="C33" s="116"/>
      <c r="D33" s="580"/>
      <c r="E33" s="116"/>
      <c r="F33" s="116"/>
      <c r="G33" s="116"/>
      <c r="H33" s="116"/>
      <c r="I33" s="116"/>
      <c r="J33" s="84"/>
      <c r="K33" s="73"/>
    </row>
    <row r="34" spans="1:11" x14ac:dyDescent="0.25">
      <c r="A34" s="581"/>
      <c r="B34" s="113"/>
      <c r="C34" s="73"/>
      <c r="D34" s="215"/>
      <c r="E34" s="73"/>
      <c r="F34" s="73"/>
      <c r="G34" s="73"/>
      <c r="H34" s="73"/>
      <c r="I34" s="73"/>
      <c r="J34" s="86"/>
      <c r="K34" s="73"/>
    </row>
    <row r="35" spans="1:11" x14ac:dyDescent="0.25">
      <c r="A35" s="555"/>
      <c r="B35" s="114"/>
      <c r="C35" s="80"/>
      <c r="D35" s="582"/>
      <c r="E35" s="80"/>
      <c r="F35" s="80"/>
      <c r="G35" s="80"/>
      <c r="H35" s="80"/>
      <c r="I35" s="80"/>
      <c r="J35" s="91"/>
      <c r="K35" s="73"/>
    </row>
    <row r="36" spans="1:11" x14ac:dyDescent="0.25">
      <c r="A36" s="73"/>
      <c r="B36" s="113"/>
      <c r="C36" s="73"/>
      <c r="D36" s="73"/>
      <c r="E36" s="73"/>
      <c r="F36" s="73"/>
      <c r="G36" s="73"/>
      <c r="H36" s="73"/>
      <c r="I36" s="73"/>
      <c r="J36" s="73"/>
      <c r="K36" s="73"/>
    </row>
    <row r="37" spans="1:11" x14ac:dyDescent="0.25">
      <c r="A37" s="73"/>
      <c r="B37" s="113"/>
      <c r="C37" s="73"/>
      <c r="D37" s="73"/>
      <c r="E37" s="111" t="s">
        <v>4</v>
      </c>
      <c r="F37" s="505"/>
      <c r="G37" s="73"/>
      <c r="H37" s="73"/>
      <c r="I37" s="73"/>
      <c r="J37" s="73"/>
      <c r="K37" s="73"/>
    </row>
    <row r="38" spans="1:11" x14ac:dyDescent="0.25">
      <c r="B38" s="203"/>
    </row>
    <row r="39" spans="1:11" x14ac:dyDescent="0.25">
      <c r="B39" s="203"/>
    </row>
    <row r="40" spans="1:11" x14ac:dyDescent="0.25">
      <c r="B40" s="203"/>
    </row>
    <row r="41" spans="1:11" x14ac:dyDescent="0.25">
      <c r="B41" s="203"/>
    </row>
    <row r="42" spans="1:11" x14ac:dyDescent="0.25">
      <c r="B42" s="203"/>
    </row>
    <row r="43" spans="1:11" x14ac:dyDescent="0.25">
      <c r="B43" s="203"/>
    </row>
    <row r="44" spans="1:11" x14ac:dyDescent="0.25">
      <c r="B44" s="203"/>
    </row>
    <row r="45" spans="1:11" x14ac:dyDescent="0.25">
      <c r="B45" s="203"/>
    </row>
  </sheetData>
  <sheetProtection sheet="1" objects="1" scenarios="1"/>
  <mergeCells count="6">
    <mergeCell ref="H31:K31"/>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26"/>
  <sheetViews>
    <sheetView topLeftCell="A10" workbookViewId="0">
      <selection activeCell="M62" sqref="M62"/>
    </sheetView>
  </sheetViews>
  <sheetFormatPr defaultRowHeight="15.75" x14ac:dyDescent="0.25"/>
  <cols>
    <col min="1" max="1" width="62.3984375" style="104" customWidth="1"/>
    <col min="2" max="16384" width="8.796875" style="104"/>
  </cols>
  <sheetData>
    <row r="1" spans="1:1" ht="18.75" x14ac:dyDescent="0.25">
      <c r="A1" s="264" t="s">
        <v>230</v>
      </c>
    </row>
    <row r="2" spans="1:1" ht="18.75" x14ac:dyDescent="0.25">
      <c r="A2" s="264"/>
    </row>
    <row r="3" spans="1:1" ht="54.75" customHeight="1" x14ac:dyDescent="0.25">
      <c r="A3" s="259" t="s">
        <v>231</v>
      </c>
    </row>
    <row r="4" spans="1:1" x14ac:dyDescent="0.25">
      <c r="A4" s="260"/>
    </row>
    <row r="5" spans="1:1" ht="56.25" customHeight="1" x14ac:dyDescent="0.25">
      <c r="A5" s="259" t="s">
        <v>232</v>
      </c>
    </row>
    <row r="6" spans="1:1" x14ac:dyDescent="0.25">
      <c r="A6" s="107"/>
    </row>
    <row r="7" spans="1:1" ht="50.25" customHeight="1" x14ac:dyDescent="0.25">
      <c r="A7" s="259" t="s">
        <v>233</v>
      </c>
    </row>
    <row r="8" spans="1:1" ht="16.5" customHeight="1" x14ac:dyDescent="0.25">
      <c r="A8" s="259"/>
    </row>
    <row r="9" spans="1:1" ht="50.25" customHeight="1" x14ac:dyDescent="0.25">
      <c r="A9" s="292" t="s">
        <v>476</v>
      </c>
    </row>
    <row r="10" spans="1:1" x14ac:dyDescent="0.25">
      <c r="A10" s="260"/>
    </row>
    <row r="11" spans="1:1" ht="40.5" customHeight="1" x14ac:dyDescent="0.25">
      <c r="A11" s="259" t="s">
        <v>234</v>
      </c>
    </row>
    <row r="12" spans="1:1" x14ac:dyDescent="0.25">
      <c r="A12" s="107"/>
    </row>
    <row r="13" spans="1:1" ht="40.5" customHeight="1" x14ac:dyDescent="0.25">
      <c r="A13" s="259" t="s">
        <v>235</v>
      </c>
    </row>
    <row r="14" spans="1:1" x14ac:dyDescent="0.25">
      <c r="A14" s="260"/>
    </row>
    <row r="15" spans="1:1" ht="71.25" customHeight="1" x14ac:dyDescent="0.25">
      <c r="A15" s="259" t="s">
        <v>236</v>
      </c>
    </row>
    <row r="16" spans="1:1" x14ac:dyDescent="0.25">
      <c r="A16" s="260"/>
    </row>
    <row r="17" spans="1:1" ht="40.5" customHeight="1" x14ac:dyDescent="0.25">
      <c r="A17" s="259" t="s">
        <v>237</v>
      </c>
    </row>
    <row r="18" spans="1:1" x14ac:dyDescent="0.25">
      <c r="A18" s="107"/>
    </row>
    <row r="19" spans="1:1" ht="49.5" customHeight="1" x14ac:dyDescent="0.25">
      <c r="A19" s="259" t="s">
        <v>238</v>
      </c>
    </row>
    <row r="20" spans="1:1" x14ac:dyDescent="0.25">
      <c r="A20" s="260"/>
    </row>
    <row r="21" spans="1:1" ht="52.5" customHeight="1" x14ac:dyDescent="0.25">
      <c r="A21" s="259" t="s">
        <v>239</v>
      </c>
    </row>
    <row r="22" spans="1:1" x14ac:dyDescent="0.25">
      <c r="A22" s="260"/>
    </row>
    <row r="23" spans="1:1" ht="48.75" customHeight="1" x14ac:dyDescent="0.25">
      <c r="A23" s="259" t="s">
        <v>240</v>
      </c>
    </row>
    <row r="24" spans="1:1" x14ac:dyDescent="0.25">
      <c r="A24" s="260"/>
    </row>
    <row r="25" spans="1:1" x14ac:dyDescent="0.25">
      <c r="A25" s="107"/>
    </row>
    <row r="26" spans="1:1" ht="51.75" customHeight="1" x14ac:dyDescent="0.25">
      <c r="A26" s="259" t="s">
        <v>241</v>
      </c>
    </row>
  </sheetData>
  <sheetProtection sheet="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N115"/>
  <sheetViews>
    <sheetView zoomScale="75" workbookViewId="0">
      <selection activeCell="D56" sqref="D56"/>
    </sheetView>
  </sheetViews>
  <sheetFormatPr defaultRowHeight="15.75" x14ac:dyDescent="0.25"/>
  <cols>
    <col min="1" max="1" width="1.69921875" style="3" customWidth="1"/>
    <col min="2" max="2" width="20.69921875" style="3" customWidth="1"/>
    <col min="3" max="3" width="12.69921875" style="3" customWidth="1"/>
    <col min="4" max="4" width="9.69921875" style="3" customWidth="1"/>
    <col min="5" max="5" width="12.69921875" style="3" customWidth="1"/>
    <col min="6" max="6" width="9.69921875" style="3" customWidth="1"/>
    <col min="7" max="7" width="13.3984375" style="3" customWidth="1"/>
    <col min="8" max="8" width="10.69921875" style="3" customWidth="1"/>
    <col min="9" max="9" width="9.69921875" style="3" customWidth="1"/>
    <col min="10" max="10" width="8.796875" style="3"/>
    <col min="11" max="11" width="12.3984375" style="3" customWidth="1"/>
    <col min="12" max="12" width="12.296875" style="3" customWidth="1"/>
    <col min="13" max="13" width="10.5" style="3" customWidth="1"/>
    <col min="14" max="14" width="12" style="3" customWidth="1"/>
    <col min="15" max="16384" width="8.796875" style="3"/>
  </cols>
  <sheetData>
    <row r="1" spans="2:9" x14ac:dyDescent="0.25">
      <c r="B1" s="10"/>
      <c r="C1" s="10"/>
      <c r="D1" s="10"/>
      <c r="E1" s="10"/>
      <c r="F1" s="10"/>
      <c r="G1" s="10"/>
      <c r="H1" s="10"/>
      <c r="I1" s="17">
        <f>inputPrYr!D6</f>
        <v>2025</v>
      </c>
    </row>
    <row r="2" spans="2:9" x14ac:dyDescent="0.25">
      <c r="B2" s="811" t="s">
        <v>63</v>
      </c>
      <c r="C2" s="812"/>
      <c r="D2" s="812"/>
      <c r="E2" s="812"/>
      <c r="F2" s="812"/>
      <c r="G2" s="812"/>
      <c r="H2" s="812"/>
      <c r="I2" s="812"/>
    </row>
    <row r="3" spans="2:9" x14ac:dyDescent="0.25">
      <c r="B3" s="10"/>
      <c r="C3" s="10"/>
      <c r="D3" s="10"/>
      <c r="E3" s="10"/>
      <c r="F3" s="10"/>
      <c r="G3" s="11" t="s">
        <v>31</v>
      </c>
      <c r="H3" s="11" t="s">
        <v>32</v>
      </c>
      <c r="I3" s="10"/>
    </row>
    <row r="4" spans="2:9" x14ac:dyDescent="0.25">
      <c r="B4" s="800" t="s">
        <v>33</v>
      </c>
      <c r="C4" s="800"/>
      <c r="D4" s="800"/>
      <c r="E4" s="800"/>
      <c r="F4" s="800"/>
      <c r="G4" s="800"/>
      <c r="H4" s="800"/>
      <c r="I4" s="800"/>
    </row>
    <row r="5" spans="2:9" x14ac:dyDescent="0.25">
      <c r="B5" s="692">
        <f>inputPrYr!D3</f>
        <v>0</v>
      </c>
      <c r="C5" s="692"/>
      <c r="D5" s="692"/>
      <c r="E5" s="692"/>
      <c r="F5" s="692"/>
      <c r="G5" s="692"/>
      <c r="H5" s="692"/>
      <c r="I5" s="692"/>
    </row>
    <row r="6" spans="2:9" x14ac:dyDescent="0.25">
      <c r="B6" s="692">
        <f>inputPrYr!D4</f>
        <v>0</v>
      </c>
      <c r="C6" s="692"/>
      <c r="D6" s="692"/>
      <c r="E6" s="692"/>
      <c r="F6" s="692"/>
      <c r="G6" s="692"/>
      <c r="H6" s="692"/>
      <c r="I6" s="692"/>
    </row>
    <row r="7" spans="2:9" x14ac:dyDescent="0.25">
      <c r="B7" s="804" t="str">
        <f>CONCATENATE("will meet on ",inputHearing!B18," at ",inputHearing!B20," at ",inputHearing!B22," for the purpose of hearing and")</f>
        <v>will meet on  at  at  for the purpose of hearing and</v>
      </c>
      <c r="C7" s="804"/>
      <c r="D7" s="804"/>
      <c r="E7" s="804"/>
      <c r="F7" s="804"/>
      <c r="G7" s="804"/>
      <c r="H7" s="804"/>
      <c r="I7" s="804"/>
    </row>
    <row r="8" spans="2:9" x14ac:dyDescent="0.25">
      <c r="B8" s="800" t="s">
        <v>257</v>
      </c>
      <c r="C8" s="693"/>
      <c r="D8" s="693"/>
      <c r="E8" s="693"/>
      <c r="F8" s="693"/>
      <c r="G8" s="693"/>
      <c r="H8" s="693"/>
      <c r="I8" s="693"/>
    </row>
    <row r="9" spans="2:9" x14ac:dyDescent="0.25">
      <c r="B9" s="804" t="str">
        <f>CONCATENATE("Detailed budget information is available at ",inputHearing!B24," and will be available at this hearing.")</f>
        <v>Detailed budget information is available at  and will be available at this hearing.</v>
      </c>
      <c r="C9" s="693"/>
      <c r="D9" s="693"/>
      <c r="E9" s="693"/>
      <c r="F9" s="693"/>
      <c r="G9" s="693"/>
      <c r="H9" s="693"/>
      <c r="I9" s="693"/>
    </row>
    <row r="10" spans="2:9" x14ac:dyDescent="0.25">
      <c r="B10" s="811" t="s">
        <v>64</v>
      </c>
      <c r="C10" s="693"/>
      <c r="D10" s="693"/>
      <c r="E10" s="693"/>
      <c r="F10" s="693"/>
      <c r="G10" s="693"/>
      <c r="H10" s="693"/>
      <c r="I10" s="693"/>
    </row>
    <row r="11" spans="2:9" x14ac:dyDescent="0.25">
      <c r="B11" s="800" t="str">
        <f>CONCATENATE("Proposed Budget ",I1," Expenditures and Amount of ",I1-1," Ad Valorem Tax establish the maximum limits")</f>
        <v>Proposed Budget 2025 Expenditures and Amount of 2024 Ad Valorem Tax establish the maximum limits</v>
      </c>
      <c r="C11" s="693"/>
      <c r="D11" s="693"/>
      <c r="E11" s="693"/>
      <c r="F11" s="693"/>
      <c r="G11" s="693"/>
      <c r="H11" s="693"/>
      <c r="I11" s="693"/>
    </row>
    <row r="12" spans="2:9" x14ac:dyDescent="0.25">
      <c r="B12" s="800" t="str">
        <f>CONCATENATE("of the ",I1," budget.  Estimated Tax Rate is subject to change depending on the final assessed valuation.")</f>
        <v>of the 2025 budget.  Estimated Tax Rate is subject to change depending on the final assessed valuation.</v>
      </c>
      <c r="C12" s="693"/>
      <c r="D12" s="693"/>
      <c r="E12" s="693"/>
      <c r="F12" s="693"/>
      <c r="G12" s="693"/>
      <c r="H12" s="693"/>
      <c r="I12" s="693"/>
    </row>
    <row r="13" spans="2:9" x14ac:dyDescent="0.25">
      <c r="B13" s="11"/>
      <c r="C13" s="10"/>
      <c r="D13" s="10"/>
      <c r="E13" s="10"/>
      <c r="F13" s="10"/>
      <c r="G13" s="10"/>
      <c r="H13" s="10"/>
      <c r="I13" s="10"/>
    </row>
    <row r="14" spans="2:9" x14ac:dyDescent="0.25">
      <c r="B14" s="21"/>
      <c r="C14" s="26" t="str">
        <f>CONCATENATE("Prior Year Actual ",I1-2,"")</f>
        <v>Prior Year Actual 2023</v>
      </c>
      <c r="D14" s="27"/>
      <c r="E14" s="26" t="str">
        <f>CONCATENATE("Current Year Estimate ",I1-1,"")</f>
        <v>Current Year Estimate 2024</v>
      </c>
      <c r="F14" s="28"/>
      <c r="G14" s="29" t="str">
        <f>CONCATENATE("Proposed Budget ",I1,"")</f>
        <v>Proposed Budget 2025</v>
      </c>
      <c r="H14" s="30"/>
      <c r="I14" s="28"/>
    </row>
    <row r="15" spans="2:9" ht="22.5" customHeight="1" x14ac:dyDescent="0.25">
      <c r="B15" s="485"/>
      <c r="C15" s="805" t="s">
        <v>34</v>
      </c>
      <c r="D15" s="725" t="s">
        <v>863</v>
      </c>
      <c r="E15" s="805" t="s">
        <v>34</v>
      </c>
      <c r="F15" s="725" t="s">
        <v>863</v>
      </c>
      <c r="G15" s="808" t="s">
        <v>856</v>
      </c>
      <c r="H15" s="801" t="str">
        <f>CONCATENATE("Amount of ",I1-1," Ad Valorem Tax")</f>
        <v>Amount of 2024 Ad Valorem Tax</v>
      </c>
      <c r="I15" s="725" t="s">
        <v>864</v>
      </c>
    </row>
    <row r="16" spans="2:9" x14ac:dyDescent="0.25">
      <c r="B16" s="485"/>
      <c r="C16" s="806"/>
      <c r="D16" s="735"/>
      <c r="E16" s="806"/>
      <c r="F16" s="735"/>
      <c r="G16" s="809"/>
      <c r="H16" s="802"/>
      <c r="I16" s="735"/>
    </row>
    <row r="17" spans="2:14" x14ac:dyDescent="0.25">
      <c r="B17" s="18" t="s">
        <v>200</v>
      </c>
      <c r="C17" s="807"/>
      <c r="D17" s="736"/>
      <c r="E17" s="807" t="s">
        <v>34</v>
      </c>
      <c r="F17" s="736"/>
      <c r="G17" s="810"/>
      <c r="H17" s="803"/>
      <c r="I17" s="736"/>
    </row>
    <row r="18" spans="2:14" x14ac:dyDescent="0.25">
      <c r="B18" s="9" t="str">
        <f>inputPrYr!B17</f>
        <v>General</v>
      </c>
      <c r="C18" s="241" t="str">
        <f>IF(General!$C$49&lt;&gt;0,General!$C$49,"  ")</f>
        <v xml:space="preserve">  </v>
      </c>
      <c r="D18" s="303" t="str">
        <f>IF(inputPrYr!D47&gt;0,inputPrYr!D47,"  ")</f>
        <v xml:space="preserve">  </v>
      </c>
      <c r="E18" s="241" t="str">
        <f>IF(General!$D$49&lt;&gt;0,General!$D$49,"  ")</f>
        <v xml:space="preserve">  </v>
      </c>
      <c r="F18" s="303" t="str">
        <f>IF(inputOth!D19&gt;0,inputOth!D19,"  ")</f>
        <v xml:space="preserve">  </v>
      </c>
      <c r="G18" s="241" t="str">
        <f>IF(General!$E$49&lt;&gt;0,General!$E$49,"  ")</f>
        <v xml:space="preserve">  </v>
      </c>
      <c r="H18" s="241" t="str">
        <f>IF(General!$E$56&lt;&gt;0,General!$E$56," ")</f>
        <v xml:space="preserve"> </v>
      </c>
      <c r="I18" s="306" t="str">
        <f>IF(General!E56&gt;0,ROUND(H18/$G$42*1000,3)," ")</f>
        <v xml:space="preserve"> </v>
      </c>
    </row>
    <row r="19" spans="2:14" x14ac:dyDescent="0.25">
      <c r="B19" s="9" t="s">
        <v>211</v>
      </c>
      <c r="C19" s="241" t="str">
        <f>IF('DebtSvs-Library'!C34&lt;&gt;0,'DebtSvs-Library'!C34,"  ")</f>
        <v xml:space="preserve">  </v>
      </c>
      <c r="D19" s="303" t="str">
        <f>IF(inputPrYr!D48&gt;0,inputPrYr!D48,"  ")</f>
        <v xml:space="preserve">  </v>
      </c>
      <c r="E19" s="241" t="str">
        <f>IF('DebtSvs-Library'!D34&lt;&gt;0,'DebtSvs-Library'!D34,"  ")</f>
        <v xml:space="preserve">  </v>
      </c>
      <c r="F19" s="303" t="str">
        <f>IF(inputOth!D20&gt;0,inputOth!D20,"  ")</f>
        <v xml:space="preserve">  </v>
      </c>
      <c r="G19" s="241" t="str">
        <f>IF('DebtSvs-Library'!E34&lt;&gt;0,'DebtSvs-Library'!E34,"  ")</f>
        <v xml:space="preserve">  </v>
      </c>
      <c r="H19" s="241" t="str">
        <f>IF('DebtSvs-Library'!E41&lt;&gt;0,'DebtSvs-Library'!E41," ")</f>
        <v xml:space="preserve"> </v>
      </c>
      <c r="I19" s="306" t="str">
        <f>IF('DebtSvs-Library'!E41&gt;0,ROUND(H19/$G$42*1000,3)," ")</f>
        <v xml:space="preserve"> </v>
      </c>
    </row>
    <row r="20" spans="2:14" x14ac:dyDescent="0.25">
      <c r="B20" s="9" t="str">
        <f>IF(inputPrYr!$B19&gt;"  ",inputPrYr!$B19,"  ")</f>
        <v>Library</v>
      </c>
      <c r="C20" s="241" t="str">
        <f>IF('DebtSvs-Library'!C75&lt;&gt;0,'DebtSvs-Library'!C75,"  ")</f>
        <v xml:space="preserve">  </v>
      </c>
      <c r="D20" s="303" t="str">
        <f>IF(inputPrYr!D49&gt;0,inputPrYr!D49,"  ")</f>
        <v xml:space="preserve">  </v>
      </c>
      <c r="E20" s="241" t="str">
        <f>IF('DebtSvs-Library'!D75&lt;&gt;0,'DebtSvs-Library'!D75,"  ")</f>
        <v xml:space="preserve">  </v>
      </c>
      <c r="F20" s="303" t="str">
        <f>IF(inputOth!D21&gt;0,inputOth!D21,"  ")</f>
        <v xml:space="preserve">  </v>
      </c>
      <c r="G20" s="241" t="str">
        <f>IF('DebtSvs-Library'!E75&lt;&gt;0,'DebtSvs-Library'!E75,"  ")</f>
        <v xml:space="preserve">  </v>
      </c>
      <c r="H20" s="241" t="str">
        <f>IF('DebtSvs-Library'!E82&lt;&gt;0,'DebtSvs-Library'!E82," ")</f>
        <v xml:space="preserve"> </v>
      </c>
      <c r="I20" s="306" t="str">
        <f>IF('DebtSvs-Library'!E82&gt;0,ROUND(H20/$G$42*1000,3)," ")</f>
        <v xml:space="preserve"> </v>
      </c>
    </row>
    <row r="21" spans="2:14" x14ac:dyDescent="0.25">
      <c r="B21" s="9" t="str">
        <f>IF(inputPrYr!$B20&gt;"  ",inputPrYr!$B20,"  ")</f>
        <v>Road</v>
      </c>
      <c r="C21" s="241" t="str">
        <f>IF(Road!$C$43&lt;&gt;0,Road!$C$43,"  ")</f>
        <v xml:space="preserve">  </v>
      </c>
      <c r="D21" s="303" t="str">
        <f>IF(inputPrYr!D50&gt;0,inputPrYr!D50,"  ")</f>
        <v xml:space="preserve">  </v>
      </c>
      <c r="E21" s="241" t="str">
        <f>IF(Road!$D$43&lt;&gt;0,Road!$D$43,"  ")</f>
        <v xml:space="preserve">  </v>
      </c>
      <c r="F21" s="303" t="str">
        <f>IF(inputOth!D22&gt;0,inputOth!D22,"  ")</f>
        <v xml:space="preserve">  </v>
      </c>
      <c r="G21" s="241" t="str">
        <f>IF(Road!$E$43&lt;&gt;0,Road!$E$43,"  ")</f>
        <v xml:space="preserve">  </v>
      </c>
      <c r="H21" s="241" t="str">
        <f>IF(Road!$E$50&lt;&gt;0,Road!$E$50,"  ")</f>
        <v xml:space="preserve">  </v>
      </c>
      <c r="I21" s="306" t="str">
        <f>IF(Road!E50&gt;0,ROUND(H21/$G$42*1000,3)," ")</f>
        <v xml:space="preserve"> </v>
      </c>
    </row>
    <row r="22" spans="2:14" x14ac:dyDescent="0.25">
      <c r="B22" s="9" t="str">
        <f>IF(inputPrYr!$B21&gt;"  ",inputPrYr!$B21,"  ")</f>
        <v xml:space="preserve">  </v>
      </c>
      <c r="C22" s="241" t="str">
        <f>IF('Levy Page 9'!$C$34&lt;&gt;0,'Levy Page 9'!$C$34,"  ")</f>
        <v xml:space="preserve">  </v>
      </c>
      <c r="D22" s="303" t="str">
        <f>IF(inputPrYr!D51&gt;0,inputPrYr!D51,"  ")</f>
        <v xml:space="preserve">  </v>
      </c>
      <c r="E22" s="241" t="str">
        <f>IF('Levy Page 9'!$D$34&lt;&gt;0,'Levy Page 9'!$D$34,"  ")</f>
        <v xml:space="preserve">  </v>
      </c>
      <c r="F22" s="303" t="str">
        <f>IF(inputOth!D23&gt;0,inputOth!D23,"  ")</f>
        <v xml:space="preserve">  </v>
      </c>
      <c r="G22" s="241" t="str">
        <f>IF('Levy Page 9'!$E$34&lt;&gt;0,'Levy Page 9'!$E$34,"  ")</f>
        <v xml:space="preserve">  </v>
      </c>
      <c r="H22" s="241" t="str">
        <f>IF('Levy Page 9'!$E$41&lt;&gt;0,'Levy Page 9'!$E$41,"  ")</f>
        <v xml:space="preserve">  </v>
      </c>
      <c r="I22" s="306" t="str">
        <f>IF('Levy Page 9'!E41&gt;0,ROUND(H22/$G$42*1000,3)," ")</f>
        <v xml:space="preserve"> </v>
      </c>
    </row>
    <row r="23" spans="2:14" x14ac:dyDescent="0.25">
      <c r="B23" s="9" t="str">
        <f>IF(inputPrYr!$B22&gt;"  ",inputPrYr!$B22,"  ")</f>
        <v xml:space="preserve">  </v>
      </c>
      <c r="C23" s="241" t="str">
        <f>IF('Levy Page 9'!$C$75&lt;&gt;0,'Levy Page 9'!$C$75,"  ")</f>
        <v xml:space="preserve">  </v>
      </c>
      <c r="D23" s="303" t="str">
        <f>IF(inputPrYr!D52&gt;0,inputPrYr!D52,"  ")</f>
        <v xml:space="preserve">  </v>
      </c>
      <c r="E23" s="241" t="str">
        <f>IF('Levy Page 9'!$D$75&lt;&gt;0,'Levy Page 9'!$D$75,"  ")</f>
        <v xml:space="preserve">  </v>
      </c>
      <c r="F23" s="303" t="str">
        <f>IF(inputOth!D24&gt;0,inputOth!D24,"  ")</f>
        <v xml:space="preserve">  </v>
      </c>
      <c r="G23" s="241" t="str">
        <f>IF('Levy Page 9'!$E$75&lt;&gt;0,'Levy Page 9'!$E$75,"  ")</f>
        <v xml:space="preserve">  </v>
      </c>
      <c r="H23" s="241" t="str">
        <f>IF('Levy Page 9'!$E$82&lt;&gt;0,'Levy Page 9'!$E$82,"  ")</f>
        <v xml:space="preserve">  </v>
      </c>
      <c r="I23" s="306" t="str">
        <f>IF('Levy Page 9'!E82&gt;0,ROUND(H23/$G$42*1000,3)," ")</f>
        <v xml:space="preserve"> </v>
      </c>
    </row>
    <row r="24" spans="2:14" x14ac:dyDescent="0.25">
      <c r="B24" s="9" t="str">
        <f>IF(inputPrYr!$B23&gt;"  ",inputPrYr!$B23,"  ")</f>
        <v xml:space="preserve">  </v>
      </c>
      <c r="C24" s="241" t="str">
        <f>IF('Levy Page 10'!$C$34&lt;&gt;0,'Levy Page 10'!$C$34,"  ")</f>
        <v xml:space="preserve">  </v>
      </c>
      <c r="D24" s="303" t="str">
        <f>IF(inputPrYr!D53&gt;0,inputPrYr!D53,"  ")</f>
        <v xml:space="preserve">  </v>
      </c>
      <c r="E24" s="241" t="str">
        <f>IF('Levy Page 10'!$D$34&lt;&gt;0,'Levy Page 10'!$D$34,"  ")</f>
        <v xml:space="preserve">  </v>
      </c>
      <c r="F24" s="303" t="str">
        <f>IF(inputOth!D25&gt;0,inputOth!D25,"  ")</f>
        <v xml:space="preserve">  </v>
      </c>
      <c r="G24" s="241" t="str">
        <f>IF('Levy Page 10'!$E$34&lt;&gt;0,'Levy Page 10'!$E$34,"  ")</f>
        <v xml:space="preserve">  </v>
      </c>
      <c r="H24" s="241" t="str">
        <f>IF('Levy Page 10'!$E$41&lt;&gt;0,'Levy Page 10'!$E$41,"  ")</f>
        <v xml:space="preserve">  </v>
      </c>
      <c r="I24" s="306" t="str">
        <f>IF('Levy Page 10'!E41&gt;0,ROUND(H24/$G$42*1000,3)," ")</f>
        <v xml:space="preserve"> </v>
      </c>
    </row>
    <row r="25" spans="2:14" x14ac:dyDescent="0.25">
      <c r="B25" s="9" t="str">
        <f>IF(inputPrYr!$B24&gt;"  ",inputPrYr!$B24,"  ")</f>
        <v xml:space="preserve">  </v>
      </c>
      <c r="C25" s="241" t="str">
        <f>IF('Levy Page 10'!$C$75&lt;&gt;0,'Levy Page 10'!$C$75,"  ")</f>
        <v xml:space="preserve">  </v>
      </c>
      <c r="D25" s="303" t="str">
        <f>IF(inputPrYr!D54&gt;0,inputPrYr!D54,"  ")</f>
        <v xml:space="preserve">  </v>
      </c>
      <c r="E25" s="241" t="str">
        <f>IF('Levy Page 10'!$D$75&lt;&gt;0,'Levy Page 10'!$D$75,"  ")</f>
        <v xml:space="preserve">  </v>
      </c>
      <c r="F25" s="303" t="str">
        <f>IF(inputOth!D26&gt;0,inputOth!D26,"  ")</f>
        <v xml:space="preserve">  </v>
      </c>
      <c r="G25" s="241" t="str">
        <f>IF('Levy Page 10'!$E$75&lt;&gt;0,'Levy Page 10'!$E$75,"  ")</f>
        <v xml:space="preserve">  </v>
      </c>
      <c r="H25" s="241" t="str">
        <f>IF('Levy Page 10'!$E$82&lt;&gt;0,'Levy Page 10'!$E$82,"  ")</f>
        <v xml:space="preserve">  </v>
      </c>
      <c r="I25" s="306" t="str">
        <f>IF('Levy Page 10'!E82&gt;0,ROUND(H25/$G$42*1000,3)," ")</f>
        <v xml:space="preserve"> </v>
      </c>
      <c r="K25" s="795" t="str">
        <f>CONCATENATE("Estimated Value Of One Mill For ",I1,"")</f>
        <v>Estimated Value Of One Mill For 2025</v>
      </c>
      <c r="L25" s="796"/>
      <c r="M25" s="796"/>
      <c r="N25" s="797"/>
    </row>
    <row r="26" spans="2:14" x14ac:dyDescent="0.25">
      <c r="B26" s="9" t="str">
        <f>IF(inputPrYr!$B25&gt;"  ",inputPrYr!$B25,"  ")</f>
        <v xml:space="preserve">  </v>
      </c>
      <c r="C26" s="241" t="str">
        <f>IF('Levy Page 11'!$C$34&lt;&gt;0,'Levy Page 11'!$C$34,"  ")</f>
        <v xml:space="preserve">  </v>
      </c>
      <c r="D26" s="303" t="str">
        <f>IF(inputPrYr!D55&gt;0,inputPrYr!D55,"  ")</f>
        <v xml:space="preserve">  </v>
      </c>
      <c r="E26" s="241" t="str">
        <f>IF('Levy Page 11'!$D$34&lt;&gt;0,'Levy Page 11'!$D$34,"  ")</f>
        <v xml:space="preserve">  </v>
      </c>
      <c r="F26" s="303" t="str">
        <f>IF(inputOth!D27&gt;0,inputOth!D27,"  ")</f>
        <v xml:space="preserve">  </v>
      </c>
      <c r="G26" s="241" t="str">
        <f>IF('Levy Page 11'!$E$34&lt;&gt;0,'Levy Page 11'!$E$34,"  ")</f>
        <v xml:space="preserve">  </v>
      </c>
      <c r="H26" s="241" t="str">
        <f>IF('Levy Page 11'!$E$41&lt;&gt;0,'Levy Page 11'!$E$41,"  ")</f>
        <v xml:space="preserve">  </v>
      </c>
      <c r="I26" s="306" t="str">
        <f>IF('Levy Page 11'!E41&gt;0,ROUND(H26/$G$42*1000,3)," ")</f>
        <v xml:space="preserve"> </v>
      </c>
      <c r="K26" s="325"/>
      <c r="L26" s="326"/>
      <c r="M26" s="326"/>
      <c r="N26" s="327"/>
    </row>
    <row r="27" spans="2:14" x14ac:dyDescent="0.25">
      <c r="B27" s="9" t="str">
        <f>IF(inputPrYr!$B26&gt;"  ",inputPrYr!$B26,"  ")</f>
        <v xml:space="preserve">  </v>
      </c>
      <c r="C27" s="241" t="str">
        <f>IF('Levy Page 11'!$C$75&lt;&gt;0,'Levy Page 11'!$C$75,"  ")</f>
        <v xml:space="preserve">  </v>
      </c>
      <c r="D27" s="303" t="str">
        <f>IF(inputPrYr!D56&gt;0,inputPrYr!D56,"  ")</f>
        <v xml:space="preserve">  </v>
      </c>
      <c r="E27" s="241" t="str">
        <f>IF('Levy Page 11'!$D$75&lt;&gt;0,'Levy Page 11'!$D$75,"  ")</f>
        <v xml:space="preserve">  </v>
      </c>
      <c r="F27" s="303" t="str">
        <f>IF(inputOth!D28&gt;0,inputOth!D28,"  ")</f>
        <v xml:space="preserve">  </v>
      </c>
      <c r="G27" s="241" t="str">
        <f>IF('Levy Page 11'!$E$75&lt;&gt;0,'Levy Page 11'!$E$75,"  ")</f>
        <v xml:space="preserve">  </v>
      </c>
      <c r="H27" s="241" t="str">
        <f>IF('Levy Page 11'!$E$82&lt;&gt;0,'Levy Page 11'!$E$82,"  ")</f>
        <v xml:space="preserve">  </v>
      </c>
      <c r="I27" s="306" t="str">
        <f>IF('Levy Page 11'!E82&gt;0,ROUND(H27/$G$42*1000,3)," ")</f>
        <v xml:space="preserve"> </v>
      </c>
      <c r="K27" s="328" t="s">
        <v>488</v>
      </c>
      <c r="L27" s="329"/>
      <c r="M27" s="329"/>
      <c r="N27" s="504">
        <f>ROUND(G42/1000,0)</f>
        <v>0</v>
      </c>
    </row>
    <row r="28" spans="2:14" x14ac:dyDescent="0.25">
      <c r="B28" s="9" t="str">
        <f>IF(inputPrYr!$B27&gt;"  ",inputPrYr!$B27,"  ")</f>
        <v xml:space="preserve">  </v>
      </c>
      <c r="C28" s="241" t="str">
        <f>IF('Levy Page 12'!$C$34&lt;&gt;0,'Levy Page 12'!$C$34,"  ")</f>
        <v xml:space="preserve">  </v>
      </c>
      <c r="D28" s="303" t="str">
        <f>IF(inputPrYr!D57&gt;0,inputPrYr!D57,"  ")</f>
        <v xml:space="preserve">  </v>
      </c>
      <c r="E28" s="241" t="str">
        <f>IF('Levy Page 12'!$D$34&lt;&gt;0,'Levy Page 12'!$D$34,"  ")</f>
        <v xml:space="preserve">  </v>
      </c>
      <c r="F28" s="303" t="str">
        <f>IF(inputOth!D29&gt;0,inputOth!D29,"  ")</f>
        <v xml:space="preserve">  </v>
      </c>
      <c r="G28" s="241" t="str">
        <f>IF('Levy Page 12'!$E$34&lt;&gt;0,'Levy Page 12'!$E$34,"  ")</f>
        <v xml:space="preserve">  </v>
      </c>
      <c r="H28" s="241" t="str">
        <f>IF('Levy Page 12'!$E$41&lt;&gt;0,'Levy Page 12'!$E$41,"  ")</f>
        <v xml:space="preserve">  </v>
      </c>
      <c r="I28" s="306" t="str">
        <f>IF('Levy Page 12'!E41&gt;0,ROUND(H28/$G$42*1000,3)," ")</f>
        <v xml:space="preserve"> </v>
      </c>
      <c r="K28" s="130"/>
      <c r="L28" s="130"/>
      <c r="M28" s="130"/>
      <c r="N28" s="130"/>
    </row>
    <row r="29" spans="2:14" x14ac:dyDescent="0.25">
      <c r="B29" s="9" t="str">
        <f>IF(inputPrYr!$B28&gt;"  ",inputPrYr!$B28,"  ")</f>
        <v xml:space="preserve">  </v>
      </c>
      <c r="C29" s="241" t="str">
        <f>IF('Levy Page 12'!$C$75&lt;&gt;0,'Levy Page 12'!$C$75,"  ")</f>
        <v xml:space="preserve">  </v>
      </c>
      <c r="D29" s="303" t="str">
        <f>IF(inputPrYr!D58&gt;0,inputPrYr!D58,"  ")</f>
        <v xml:space="preserve">  </v>
      </c>
      <c r="E29" s="241" t="str">
        <f>IF('Levy Page 12'!$D$75&lt;&gt;0,'Levy Page 12'!$D$75,"  ")</f>
        <v xml:space="preserve">  </v>
      </c>
      <c r="F29" s="303" t="str">
        <f>IF(inputOth!D30&gt;0,inputOth!D30,"  ")</f>
        <v xml:space="preserve">  </v>
      </c>
      <c r="G29" s="241" t="str">
        <f>IF('Levy Page 12'!$E$75&lt;&gt;0,'Levy Page 12'!$E$75,"  ")</f>
        <v xml:space="preserve">  </v>
      </c>
      <c r="H29" s="241" t="str">
        <f>IF('Levy Page 12'!$E$82&lt;&gt;0,'Levy Page 12'!$E$82,"  ")</f>
        <v xml:space="preserve">  </v>
      </c>
      <c r="I29" s="306" t="str">
        <f>IF('Levy Page 12'!E82&gt;0,ROUND(H29/$G$42*1000,3)," ")</f>
        <v xml:space="preserve"> </v>
      </c>
      <c r="K29" s="795" t="str">
        <f>CONCATENATE("Want The Mill Rate The Same As For ",I1-1,"?")</f>
        <v>Want The Mill Rate The Same As For 2024?</v>
      </c>
      <c r="L29" s="796"/>
      <c r="M29" s="796"/>
      <c r="N29" s="797"/>
    </row>
    <row r="30" spans="2:14" x14ac:dyDescent="0.25">
      <c r="B30" s="9" t="str">
        <f>IF(inputPrYr!$B32&gt;"  ",inputPrYr!$B32,"  ")</f>
        <v xml:space="preserve">  </v>
      </c>
      <c r="C30" s="241" t="str">
        <f>IF('No Levy Page 13'!$C$27&lt;&gt;0,'No Levy Page 13'!$C$27,"  ")</f>
        <v xml:space="preserve">  </v>
      </c>
      <c r="D30" s="303"/>
      <c r="E30" s="241" t="str">
        <f>IF('No Levy Page 13'!$D$27&lt;&gt;0,'No Levy Page 13'!$D$27,"  ")</f>
        <v xml:space="preserve">  </v>
      </c>
      <c r="F30" s="303"/>
      <c r="G30" s="241" t="str">
        <f>IF('No Levy Page 13'!$E$27&lt;&gt;0,'No Levy Page 13'!$E$27,"  ")</f>
        <v xml:space="preserve">  </v>
      </c>
      <c r="H30" s="241"/>
      <c r="I30" s="303"/>
      <c r="K30" s="331"/>
      <c r="L30" s="326"/>
      <c r="M30" s="326"/>
      <c r="N30" s="332"/>
    </row>
    <row r="31" spans="2:14" x14ac:dyDescent="0.25">
      <c r="B31" s="9" t="str">
        <f>IF(inputPrYr!$B33&gt;"  ",inputPrYr!$B33,"  ")</f>
        <v xml:space="preserve">  </v>
      </c>
      <c r="C31" s="241" t="str">
        <f>IF('No Levy Page 13'!$C$57&lt;&gt;0,'No Levy Page 13'!$C$57,"  ")</f>
        <v xml:space="preserve">  </v>
      </c>
      <c r="D31" s="303"/>
      <c r="E31" s="241" t="str">
        <f>IF('No Levy Page 13'!$D$57&lt;&gt;0,'No Levy Page 13'!$D$57,"  ")</f>
        <v xml:space="preserve">  </v>
      </c>
      <c r="F31" s="303"/>
      <c r="G31" s="241" t="str">
        <f>IF('No Levy Page 13'!$E$57&lt;&gt;0,'No Levy Page 13'!$E$57,"  ")</f>
        <v xml:space="preserve">  </v>
      </c>
      <c r="H31" s="241"/>
      <c r="I31" s="303"/>
      <c r="K31" s="331" t="str">
        <f>CONCATENATE("",I1-1," Mill Rate Was:")</f>
        <v>2024 Mill Rate Was:</v>
      </c>
      <c r="L31" s="326"/>
      <c r="M31" s="326"/>
      <c r="N31" s="333">
        <f>F36</f>
        <v>0</v>
      </c>
    </row>
    <row r="32" spans="2:14" x14ac:dyDescent="0.25">
      <c r="B32" s="9" t="str">
        <f>IF(inputPrYr!$B34&gt;"  ",inputPrYr!$B34,"  ")</f>
        <v xml:space="preserve">  </v>
      </c>
      <c r="C32" s="241" t="str">
        <f>IF('No Levy Page 14'!$C$27&lt;&gt;0,'No Levy Page 14'!$C$27,"  ")</f>
        <v xml:space="preserve">  </v>
      </c>
      <c r="D32" s="303"/>
      <c r="E32" s="241" t="str">
        <f>IF('No Levy Page 14'!$D$27&lt;&gt;0,'No Levy Page 14'!$D$27,"  ")</f>
        <v xml:space="preserve">  </v>
      </c>
      <c r="F32" s="303"/>
      <c r="G32" s="241" t="str">
        <f>IF('No Levy Page 14'!$E$27&lt;&gt;0,'No Levy Page 14'!$E$27,"  ")</f>
        <v xml:space="preserve">  </v>
      </c>
      <c r="H32" s="241"/>
      <c r="I32" s="303"/>
      <c r="K32" s="334" t="str">
        <f>CONCATENATE("",I1," Tax Levy Fund Expenditures Must Be")</f>
        <v>2025 Tax Levy Fund Expenditures Must Be</v>
      </c>
      <c r="L32" s="335"/>
      <c r="M32" s="335"/>
      <c r="N32" s="332"/>
    </row>
    <row r="33" spans="2:14" x14ac:dyDescent="0.25">
      <c r="B33" s="9" t="str">
        <f>IF(inputPrYr!$B35&gt;"  ",inputPrYr!$B35,"  ")</f>
        <v xml:space="preserve">  </v>
      </c>
      <c r="C33" s="241" t="str">
        <f>IF('No Levy Page 14'!$C$57&lt;&gt;0,'No Levy Page 14'!$C$57,"  ")</f>
        <v xml:space="preserve">  </v>
      </c>
      <c r="D33" s="303"/>
      <c r="E33" s="241" t="str">
        <f>IF('No Levy Page 14'!$D$57&lt;&gt;0,'No Levy Page 14'!$D$57,"  ")</f>
        <v xml:space="preserve">  </v>
      </c>
      <c r="F33" s="303"/>
      <c r="G33" s="241" t="str">
        <f>IF('No Levy Page 14'!$E$57&lt;&gt;0,'No Levy Page 14'!$E$57,"  ")</f>
        <v xml:space="preserve">  </v>
      </c>
      <c r="H33" s="241"/>
      <c r="I33" s="303"/>
      <c r="K33" s="334" t="str">
        <f>IF(N33&gt;0,"Increased By:","")</f>
        <v/>
      </c>
      <c r="L33" s="335"/>
      <c r="M33" s="335"/>
      <c r="N33" s="336">
        <f>IF(N40&lt;0,N40*-1,0)</f>
        <v>0</v>
      </c>
    </row>
    <row r="34" spans="2:14" x14ac:dyDescent="0.25">
      <c r="B34" s="9" t="str">
        <f>IF((inputPrYr!$B39&gt;"  "),('Non-Budgeted Funds'!$A3),"  ")</f>
        <v xml:space="preserve">  </v>
      </c>
      <c r="C34" s="241" t="str">
        <f>IF(('Non-Budgeted Funds'!$K$28)&lt;&gt;0,('Non-Budgeted Funds'!$K$28),"  ")</f>
        <v xml:space="preserve">  </v>
      </c>
      <c r="D34" s="303"/>
      <c r="E34" s="241"/>
      <c r="F34" s="303"/>
      <c r="G34" s="241"/>
      <c r="H34" s="241"/>
      <c r="I34" s="303"/>
      <c r="K34" s="337" t="str">
        <f>IF($N$34&lt;0,"Reduced By:","")</f>
        <v/>
      </c>
      <c r="L34" s="324"/>
      <c r="M34" s="324"/>
      <c r="N34" s="338">
        <f>IF(N40&gt;0,N40*-1,0)</f>
        <v>0</v>
      </c>
    </row>
    <row r="35" spans="2:14" ht="16.5" thickBot="1" x14ac:dyDescent="0.3">
      <c r="B35" s="22" t="s">
        <v>202</v>
      </c>
      <c r="C35" s="299" t="str">
        <f>IF(Road!C64&lt;&gt;0,Road!C64,"  ")</f>
        <v xml:space="preserve">  </v>
      </c>
      <c r="D35" s="304"/>
      <c r="E35" s="299"/>
      <c r="F35" s="304"/>
      <c r="G35" s="299"/>
      <c r="H35" s="299"/>
      <c r="I35" s="304"/>
      <c r="K35" s="1"/>
      <c r="L35" s="1"/>
      <c r="M35" s="1"/>
      <c r="N35" s="1"/>
    </row>
    <row r="36" spans="2:14" x14ac:dyDescent="0.25">
      <c r="B36" s="22" t="s">
        <v>203</v>
      </c>
      <c r="C36" s="300">
        <f t="shared" ref="C36:I36" si="0">SUM(C18:C35)</f>
        <v>0</v>
      </c>
      <c r="D36" s="305">
        <f t="shared" si="0"/>
        <v>0</v>
      </c>
      <c r="E36" s="300">
        <f t="shared" si="0"/>
        <v>0</v>
      </c>
      <c r="F36" s="305">
        <f t="shared" si="0"/>
        <v>0</v>
      </c>
      <c r="G36" s="300">
        <f t="shared" si="0"/>
        <v>0</v>
      </c>
      <c r="H36" s="300">
        <f t="shared" si="0"/>
        <v>0</v>
      </c>
      <c r="I36" s="305">
        <f t="shared" si="0"/>
        <v>0</v>
      </c>
      <c r="K36" s="795" t="str">
        <f>CONCATENATE("Impact On Keeping The Same Mill Rate As For ",I1-1,"")</f>
        <v>Impact On Keeping The Same Mill Rate As For 2024</v>
      </c>
      <c r="L36" s="798"/>
      <c r="M36" s="798"/>
      <c r="N36" s="799"/>
    </row>
    <row r="37" spans="2:14" x14ac:dyDescent="0.25">
      <c r="B37" s="585" t="s">
        <v>747</v>
      </c>
      <c r="C37" s="9"/>
      <c r="D37" s="9"/>
      <c r="E37" s="9"/>
      <c r="F37" s="9"/>
      <c r="G37" s="9"/>
      <c r="H37" s="9"/>
      <c r="I37" s="586">
        <f>inputOth!D15</f>
        <v>0</v>
      </c>
      <c r="K37" s="331"/>
      <c r="L37" s="326"/>
      <c r="M37" s="326"/>
      <c r="N37" s="332"/>
    </row>
    <row r="38" spans="2:14" x14ac:dyDescent="0.25">
      <c r="B38" s="11" t="s">
        <v>35</v>
      </c>
      <c r="C38" s="241">
        <f>Transfers!C26</f>
        <v>0</v>
      </c>
      <c r="D38" s="10"/>
      <c r="E38" s="241">
        <f>Transfers!D26</f>
        <v>0</v>
      </c>
      <c r="F38" s="19"/>
      <c r="G38" s="241">
        <f>Transfers!E26</f>
        <v>0</v>
      </c>
      <c r="H38" s="10"/>
      <c r="I38" s="10"/>
      <c r="K38" s="331" t="str">
        <f>CONCATENATE("",I1," Ad Valorem Tax Revenue:")</f>
        <v>2025 Ad Valorem Tax Revenue:</v>
      </c>
      <c r="L38" s="326"/>
      <c r="M38" s="326"/>
      <c r="N38" s="327">
        <f>H36</f>
        <v>0</v>
      </c>
    </row>
    <row r="39" spans="2:14" ht="16.5" thickBot="1" x14ac:dyDescent="0.3">
      <c r="B39" s="11" t="s">
        <v>36</v>
      </c>
      <c r="C39" s="301">
        <f>C36-C38</f>
        <v>0</v>
      </c>
      <c r="D39" s="10"/>
      <c r="E39" s="301">
        <f>E36-E38</f>
        <v>0</v>
      </c>
      <c r="F39" s="10"/>
      <c r="G39" s="301">
        <f>G36-G38</f>
        <v>0</v>
      </c>
      <c r="H39" s="10"/>
      <c r="I39" s="10"/>
      <c r="K39" s="331" t="str">
        <f>CONCATENATE("",I1-1," Ad Valorem Tax Revenue:")</f>
        <v>2024 Ad Valorem Tax Revenue:</v>
      </c>
      <c r="L39" s="326"/>
      <c r="M39" s="326"/>
      <c r="N39" s="339">
        <f>ROUND(G42*N31/1000,0)</f>
        <v>0</v>
      </c>
    </row>
    <row r="40" spans="2:14" ht="16.5" thickTop="1" x14ac:dyDescent="0.25">
      <c r="B40" s="11" t="s">
        <v>37</v>
      </c>
      <c r="C40" s="302">
        <f>inputPrYr!E61</f>
        <v>0</v>
      </c>
      <c r="D40" s="19"/>
      <c r="E40" s="302">
        <f>inputPrYr!E29</f>
        <v>0</v>
      </c>
      <c r="F40" s="10"/>
      <c r="G40" s="295" t="s">
        <v>204</v>
      </c>
      <c r="H40" s="10"/>
      <c r="I40" s="10"/>
      <c r="K40" s="340" t="s">
        <v>489</v>
      </c>
      <c r="L40" s="341"/>
      <c r="M40" s="341"/>
      <c r="N40" s="330">
        <f>N38-N39</f>
        <v>0</v>
      </c>
    </row>
    <row r="41" spans="2:14" x14ac:dyDescent="0.25">
      <c r="B41" s="11" t="s">
        <v>38</v>
      </c>
      <c r="C41" s="10"/>
      <c r="D41" s="19"/>
      <c r="E41" s="10"/>
      <c r="F41" s="19"/>
      <c r="G41" s="10"/>
      <c r="H41" s="10"/>
      <c r="I41" s="10"/>
      <c r="K41" s="1"/>
      <c r="L41" s="1"/>
      <c r="M41" s="1"/>
      <c r="N41" s="1"/>
    </row>
    <row r="42" spans="2:14" x14ac:dyDescent="0.25">
      <c r="B42" s="11" t="s">
        <v>39</v>
      </c>
      <c r="C42" s="9">
        <f>inputPrYr!E62</f>
        <v>0</v>
      </c>
      <c r="D42" s="10"/>
      <c r="E42" s="9">
        <f>inputOth!E33</f>
        <v>0</v>
      </c>
      <c r="F42" s="10"/>
      <c r="G42" s="9">
        <f>inputOth!E7</f>
        <v>0</v>
      </c>
      <c r="H42" s="10"/>
      <c r="I42" s="10"/>
      <c r="K42" s="795" t="s">
        <v>490</v>
      </c>
      <c r="L42" s="796"/>
      <c r="M42" s="796"/>
      <c r="N42" s="797"/>
    </row>
    <row r="43" spans="2:14" x14ac:dyDescent="0.25">
      <c r="B43" s="11" t="s">
        <v>40</v>
      </c>
      <c r="C43" s="10"/>
      <c r="D43" s="10"/>
      <c r="E43" s="10"/>
      <c r="F43" s="10"/>
      <c r="G43" s="10"/>
      <c r="H43" s="10"/>
      <c r="I43" s="10"/>
      <c r="K43" s="331"/>
      <c r="L43" s="326"/>
      <c r="M43" s="326"/>
      <c r="N43" s="332"/>
    </row>
    <row r="44" spans="2:14" x14ac:dyDescent="0.25">
      <c r="B44" s="11"/>
      <c r="C44" s="10"/>
      <c r="D44" s="10"/>
      <c r="E44" s="10"/>
      <c r="F44" s="10"/>
      <c r="G44" s="10"/>
      <c r="H44" s="10"/>
      <c r="I44" s="10"/>
      <c r="K44" s="645" t="s">
        <v>746</v>
      </c>
      <c r="L44" s="326"/>
      <c r="M44" s="326"/>
      <c r="N44" s="646">
        <f>I37</f>
        <v>0</v>
      </c>
    </row>
    <row r="45" spans="2:14" x14ac:dyDescent="0.25">
      <c r="B45" s="11" t="s">
        <v>41</v>
      </c>
      <c r="C45" s="31">
        <f>I1-3</f>
        <v>2022</v>
      </c>
      <c r="D45" s="10"/>
      <c r="E45" s="31">
        <f>I1-2</f>
        <v>2023</v>
      </c>
      <c r="F45" s="10"/>
      <c r="G45" s="31">
        <f>I1-1</f>
        <v>2024</v>
      </c>
      <c r="H45" s="10"/>
      <c r="I45" s="10"/>
      <c r="K45" s="331" t="str">
        <f>CONCATENATE("Current ",I1," Estimated Mill Rate:")</f>
        <v>Current 2025 Estimated Mill Rate:</v>
      </c>
      <c r="L45" s="326"/>
      <c r="M45" s="326"/>
      <c r="N45" s="333">
        <f>I36</f>
        <v>0</v>
      </c>
    </row>
    <row r="46" spans="2:14" x14ac:dyDescent="0.25">
      <c r="B46" s="11" t="s">
        <v>42</v>
      </c>
      <c r="C46" s="37">
        <f>inputPrYr!D66</f>
        <v>0</v>
      </c>
      <c r="D46" s="39"/>
      <c r="E46" s="37">
        <f>inputPrYr!E66</f>
        <v>0</v>
      </c>
      <c r="F46" s="39"/>
      <c r="G46" s="37">
        <f>'Debt-LP Form'!F11</f>
        <v>0</v>
      </c>
      <c r="H46" s="10"/>
      <c r="I46" s="10"/>
      <c r="K46" s="331" t="str">
        <f>CONCATENATE("Desired ",I1," Mill Rate:")</f>
        <v>Desired 2025 Mill Rate:</v>
      </c>
      <c r="L46" s="326"/>
      <c r="M46" s="326"/>
      <c r="N46" s="342">
        <v>0</v>
      </c>
    </row>
    <row r="47" spans="2:14" x14ac:dyDescent="0.25">
      <c r="B47" s="11" t="s">
        <v>15</v>
      </c>
      <c r="C47" s="37">
        <f>inputPrYr!D67</f>
        <v>0</v>
      </c>
      <c r="D47" s="39"/>
      <c r="E47" s="37">
        <f>inputPrYr!E67</f>
        <v>0</v>
      </c>
      <c r="F47" s="39"/>
      <c r="G47" s="37">
        <f>'Debt-LP Form'!F15</f>
        <v>0</v>
      </c>
      <c r="H47" s="10"/>
      <c r="I47" s="10"/>
      <c r="K47" s="331" t="str">
        <f>CONCATENATE("",I1," Ad Valorem Tax:")</f>
        <v>2025 Ad Valorem Tax:</v>
      </c>
      <c r="L47" s="326"/>
      <c r="M47" s="326"/>
      <c r="N47" s="339">
        <f>ROUND(G42*N46/1000,0)</f>
        <v>0</v>
      </c>
    </row>
    <row r="48" spans="2:14" x14ac:dyDescent="0.25">
      <c r="B48" s="11" t="s">
        <v>43</v>
      </c>
      <c r="C48" s="37">
        <f>inputPrYr!D68</f>
        <v>0</v>
      </c>
      <c r="D48" s="39"/>
      <c r="E48" s="37">
        <f>inputPrYr!E68</f>
        <v>0</v>
      </c>
      <c r="F48" s="39"/>
      <c r="G48" s="37">
        <f>'Debt-LP Form'!G36</f>
        <v>0</v>
      </c>
      <c r="H48" s="10"/>
      <c r="I48" s="10"/>
      <c r="K48" s="340" t="str">
        <f>CONCATENATE("",I1," Tax Levy Fund Exp. Changed By:")</f>
        <v>2025 Tax Levy Fund Exp. Changed By:</v>
      </c>
      <c r="L48" s="341"/>
      <c r="M48" s="341"/>
      <c r="N48" s="330">
        <f>IF(N46=0,0,(N47-H36))</f>
        <v>0</v>
      </c>
    </row>
    <row r="49" spans="2:14" ht="16.5" thickBot="1" x14ac:dyDescent="0.3">
      <c r="B49" s="11" t="s">
        <v>44</v>
      </c>
      <c r="C49" s="54">
        <f>SUM(C46:C48)</f>
        <v>0</v>
      </c>
      <c r="D49" s="39"/>
      <c r="E49" s="54">
        <f>SUM(E46:E48)</f>
        <v>0</v>
      </c>
      <c r="F49" s="39"/>
      <c r="G49" s="54">
        <f>SUM(G46:G48)</f>
        <v>0</v>
      </c>
      <c r="H49" s="10"/>
      <c r="I49" s="10"/>
    </row>
    <row r="50" spans="2:14" ht="16.5" customHeight="1" thickTop="1" x14ac:dyDescent="0.25">
      <c r="B50" s="11" t="s">
        <v>45</v>
      </c>
      <c r="C50" s="10"/>
      <c r="D50" s="10"/>
      <c r="E50" s="10"/>
      <c r="F50" s="10"/>
      <c r="G50" s="10"/>
      <c r="H50" s="10"/>
      <c r="I50" s="10"/>
      <c r="K50" s="813" t="s">
        <v>862</v>
      </c>
      <c r="L50" s="814"/>
      <c r="M50" s="814"/>
      <c r="N50" s="817" t="str">
        <f>IF(I36&gt;I37, "Yes", "No")</f>
        <v>No</v>
      </c>
    </row>
    <row r="51" spans="2:14" ht="15.75" customHeight="1" x14ac:dyDescent="0.25">
      <c r="B51" s="587" t="s">
        <v>748</v>
      </c>
      <c r="C51" s="10"/>
      <c r="D51" s="10"/>
      <c r="E51" s="10"/>
      <c r="F51" s="10"/>
      <c r="G51" s="10"/>
      <c r="H51" s="10"/>
      <c r="I51" s="10"/>
      <c r="K51" s="815"/>
      <c r="L51" s="816"/>
      <c r="M51" s="816"/>
      <c r="N51" s="818"/>
    </row>
    <row r="52" spans="2:14" x14ac:dyDescent="0.25">
      <c r="B52" s="10"/>
      <c r="C52" s="10"/>
      <c r="D52" s="10"/>
      <c r="E52" s="10"/>
      <c r="F52" s="10"/>
      <c r="G52" s="10"/>
      <c r="H52" s="10"/>
      <c r="I52" s="10"/>
      <c r="K52" s="754" t="str">
        <f>IF(N50="Yes", "Follow procedure prescirbed by KSA 79-2988 to exceed the Revenue Neutral Rate.", " ")</f>
        <v xml:space="preserve"> </v>
      </c>
      <c r="L52" s="754"/>
      <c r="M52" s="754"/>
      <c r="N52" s="754"/>
    </row>
    <row r="53" spans="2:14" x14ac:dyDescent="0.25">
      <c r="B53" s="820">
        <f>inputHearing!B14</f>
        <v>0</v>
      </c>
      <c r="C53" s="820"/>
      <c r="D53" s="10"/>
      <c r="E53" s="10"/>
      <c r="F53" s="10"/>
      <c r="G53" s="10"/>
      <c r="H53" s="10"/>
      <c r="I53" s="10"/>
      <c r="K53" s="755"/>
      <c r="L53" s="755"/>
      <c r="M53" s="755"/>
      <c r="N53" s="755"/>
    </row>
    <row r="54" spans="2:14" x14ac:dyDescent="0.25">
      <c r="B54" s="819">
        <f>inputHearing!B16</f>
        <v>0</v>
      </c>
      <c r="C54" s="796"/>
      <c r="D54" s="10"/>
      <c r="E54" s="10"/>
      <c r="F54" s="10"/>
      <c r="G54" s="10"/>
      <c r="H54" s="10"/>
      <c r="I54" s="10"/>
      <c r="K54" s="755"/>
      <c r="L54" s="755"/>
      <c r="M54" s="755"/>
      <c r="N54" s="755"/>
    </row>
    <row r="55" spans="2:14" x14ac:dyDescent="0.25">
      <c r="B55" s="10"/>
      <c r="C55" s="10"/>
      <c r="D55" s="10"/>
      <c r="E55" s="10"/>
      <c r="F55" s="10"/>
      <c r="G55" s="10"/>
      <c r="H55" s="10"/>
      <c r="I55" s="10"/>
    </row>
    <row r="56" spans="2:14" x14ac:dyDescent="0.25">
      <c r="B56" s="10"/>
      <c r="C56" s="16" t="s">
        <v>4</v>
      </c>
      <c r="D56" s="503"/>
      <c r="E56" s="10"/>
      <c r="F56" s="10"/>
      <c r="G56" s="10"/>
      <c r="H56" s="10"/>
      <c r="I56" s="10"/>
    </row>
    <row r="57" spans="2:14" x14ac:dyDescent="0.25">
      <c r="B57" s="1"/>
      <c r="C57" s="1"/>
      <c r="D57" s="1"/>
    </row>
    <row r="59" spans="2:14" x14ac:dyDescent="0.25">
      <c r="B59" s="1"/>
      <c r="C59" s="1"/>
      <c r="D59" s="1"/>
      <c r="E59" s="1"/>
      <c r="F59" s="1"/>
      <c r="G59" s="1"/>
      <c r="H59" s="1"/>
    </row>
    <row r="60" spans="2:14" x14ac:dyDescent="0.25">
      <c r="I60" s="1"/>
    </row>
    <row r="81" spans="2:9" x14ac:dyDescent="0.25">
      <c r="B81" s="1"/>
      <c r="C81" s="1"/>
      <c r="D81" s="1"/>
      <c r="E81" s="1"/>
      <c r="F81" s="1"/>
      <c r="G81" s="1"/>
    </row>
    <row r="88" spans="2:9" x14ac:dyDescent="0.25">
      <c r="B88" s="1"/>
      <c r="C88" s="1"/>
      <c r="D88" s="1"/>
      <c r="E88" s="1"/>
      <c r="F88" s="1"/>
      <c r="G88" s="1"/>
      <c r="H88" s="1"/>
    </row>
    <row r="89" spans="2:9" x14ac:dyDescent="0.25">
      <c r="I89" s="1"/>
    </row>
    <row r="94" spans="2:9" x14ac:dyDescent="0.25">
      <c r="B94" s="1"/>
      <c r="C94" s="1"/>
      <c r="D94" s="1"/>
      <c r="E94" s="1"/>
      <c r="F94" s="1"/>
      <c r="G94" s="1"/>
      <c r="H94" s="1"/>
    </row>
    <row r="95" spans="2:9" x14ac:dyDescent="0.25">
      <c r="I95" s="1"/>
    </row>
    <row r="115" spans="2:8" x14ac:dyDescent="0.25">
      <c r="B115" s="1"/>
      <c r="C115" s="1"/>
      <c r="D115" s="1"/>
      <c r="E115" s="1"/>
      <c r="F115" s="1"/>
      <c r="G115" s="1"/>
      <c r="H115" s="1"/>
    </row>
  </sheetData>
  <sheetProtection sheet="1"/>
  <mergeCells count="26">
    <mergeCell ref="K50:M51"/>
    <mergeCell ref="N50:N51"/>
    <mergeCell ref="K52:N54"/>
    <mergeCell ref="B54:C54"/>
    <mergeCell ref="B53:C53"/>
    <mergeCell ref="B2:I2"/>
    <mergeCell ref="B8:I8"/>
    <mergeCell ref="B9:I9"/>
    <mergeCell ref="B10:I10"/>
    <mergeCell ref="B11:I11"/>
    <mergeCell ref="K29:N29"/>
    <mergeCell ref="K36:N36"/>
    <mergeCell ref="K42:N42"/>
    <mergeCell ref="B4:I4"/>
    <mergeCell ref="H15:H17"/>
    <mergeCell ref="B7:I7"/>
    <mergeCell ref="B6:I6"/>
    <mergeCell ref="B5:I5"/>
    <mergeCell ref="K25:N25"/>
    <mergeCell ref="B12:I12"/>
    <mergeCell ref="C15:C17"/>
    <mergeCell ref="D15:D17"/>
    <mergeCell ref="E15:E17"/>
    <mergeCell ref="F15:F17"/>
    <mergeCell ref="G15:G17"/>
    <mergeCell ref="I15:I17"/>
  </mergeCells>
  <phoneticPr fontId="0" type="noConversion"/>
  <conditionalFormatting sqref="N50:N51">
    <cfRule type="containsText" dxfId="2" priority="1" operator="containsText" text="Yes">
      <formula>NOT(ISERROR(SEARCH("Yes",N50)))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59A5C-8118-4F50-BB52-93CC8BBE44E3}">
  <sheetPr>
    <tabColor rgb="FF00B0F0"/>
    <pageSetUpPr fitToPage="1"/>
  </sheetPr>
  <dimension ref="B1:N115"/>
  <sheetViews>
    <sheetView zoomScale="75" workbookViewId="0">
      <selection activeCell="D56" sqref="D56"/>
    </sheetView>
  </sheetViews>
  <sheetFormatPr defaultRowHeight="15.75" x14ac:dyDescent="0.25"/>
  <cols>
    <col min="1" max="1" width="1.69921875" style="3" customWidth="1"/>
    <col min="2" max="2" width="20.69921875" style="3" customWidth="1"/>
    <col min="3" max="3" width="12.69921875" style="3" customWidth="1"/>
    <col min="4" max="4" width="9.69921875" style="3" customWidth="1"/>
    <col min="5" max="5" width="12.69921875" style="3" customWidth="1"/>
    <col min="6" max="6" width="9.69921875" style="3" customWidth="1"/>
    <col min="7" max="7" width="13.3984375" style="3" customWidth="1"/>
    <col min="8" max="8" width="10.69921875" style="3" customWidth="1"/>
    <col min="9" max="9" width="9.69921875" style="3" customWidth="1"/>
    <col min="10" max="10" width="8.796875" style="3"/>
    <col min="11" max="11" width="12.3984375" style="3" customWidth="1"/>
    <col min="12" max="12" width="12.296875" style="3" customWidth="1"/>
    <col min="13" max="13" width="10.5" style="3" customWidth="1"/>
    <col min="14" max="14" width="12" style="3" customWidth="1"/>
    <col min="15" max="16384" width="8.796875" style="3"/>
  </cols>
  <sheetData>
    <row r="1" spans="2:9" x14ac:dyDescent="0.25">
      <c r="B1" s="10"/>
      <c r="C1" s="10"/>
      <c r="D1" s="10"/>
      <c r="E1" s="10"/>
      <c r="F1" s="10"/>
      <c r="G1" s="10"/>
      <c r="H1" s="10"/>
      <c r="I1" s="17">
        <f>inputPrYr!D6</f>
        <v>2025</v>
      </c>
    </row>
    <row r="2" spans="2:9" x14ac:dyDescent="0.25">
      <c r="B2" s="811" t="s">
        <v>63</v>
      </c>
      <c r="C2" s="812"/>
      <c r="D2" s="812"/>
      <c r="E2" s="812"/>
      <c r="F2" s="812"/>
      <c r="G2" s="812"/>
      <c r="H2" s="812"/>
      <c r="I2" s="812"/>
    </row>
    <row r="3" spans="2:9" x14ac:dyDescent="0.25">
      <c r="B3" s="10"/>
      <c r="C3" s="10"/>
      <c r="D3" s="10"/>
      <c r="E3" s="10"/>
      <c r="F3" s="10"/>
      <c r="G3" s="11" t="s">
        <v>31</v>
      </c>
      <c r="H3" s="11" t="s">
        <v>32</v>
      </c>
      <c r="I3" s="10"/>
    </row>
    <row r="4" spans="2:9" x14ac:dyDescent="0.25">
      <c r="B4" s="800" t="s">
        <v>33</v>
      </c>
      <c r="C4" s="800"/>
      <c r="D4" s="800"/>
      <c r="E4" s="800"/>
      <c r="F4" s="800"/>
      <c r="G4" s="800"/>
      <c r="H4" s="800"/>
      <c r="I4" s="800"/>
    </row>
    <row r="5" spans="2:9" x14ac:dyDescent="0.25">
      <c r="B5" s="692">
        <f>inputPrYr!D3</f>
        <v>0</v>
      </c>
      <c r="C5" s="692"/>
      <c r="D5" s="692"/>
      <c r="E5" s="692"/>
      <c r="F5" s="692"/>
      <c r="G5" s="692"/>
      <c r="H5" s="692"/>
      <c r="I5" s="692"/>
    </row>
    <row r="6" spans="2:9" x14ac:dyDescent="0.25">
      <c r="B6" s="692">
        <f>inputPrYr!D4</f>
        <v>0</v>
      </c>
      <c r="C6" s="692"/>
      <c r="D6" s="692"/>
      <c r="E6" s="692"/>
      <c r="F6" s="692"/>
      <c r="G6" s="692"/>
      <c r="H6" s="692"/>
      <c r="I6" s="692"/>
    </row>
    <row r="7" spans="2:9" x14ac:dyDescent="0.25">
      <c r="B7" s="804" t="str">
        <f>CONCATENATE("will meet on ",inputHearing!B32," at ",inputHearing!B34," at ",inputHearing!B36," for the purpose of hearing and")</f>
        <v>will meet on  at  at  for the purpose of hearing and</v>
      </c>
      <c r="C7" s="804"/>
      <c r="D7" s="804"/>
      <c r="E7" s="804"/>
      <c r="F7" s="804"/>
      <c r="G7" s="804"/>
      <c r="H7" s="804"/>
      <c r="I7" s="804"/>
    </row>
    <row r="8" spans="2:9" x14ac:dyDescent="0.25">
      <c r="B8" s="800" t="s">
        <v>257</v>
      </c>
      <c r="C8" s="693"/>
      <c r="D8" s="693"/>
      <c r="E8" s="693"/>
      <c r="F8" s="693"/>
      <c r="G8" s="693"/>
      <c r="H8" s="693"/>
      <c r="I8" s="693"/>
    </row>
    <row r="9" spans="2:9" x14ac:dyDescent="0.25">
      <c r="B9" s="804" t="str">
        <f>CONCATENATE("Detailed budget information is available at ",inputHearing!B38," and will be available at this hearing.")</f>
        <v>Detailed budget information is available at  and will be available at this hearing.</v>
      </c>
      <c r="C9" s="693"/>
      <c r="D9" s="693"/>
      <c r="E9" s="693"/>
      <c r="F9" s="693"/>
      <c r="G9" s="693"/>
      <c r="H9" s="693"/>
      <c r="I9" s="693"/>
    </row>
    <row r="10" spans="2:9" x14ac:dyDescent="0.25">
      <c r="B10" s="811" t="s">
        <v>64</v>
      </c>
      <c r="C10" s="693"/>
      <c r="D10" s="693"/>
      <c r="E10" s="693"/>
      <c r="F10" s="693"/>
      <c r="G10" s="693"/>
      <c r="H10" s="693"/>
      <c r="I10" s="693"/>
    </row>
    <row r="11" spans="2:9" x14ac:dyDescent="0.25">
      <c r="B11" s="800" t="str">
        <f>CONCATENATE("Proposed Budget ",I1," Expenditures and Amount of ",I1-1," Ad Valorem Tax establish the maximum limits")</f>
        <v>Proposed Budget 2025 Expenditures and Amount of 2024 Ad Valorem Tax establish the maximum limits</v>
      </c>
      <c r="C11" s="693"/>
      <c r="D11" s="693"/>
      <c r="E11" s="693"/>
      <c r="F11" s="693"/>
      <c r="G11" s="693"/>
      <c r="H11" s="693"/>
      <c r="I11" s="693"/>
    </row>
    <row r="12" spans="2:9" x14ac:dyDescent="0.25">
      <c r="B12" s="800" t="str">
        <f>CONCATENATE("of the ",I1," budget.  Estimated Tax Rate is subject to change depending on the final assessed valuation.")</f>
        <v>of the 2025 budget.  Estimated Tax Rate is subject to change depending on the final assessed valuation.</v>
      </c>
      <c r="C12" s="693"/>
      <c r="D12" s="693"/>
      <c r="E12" s="693"/>
      <c r="F12" s="693"/>
      <c r="G12" s="693"/>
      <c r="H12" s="693"/>
      <c r="I12" s="693"/>
    </row>
    <row r="13" spans="2:9" x14ac:dyDescent="0.25">
      <c r="B13" s="11"/>
      <c r="C13" s="10"/>
      <c r="D13" s="10"/>
      <c r="E13" s="10"/>
      <c r="F13" s="10"/>
      <c r="G13" s="10"/>
      <c r="H13" s="10"/>
      <c r="I13" s="10"/>
    </row>
    <row r="14" spans="2:9" x14ac:dyDescent="0.25">
      <c r="B14" s="21"/>
      <c r="C14" s="26" t="str">
        <f>CONCATENATE("Prior Year Actual ",I1-2,"")</f>
        <v>Prior Year Actual 2023</v>
      </c>
      <c r="D14" s="27"/>
      <c r="E14" s="26" t="str">
        <f>CONCATENATE("Current Year Estimate ",I1-1,"")</f>
        <v>Current Year Estimate 2024</v>
      </c>
      <c r="F14" s="28"/>
      <c r="G14" s="29" t="str">
        <f>CONCATENATE("Proposed Budget ",I1,"")</f>
        <v>Proposed Budget 2025</v>
      </c>
      <c r="H14" s="30"/>
      <c r="I14" s="28"/>
    </row>
    <row r="15" spans="2:9" ht="22.5" customHeight="1" x14ac:dyDescent="0.25">
      <c r="B15" s="485"/>
      <c r="C15" s="805" t="s">
        <v>34</v>
      </c>
      <c r="D15" s="725" t="s">
        <v>863</v>
      </c>
      <c r="E15" s="805" t="s">
        <v>34</v>
      </c>
      <c r="F15" s="725" t="s">
        <v>863</v>
      </c>
      <c r="G15" s="808" t="s">
        <v>856</v>
      </c>
      <c r="H15" s="801" t="str">
        <f>CONCATENATE("Amount of ",I1-1," Ad Valorem Tax")</f>
        <v>Amount of 2024 Ad Valorem Tax</v>
      </c>
      <c r="I15" s="725" t="s">
        <v>864</v>
      </c>
    </row>
    <row r="16" spans="2:9" x14ac:dyDescent="0.25">
      <c r="B16" s="485"/>
      <c r="C16" s="806"/>
      <c r="D16" s="735"/>
      <c r="E16" s="806"/>
      <c r="F16" s="735"/>
      <c r="G16" s="809"/>
      <c r="H16" s="802"/>
      <c r="I16" s="735"/>
    </row>
    <row r="17" spans="2:14" x14ac:dyDescent="0.25">
      <c r="B17" s="18" t="s">
        <v>200</v>
      </c>
      <c r="C17" s="807"/>
      <c r="D17" s="736"/>
      <c r="E17" s="807" t="s">
        <v>34</v>
      </c>
      <c r="F17" s="736"/>
      <c r="G17" s="810"/>
      <c r="H17" s="803"/>
      <c r="I17" s="736"/>
    </row>
    <row r="18" spans="2:14" x14ac:dyDescent="0.25">
      <c r="B18" s="9" t="str">
        <f>inputPrYr!B17</f>
        <v>General</v>
      </c>
      <c r="C18" s="241" t="str">
        <f>IF(General!$C$49&lt;&gt;0,General!$C$49,"  ")</f>
        <v xml:space="preserve">  </v>
      </c>
      <c r="D18" s="303" t="str">
        <f>IF(inputPrYr!D47&gt;0,inputPrYr!D47,"  ")</f>
        <v xml:space="preserve">  </v>
      </c>
      <c r="E18" s="241" t="str">
        <f>IF(General!$D$49&lt;&gt;0,General!$D$49,"  ")</f>
        <v xml:space="preserve">  </v>
      </c>
      <c r="F18" s="303" t="str">
        <f>IF(inputOth!D19&gt;0,inputOth!D19,"  ")</f>
        <v xml:space="preserve">  </v>
      </c>
      <c r="G18" s="241" t="str">
        <f>IF(General!$E$49&lt;&gt;0,General!$E$49,"  ")</f>
        <v xml:space="preserve">  </v>
      </c>
      <c r="H18" s="241" t="str">
        <f>IF(General!$E$56&lt;&gt;0,General!$E$56," ")</f>
        <v xml:space="preserve"> </v>
      </c>
      <c r="I18" s="306" t="str">
        <f>IF(General!E56&gt;0,ROUND(H18/$G$42*1000,3)," ")</f>
        <v xml:space="preserve"> </v>
      </c>
    </row>
    <row r="19" spans="2:14" x14ac:dyDescent="0.25">
      <c r="B19" s="9" t="s">
        <v>211</v>
      </c>
      <c r="C19" s="241" t="str">
        <f>IF('DebtSvs-Library'!C34&lt;&gt;0,'DebtSvs-Library'!C34,"  ")</f>
        <v xml:space="preserve">  </v>
      </c>
      <c r="D19" s="303" t="str">
        <f>IF(inputPrYr!D48&gt;0,inputPrYr!D48,"  ")</f>
        <v xml:space="preserve">  </v>
      </c>
      <c r="E19" s="241" t="str">
        <f>IF('DebtSvs-Library'!D34&lt;&gt;0,'DebtSvs-Library'!D34,"  ")</f>
        <v xml:space="preserve">  </v>
      </c>
      <c r="F19" s="303" t="str">
        <f>IF(inputOth!D20&gt;0,inputOth!D20,"  ")</f>
        <v xml:space="preserve">  </v>
      </c>
      <c r="G19" s="241" t="str">
        <f>IF('DebtSvs-Library'!E34&lt;&gt;0,'DebtSvs-Library'!E34,"  ")</f>
        <v xml:space="preserve">  </v>
      </c>
      <c r="H19" s="241" t="str">
        <f>IF('DebtSvs-Library'!E41&lt;&gt;0,'DebtSvs-Library'!E41," ")</f>
        <v xml:space="preserve"> </v>
      </c>
      <c r="I19" s="306" t="str">
        <f>IF('DebtSvs-Library'!E41&gt;0,ROUND(H19/$G$42*1000,3)," ")</f>
        <v xml:space="preserve"> </v>
      </c>
    </row>
    <row r="20" spans="2:14" x14ac:dyDescent="0.25">
      <c r="B20" s="9" t="str">
        <f>IF(inputPrYr!$B19&gt;"  ",inputPrYr!$B19,"  ")</f>
        <v>Library</v>
      </c>
      <c r="C20" s="241" t="str">
        <f>IF('DebtSvs-Library'!C75&lt;&gt;0,'DebtSvs-Library'!C75,"  ")</f>
        <v xml:space="preserve">  </v>
      </c>
      <c r="D20" s="303" t="str">
        <f>IF(inputPrYr!D49&gt;0,inputPrYr!D49,"  ")</f>
        <v xml:space="preserve">  </v>
      </c>
      <c r="E20" s="241" t="str">
        <f>IF('DebtSvs-Library'!D75&lt;&gt;0,'DebtSvs-Library'!D75,"  ")</f>
        <v xml:space="preserve">  </v>
      </c>
      <c r="F20" s="303" t="str">
        <f>IF(inputOth!D21&gt;0,inputOth!D21,"  ")</f>
        <v xml:space="preserve">  </v>
      </c>
      <c r="G20" s="241" t="str">
        <f>IF('DebtSvs-Library'!E75&lt;&gt;0,'DebtSvs-Library'!E75,"  ")</f>
        <v xml:space="preserve">  </v>
      </c>
      <c r="H20" s="241" t="str">
        <f>IF('DebtSvs-Library'!E82&lt;&gt;0,'DebtSvs-Library'!E82," ")</f>
        <v xml:space="preserve"> </v>
      </c>
      <c r="I20" s="306" t="str">
        <f>IF('DebtSvs-Library'!E82&gt;0,ROUND(H20/$G$42*1000,3)," ")</f>
        <v xml:space="preserve"> </v>
      </c>
    </row>
    <row r="21" spans="2:14" x14ac:dyDescent="0.25">
      <c r="B21" s="9" t="str">
        <f>IF(inputPrYr!$B20&gt;"  ",inputPrYr!$B20,"  ")</f>
        <v>Road</v>
      </c>
      <c r="C21" s="241" t="str">
        <f>IF(Road!$C$43&lt;&gt;0,Road!$C$43,"  ")</f>
        <v xml:space="preserve">  </v>
      </c>
      <c r="D21" s="303" t="str">
        <f>IF(inputPrYr!D50&gt;0,inputPrYr!D50,"  ")</f>
        <v xml:space="preserve">  </v>
      </c>
      <c r="E21" s="241" t="str">
        <f>IF(Road!$D$43&lt;&gt;0,Road!$D$43,"  ")</f>
        <v xml:space="preserve">  </v>
      </c>
      <c r="F21" s="303" t="str">
        <f>IF(inputOth!D22&gt;0,inputOth!D22,"  ")</f>
        <v xml:space="preserve">  </v>
      </c>
      <c r="G21" s="241" t="str">
        <f>IF(Road!$E$43&lt;&gt;0,Road!$E$43,"  ")</f>
        <v xml:space="preserve">  </v>
      </c>
      <c r="H21" s="241" t="str">
        <f>IF(Road!$E$50&lt;&gt;0,Road!$E$50,"  ")</f>
        <v xml:space="preserve">  </v>
      </c>
      <c r="I21" s="306" t="str">
        <f>IF(Road!E50&gt;0,ROUND(H21/$G$42*1000,3)," ")</f>
        <v xml:space="preserve"> </v>
      </c>
    </row>
    <row r="22" spans="2:14" x14ac:dyDescent="0.25">
      <c r="B22" s="9" t="str">
        <f>IF(inputPrYr!$B21&gt;"  ",inputPrYr!$B21,"  ")</f>
        <v xml:space="preserve">  </v>
      </c>
      <c r="C22" s="241" t="str">
        <f>IF('Levy Page 9'!$C$34&lt;&gt;0,'Levy Page 9'!$C$34,"  ")</f>
        <v xml:space="preserve">  </v>
      </c>
      <c r="D22" s="303" t="str">
        <f>IF(inputPrYr!D51&gt;0,inputPrYr!D51,"  ")</f>
        <v xml:space="preserve">  </v>
      </c>
      <c r="E22" s="241" t="str">
        <f>IF('Levy Page 9'!$D$34&lt;&gt;0,'Levy Page 9'!$D$34,"  ")</f>
        <v xml:space="preserve">  </v>
      </c>
      <c r="F22" s="303" t="str">
        <f>IF(inputOth!D23&gt;0,inputOth!D23,"  ")</f>
        <v xml:space="preserve">  </v>
      </c>
      <c r="G22" s="241" t="str">
        <f>IF('Levy Page 9'!$E$34&lt;&gt;0,'Levy Page 9'!$E$34,"  ")</f>
        <v xml:space="preserve">  </v>
      </c>
      <c r="H22" s="241" t="str">
        <f>IF('Levy Page 9'!$E$41&lt;&gt;0,'Levy Page 9'!$E$41,"  ")</f>
        <v xml:space="preserve">  </v>
      </c>
      <c r="I22" s="306" t="str">
        <f>IF('Levy Page 9'!E41&gt;0,ROUND(H22/$G$42*1000,3)," ")</f>
        <v xml:space="preserve"> </v>
      </c>
    </row>
    <row r="23" spans="2:14" x14ac:dyDescent="0.25">
      <c r="B23" s="9" t="str">
        <f>IF(inputPrYr!$B22&gt;"  ",inputPrYr!$B22,"  ")</f>
        <v xml:space="preserve">  </v>
      </c>
      <c r="C23" s="241" t="str">
        <f>IF('Levy Page 9'!$C$75&lt;&gt;0,'Levy Page 9'!$C$75,"  ")</f>
        <v xml:space="preserve">  </v>
      </c>
      <c r="D23" s="303" t="str">
        <f>IF(inputPrYr!D52&gt;0,inputPrYr!D52,"  ")</f>
        <v xml:space="preserve">  </v>
      </c>
      <c r="E23" s="241" t="str">
        <f>IF('Levy Page 9'!$D$75&lt;&gt;0,'Levy Page 9'!$D$75,"  ")</f>
        <v xml:space="preserve">  </v>
      </c>
      <c r="F23" s="303" t="str">
        <f>IF(inputOth!D24&gt;0,inputOth!D24,"  ")</f>
        <v xml:space="preserve">  </v>
      </c>
      <c r="G23" s="241" t="str">
        <f>IF('Levy Page 9'!$E$75&lt;&gt;0,'Levy Page 9'!$E$75,"  ")</f>
        <v xml:space="preserve">  </v>
      </c>
      <c r="H23" s="241" t="str">
        <f>IF('Levy Page 9'!$E$82&lt;&gt;0,'Levy Page 9'!$E$82,"  ")</f>
        <v xml:space="preserve">  </v>
      </c>
      <c r="I23" s="306" t="str">
        <f>IF('Levy Page 9'!E82&gt;0,ROUND(H23/$G$42*1000,3)," ")</f>
        <v xml:space="preserve"> </v>
      </c>
    </row>
    <row r="24" spans="2:14" x14ac:dyDescent="0.25">
      <c r="B24" s="9" t="str">
        <f>IF(inputPrYr!$B23&gt;"  ",inputPrYr!$B23,"  ")</f>
        <v xml:space="preserve">  </v>
      </c>
      <c r="C24" s="241" t="str">
        <f>IF('Levy Page 10'!$C$34&lt;&gt;0,'Levy Page 10'!$C$34,"  ")</f>
        <v xml:space="preserve">  </v>
      </c>
      <c r="D24" s="303" t="str">
        <f>IF(inputPrYr!D53&gt;0,inputPrYr!D53,"  ")</f>
        <v xml:space="preserve">  </v>
      </c>
      <c r="E24" s="241" t="str">
        <f>IF('Levy Page 10'!$D$34&lt;&gt;0,'Levy Page 10'!$D$34,"  ")</f>
        <v xml:space="preserve">  </v>
      </c>
      <c r="F24" s="303" t="str">
        <f>IF(inputOth!D25&gt;0,inputOth!D25,"  ")</f>
        <v xml:space="preserve">  </v>
      </c>
      <c r="G24" s="241" t="str">
        <f>IF('Levy Page 10'!$E$34&lt;&gt;0,'Levy Page 10'!$E$34,"  ")</f>
        <v xml:space="preserve">  </v>
      </c>
      <c r="H24" s="241" t="str">
        <f>IF('Levy Page 10'!$E$41&lt;&gt;0,'Levy Page 10'!$E$41,"  ")</f>
        <v xml:space="preserve">  </v>
      </c>
      <c r="I24" s="306" t="str">
        <f>IF('Levy Page 10'!E41&gt;0,ROUND(H24/$G$42*1000,3)," ")</f>
        <v xml:space="preserve"> </v>
      </c>
    </row>
    <row r="25" spans="2:14" x14ac:dyDescent="0.25">
      <c r="B25" s="9" t="str">
        <f>IF(inputPrYr!$B24&gt;"  ",inputPrYr!$B24,"  ")</f>
        <v xml:space="preserve">  </v>
      </c>
      <c r="C25" s="241" t="str">
        <f>IF('Levy Page 10'!$C$75&lt;&gt;0,'Levy Page 10'!$C$75,"  ")</f>
        <v xml:space="preserve">  </v>
      </c>
      <c r="D25" s="303" t="str">
        <f>IF(inputPrYr!D54&gt;0,inputPrYr!D54,"  ")</f>
        <v xml:space="preserve">  </v>
      </c>
      <c r="E25" s="241" t="str">
        <f>IF('Levy Page 10'!$D$75&lt;&gt;0,'Levy Page 10'!$D$75,"  ")</f>
        <v xml:space="preserve">  </v>
      </c>
      <c r="F25" s="303" t="str">
        <f>IF(inputOth!D26&gt;0,inputOth!D26,"  ")</f>
        <v xml:space="preserve">  </v>
      </c>
      <c r="G25" s="241" t="str">
        <f>IF('Levy Page 10'!$E$75&lt;&gt;0,'Levy Page 10'!$E$75,"  ")</f>
        <v xml:space="preserve">  </v>
      </c>
      <c r="H25" s="241" t="str">
        <f>IF('Levy Page 10'!$E$82&lt;&gt;0,'Levy Page 10'!$E$82,"  ")</f>
        <v xml:space="preserve">  </v>
      </c>
      <c r="I25" s="306" t="str">
        <f>IF('Levy Page 10'!E82&gt;0,ROUND(H25/$G$42*1000,3)," ")</f>
        <v xml:space="preserve"> </v>
      </c>
      <c r="K25" s="795" t="str">
        <f>CONCATENATE("Estimated Value Of One Mill For ",I1,"")</f>
        <v>Estimated Value Of One Mill For 2025</v>
      </c>
      <c r="L25" s="796"/>
      <c r="M25" s="796"/>
      <c r="N25" s="797"/>
    </row>
    <row r="26" spans="2:14" x14ac:dyDescent="0.25">
      <c r="B26" s="9" t="str">
        <f>IF(inputPrYr!$B25&gt;"  ",inputPrYr!$B25,"  ")</f>
        <v xml:space="preserve">  </v>
      </c>
      <c r="C26" s="241" t="str">
        <f>IF('Levy Page 11'!$C$34&lt;&gt;0,'Levy Page 11'!$C$34,"  ")</f>
        <v xml:space="preserve">  </v>
      </c>
      <c r="D26" s="303" t="str">
        <f>IF(inputPrYr!D55&gt;0,inputPrYr!D55,"  ")</f>
        <v xml:space="preserve">  </v>
      </c>
      <c r="E26" s="241" t="str">
        <f>IF('Levy Page 11'!$D$34&lt;&gt;0,'Levy Page 11'!$D$34,"  ")</f>
        <v xml:space="preserve">  </v>
      </c>
      <c r="F26" s="303" t="str">
        <f>IF(inputOth!D27&gt;0,inputOth!D27,"  ")</f>
        <v xml:space="preserve">  </v>
      </c>
      <c r="G26" s="241" t="str">
        <f>IF('Levy Page 11'!$E$34&lt;&gt;0,'Levy Page 11'!$E$34,"  ")</f>
        <v xml:space="preserve">  </v>
      </c>
      <c r="H26" s="241" t="str">
        <f>IF('Levy Page 11'!$E$41&lt;&gt;0,'Levy Page 11'!$E$41,"  ")</f>
        <v xml:space="preserve">  </v>
      </c>
      <c r="I26" s="306" t="str">
        <f>IF('Levy Page 11'!E41&gt;0,ROUND(H26/$G$42*1000,3)," ")</f>
        <v xml:space="preserve"> </v>
      </c>
      <c r="K26" s="325"/>
      <c r="L26" s="326"/>
      <c r="M26" s="326"/>
      <c r="N26" s="327"/>
    </row>
    <row r="27" spans="2:14" x14ac:dyDescent="0.25">
      <c r="B27" s="9" t="str">
        <f>IF(inputPrYr!$B26&gt;"  ",inputPrYr!$B26,"  ")</f>
        <v xml:space="preserve">  </v>
      </c>
      <c r="C27" s="241" t="str">
        <f>IF('Levy Page 11'!$C$75&lt;&gt;0,'Levy Page 11'!$C$75,"  ")</f>
        <v xml:space="preserve">  </v>
      </c>
      <c r="D27" s="303" t="str">
        <f>IF(inputPrYr!D56&gt;0,inputPrYr!D56,"  ")</f>
        <v xml:space="preserve">  </v>
      </c>
      <c r="E27" s="241" t="str">
        <f>IF('Levy Page 11'!$D$75&lt;&gt;0,'Levy Page 11'!$D$75,"  ")</f>
        <v xml:space="preserve">  </v>
      </c>
      <c r="F27" s="303" t="str">
        <f>IF(inputOth!D28&gt;0,inputOth!D28,"  ")</f>
        <v xml:space="preserve">  </v>
      </c>
      <c r="G27" s="241" t="str">
        <f>IF('Levy Page 11'!$E$75&lt;&gt;0,'Levy Page 11'!$E$75,"  ")</f>
        <v xml:space="preserve">  </v>
      </c>
      <c r="H27" s="241" t="str">
        <f>IF('Levy Page 11'!$E$82&lt;&gt;0,'Levy Page 11'!$E$82,"  ")</f>
        <v xml:space="preserve">  </v>
      </c>
      <c r="I27" s="306" t="str">
        <f>IF('Levy Page 11'!E82&gt;0,ROUND(H27/$G$42*1000,3)," ")</f>
        <v xml:space="preserve"> </v>
      </c>
      <c r="K27" s="328" t="s">
        <v>488</v>
      </c>
      <c r="L27" s="329"/>
      <c r="M27" s="329"/>
      <c r="N27" s="504">
        <f>ROUND(G42/1000,0)</f>
        <v>0</v>
      </c>
    </row>
    <row r="28" spans="2:14" x14ac:dyDescent="0.25">
      <c r="B28" s="9" t="str">
        <f>IF(inputPrYr!$B27&gt;"  ",inputPrYr!$B27,"  ")</f>
        <v xml:space="preserve">  </v>
      </c>
      <c r="C28" s="241" t="str">
        <f>IF('Levy Page 12'!$C$34&lt;&gt;0,'Levy Page 12'!$C$34,"  ")</f>
        <v xml:space="preserve">  </v>
      </c>
      <c r="D28" s="303" t="str">
        <f>IF(inputPrYr!D57&gt;0,inputPrYr!D57,"  ")</f>
        <v xml:space="preserve">  </v>
      </c>
      <c r="E28" s="241" t="str">
        <f>IF('Levy Page 12'!$D$34&lt;&gt;0,'Levy Page 12'!$D$34,"  ")</f>
        <v xml:space="preserve">  </v>
      </c>
      <c r="F28" s="303" t="str">
        <f>IF(inputOth!D29&gt;0,inputOth!D29,"  ")</f>
        <v xml:space="preserve">  </v>
      </c>
      <c r="G28" s="241" t="str">
        <f>IF('Levy Page 12'!$E$34&lt;&gt;0,'Levy Page 12'!$E$34,"  ")</f>
        <v xml:space="preserve">  </v>
      </c>
      <c r="H28" s="241" t="str">
        <f>IF('Levy Page 12'!$E$41&lt;&gt;0,'Levy Page 12'!$E$41,"  ")</f>
        <v xml:space="preserve">  </v>
      </c>
      <c r="I28" s="306" t="str">
        <f>IF('Levy Page 12'!E41&gt;0,ROUND(H28/$G$42*1000,3)," ")</f>
        <v xml:space="preserve"> </v>
      </c>
      <c r="K28" s="130"/>
      <c r="L28" s="130"/>
      <c r="M28" s="130"/>
      <c r="N28" s="130"/>
    </row>
    <row r="29" spans="2:14" x14ac:dyDescent="0.25">
      <c r="B29" s="9" t="str">
        <f>IF(inputPrYr!$B28&gt;"  ",inputPrYr!$B28,"  ")</f>
        <v xml:space="preserve">  </v>
      </c>
      <c r="C29" s="241" t="str">
        <f>IF('Levy Page 12'!$C$75&lt;&gt;0,'Levy Page 12'!$C$75,"  ")</f>
        <v xml:space="preserve">  </v>
      </c>
      <c r="D29" s="303" t="str">
        <f>IF(inputPrYr!D58&gt;0,inputPrYr!D58,"  ")</f>
        <v xml:space="preserve">  </v>
      </c>
      <c r="E29" s="241" t="str">
        <f>IF('Levy Page 12'!$D$75&lt;&gt;0,'Levy Page 12'!$D$75,"  ")</f>
        <v xml:space="preserve">  </v>
      </c>
      <c r="F29" s="303" t="str">
        <f>IF(inputOth!D30&gt;0,inputOth!D30,"  ")</f>
        <v xml:space="preserve">  </v>
      </c>
      <c r="G29" s="241" t="str">
        <f>IF('Levy Page 12'!$E$75&lt;&gt;0,'Levy Page 12'!$E$75,"  ")</f>
        <v xml:space="preserve">  </v>
      </c>
      <c r="H29" s="241" t="str">
        <f>IF('Levy Page 12'!$E$82&lt;&gt;0,'Levy Page 12'!$E$82,"  ")</f>
        <v xml:space="preserve">  </v>
      </c>
      <c r="I29" s="306" t="str">
        <f>IF('Levy Page 12'!E82&gt;0,ROUND(H29/$G$42*1000,3)," ")</f>
        <v xml:space="preserve"> </v>
      </c>
      <c r="K29" s="795" t="str">
        <f>CONCATENATE("Want The Mill Rate The Same As For ",I1-1,"?")</f>
        <v>Want The Mill Rate The Same As For 2024?</v>
      </c>
      <c r="L29" s="796"/>
      <c r="M29" s="796"/>
      <c r="N29" s="797"/>
    </row>
    <row r="30" spans="2:14" x14ac:dyDescent="0.25">
      <c r="B30" s="9" t="str">
        <f>IF(inputPrYr!$B32&gt;"  ",inputPrYr!$B32,"  ")</f>
        <v xml:space="preserve">  </v>
      </c>
      <c r="C30" s="241" t="str">
        <f>IF('No Levy Page 13'!$C$27&lt;&gt;0,'No Levy Page 13'!$C$27,"  ")</f>
        <v xml:space="preserve">  </v>
      </c>
      <c r="D30" s="303"/>
      <c r="E30" s="241" t="str">
        <f>IF('No Levy Page 13'!$D$27&lt;&gt;0,'No Levy Page 13'!$D$27,"  ")</f>
        <v xml:space="preserve">  </v>
      </c>
      <c r="F30" s="303"/>
      <c r="G30" s="241" t="str">
        <f>IF('No Levy Page 13'!$E$27&lt;&gt;0,'No Levy Page 13'!$E$27,"  ")</f>
        <v xml:space="preserve">  </v>
      </c>
      <c r="H30" s="241"/>
      <c r="I30" s="303"/>
      <c r="K30" s="331"/>
      <c r="L30" s="326"/>
      <c r="M30" s="326"/>
      <c r="N30" s="332"/>
    </row>
    <row r="31" spans="2:14" x14ac:dyDescent="0.25">
      <c r="B31" s="9" t="str">
        <f>IF(inputPrYr!$B33&gt;"  ",inputPrYr!$B33,"  ")</f>
        <v xml:space="preserve">  </v>
      </c>
      <c r="C31" s="241" t="str">
        <f>IF('No Levy Page 13'!$C$57&lt;&gt;0,'No Levy Page 13'!$C$57,"  ")</f>
        <v xml:space="preserve">  </v>
      </c>
      <c r="D31" s="303"/>
      <c r="E31" s="241" t="str">
        <f>IF('No Levy Page 13'!$D$57&lt;&gt;0,'No Levy Page 13'!$D$57,"  ")</f>
        <v xml:space="preserve">  </v>
      </c>
      <c r="F31" s="303"/>
      <c r="G31" s="241" t="str">
        <f>IF('No Levy Page 13'!$E$57&lt;&gt;0,'No Levy Page 13'!$E$57,"  ")</f>
        <v xml:space="preserve">  </v>
      </c>
      <c r="H31" s="241"/>
      <c r="I31" s="303"/>
      <c r="K31" s="331" t="str">
        <f>CONCATENATE("",I1-1," Mill Rate Was:")</f>
        <v>2024 Mill Rate Was:</v>
      </c>
      <c r="L31" s="326"/>
      <c r="M31" s="326"/>
      <c r="N31" s="333">
        <f>F36</f>
        <v>0</v>
      </c>
    </row>
    <row r="32" spans="2:14" x14ac:dyDescent="0.25">
      <c r="B32" s="9" t="str">
        <f>IF(inputPrYr!$B34&gt;"  ",inputPrYr!$B34,"  ")</f>
        <v xml:space="preserve">  </v>
      </c>
      <c r="C32" s="241" t="str">
        <f>IF('No Levy Page 14'!$C$27&lt;&gt;0,'No Levy Page 14'!$C$27,"  ")</f>
        <v xml:space="preserve">  </v>
      </c>
      <c r="D32" s="303"/>
      <c r="E32" s="241" t="str">
        <f>IF('No Levy Page 14'!$D$27&lt;&gt;0,'No Levy Page 14'!$D$27,"  ")</f>
        <v xml:space="preserve">  </v>
      </c>
      <c r="F32" s="303"/>
      <c r="G32" s="241" t="str">
        <f>IF('No Levy Page 14'!$E$27&lt;&gt;0,'No Levy Page 14'!$E$27,"  ")</f>
        <v xml:space="preserve">  </v>
      </c>
      <c r="H32" s="241"/>
      <c r="I32" s="303"/>
      <c r="K32" s="334" t="str">
        <f>CONCATENATE("",I1," Tax Levy Fund Expenditures Must Be")</f>
        <v>2025 Tax Levy Fund Expenditures Must Be</v>
      </c>
      <c r="L32" s="335"/>
      <c r="M32" s="335"/>
      <c r="N32" s="332"/>
    </row>
    <row r="33" spans="2:14" x14ac:dyDescent="0.25">
      <c r="B33" s="9" t="str">
        <f>IF(inputPrYr!$B35&gt;"  ",inputPrYr!$B35,"  ")</f>
        <v xml:space="preserve">  </v>
      </c>
      <c r="C33" s="241" t="str">
        <f>IF('No Levy Page 14'!$C$57&lt;&gt;0,'No Levy Page 14'!$C$57,"  ")</f>
        <v xml:space="preserve">  </v>
      </c>
      <c r="D33" s="303"/>
      <c r="E33" s="241" t="str">
        <f>IF('No Levy Page 14'!$D$57&lt;&gt;0,'No Levy Page 14'!$D$57,"  ")</f>
        <v xml:space="preserve">  </v>
      </c>
      <c r="F33" s="303"/>
      <c r="G33" s="241" t="str">
        <f>IF('No Levy Page 14'!$E$57&lt;&gt;0,'No Levy Page 14'!$E$57,"  ")</f>
        <v xml:space="preserve">  </v>
      </c>
      <c r="H33" s="241"/>
      <c r="I33" s="303"/>
      <c r="K33" s="334" t="str">
        <f>IF(N33&gt;0,"Increased By:","")</f>
        <v/>
      </c>
      <c r="L33" s="335"/>
      <c r="M33" s="335"/>
      <c r="N33" s="336">
        <f>IF(N40&lt;0,N40*-1,0)</f>
        <v>0</v>
      </c>
    </row>
    <row r="34" spans="2:14" x14ac:dyDescent="0.25">
      <c r="B34" s="9" t="str">
        <f>IF((inputPrYr!$B39&gt;"  "),('Non-Budgeted Funds'!$A3),"  ")</f>
        <v xml:space="preserve">  </v>
      </c>
      <c r="C34" s="241" t="str">
        <f>IF(('Non-Budgeted Funds'!$K$28)&lt;&gt;0,('Non-Budgeted Funds'!$K$28),"  ")</f>
        <v xml:space="preserve">  </v>
      </c>
      <c r="D34" s="303"/>
      <c r="E34" s="241"/>
      <c r="F34" s="303"/>
      <c r="G34" s="241"/>
      <c r="H34" s="241"/>
      <c r="I34" s="303"/>
      <c r="K34" s="337" t="str">
        <f>IF($N$34&lt;0,"Reduced By:","")</f>
        <v/>
      </c>
      <c r="L34" s="324"/>
      <c r="M34" s="324"/>
      <c r="N34" s="338">
        <f>IF(N40&gt;0,N40*-1,0)</f>
        <v>0</v>
      </c>
    </row>
    <row r="35" spans="2:14" ht="16.5" thickBot="1" x14ac:dyDescent="0.3">
      <c r="B35" s="22" t="s">
        <v>202</v>
      </c>
      <c r="C35" s="299" t="str">
        <f>IF(Road!C64&lt;&gt;0,Road!C64,"  ")</f>
        <v xml:space="preserve">  </v>
      </c>
      <c r="D35" s="304"/>
      <c r="E35" s="299"/>
      <c r="F35" s="304"/>
      <c r="G35" s="299"/>
      <c r="H35" s="299"/>
      <c r="I35" s="304"/>
      <c r="K35" s="1"/>
      <c r="L35" s="1"/>
      <c r="M35" s="1"/>
      <c r="N35" s="1"/>
    </row>
    <row r="36" spans="2:14" x14ac:dyDescent="0.25">
      <c r="B36" s="22" t="s">
        <v>203</v>
      </c>
      <c r="C36" s="300">
        <f t="shared" ref="C36:I36" si="0">SUM(C18:C35)</f>
        <v>0</v>
      </c>
      <c r="D36" s="305">
        <f t="shared" si="0"/>
        <v>0</v>
      </c>
      <c r="E36" s="300">
        <f t="shared" si="0"/>
        <v>0</v>
      </c>
      <c r="F36" s="305">
        <f t="shared" si="0"/>
        <v>0</v>
      </c>
      <c r="G36" s="300">
        <f t="shared" si="0"/>
        <v>0</v>
      </c>
      <c r="H36" s="300">
        <f t="shared" si="0"/>
        <v>0</v>
      </c>
      <c r="I36" s="305">
        <f t="shared" si="0"/>
        <v>0</v>
      </c>
      <c r="K36" s="795" t="str">
        <f>CONCATENATE("Impact On Keeping The Same Mill Rate As For ",I1-1,"")</f>
        <v>Impact On Keeping The Same Mill Rate As For 2024</v>
      </c>
      <c r="L36" s="798"/>
      <c r="M36" s="798"/>
      <c r="N36" s="799"/>
    </row>
    <row r="37" spans="2:14" x14ac:dyDescent="0.25">
      <c r="B37" s="585" t="s">
        <v>747</v>
      </c>
      <c r="C37" s="9"/>
      <c r="D37" s="9"/>
      <c r="E37" s="9"/>
      <c r="F37" s="9"/>
      <c r="G37" s="9"/>
      <c r="H37" s="9"/>
      <c r="I37" s="586">
        <f>inputOth!D15</f>
        <v>0</v>
      </c>
      <c r="K37" s="331"/>
      <c r="L37" s="326"/>
      <c r="M37" s="326"/>
      <c r="N37" s="332"/>
    </row>
    <row r="38" spans="2:14" x14ac:dyDescent="0.25">
      <c r="B38" s="11" t="s">
        <v>35</v>
      </c>
      <c r="C38" s="241">
        <f>Transfers!C26</f>
        <v>0</v>
      </c>
      <c r="D38" s="10"/>
      <c r="E38" s="241">
        <f>Transfers!D26</f>
        <v>0</v>
      </c>
      <c r="F38" s="19"/>
      <c r="G38" s="241">
        <f>Transfers!E26</f>
        <v>0</v>
      </c>
      <c r="H38" s="10"/>
      <c r="I38" s="10"/>
      <c r="K38" s="331" t="str">
        <f>CONCATENATE("",I1," Ad Valorem Tax Revenue:")</f>
        <v>2025 Ad Valorem Tax Revenue:</v>
      </c>
      <c r="L38" s="326"/>
      <c r="M38" s="326"/>
      <c r="N38" s="327">
        <f>H36</f>
        <v>0</v>
      </c>
    </row>
    <row r="39" spans="2:14" ht="16.5" thickBot="1" x14ac:dyDescent="0.3">
      <c r="B39" s="11" t="s">
        <v>36</v>
      </c>
      <c r="C39" s="301">
        <f>C36-C38</f>
        <v>0</v>
      </c>
      <c r="D39" s="10"/>
      <c r="E39" s="301">
        <f>E36-E38</f>
        <v>0</v>
      </c>
      <c r="F39" s="10"/>
      <c r="G39" s="301">
        <f>G36-G38</f>
        <v>0</v>
      </c>
      <c r="H39" s="10"/>
      <c r="I39" s="10"/>
      <c r="K39" s="331" t="str">
        <f>CONCATENATE("",I1-1," Ad Valorem Tax Revenue:")</f>
        <v>2024 Ad Valorem Tax Revenue:</v>
      </c>
      <c r="L39" s="326"/>
      <c r="M39" s="326"/>
      <c r="N39" s="339">
        <f>ROUND(G42*N31/1000,0)</f>
        <v>0</v>
      </c>
    </row>
    <row r="40" spans="2:14" ht="16.5" thickTop="1" x14ac:dyDescent="0.25">
      <c r="B40" s="11" t="s">
        <v>37</v>
      </c>
      <c r="C40" s="302">
        <f>inputPrYr!E61</f>
        <v>0</v>
      </c>
      <c r="D40" s="19"/>
      <c r="E40" s="302">
        <f>inputPrYr!E29</f>
        <v>0</v>
      </c>
      <c r="F40" s="10"/>
      <c r="G40" s="295" t="s">
        <v>204</v>
      </c>
      <c r="H40" s="10"/>
      <c r="I40" s="10"/>
      <c r="K40" s="340" t="s">
        <v>489</v>
      </c>
      <c r="L40" s="341"/>
      <c r="M40" s="341"/>
      <c r="N40" s="330">
        <f>N38-N39</f>
        <v>0</v>
      </c>
    </row>
    <row r="41" spans="2:14" x14ac:dyDescent="0.25">
      <c r="B41" s="11" t="s">
        <v>38</v>
      </c>
      <c r="C41" s="10"/>
      <c r="D41" s="19"/>
      <c r="E41" s="10"/>
      <c r="F41" s="19"/>
      <c r="G41" s="10"/>
      <c r="H41" s="10"/>
      <c r="I41" s="10"/>
      <c r="K41" s="1"/>
      <c r="L41" s="1"/>
      <c r="M41" s="1"/>
      <c r="N41" s="1"/>
    </row>
    <row r="42" spans="2:14" x14ac:dyDescent="0.25">
      <c r="B42" s="11" t="s">
        <v>39</v>
      </c>
      <c r="C42" s="9">
        <f>inputPrYr!E62</f>
        <v>0</v>
      </c>
      <c r="D42" s="10"/>
      <c r="E42" s="9">
        <f>inputOth!E33</f>
        <v>0</v>
      </c>
      <c r="F42" s="10"/>
      <c r="G42" s="9">
        <f>inputOth!E7</f>
        <v>0</v>
      </c>
      <c r="H42" s="10"/>
      <c r="I42" s="10"/>
      <c r="K42" s="795" t="s">
        <v>490</v>
      </c>
      <c r="L42" s="796"/>
      <c r="M42" s="796"/>
      <c r="N42" s="797"/>
    </row>
    <row r="43" spans="2:14" x14ac:dyDescent="0.25">
      <c r="B43" s="11" t="s">
        <v>40</v>
      </c>
      <c r="C43" s="10"/>
      <c r="D43" s="10"/>
      <c r="E43" s="10"/>
      <c r="F43" s="10"/>
      <c r="G43" s="10"/>
      <c r="H43" s="10"/>
      <c r="I43" s="10"/>
      <c r="K43" s="331"/>
      <c r="L43" s="326"/>
      <c r="M43" s="326"/>
      <c r="N43" s="332"/>
    </row>
    <row r="44" spans="2:14" x14ac:dyDescent="0.25">
      <c r="B44" s="11"/>
      <c r="C44" s="10"/>
      <c r="D44" s="10"/>
      <c r="E44" s="10"/>
      <c r="F44" s="10"/>
      <c r="G44" s="10"/>
      <c r="H44" s="10"/>
      <c r="I44" s="10"/>
      <c r="K44" s="645" t="s">
        <v>746</v>
      </c>
      <c r="L44" s="326"/>
      <c r="M44" s="326"/>
      <c r="N44" s="646">
        <f>I37</f>
        <v>0</v>
      </c>
    </row>
    <row r="45" spans="2:14" x14ac:dyDescent="0.25">
      <c r="B45" s="11" t="s">
        <v>41</v>
      </c>
      <c r="C45" s="31">
        <f>I1-3</f>
        <v>2022</v>
      </c>
      <c r="D45" s="10"/>
      <c r="E45" s="31">
        <f>I1-2</f>
        <v>2023</v>
      </c>
      <c r="F45" s="10"/>
      <c r="G45" s="31">
        <f>I1-1</f>
        <v>2024</v>
      </c>
      <c r="H45" s="10"/>
      <c r="I45" s="10"/>
      <c r="K45" s="331" t="str">
        <f>CONCATENATE("Current ",I1," Estimated Mill Rate:")</f>
        <v>Current 2025 Estimated Mill Rate:</v>
      </c>
      <c r="L45" s="326"/>
      <c r="M45" s="326"/>
      <c r="N45" s="333">
        <f>I36</f>
        <v>0</v>
      </c>
    </row>
    <row r="46" spans="2:14" x14ac:dyDescent="0.25">
      <c r="B46" s="11" t="s">
        <v>42</v>
      </c>
      <c r="C46" s="37">
        <f>inputPrYr!D66</f>
        <v>0</v>
      </c>
      <c r="D46" s="39"/>
      <c r="E46" s="37">
        <f>inputPrYr!E66</f>
        <v>0</v>
      </c>
      <c r="F46" s="39"/>
      <c r="G46" s="37">
        <f>'Debt-LP Form'!F11</f>
        <v>0</v>
      </c>
      <c r="H46" s="10"/>
      <c r="I46" s="10"/>
      <c r="K46" s="331" t="str">
        <f>CONCATENATE("Desired ",I1," Mill Rate:")</f>
        <v>Desired 2025 Mill Rate:</v>
      </c>
      <c r="L46" s="326"/>
      <c r="M46" s="326"/>
      <c r="N46" s="342">
        <v>0</v>
      </c>
    </row>
    <row r="47" spans="2:14" x14ac:dyDescent="0.25">
      <c r="B47" s="11" t="s">
        <v>15</v>
      </c>
      <c r="C47" s="37">
        <f>inputPrYr!D67</f>
        <v>0</v>
      </c>
      <c r="D47" s="39"/>
      <c r="E47" s="37">
        <f>inputPrYr!E67</f>
        <v>0</v>
      </c>
      <c r="F47" s="39"/>
      <c r="G47" s="37">
        <f>'Debt-LP Form'!F15</f>
        <v>0</v>
      </c>
      <c r="H47" s="10"/>
      <c r="I47" s="10"/>
      <c r="K47" s="331" t="str">
        <f>CONCATENATE("",I1," Ad Valorem Tax:")</f>
        <v>2025 Ad Valorem Tax:</v>
      </c>
      <c r="L47" s="326"/>
      <c r="M47" s="326"/>
      <c r="N47" s="339">
        <f>ROUND(G42*N46/1000,0)</f>
        <v>0</v>
      </c>
    </row>
    <row r="48" spans="2:14" x14ac:dyDescent="0.25">
      <c r="B48" s="11" t="s">
        <v>43</v>
      </c>
      <c r="C48" s="37">
        <f>inputPrYr!D68</f>
        <v>0</v>
      </c>
      <c r="D48" s="39"/>
      <c r="E48" s="37">
        <f>inputPrYr!E68</f>
        <v>0</v>
      </c>
      <c r="F48" s="39"/>
      <c r="G48" s="37">
        <f>'Debt-LP Form'!G36</f>
        <v>0</v>
      </c>
      <c r="H48" s="10"/>
      <c r="I48" s="10"/>
      <c r="K48" s="340" t="str">
        <f>CONCATENATE("",I1," Tax Levy Fund Exp. Changed By:")</f>
        <v>2025 Tax Levy Fund Exp. Changed By:</v>
      </c>
      <c r="L48" s="341"/>
      <c r="M48" s="341"/>
      <c r="N48" s="330">
        <f>IF(N46=0,0,(N47-H36))</f>
        <v>0</v>
      </c>
    </row>
    <row r="49" spans="2:14" ht="16.5" thickBot="1" x14ac:dyDescent="0.3">
      <c r="B49" s="11" t="s">
        <v>44</v>
      </c>
      <c r="C49" s="54">
        <f>SUM(C46:C48)</f>
        <v>0</v>
      </c>
      <c r="D49" s="39"/>
      <c r="E49" s="54">
        <f>SUM(E46:E48)</f>
        <v>0</v>
      </c>
      <c r="F49" s="39"/>
      <c r="G49" s="54">
        <f>SUM(G46:G48)</f>
        <v>0</v>
      </c>
      <c r="H49" s="10"/>
      <c r="I49" s="10"/>
    </row>
    <row r="50" spans="2:14" ht="16.5" customHeight="1" thickTop="1" x14ac:dyDescent="0.25">
      <c r="B50" s="11" t="s">
        <v>45</v>
      </c>
      <c r="C50" s="10"/>
      <c r="D50" s="10"/>
      <c r="E50" s="10"/>
      <c r="F50" s="10"/>
      <c r="G50" s="10"/>
      <c r="H50" s="10"/>
      <c r="I50" s="10"/>
      <c r="K50" s="813" t="s">
        <v>862</v>
      </c>
      <c r="L50" s="814"/>
      <c r="M50" s="814"/>
      <c r="N50" s="817" t="str">
        <f>IF(I36&gt;I37, "Yes", "No")</f>
        <v>No</v>
      </c>
    </row>
    <row r="51" spans="2:14" ht="15.75" customHeight="1" x14ac:dyDescent="0.25">
      <c r="B51" s="587" t="s">
        <v>748</v>
      </c>
      <c r="C51" s="10"/>
      <c r="D51" s="10"/>
      <c r="E51" s="10"/>
      <c r="F51" s="10"/>
      <c r="G51" s="10"/>
      <c r="H51" s="10"/>
      <c r="I51" s="10"/>
      <c r="K51" s="815"/>
      <c r="L51" s="816"/>
      <c r="M51" s="816"/>
      <c r="N51" s="818"/>
    </row>
    <row r="52" spans="2:14" x14ac:dyDescent="0.25">
      <c r="B52" s="10"/>
      <c r="C52" s="10"/>
      <c r="D52" s="10"/>
      <c r="E52" s="10"/>
      <c r="F52" s="10"/>
      <c r="G52" s="10"/>
      <c r="H52" s="10"/>
      <c r="I52" s="10"/>
      <c r="K52" s="754" t="str">
        <f>IF(N50="Yes", "Follow procedure prescirbed by KSA 79-2988 to exceed the Revenue Neutral Rate.", " ")</f>
        <v xml:space="preserve"> </v>
      </c>
      <c r="L52" s="754"/>
      <c r="M52" s="754"/>
      <c r="N52" s="754"/>
    </row>
    <row r="53" spans="2:14" x14ac:dyDescent="0.25">
      <c r="B53" s="820">
        <f>inputHearing!B28</f>
        <v>0</v>
      </c>
      <c r="C53" s="820"/>
      <c r="D53" s="10"/>
      <c r="E53" s="10"/>
      <c r="F53" s="10"/>
      <c r="G53" s="10"/>
      <c r="H53" s="10"/>
      <c r="I53" s="10"/>
      <c r="K53" s="755"/>
      <c r="L53" s="755"/>
      <c r="M53" s="755"/>
      <c r="N53" s="755"/>
    </row>
    <row r="54" spans="2:14" x14ac:dyDescent="0.25">
      <c r="B54" s="819">
        <f>inputHearing!B30</f>
        <v>0</v>
      </c>
      <c r="C54" s="796"/>
      <c r="D54" s="10"/>
      <c r="E54" s="10"/>
      <c r="F54" s="10"/>
      <c r="G54" s="10"/>
      <c r="H54" s="10"/>
      <c r="I54" s="10"/>
      <c r="K54" s="755"/>
      <c r="L54" s="755"/>
      <c r="M54" s="755"/>
      <c r="N54" s="755"/>
    </row>
    <row r="55" spans="2:14" x14ac:dyDescent="0.25">
      <c r="B55" s="10"/>
      <c r="C55" s="10"/>
      <c r="D55" s="10"/>
      <c r="E55" s="10"/>
      <c r="F55" s="10"/>
      <c r="G55" s="10"/>
      <c r="H55" s="10"/>
      <c r="I55" s="10"/>
    </row>
    <row r="56" spans="2:14" x14ac:dyDescent="0.25">
      <c r="B56" s="10"/>
      <c r="C56" s="16" t="s">
        <v>4</v>
      </c>
      <c r="D56" s="503"/>
      <c r="E56" s="10"/>
      <c r="F56" s="10"/>
      <c r="G56" s="10"/>
      <c r="H56" s="10"/>
      <c r="I56" s="10"/>
    </row>
    <row r="57" spans="2:14" x14ac:dyDescent="0.25">
      <c r="B57" s="1"/>
      <c r="C57" s="1"/>
      <c r="D57" s="1"/>
    </row>
    <row r="59" spans="2:14" x14ac:dyDescent="0.25">
      <c r="B59" s="1"/>
      <c r="C59" s="1"/>
      <c r="D59" s="1"/>
      <c r="E59" s="1"/>
      <c r="F59" s="1"/>
      <c r="G59" s="1"/>
      <c r="H59" s="1"/>
    </row>
    <row r="60" spans="2:14" x14ac:dyDescent="0.25">
      <c r="I60" s="1"/>
    </row>
    <row r="81" spans="2:9" x14ac:dyDescent="0.25">
      <c r="B81" s="1"/>
      <c r="C81" s="1"/>
      <c r="D81" s="1"/>
      <c r="E81" s="1"/>
      <c r="F81" s="1"/>
      <c r="G81" s="1"/>
    </row>
    <row r="88" spans="2:9" x14ac:dyDescent="0.25">
      <c r="B88" s="1"/>
      <c r="C88" s="1"/>
      <c r="D88" s="1"/>
      <c r="E88" s="1"/>
      <c r="F88" s="1"/>
      <c r="G88" s="1"/>
      <c r="H88" s="1"/>
    </row>
    <row r="89" spans="2:9" x14ac:dyDescent="0.25">
      <c r="I89" s="1"/>
    </row>
    <row r="94" spans="2:9" x14ac:dyDescent="0.25">
      <c r="B94" s="1"/>
      <c r="C94" s="1"/>
      <c r="D94" s="1"/>
      <c r="E94" s="1"/>
      <c r="F94" s="1"/>
      <c r="G94" s="1"/>
      <c r="H94" s="1"/>
    </row>
    <row r="95" spans="2:9" x14ac:dyDescent="0.25">
      <c r="I95" s="1"/>
    </row>
    <row r="115" spans="2:8" x14ac:dyDescent="0.25">
      <c r="B115" s="1"/>
      <c r="C115" s="1"/>
      <c r="D115" s="1"/>
      <c r="E115" s="1"/>
      <c r="F115" s="1"/>
      <c r="G115" s="1"/>
      <c r="H115" s="1"/>
    </row>
  </sheetData>
  <sheetProtection sheet="1"/>
  <mergeCells count="26">
    <mergeCell ref="K52:N54"/>
    <mergeCell ref="B53:C53"/>
    <mergeCell ref="B54:C54"/>
    <mergeCell ref="I15:I17"/>
    <mergeCell ref="K25:N25"/>
    <mergeCell ref="K29:N29"/>
    <mergeCell ref="K36:N36"/>
    <mergeCell ref="K42:N42"/>
    <mergeCell ref="K50:M51"/>
    <mergeCell ref="N50:N51"/>
    <mergeCell ref="B9:I9"/>
    <mergeCell ref="B10:I10"/>
    <mergeCell ref="B11:I11"/>
    <mergeCell ref="B12:I12"/>
    <mergeCell ref="C15:C17"/>
    <mergeCell ref="D15:D17"/>
    <mergeCell ref="E15:E17"/>
    <mergeCell ref="F15:F17"/>
    <mergeCell ref="G15:G17"/>
    <mergeCell ref="H15:H17"/>
    <mergeCell ref="B8:I8"/>
    <mergeCell ref="B2:I2"/>
    <mergeCell ref="B4:I4"/>
    <mergeCell ref="B5:I5"/>
    <mergeCell ref="B6:I6"/>
    <mergeCell ref="B7:I7"/>
  </mergeCells>
  <conditionalFormatting sqref="N50:N51">
    <cfRule type="containsText" dxfId="1" priority="1" operator="containsText" text="Yes">
      <formula>NOT(ISERROR(SEARCH("Yes",N50)))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FADD4-68FE-4B88-A2B6-F38CF69871EB}">
  <sheetPr>
    <tabColor rgb="FF00B0F0"/>
    <pageSetUpPr fitToPage="1"/>
  </sheetPr>
  <dimension ref="A1:H37"/>
  <sheetViews>
    <sheetView workbookViewId="0">
      <selection activeCell="K17" sqref="K16:K17"/>
    </sheetView>
  </sheetViews>
  <sheetFormatPr defaultRowHeight="15.75" x14ac:dyDescent="0.25"/>
  <cols>
    <col min="1" max="1" width="12.69921875" style="547" customWidth="1"/>
    <col min="2" max="2" width="11.5" style="547" customWidth="1"/>
    <col min="3" max="3" width="7.8984375" style="547" customWidth="1"/>
    <col min="4" max="4" width="6.59765625" style="547" customWidth="1"/>
    <col min="5" max="5" width="7.69921875" style="547" customWidth="1"/>
    <col min="6" max="6" width="11.5" style="547" customWidth="1"/>
    <col min="7" max="7" width="10.69921875" style="547" customWidth="1"/>
    <col min="8" max="8" width="12.69921875" style="547" customWidth="1"/>
    <col min="9" max="252" width="8.796875" style="547"/>
    <col min="253" max="253" width="14.19921875" style="547" customWidth="1"/>
    <col min="254" max="254" width="11.5" style="547" customWidth="1"/>
    <col min="255" max="255" width="7.8984375" style="547" customWidth="1"/>
    <col min="256" max="256" width="12.3984375" style="547" customWidth="1"/>
    <col min="257" max="257" width="7.8984375" style="547" customWidth="1"/>
    <col min="258" max="258" width="11.5" style="547" customWidth="1"/>
    <col min="259" max="259" width="9.69921875" style="547" customWidth="1"/>
    <col min="260" max="260" width="7.8984375" style="547" customWidth="1"/>
    <col min="261" max="261" width="8.796875" style="547"/>
    <col min="262" max="262" width="11.19921875" style="547" customWidth="1"/>
    <col min="263" max="263" width="11.09765625" style="547" customWidth="1"/>
    <col min="264" max="264" width="8.796875" style="547"/>
    <col min="265" max="265" width="10.8984375" style="547" customWidth="1"/>
    <col min="266" max="508" width="8.796875" style="547"/>
    <col min="509" max="509" width="14.19921875" style="547" customWidth="1"/>
    <col min="510" max="510" width="11.5" style="547" customWidth="1"/>
    <col min="511" max="511" width="7.8984375" style="547" customWidth="1"/>
    <col min="512" max="512" width="12.3984375" style="547" customWidth="1"/>
    <col min="513" max="513" width="7.8984375" style="547" customWidth="1"/>
    <col min="514" max="514" width="11.5" style="547" customWidth="1"/>
    <col min="515" max="515" width="9.69921875" style="547" customWidth="1"/>
    <col min="516" max="516" width="7.8984375" style="547" customWidth="1"/>
    <col min="517" max="517" width="8.796875" style="547"/>
    <col min="518" max="518" width="11.19921875" style="547" customWidth="1"/>
    <col min="519" max="519" width="11.09765625" style="547" customWidth="1"/>
    <col min="520" max="520" width="8.796875" style="547"/>
    <col min="521" max="521" width="10.8984375" style="547" customWidth="1"/>
    <col min="522" max="764" width="8.796875" style="547"/>
    <col min="765" max="765" width="14.19921875" style="547" customWidth="1"/>
    <col min="766" max="766" width="11.5" style="547" customWidth="1"/>
    <col min="767" max="767" width="7.8984375" style="547" customWidth="1"/>
    <col min="768" max="768" width="12.3984375" style="547" customWidth="1"/>
    <col min="769" max="769" width="7.8984375" style="547" customWidth="1"/>
    <col min="770" max="770" width="11.5" style="547" customWidth="1"/>
    <col min="771" max="771" width="9.69921875" style="547" customWidth="1"/>
    <col min="772" max="772" width="7.8984375" style="547" customWidth="1"/>
    <col min="773" max="773" width="8.796875" style="547"/>
    <col min="774" max="774" width="11.19921875" style="547" customWidth="1"/>
    <col min="775" max="775" width="11.09765625" style="547" customWidth="1"/>
    <col min="776" max="776" width="8.796875" style="547"/>
    <col min="777" max="777" width="10.8984375" style="547" customWidth="1"/>
    <col min="778" max="1020" width="8.796875" style="547"/>
    <col min="1021" max="1021" width="14.19921875" style="547" customWidth="1"/>
    <col min="1022" max="1022" width="11.5" style="547" customWidth="1"/>
    <col min="1023" max="1023" width="7.8984375" style="547" customWidth="1"/>
    <col min="1024" max="1024" width="12.3984375" style="547" customWidth="1"/>
    <col min="1025" max="1025" width="7.8984375" style="547" customWidth="1"/>
    <col min="1026" max="1026" width="11.5" style="547" customWidth="1"/>
    <col min="1027" max="1027" width="9.69921875" style="547" customWidth="1"/>
    <col min="1028" max="1028" width="7.8984375" style="547" customWidth="1"/>
    <col min="1029" max="1029" width="8.796875" style="547"/>
    <col min="1030" max="1030" width="11.19921875" style="547" customWidth="1"/>
    <col min="1031" max="1031" width="11.09765625" style="547" customWidth="1"/>
    <col min="1032" max="1032" width="8.796875" style="547"/>
    <col min="1033" max="1033" width="10.8984375" style="547" customWidth="1"/>
    <col min="1034" max="1276" width="8.796875" style="547"/>
    <col min="1277" max="1277" width="14.19921875" style="547" customWidth="1"/>
    <col min="1278" max="1278" width="11.5" style="547" customWidth="1"/>
    <col min="1279" max="1279" width="7.8984375" style="547" customWidth="1"/>
    <col min="1280" max="1280" width="12.3984375" style="547" customWidth="1"/>
    <col min="1281" max="1281" width="7.8984375" style="547" customWidth="1"/>
    <col min="1282" max="1282" width="11.5" style="547" customWidth="1"/>
    <col min="1283" max="1283" width="9.69921875" style="547" customWidth="1"/>
    <col min="1284" max="1284" width="7.8984375" style="547" customWidth="1"/>
    <col min="1285" max="1285" width="8.796875" style="547"/>
    <col min="1286" max="1286" width="11.19921875" style="547" customWidth="1"/>
    <col min="1287" max="1287" width="11.09765625" style="547" customWidth="1"/>
    <col min="1288" max="1288" width="8.796875" style="547"/>
    <col min="1289" max="1289" width="10.8984375" style="547" customWidth="1"/>
    <col min="1290" max="1532" width="8.796875" style="547"/>
    <col min="1533" max="1533" width="14.19921875" style="547" customWidth="1"/>
    <col min="1534" max="1534" width="11.5" style="547" customWidth="1"/>
    <col min="1535" max="1535" width="7.8984375" style="547" customWidth="1"/>
    <col min="1536" max="1536" width="12.3984375" style="547" customWidth="1"/>
    <col min="1537" max="1537" width="7.8984375" style="547" customWidth="1"/>
    <col min="1538" max="1538" width="11.5" style="547" customWidth="1"/>
    <col min="1539" max="1539" width="9.69921875" style="547" customWidth="1"/>
    <col min="1540" max="1540" width="7.8984375" style="547" customWidth="1"/>
    <col min="1541" max="1541" width="8.796875" style="547"/>
    <col min="1542" max="1542" width="11.19921875" style="547" customWidth="1"/>
    <col min="1543" max="1543" width="11.09765625" style="547" customWidth="1"/>
    <col min="1544" max="1544" width="8.796875" style="547"/>
    <col min="1545" max="1545" width="10.8984375" style="547" customWidth="1"/>
    <col min="1546" max="1788" width="8.796875" style="547"/>
    <col min="1789" max="1789" width="14.19921875" style="547" customWidth="1"/>
    <col min="1790" max="1790" width="11.5" style="547" customWidth="1"/>
    <col min="1791" max="1791" width="7.8984375" style="547" customWidth="1"/>
    <col min="1792" max="1792" width="12.3984375" style="547" customWidth="1"/>
    <col min="1793" max="1793" width="7.8984375" style="547" customWidth="1"/>
    <col min="1794" max="1794" width="11.5" style="547" customWidth="1"/>
    <col min="1795" max="1795" width="9.69921875" style="547" customWidth="1"/>
    <col min="1796" max="1796" width="7.8984375" style="547" customWidth="1"/>
    <col min="1797" max="1797" width="8.796875" style="547"/>
    <col min="1798" max="1798" width="11.19921875" style="547" customWidth="1"/>
    <col min="1799" max="1799" width="11.09765625" style="547" customWidth="1"/>
    <col min="1800" max="1800" width="8.796875" style="547"/>
    <col min="1801" max="1801" width="10.8984375" style="547" customWidth="1"/>
    <col min="1802" max="2044" width="8.796875" style="547"/>
    <col min="2045" max="2045" width="14.19921875" style="547" customWidth="1"/>
    <col min="2046" max="2046" width="11.5" style="547" customWidth="1"/>
    <col min="2047" max="2047" width="7.8984375" style="547" customWidth="1"/>
    <col min="2048" max="2048" width="12.3984375" style="547" customWidth="1"/>
    <col min="2049" max="2049" width="7.8984375" style="547" customWidth="1"/>
    <col min="2050" max="2050" width="11.5" style="547" customWidth="1"/>
    <col min="2051" max="2051" width="9.69921875" style="547" customWidth="1"/>
    <col min="2052" max="2052" width="7.8984375" style="547" customWidth="1"/>
    <col min="2053" max="2053" width="8.796875" style="547"/>
    <col min="2054" max="2054" width="11.19921875" style="547" customWidth="1"/>
    <col min="2055" max="2055" width="11.09765625" style="547" customWidth="1"/>
    <col min="2056" max="2056" width="8.796875" style="547"/>
    <col min="2057" max="2057" width="10.8984375" style="547" customWidth="1"/>
    <col min="2058" max="2300" width="8.796875" style="547"/>
    <col min="2301" max="2301" width="14.19921875" style="547" customWidth="1"/>
    <col min="2302" max="2302" width="11.5" style="547" customWidth="1"/>
    <col min="2303" max="2303" width="7.8984375" style="547" customWidth="1"/>
    <col min="2304" max="2304" width="12.3984375" style="547" customWidth="1"/>
    <col min="2305" max="2305" width="7.8984375" style="547" customWidth="1"/>
    <col min="2306" max="2306" width="11.5" style="547" customWidth="1"/>
    <col min="2307" max="2307" width="9.69921875" style="547" customWidth="1"/>
    <col min="2308" max="2308" width="7.8984375" style="547" customWidth="1"/>
    <col min="2309" max="2309" width="8.796875" style="547"/>
    <col min="2310" max="2310" width="11.19921875" style="547" customWidth="1"/>
    <col min="2311" max="2311" width="11.09765625" style="547" customWidth="1"/>
    <col min="2312" max="2312" width="8.796875" style="547"/>
    <col min="2313" max="2313" width="10.8984375" style="547" customWidth="1"/>
    <col min="2314" max="2556" width="8.796875" style="547"/>
    <col min="2557" max="2557" width="14.19921875" style="547" customWidth="1"/>
    <col min="2558" max="2558" width="11.5" style="547" customWidth="1"/>
    <col min="2559" max="2559" width="7.8984375" style="547" customWidth="1"/>
    <col min="2560" max="2560" width="12.3984375" style="547" customWidth="1"/>
    <col min="2561" max="2561" width="7.8984375" style="547" customWidth="1"/>
    <col min="2562" max="2562" width="11.5" style="547" customWidth="1"/>
    <col min="2563" max="2563" width="9.69921875" style="547" customWidth="1"/>
    <col min="2564" max="2564" width="7.8984375" style="547" customWidth="1"/>
    <col min="2565" max="2565" width="8.796875" style="547"/>
    <col min="2566" max="2566" width="11.19921875" style="547" customWidth="1"/>
    <col min="2567" max="2567" width="11.09765625" style="547" customWidth="1"/>
    <col min="2568" max="2568" width="8.796875" style="547"/>
    <col min="2569" max="2569" width="10.8984375" style="547" customWidth="1"/>
    <col min="2570" max="2812" width="8.796875" style="547"/>
    <col min="2813" max="2813" width="14.19921875" style="547" customWidth="1"/>
    <col min="2814" max="2814" width="11.5" style="547" customWidth="1"/>
    <col min="2815" max="2815" width="7.8984375" style="547" customWidth="1"/>
    <col min="2816" max="2816" width="12.3984375" style="547" customWidth="1"/>
    <col min="2817" max="2817" width="7.8984375" style="547" customWidth="1"/>
    <col min="2818" max="2818" width="11.5" style="547" customWidth="1"/>
    <col min="2819" max="2819" width="9.69921875" style="547" customWidth="1"/>
    <col min="2820" max="2820" width="7.8984375" style="547" customWidth="1"/>
    <col min="2821" max="2821" width="8.796875" style="547"/>
    <col min="2822" max="2822" width="11.19921875" style="547" customWidth="1"/>
    <col min="2823" max="2823" width="11.09765625" style="547" customWidth="1"/>
    <col min="2824" max="2824" width="8.796875" style="547"/>
    <col min="2825" max="2825" width="10.8984375" style="547" customWidth="1"/>
    <col min="2826" max="3068" width="8.796875" style="547"/>
    <col min="3069" max="3069" width="14.19921875" style="547" customWidth="1"/>
    <col min="3070" max="3070" width="11.5" style="547" customWidth="1"/>
    <col min="3071" max="3071" width="7.8984375" style="547" customWidth="1"/>
    <col min="3072" max="3072" width="12.3984375" style="547" customWidth="1"/>
    <col min="3073" max="3073" width="7.8984375" style="547" customWidth="1"/>
    <col min="3074" max="3074" width="11.5" style="547" customWidth="1"/>
    <col min="3075" max="3075" width="9.69921875" style="547" customWidth="1"/>
    <col min="3076" max="3076" width="7.8984375" style="547" customWidth="1"/>
    <col min="3077" max="3077" width="8.796875" style="547"/>
    <col min="3078" max="3078" width="11.19921875" style="547" customWidth="1"/>
    <col min="3079" max="3079" width="11.09765625" style="547" customWidth="1"/>
    <col min="3080" max="3080" width="8.796875" style="547"/>
    <col min="3081" max="3081" width="10.8984375" style="547" customWidth="1"/>
    <col min="3082" max="3324" width="8.796875" style="547"/>
    <col min="3325" max="3325" width="14.19921875" style="547" customWidth="1"/>
    <col min="3326" max="3326" width="11.5" style="547" customWidth="1"/>
    <col min="3327" max="3327" width="7.8984375" style="547" customWidth="1"/>
    <col min="3328" max="3328" width="12.3984375" style="547" customWidth="1"/>
    <col min="3329" max="3329" width="7.8984375" style="547" customWidth="1"/>
    <col min="3330" max="3330" width="11.5" style="547" customWidth="1"/>
    <col min="3331" max="3331" width="9.69921875" style="547" customWidth="1"/>
    <col min="3332" max="3332" width="7.8984375" style="547" customWidth="1"/>
    <col min="3333" max="3333" width="8.796875" style="547"/>
    <col min="3334" max="3334" width="11.19921875" style="547" customWidth="1"/>
    <col min="3335" max="3335" width="11.09765625" style="547" customWidth="1"/>
    <col min="3336" max="3336" width="8.796875" style="547"/>
    <col min="3337" max="3337" width="10.8984375" style="547" customWidth="1"/>
    <col min="3338" max="3580" width="8.796875" style="547"/>
    <col min="3581" max="3581" width="14.19921875" style="547" customWidth="1"/>
    <col min="3582" max="3582" width="11.5" style="547" customWidth="1"/>
    <col min="3583" max="3583" width="7.8984375" style="547" customWidth="1"/>
    <col min="3584" max="3584" width="12.3984375" style="547" customWidth="1"/>
    <col min="3585" max="3585" width="7.8984375" style="547" customWidth="1"/>
    <col min="3586" max="3586" width="11.5" style="547" customWidth="1"/>
    <col min="3587" max="3587" width="9.69921875" style="547" customWidth="1"/>
    <col min="3588" max="3588" width="7.8984375" style="547" customWidth="1"/>
    <col min="3589" max="3589" width="8.796875" style="547"/>
    <col min="3590" max="3590" width="11.19921875" style="547" customWidth="1"/>
    <col min="3591" max="3591" width="11.09765625" style="547" customWidth="1"/>
    <col min="3592" max="3592" width="8.796875" style="547"/>
    <col min="3593" max="3593" width="10.8984375" style="547" customWidth="1"/>
    <col min="3594" max="3836" width="8.796875" style="547"/>
    <col min="3837" max="3837" width="14.19921875" style="547" customWidth="1"/>
    <col min="3838" max="3838" width="11.5" style="547" customWidth="1"/>
    <col min="3839" max="3839" width="7.8984375" style="547" customWidth="1"/>
    <col min="3840" max="3840" width="12.3984375" style="547" customWidth="1"/>
    <col min="3841" max="3841" width="7.8984375" style="547" customWidth="1"/>
    <col min="3842" max="3842" width="11.5" style="547" customWidth="1"/>
    <col min="3843" max="3843" width="9.69921875" style="547" customWidth="1"/>
    <col min="3844" max="3844" width="7.8984375" style="547" customWidth="1"/>
    <col min="3845" max="3845" width="8.796875" style="547"/>
    <col min="3846" max="3846" width="11.19921875" style="547" customWidth="1"/>
    <col min="3847" max="3847" width="11.09765625" style="547" customWidth="1"/>
    <col min="3848" max="3848" width="8.796875" style="547"/>
    <col min="3849" max="3849" width="10.8984375" style="547" customWidth="1"/>
    <col min="3850" max="4092" width="8.796875" style="547"/>
    <col min="4093" max="4093" width="14.19921875" style="547" customWidth="1"/>
    <col min="4094" max="4094" width="11.5" style="547" customWidth="1"/>
    <col min="4095" max="4095" width="7.8984375" style="547" customWidth="1"/>
    <col min="4096" max="4096" width="12.3984375" style="547" customWidth="1"/>
    <col min="4097" max="4097" width="7.8984375" style="547" customWidth="1"/>
    <col min="4098" max="4098" width="11.5" style="547" customWidth="1"/>
    <col min="4099" max="4099" width="9.69921875" style="547" customWidth="1"/>
    <col min="4100" max="4100" width="7.8984375" style="547" customWidth="1"/>
    <col min="4101" max="4101" width="8.796875" style="547"/>
    <col min="4102" max="4102" width="11.19921875" style="547" customWidth="1"/>
    <col min="4103" max="4103" width="11.09765625" style="547" customWidth="1"/>
    <col min="4104" max="4104" width="8.796875" style="547"/>
    <col min="4105" max="4105" width="10.8984375" style="547" customWidth="1"/>
    <col min="4106" max="4348" width="8.796875" style="547"/>
    <col min="4349" max="4349" width="14.19921875" style="547" customWidth="1"/>
    <col min="4350" max="4350" width="11.5" style="547" customWidth="1"/>
    <col min="4351" max="4351" width="7.8984375" style="547" customWidth="1"/>
    <col min="4352" max="4352" width="12.3984375" style="547" customWidth="1"/>
    <col min="4353" max="4353" width="7.8984375" style="547" customWidth="1"/>
    <col min="4354" max="4354" width="11.5" style="547" customWidth="1"/>
    <col min="4355" max="4355" width="9.69921875" style="547" customWidth="1"/>
    <col min="4356" max="4356" width="7.8984375" style="547" customWidth="1"/>
    <col min="4357" max="4357" width="8.796875" style="547"/>
    <col min="4358" max="4358" width="11.19921875" style="547" customWidth="1"/>
    <col min="4359" max="4359" width="11.09765625" style="547" customWidth="1"/>
    <col min="4360" max="4360" width="8.796875" style="547"/>
    <col min="4361" max="4361" width="10.8984375" style="547" customWidth="1"/>
    <col min="4362" max="4604" width="8.796875" style="547"/>
    <col min="4605" max="4605" width="14.19921875" style="547" customWidth="1"/>
    <col min="4606" max="4606" width="11.5" style="547" customWidth="1"/>
    <col min="4607" max="4607" width="7.8984375" style="547" customWidth="1"/>
    <col min="4608" max="4608" width="12.3984375" style="547" customWidth="1"/>
    <col min="4609" max="4609" width="7.8984375" style="547" customWidth="1"/>
    <col min="4610" max="4610" width="11.5" style="547" customWidth="1"/>
    <col min="4611" max="4611" width="9.69921875" style="547" customWidth="1"/>
    <col min="4612" max="4612" width="7.8984375" style="547" customWidth="1"/>
    <col min="4613" max="4613" width="8.796875" style="547"/>
    <col min="4614" max="4614" width="11.19921875" style="547" customWidth="1"/>
    <col min="4615" max="4615" width="11.09765625" style="547" customWidth="1"/>
    <col min="4616" max="4616" width="8.796875" style="547"/>
    <col min="4617" max="4617" width="10.8984375" style="547" customWidth="1"/>
    <col min="4618" max="4860" width="8.796875" style="547"/>
    <col min="4861" max="4861" width="14.19921875" style="547" customWidth="1"/>
    <col min="4862" max="4862" width="11.5" style="547" customWidth="1"/>
    <col min="4863" max="4863" width="7.8984375" style="547" customWidth="1"/>
    <col min="4864" max="4864" width="12.3984375" style="547" customWidth="1"/>
    <col min="4865" max="4865" width="7.8984375" style="547" customWidth="1"/>
    <col min="4866" max="4866" width="11.5" style="547" customWidth="1"/>
    <col min="4867" max="4867" width="9.69921875" style="547" customWidth="1"/>
    <col min="4868" max="4868" width="7.8984375" style="547" customWidth="1"/>
    <col min="4869" max="4869" width="8.796875" style="547"/>
    <col min="4870" max="4870" width="11.19921875" style="547" customWidth="1"/>
    <col min="4871" max="4871" width="11.09765625" style="547" customWidth="1"/>
    <col min="4872" max="4872" width="8.796875" style="547"/>
    <col min="4873" max="4873" width="10.8984375" style="547" customWidth="1"/>
    <col min="4874" max="5116" width="8.796875" style="547"/>
    <col min="5117" max="5117" width="14.19921875" style="547" customWidth="1"/>
    <col min="5118" max="5118" width="11.5" style="547" customWidth="1"/>
    <col min="5119" max="5119" width="7.8984375" style="547" customWidth="1"/>
    <col min="5120" max="5120" width="12.3984375" style="547" customWidth="1"/>
    <col min="5121" max="5121" width="7.8984375" style="547" customWidth="1"/>
    <col min="5122" max="5122" width="11.5" style="547" customWidth="1"/>
    <col min="5123" max="5123" width="9.69921875" style="547" customWidth="1"/>
    <col min="5124" max="5124" width="7.8984375" style="547" customWidth="1"/>
    <col min="5125" max="5125" width="8.796875" style="547"/>
    <col min="5126" max="5126" width="11.19921875" style="547" customWidth="1"/>
    <col min="5127" max="5127" width="11.09765625" style="547" customWidth="1"/>
    <col min="5128" max="5128" width="8.796875" style="547"/>
    <col min="5129" max="5129" width="10.8984375" style="547" customWidth="1"/>
    <col min="5130" max="5372" width="8.796875" style="547"/>
    <col min="5373" max="5373" width="14.19921875" style="547" customWidth="1"/>
    <col min="5374" max="5374" width="11.5" style="547" customWidth="1"/>
    <col min="5375" max="5375" width="7.8984375" style="547" customWidth="1"/>
    <col min="5376" max="5376" width="12.3984375" style="547" customWidth="1"/>
    <col min="5377" max="5377" width="7.8984375" style="547" customWidth="1"/>
    <col min="5378" max="5378" width="11.5" style="547" customWidth="1"/>
    <col min="5379" max="5379" width="9.69921875" style="547" customWidth="1"/>
    <col min="5380" max="5380" width="7.8984375" style="547" customWidth="1"/>
    <col min="5381" max="5381" width="8.796875" style="547"/>
    <col min="5382" max="5382" width="11.19921875" style="547" customWidth="1"/>
    <col min="5383" max="5383" width="11.09765625" style="547" customWidth="1"/>
    <col min="5384" max="5384" width="8.796875" style="547"/>
    <col min="5385" max="5385" width="10.8984375" style="547" customWidth="1"/>
    <col min="5386" max="5628" width="8.796875" style="547"/>
    <col min="5629" max="5629" width="14.19921875" style="547" customWidth="1"/>
    <col min="5630" max="5630" width="11.5" style="547" customWidth="1"/>
    <col min="5631" max="5631" width="7.8984375" style="547" customWidth="1"/>
    <col min="5632" max="5632" width="12.3984375" style="547" customWidth="1"/>
    <col min="5633" max="5633" width="7.8984375" style="547" customWidth="1"/>
    <col min="5634" max="5634" width="11.5" style="547" customWidth="1"/>
    <col min="5635" max="5635" width="9.69921875" style="547" customWidth="1"/>
    <col min="5636" max="5636" width="7.8984375" style="547" customWidth="1"/>
    <col min="5637" max="5637" width="8.796875" style="547"/>
    <col min="5638" max="5638" width="11.19921875" style="547" customWidth="1"/>
    <col min="5639" max="5639" width="11.09765625" style="547" customWidth="1"/>
    <col min="5640" max="5640" width="8.796875" style="547"/>
    <col min="5641" max="5641" width="10.8984375" style="547" customWidth="1"/>
    <col min="5642" max="5884" width="8.796875" style="547"/>
    <col min="5885" max="5885" width="14.19921875" style="547" customWidth="1"/>
    <col min="5886" max="5886" width="11.5" style="547" customWidth="1"/>
    <col min="5887" max="5887" width="7.8984375" style="547" customWidth="1"/>
    <col min="5888" max="5888" width="12.3984375" style="547" customWidth="1"/>
    <col min="5889" max="5889" width="7.8984375" style="547" customWidth="1"/>
    <col min="5890" max="5890" width="11.5" style="547" customWidth="1"/>
    <col min="5891" max="5891" width="9.69921875" style="547" customWidth="1"/>
    <col min="5892" max="5892" width="7.8984375" style="547" customWidth="1"/>
    <col min="5893" max="5893" width="8.796875" style="547"/>
    <col min="5894" max="5894" width="11.19921875" style="547" customWidth="1"/>
    <col min="5895" max="5895" width="11.09765625" style="547" customWidth="1"/>
    <col min="5896" max="5896" width="8.796875" style="547"/>
    <col min="5897" max="5897" width="10.8984375" style="547" customWidth="1"/>
    <col min="5898" max="6140" width="8.796875" style="547"/>
    <col min="6141" max="6141" width="14.19921875" style="547" customWidth="1"/>
    <col min="6142" max="6142" width="11.5" style="547" customWidth="1"/>
    <col min="6143" max="6143" width="7.8984375" style="547" customWidth="1"/>
    <col min="6144" max="6144" width="12.3984375" style="547" customWidth="1"/>
    <col min="6145" max="6145" width="7.8984375" style="547" customWidth="1"/>
    <col min="6146" max="6146" width="11.5" style="547" customWidth="1"/>
    <col min="6147" max="6147" width="9.69921875" style="547" customWidth="1"/>
    <col min="6148" max="6148" width="7.8984375" style="547" customWidth="1"/>
    <col min="6149" max="6149" width="8.796875" style="547"/>
    <col min="6150" max="6150" width="11.19921875" style="547" customWidth="1"/>
    <col min="6151" max="6151" width="11.09765625" style="547" customWidth="1"/>
    <col min="6152" max="6152" width="8.796875" style="547"/>
    <col min="6153" max="6153" width="10.8984375" style="547" customWidth="1"/>
    <col min="6154" max="6396" width="8.796875" style="547"/>
    <col min="6397" max="6397" width="14.19921875" style="547" customWidth="1"/>
    <col min="6398" max="6398" width="11.5" style="547" customWidth="1"/>
    <col min="6399" max="6399" width="7.8984375" style="547" customWidth="1"/>
    <col min="6400" max="6400" width="12.3984375" style="547" customWidth="1"/>
    <col min="6401" max="6401" width="7.8984375" style="547" customWidth="1"/>
    <col min="6402" max="6402" width="11.5" style="547" customWidth="1"/>
    <col min="6403" max="6403" width="9.69921875" style="547" customWidth="1"/>
    <col min="6404" max="6404" width="7.8984375" style="547" customWidth="1"/>
    <col min="6405" max="6405" width="8.796875" style="547"/>
    <col min="6406" max="6406" width="11.19921875" style="547" customWidth="1"/>
    <col min="6407" max="6407" width="11.09765625" style="547" customWidth="1"/>
    <col min="6408" max="6408" width="8.796875" style="547"/>
    <col min="6409" max="6409" width="10.8984375" style="547" customWidth="1"/>
    <col min="6410" max="6652" width="8.796875" style="547"/>
    <col min="6653" max="6653" width="14.19921875" style="547" customWidth="1"/>
    <col min="6654" max="6654" width="11.5" style="547" customWidth="1"/>
    <col min="6655" max="6655" width="7.8984375" style="547" customWidth="1"/>
    <col min="6656" max="6656" width="12.3984375" style="547" customWidth="1"/>
    <col min="6657" max="6657" width="7.8984375" style="547" customWidth="1"/>
    <col min="6658" max="6658" width="11.5" style="547" customWidth="1"/>
    <col min="6659" max="6659" width="9.69921875" style="547" customWidth="1"/>
    <col min="6660" max="6660" width="7.8984375" style="547" customWidth="1"/>
    <col min="6661" max="6661" width="8.796875" style="547"/>
    <col min="6662" max="6662" width="11.19921875" style="547" customWidth="1"/>
    <col min="6663" max="6663" width="11.09765625" style="547" customWidth="1"/>
    <col min="6664" max="6664" width="8.796875" style="547"/>
    <col min="6665" max="6665" width="10.8984375" style="547" customWidth="1"/>
    <col min="6666" max="6908" width="8.796875" style="547"/>
    <col min="6909" max="6909" width="14.19921875" style="547" customWidth="1"/>
    <col min="6910" max="6910" width="11.5" style="547" customWidth="1"/>
    <col min="6911" max="6911" width="7.8984375" style="547" customWidth="1"/>
    <col min="6912" max="6912" width="12.3984375" style="547" customWidth="1"/>
    <col min="6913" max="6913" width="7.8984375" style="547" customWidth="1"/>
    <col min="6914" max="6914" width="11.5" style="547" customWidth="1"/>
    <col min="6915" max="6915" width="9.69921875" style="547" customWidth="1"/>
    <col min="6916" max="6916" width="7.8984375" style="547" customWidth="1"/>
    <col min="6917" max="6917" width="8.796875" style="547"/>
    <col min="6918" max="6918" width="11.19921875" style="547" customWidth="1"/>
    <col min="6919" max="6919" width="11.09765625" style="547" customWidth="1"/>
    <col min="6920" max="6920" width="8.796875" style="547"/>
    <col min="6921" max="6921" width="10.8984375" style="547" customWidth="1"/>
    <col min="6922" max="7164" width="8.796875" style="547"/>
    <col min="7165" max="7165" width="14.19921875" style="547" customWidth="1"/>
    <col min="7166" max="7166" width="11.5" style="547" customWidth="1"/>
    <col min="7167" max="7167" width="7.8984375" style="547" customWidth="1"/>
    <col min="7168" max="7168" width="12.3984375" style="547" customWidth="1"/>
    <col min="7169" max="7169" width="7.8984375" style="547" customWidth="1"/>
    <col min="7170" max="7170" width="11.5" style="547" customWidth="1"/>
    <col min="7171" max="7171" width="9.69921875" style="547" customWidth="1"/>
    <col min="7172" max="7172" width="7.8984375" style="547" customWidth="1"/>
    <col min="7173" max="7173" width="8.796875" style="547"/>
    <col min="7174" max="7174" width="11.19921875" style="547" customWidth="1"/>
    <col min="7175" max="7175" width="11.09765625" style="547" customWidth="1"/>
    <col min="7176" max="7176" width="8.796875" style="547"/>
    <col min="7177" max="7177" width="10.8984375" style="547" customWidth="1"/>
    <col min="7178" max="7420" width="8.796875" style="547"/>
    <col min="7421" max="7421" width="14.19921875" style="547" customWidth="1"/>
    <col min="7422" max="7422" width="11.5" style="547" customWidth="1"/>
    <col min="7423" max="7423" width="7.8984375" style="547" customWidth="1"/>
    <col min="7424" max="7424" width="12.3984375" style="547" customWidth="1"/>
    <col min="7425" max="7425" width="7.8984375" style="547" customWidth="1"/>
    <col min="7426" max="7426" width="11.5" style="547" customWidth="1"/>
    <col min="7427" max="7427" width="9.69921875" style="547" customWidth="1"/>
    <col min="7428" max="7428" width="7.8984375" style="547" customWidth="1"/>
    <col min="7429" max="7429" width="8.796875" style="547"/>
    <col min="7430" max="7430" width="11.19921875" style="547" customWidth="1"/>
    <col min="7431" max="7431" width="11.09765625" style="547" customWidth="1"/>
    <col min="7432" max="7432" width="8.796875" style="547"/>
    <col min="7433" max="7433" width="10.8984375" style="547" customWidth="1"/>
    <col min="7434" max="7676" width="8.796875" style="547"/>
    <col min="7677" max="7677" width="14.19921875" style="547" customWidth="1"/>
    <col min="7678" max="7678" width="11.5" style="547" customWidth="1"/>
    <col min="7679" max="7679" width="7.8984375" style="547" customWidth="1"/>
    <col min="7680" max="7680" width="12.3984375" style="547" customWidth="1"/>
    <col min="7681" max="7681" width="7.8984375" style="547" customWidth="1"/>
    <col min="7682" max="7682" width="11.5" style="547" customWidth="1"/>
    <col min="7683" max="7683" width="9.69921875" style="547" customWidth="1"/>
    <col min="7684" max="7684" width="7.8984375" style="547" customWidth="1"/>
    <col min="7685" max="7685" width="8.796875" style="547"/>
    <col min="7686" max="7686" width="11.19921875" style="547" customWidth="1"/>
    <col min="7687" max="7687" width="11.09765625" style="547" customWidth="1"/>
    <col min="7688" max="7688" width="8.796875" style="547"/>
    <col min="7689" max="7689" width="10.8984375" style="547" customWidth="1"/>
    <col min="7690" max="7932" width="8.796875" style="547"/>
    <col min="7933" max="7933" width="14.19921875" style="547" customWidth="1"/>
    <col min="7934" max="7934" width="11.5" style="547" customWidth="1"/>
    <col min="7935" max="7935" width="7.8984375" style="547" customWidth="1"/>
    <col min="7936" max="7936" width="12.3984375" style="547" customWidth="1"/>
    <col min="7937" max="7937" width="7.8984375" style="547" customWidth="1"/>
    <col min="7938" max="7938" width="11.5" style="547" customWidth="1"/>
    <col min="7939" max="7939" width="9.69921875" style="547" customWidth="1"/>
    <col min="7940" max="7940" width="7.8984375" style="547" customWidth="1"/>
    <col min="7941" max="7941" width="8.796875" style="547"/>
    <col min="7942" max="7942" width="11.19921875" style="547" customWidth="1"/>
    <col min="7943" max="7943" width="11.09765625" style="547" customWidth="1"/>
    <col min="7944" max="7944" width="8.796875" style="547"/>
    <col min="7945" max="7945" width="10.8984375" style="547" customWidth="1"/>
    <col min="7946" max="8188" width="8.796875" style="547"/>
    <col min="8189" max="8189" width="14.19921875" style="547" customWidth="1"/>
    <col min="8190" max="8190" width="11.5" style="547" customWidth="1"/>
    <col min="8191" max="8191" width="7.8984375" style="547" customWidth="1"/>
    <col min="8192" max="8192" width="12.3984375" style="547" customWidth="1"/>
    <col min="8193" max="8193" width="7.8984375" style="547" customWidth="1"/>
    <col min="8194" max="8194" width="11.5" style="547" customWidth="1"/>
    <col min="8195" max="8195" width="9.69921875" style="547" customWidth="1"/>
    <col min="8196" max="8196" width="7.8984375" style="547" customWidth="1"/>
    <col min="8197" max="8197" width="8.796875" style="547"/>
    <col min="8198" max="8198" width="11.19921875" style="547" customWidth="1"/>
    <col min="8199" max="8199" width="11.09765625" style="547" customWidth="1"/>
    <col min="8200" max="8200" width="8.796875" style="547"/>
    <col min="8201" max="8201" width="10.8984375" style="547" customWidth="1"/>
    <col min="8202" max="8444" width="8.796875" style="547"/>
    <col min="8445" max="8445" width="14.19921875" style="547" customWidth="1"/>
    <col min="8446" max="8446" width="11.5" style="547" customWidth="1"/>
    <col min="8447" max="8447" width="7.8984375" style="547" customWidth="1"/>
    <col min="8448" max="8448" width="12.3984375" style="547" customWidth="1"/>
    <col min="8449" max="8449" width="7.8984375" style="547" customWidth="1"/>
    <col min="8450" max="8450" width="11.5" style="547" customWidth="1"/>
    <col min="8451" max="8451" width="9.69921875" style="547" customWidth="1"/>
    <col min="8452" max="8452" width="7.8984375" style="547" customWidth="1"/>
    <col min="8453" max="8453" width="8.796875" style="547"/>
    <col min="8454" max="8454" width="11.19921875" style="547" customWidth="1"/>
    <col min="8455" max="8455" width="11.09765625" style="547" customWidth="1"/>
    <col min="8456" max="8456" width="8.796875" style="547"/>
    <col min="8457" max="8457" width="10.8984375" style="547" customWidth="1"/>
    <col min="8458" max="8700" width="8.796875" style="547"/>
    <col min="8701" max="8701" width="14.19921875" style="547" customWidth="1"/>
    <col min="8702" max="8702" width="11.5" style="547" customWidth="1"/>
    <col min="8703" max="8703" width="7.8984375" style="547" customWidth="1"/>
    <col min="8704" max="8704" width="12.3984375" style="547" customWidth="1"/>
    <col min="8705" max="8705" width="7.8984375" style="547" customWidth="1"/>
    <col min="8706" max="8706" width="11.5" style="547" customWidth="1"/>
    <col min="8707" max="8707" width="9.69921875" style="547" customWidth="1"/>
    <col min="8708" max="8708" width="7.8984375" style="547" customWidth="1"/>
    <col min="8709" max="8709" width="8.796875" style="547"/>
    <col min="8710" max="8710" width="11.19921875" style="547" customWidth="1"/>
    <col min="8711" max="8711" width="11.09765625" style="547" customWidth="1"/>
    <col min="8712" max="8712" width="8.796875" style="547"/>
    <col min="8713" max="8713" width="10.8984375" style="547" customWidth="1"/>
    <col min="8714" max="8956" width="8.796875" style="547"/>
    <col min="8957" max="8957" width="14.19921875" style="547" customWidth="1"/>
    <col min="8958" max="8958" width="11.5" style="547" customWidth="1"/>
    <col min="8959" max="8959" width="7.8984375" style="547" customWidth="1"/>
    <col min="8960" max="8960" width="12.3984375" style="547" customWidth="1"/>
    <col min="8961" max="8961" width="7.8984375" style="547" customWidth="1"/>
    <col min="8962" max="8962" width="11.5" style="547" customWidth="1"/>
    <col min="8963" max="8963" width="9.69921875" style="547" customWidth="1"/>
    <col min="8964" max="8964" width="7.8984375" style="547" customWidth="1"/>
    <col min="8965" max="8965" width="8.796875" style="547"/>
    <col min="8966" max="8966" width="11.19921875" style="547" customWidth="1"/>
    <col min="8967" max="8967" width="11.09765625" style="547" customWidth="1"/>
    <col min="8968" max="8968" width="8.796875" style="547"/>
    <col min="8969" max="8969" width="10.8984375" style="547" customWidth="1"/>
    <col min="8970" max="9212" width="8.796875" style="547"/>
    <col min="9213" max="9213" width="14.19921875" style="547" customWidth="1"/>
    <col min="9214" max="9214" width="11.5" style="547" customWidth="1"/>
    <col min="9215" max="9215" width="7.8984375" style="547" customWidth="1"/>
    <col min="9216" max="9216" width="12.3984375" style="547" customWidth="1"/>
    <col min="9217" max="9217" width="7.8984375" style="547" customWidth="1"/>
    <col min="9218" max="9218" width="11.5" style="547" customWidth="1"/>
    <col min="9219" max="9219" width="9.69921875" style="547" customWidth="1"/>
    <col min="9220" max="9220" width="7.8984375" style="547" customWidth="1"/>
    <col min="9221" max="9221" width="8.796875" style="547"/>
    <col min="9222" max="9222" width="11.19921875" style="547" customWidth="1"/>
    <col min="9223" max="9223" width="11.09765625" style="547" customWidth="1"/>
    <col min="9224" max="9224" width="8.796875" style="547"/>
    <col min="9225" max="9225" width="10.8984375" style="547" customWidth="1"/>
    <col min="9226" max="9468" width="8.796875" style="547"/>
    <col min="9469" max="9469" width="14.19921875" style="547" customWidth="1"/>
    <col min="9470" max="9470" width="11.5" style="547" customWidth="1"/>
    <col min="9471" max="9471" width="7.8984375" style="547" customWidth="1"/>
    <col min="9472" max="9472" width="12.3984375" style="547" customWidth="1"/>
    <col min="9473" max="9473" width="7.8984375" style="547" customWidth="1"/>
    <col min="9474" max="9474" width="11.5" style="547" customWidth="1"/>
    <col min="9475" max="9475" width="9.69921875" style="547" customWidth="1"/>
    <col min="9476" max="9476" width="7.8984375" style="547" customWidth="1"/>
    <col min="9477" max="9477" width="8.796875" style="547"/>
    <col min="9478" max="9478" width="11.19921875" style="547" customWidth="1"/>
    <col min="9479" max="9479" width="11.09765625" style="547" customWidth="1"/>
    <col min="9480" max="9480" width="8.796875" style="547"/>
    <col min="9481" max="9481" width="10.8984375" style="547" customWidth="1"/>
    <col min="9482" max="9724" width="8.796875" style="547"/>
    <col min="9725" max="9725" width="14.19921875" style="547" customWidth="1"/>
    <col min="9726" max="9726" width="11.5" style="547" customWidth="1"/>
    <col min="9727" max="9727" width="7.8984375" style="547" customWidth="1"/>
    <col min="9728" max="9728" width="12.3984375" style="547" customWidth="1"/>
    <col min="9729" max="9729" width="7.8984375" style="547" customWidth="1"/>
    <col min="9730" max="9730" width="11.5" style="547" customWidth="1"/>
    <col min="9731" max="9731" width="9.69921875" style="547" customWidth="1"/>
    <col min="9732" max="9732" width="7.8984375" style="547" customWidth="1"/>
    <col min="9733" max="9733" width="8.796875" style="547"/>
    <col min="9734" max="9734" width="11.19921875" style="547" customWidth="1"/>
    <col min="9735" max="9735" width="11.09765625" style="547" customWidth="1"/>
    <col min="9736" max="9736" width="8.796875" style="547"/>
    <col min="9737" max="9737" width="10.8984375" style="547" customWidth="1"/>
    <col min="9738" max="9980" width="8.796875" style="547"/>
    <col min="9981" max="9981" width="14.19921875" style="547" customWidth="1"/>
    <col min="9982" max="9982" width="11.5" style="547" customWidth="1"/>
    <col min="9983" max="9983" width="7.8984375" style="547" customWidth="1"/>
    <col min="9984" max="9984" width="12.3984375" style="547" customWidth="1"/>
    <col min="9985" max="9985" width="7.8984375" style="547" customWidth="1"/>
    <col min="9986" max="9986" width="11.5" style="547" customWidth="1"/>
    <col min="9987" max="9987" width="9.69921875" style="547" customWidth="1"/>
    <col min="9988" max="9988" width="7.8984375" style="547" customWidth="1"/>
    <col min="9989" max="9989" width="8.796875" style="547"/>
    <col min="9990" max="9990" width="11.19921875" style="547" customWidth="1"/>
    <col min="9991" max="9991" width="11.09765625" style="547" customWidth="1"/>
    <col min="9992" max="9992" width="8.796875" style="547"/>
    <col min="9993" max="9993" width="10.8984375" style="547" customWidth="1"/>
    <col min="9994" max="10236" width="8.796875" style="547"/>
    <col min="10237" max="10237" width="14.19921875" style="547" customWidth="1"/>
    <col min="10238" max="10238" width="11.5" style="547" customWidth="1"/>
    <col min="10239" max="10239" width="7.8984375" style="547" customWidth="1"/>
    <col min="10240" max="10240" width="12.3984375" style="547" customWidth="1"/>
    <col min="10241" max="10241" width="7.8984375" style="547" customWidth="1"/>
    <col min="10242" max="10242" width="11.5" style="547" customWidth="1"/>
    <col min="10243" max="10243" width="9.69921875" style="547" customWidth="1"/>
    <col min="10244" max="10244" width="7.8984375" style="547" customWidth="1"/>
    <col min="10245" max="10245" width="8.796875" style="547"/>
    <col min="10246" max="10246" width="11.19921875" style="547" customWidth="1"/>
    <col min="10247" max="10247" width="11.09765625" style="547" customWidth="1"/>
    <col min="10248" max="10248" width="8.796875" style="547"/>
    <col min="10249" max="10249" width="10.8984375" style="547" customWidth="1"/>
    <col min="10250" max="10492" width="8.796875" style="547"/>
    <col min="10493" max="10493" width="14.19921875" style="547" customWidth="1"/>
    <col min="10494" max="10494" width="11.5" style="547" customWidth="1"/>
    <col min="10495" max="10495" width="7.8984375" style="547" customWidth="1"/>
    <col min="10496" max="10496" width="12.3984375" style="547" customWidth="1"/>
    <col min="10497" max="10497" width="7.8984375" style="547" customWidth="1"/>
    <col min="10498" max="10498" width="11.5" style="547" customWidth="1"/>
    <col min="10499" max="10499" width="9.69921875" style="547" customWidth="1"/>
    <col min="10500" max="10500" width="7.8984375" style="547" customWidth="1"/>
    <col min="10501" max="10501" width="8.796875" style="547"/>
    <col min="10502" max="10502" width="11.19921875" style="547" customWidth="1"/>
    <col min="10503" max="10503" width="11.09765625" style="547" customWidth="1"/>
    <col min="10504" max="10504" width="8.796875" style="547"/>
    <col min="10505" max="10505" width="10.8984375" style="547" customWidth="1"/>
    <col min="10506" max="10748" width="8.796875" style="547"/>
    <col min="10749" max="10749" width="14.19921875" style="547" customWidth="1"/>
    <col min="10750" max="10750" width="11.5" style="547" customWidth="1"/>
    <col min="10751" max="10751" width="7.8984375" style="547" customWidth="1"/>
    <col min="10752" max="10752" width="12.3984375" style="547" customWidth="1"/>
    <col min="10753" max="10753" width="7.8984375" style="547" customWidth="1"/>
    <col min="10754" max="10754" width="11.5" style="547" customWidth="1"/>
    <col min="10755" max="10755" width="9.69921875" style="547" customWidth="1"/>
    <col min="10756" max="10756" width="7.8984375" style="547" customWidth="1"/>
    <col min="10757" max="10757" width="8.796875" style="547"/>
    <col min="10758" max="10758" width="11.19921875" style="547" customWidth="1"/>
    <col min="10759" max="10759" width="11.09765625" style="547" customWidth="1"/>
    <col min="10760" max="10760" width="8.796875" style="547"/>
    <col min="10761" max="10761" width="10.8984375" style="547" customWidth="1"/>
    <col min="10762" max="11004" width="8.796875" style="547"/>
    <col min="11005" max="11005" width="14.19921875" style="547" customWidth="1"/>
    <col min="11006" max="11006" width="11.5" style="547" customWidth="1"/>
    <col min="11007" max="11007" width="7.8984375" style="547" customWidth="1"/>
    <col min="11008" max="11008" width="12.3984375" style="547" customWidth="1"/>
    <col min="11009" max="11009" width="7.8984375" style="547" customWidth="1"/>
    <col min="11010" max="11010" width="11.5" style="547" customWidth="1"/>
    <col min="11011" max="11011" width="9.69921875" style="547" customWidth="1"/>
    <col min="11012" max="11012" width="7.8984375" style="547" customWidth="1"/>
    <col min="11013" max="11013" width="8.796875" style="547"/>
    <col min="11014" max="11014" width="11.19921875" style="547" customWidth="1"/>
    <col min="11015" max="11015" width="11.09765625" style="547" customWidth="1"/>
    <col min="11016" max="11016" width="8.796875" style="547"/>
    <col min="11017" max="11017" width="10.8984375" style="547" customWidth="1"/>
    <col min="11018" max="11260" width="8.796875" style="547"/>
    <col min="11261" max="11261" width="14.19921875" style="547" customWidth="1"/>
    <col min="11262" max="11262" width="11.5" style="547" customWidth="1"/>
    <col min="11263" max="11263" width="7.8984375" style="547" customWidth="1"/>
    <col min="11264" max="11264" width="12.3984375" style="547" customWidth="1"/>
    <col min="11265" max="11265" width="7.8984375" style="547" customWidth="1"/>
    <col min="11266" max="11266" width="11.5" style="547" customWidth="1"/>
    <col min="11267" max="11267" width="9.69921875" style="547" customWidth="1"/>
    <col min="11268" max="11268" width="7.8984375" style="547" customWidth="1"/>
    <col min="11269" max="11269" width="8.796875" style="547"/>
    <col min="11270" max="11270" width="11.19921875" style="547" customWidth="1"/>
    <col min="11271" max="11271" width="11.09765625" style="547" customWidth="1"/>
    <col min="11272" max="11272" width="8.796875" style="547"/>
    <col min="11273" max="11273" width="10.8984375" style="547" customWidth="1"/>
    <col min="11274" max="11516" width="8.796875" style="547"/>
    <col min="11517" max="11517" width="14.19921875" style="547" customWidth="1"/>
    <col min="11518" max="11518" width="11.5" style="547" customWidth="1"/>
    <col min="11519" max="11519" width="7.8984375" style="547" customWidth="1"/>
    <col min="11520" max="11520" width="12.3984375" style="547" customWidth="1"/>
    <col min="11521" max="11521" width="7.8984375" style="547" customWidth="1"/>
    <col min="11522" max="11522" width="11.5" style="547" customWidth="1"/>
    <col min="11523" max="11523" width="9.69921875" style="547" customWidth="1"/>
    <col min="11524" max="11524" width="7.8984375" style="547" customWidth="1"/>
    <col min="11525" max="11525" width="8.796875" style="547"/>
    <col min="11526" max="11526" width="11.19921875" style="547" customWidth="1"/>
    <col min="11527" max="11527" width="11.09765625" style="547" customWidth="1"/>
    <col min="11528" max="11528" width="8.796875" style="547"/>
    <col min="11529" max="11529" width="10.8984375" style="547" customWidth="1"/>
    <col min="11530" max="11772" width="8.796875" style="547"/>
    <col min="11773" max="11773" width="14.19921875" style="547" customWidth="1"/>
    <col min="11774" max="11774" width="11.5" style="547" customWidth="1"/>
    <col min="11775" max="11775" width="7.8984375" style="547" customWidth="1"/>
    <col min="11776" max="11776" width="12.3984375" style="547" customWidth="1"/>
    <col min="11777" max="11777" width="7.8984375" style="547" customWidth="1"/>
    <col min="11778" max="11778" width="11.5" style="547" customWidth="1"/>
    <col min="11779" max="11779" width="9.69921875" style="547" customWidth="1"/>
    <col min="11780" max="11780" width="7.8984375" style="547" customWidth="1"/>
    <col min="11781" max="11781" width="8.796875" style="547"/>
    <col min="11782" max="11782" width="11.19921875" style="547" customWidth="1"/>
    <col min="11783" max="11783" width="11.09765625" style="547" customWidth="1"/>
    <col min="11784" max="11784" width="8.796875" style="547"/>
    <col min="11785" max="11785" width="10.8984375" style="547" customWidth="1"/>
    <col min="11786" max="12028" width="8.796875" style="547"/>
    <col min="12029" max="12029" width="14.19921875" style="547" customWidth="1"/>
    <col min="12030" max="12030" width="11.5" style="547" customWidth="1"/>
    <col min="12031" max="12031" width="7.8984375" style="547" customWidth="1"/>
    <col min="12032" max="12032" width="12.3984375" style="547" customWidth="1"/>
    <col min="12033" max="12033" width="7.8984375" style="547" customWidth="1"/>
    <col min="12034" max="12034" width="11.5" style="547" customWidth="1"/>
    <col min="12035" max="12035" width="9.69921875" style="547" customWidth="1"/>
    <col min="12036" max="12036" width="7.8984375" style="547" customWidth="1"/>
    <col min="12037" max="12037" width="8.796875" style="547"/>
    <col min="12038" max="12038" width="11.19921875" style="547" customWidth="1"/>
    <col min="12039" max="12039" width="11.09765625" style="547" customWidth="1"/>
    <col min="12040" max="12040" width="8.796875" style="547"/>
    <col min="12041" max="12041" width="10.8984375" style="547" customWidth="1"/>
    <col min="12042" max="12284" width="8.796875" style="547"/>
    <col min="12285" max="12285" width="14.19921875" style="547" customWidth="1"/>
    <col min="12286" max="12286" width="11.5" style="547" customWidth="1"/>
    <col min="12287" max="12287" width="7.8984375" style="547" customWidth="1"/>
    <col min="12288" max="12288" width="12.3984375" style="547" customWidth="1"/>
    <col min="12289" max="12289" width="7.8984375" style="547" customWidth="1"/>
    <col min="12290" max="12290" width="11.5" style="547" customWidth="1"/>
    <col min="12291" max="12291" width="9.69921875" style="547" customWidth="1"/>
    <col min="12292" max="12292" width="7.8984375" style="547" customWidth="1"/>
    <col min="12293" max="12293" width="8.796875" style="547"/>
    <col min="12294" max="12294" width="11.19921875" style="547" customWidth="1"/>
    <col min="12295" max="12295" width="11.09765625" style="547" customWidth="1"/>
    <col min="12296" max="12296" width="8.796875" style="547"/>
    <col min="12297" max="12297" width="10.8984375" style="547" customWidth="1"/>
    <col min="12298" max="12540" width="8.796875" style="547"/>
    <col min="12541" max="12541" width="14.19921875" style="547" customWidth="1"/>
    <col min="12542" max="12542" width="11.5" style="547" customWidth="1"/>
    <col min="12543" max="12543" width="7.8984375" style="547" customWidth="1"/>
    <col min="12544" max="12544" width="12.3984375" style="547" customWidth="1"/>
    <col min="12545" max="12545" width="7.8984375" style="547" customWidth="1"/>
    <col min="12546" max="12546" width="11.5" style="547" customWidth="1"/>
    <col min="12547" max="12547" width="9.69921875" style="547" customWidth="1"/>
    <col min="12548" max="12548" width="7.8984375" style="547" customWidth="1"/>
    <col min="12549" max="12549" width="8.796875" style="547"/>
    <col min="12550" max="12550" width="11.19921875" style="547" customWidth="1"/>
    <col min="12551" max="12551" width="11.09765625" style="547" customWidth="1"/>
    <col min="12552" max="12552" width="8.796875" style="547"/>
    <col min="12553" max="12553" width="10.8984375" style="547" customWidth="1"/>
    <col min="12554" max="12796" width="8.796875" style="547"/>
    <col min="12797" max="12797" width="14.19921875" style="547" customWidth="1"/>
    <col min="12798" max="12798" width="11.5" style="547" customWidth="1"/>
    <col min="12799" max="12799" width="7.8984375" style="547" customWidth="1"/>
    <col min="12800" max="12800" width="12.3984375" style="547" customWidth="1"/>
    <col min="12801" max="12801" width="7.8984375" style="547" customWidth="1"/>
    <col min="12802" max="12802" width="11.5" style="547" customWidth="1"/>
    <col min="12803" max="12803" width="9.69921875" style="547" customWidth="1"/>
    <col min="12804" max="12804" width="7.8984375" style="547" customWidth="1"/>
    <col min="12805" max="12805" width="8.796875" style="547"/>
    <col min="12806" max="12806" width="11.19921875" style="547" customWidth="1"/>
    <col min="12807" max="12807" width="11.09765625" style="547" customWidth="1"/>
    <col min="12808" max="12808" width="8.796875" style="547"/>
    <col min="12809" max="12809" width="10.8984375" style="547" customWidth="1"/>
    <col min="12810" max="13052" width="8.796875" style="547"/>
    <col min="13053" max="13053" width="14.19921875" style="547" customWidth="1"/>
    <col min="13054" max="13054" width="11.5" style="547" customWidth="1"/>
    <col min="13055" max="13055" width="7.8984375" style="547" customWidth="1"/>
    <col min="13056" max="13056" width="12.3984375" style="547" customWidth="1"/>
    <col min="13057" max="13057" width="7.8984375" style="547" customWidth="1"/>
    <col min="13058" max="13058" width="11.5" style="547" customWidth="1"/>
    <col min="13059" max="13059" width="9.69921875" style="547" customWidth="1"/>
    <col min="13060" max="13060" width="7.8984375" style="547" customWidth="1"/>
    <col min="13061" max="13061" width="8.796875" style="547"/>
    <col min="13062" max="13062" width="11.19921875" style="547" customWidth="1"/>
    <col min="13063" max="13063" width="11.09765625" style="547" customWidth="1"/>
    <col min="13064" max="13064" width="8.796875" style="547"/>
    <col min="13065" max="13065" width="10.8984375" style="547" customWidth="1"/>
    <col min="13066" max="13308" width="8.796875" style="547"/>
    <col min="13309" max="13309" width="14.19921875" style="547" customWidth="1"/>
    <col min="13310" max="13310" width="11.5" style="547" customWidth="1"/>
    <col min="13311" max="13311" width="7.8984375" style="547" customWidth="1"/>
    <col min="13312" max="13312" width="12.3984375" style="547" customWidth="1"/>
    <col min="13313" max="13313" width="7.8984375" style="547" customWidth="1"/>
    <col min="13314" max="13314" width="11.5" style="547" customWidth="1"/>
    <col min="13315" max="13315" width="9.69921875" style="547" customWidth="1"/>
    <col min="13316" max="13316" width="7.8984375" style="547" customWidth="1"/>
    <col min="13317" max="13317" width="8.796875" style="547"/>
    <col min="13318" max="13318" width="11.19921875" style="547" customWidth="1"/>
    <col min="13319" max="13319" width="11.09765625" style="547" customWidth="1"/>
    <col min="13320" max="13320" width="8.796875" style="547"/>
    <col min="13321" max="13321" width="10.8984375" style="547" customWidth="1"/>
    <col min="13322" max="13564" width="8.796875" style="547"/>
    <col min="13565" max="13565" width="14.19921875" style="547" customWidth="1"/>
    <col min="13566" max="13566" width="11.5" style="547" customWidth="1"/>
    <col min="13567" max="13567" width="7.8984375" style="547" customWidth="1"/>
    <col min="13568" max="13568" width="12.3984375" style="547" customWidth="1"/>
    <col min="13569" max="13569" width="7.8984375" style="547" customWidth="1"/>
    <col min="13570" max="13570" width="11.5" style="547" customWidth="1"/>
    <col min="13571" max="13571" width="9.69921875" style="547" customWidth="1"/>
    <col min="13572" max="13572" width="7.8984375" style="547" customWidth="1"/>
    <col min="13573" max="13573" width="8.796875" style="547"/>
    <col min="13574" max="13574" width="11.19921875" style="547" customWidth="1"/>
    <col min="13575" max="13575" width="11.09765625" style="547" customWidth="1"/>
    <col min="13576" max="13576" width="8.796875" style="547"/>
    <col min="13577" max="13577" width="10.8984375" style="547" customWidth="1"/>
    <col min="13578" max="13820" width="8.796875" style="547"/>
    <col min="13821" max="13821" width="14.19921875" style="547" customWidth="1"/>
    <col min="13822" max="13822" width="11.5" style="547" customWidth="1"/>
    <col min="13823" max="13823" width="7.8984375" style="547" customWidth="1"/>
    <col min="13824" max="13824" width="12.3984375" style="547" customWidth="1"/>
    <col min="13825" max="13825" width="7.8984375" style="547" customWidth="1"/>
    <col min="13826" max="13826" width="11.5" style="547" customWidth="1"/>
    <col min="13827" max="13827" width="9.69921875" style="547" customWidth="1"/>
    <col min="13828" max="13828" width="7.8984375" style="547" customWidth="1"/>
    <col min="13829" max="13829" width="8.796875" style="547"/>
    <col min="13830" max="13830" width="11.19921875" style="547" customWidth="1"/>
    <col min="13831" max="13831" width="11.09765625" style="547" customWidth="1"/>
    <col min="13832" max="13832" width="8.796875" style="547"/>
    <col min="13833" max="13833" width="10.8984375" style="547" customWidth="1"/>
    <col min="13834" max="14076" width="8.796875" style="547"/>
    <col min="14077" max="14077" width="14.19921875" style="547" customWidth="1"/>
    <col min="14078" max="14078" width="11.5" style="547" customWidth="1"/>
    <col min="14079" max="14079" width="7.8984375" style="547" customWidth="1"/>
    <col min="14080" max="14080" width="12.3984375" style="547" customWidth="1"/>
    <col min="14081" max="14081" width="7.8984375" style="547" customWidth="1"/>
    <col min="14082" max="14082" width="11.5" style="547" customWidth="1"/>
    <col min="14083" max="14083" width="9.69921875" style="547" customWidth="1"/>
    <col min="14084" max="14084" width="7.8984375" style="547" customWidth="1"/>
    <col min="14085" max="14085" width="8.796875" style="547"/>
    <col min="14086" max="14086" width="11.19921875" style="547" customWidth="1"/>
    <col min="14087" max="14087" width="11.09765625" style="547" customWidth="1"/>
    <col min="14088" max="14088" width="8.796875" style="547"/>
    <col min="14089" max="14089" width="10.8984375" style="547" customWidth="1"/>
    <col min="14090" max="14332" width="8.796875" style="547"/>
    <col min="14333" max="14333" width="14.19921875" style="547" customWidth="1"/>
    <col min="14334" max="14334" width="11.5" style="547" customWidth="1"/>
    <col min="14335" max="14335" width="7.8984375" style="547" customWidth="1"/>
    <col min="14336" max="14336" width="12.3984375" style="547" customWidth="1"/>
    <col min="14337" max="14337" width="7.8984375" style="547" customWidth="1"/>
    <col min="14338" max="14338" width="11.5" style="547" customWidth="1"/>
    <col min="14339" max="14339" width="9.69921875" style="547" customWidth="1"/>
    <col min="14340" max="14340" width="7.8984375" style="547" customWidth="1"/>
    <col min="14341" max="14341" width="8.796875" style="547"/>
    <col min="14342" max="14342" width="11.19921875" style="547" customWidth="1"/>
    <col min="14343" max="14343" width="11.09765625" style="547" customWidth="1"/>
    <col min="14344" max="14344" width="8.796875" style="547"/>
    <col min="14345" max="14345" width="10.8984375" style="547" customWidth="1"/>
    <col min="14346" max="14588" width="8.796875" style="547"/>
    <col min="14589" max="14589" width="14.19921875" style="547" customWidth="1"/>
    <col min="14590" max="14590" width="11.5" style="547" customWidth="1"/>
    <col min="14591" max="14591" width="7.8984375" style="547" customWidth="1"/>
    <col min="14592" max="14592" width="12.3984375" style="547" customWidth="1"/>
    <col min="14593" max="14593" width="7.8984375" style="547" customWidth="1"/>
    <col min="14594" max="14594" width="11.5" style="547" customWidth="1"/>
    <col min="14595" max="14595" width="9.69921875" style="547" customWidth="1"/>
    <col min="14596" max="14596" width="7.8984375" style="547" customWidth="1"/>
    <col min="14597" max="14597" width="8.796875" style="547"/>
    <col min="14598" max="14598" width="11.19921875" style="547" customWidth="1"/>
    <col min="14599" max="14599" width="11.09765625" style="547" customWidth="1"/>
    <col min="14600" max="14600" width="8.796875" style="547"/>
    <col min="14601" max="14601" width="10.8984375" style="547" customWidth="1"/>
    <col min="14602" max="14844" width="8.796875" style="547"/>
    <col min="14845" max="14845" width="14.19921875" style="547" customWidth="1"/>
    <col min="14846" max="14846" width="11.5" style="547" customWidth="1"/>
    <col min="14847" max="14847" width="7.8984375" style="547" customWidth="1"/>
    <col min="14848" max="14848" width="12.3984375" style="547" customWidth="1"/>
    <col min="14849" max="14849" width="7.8984375" style="547" customWidth="1"/>
    <col min="14850" max="14850" width="11.5" style="547" customWidth="1"/>
    <col min="14851" max="14851" width="9.69921875" style="547" customWidth="1"/>
    <col min="14852" max="14852" width="7.8984375" style="547" customWidth="1"/>
    <col min="14853" max="14853" width="8.796875" style="547"/>
    <col min="14854" max="14854" width="11.19921875" style="547" customWidth="1"/>
    <col min="14855" max="14855" width="11.09765625" style="547" customWidth="1"/>
    <col min="14856" max="14856" width="8.796875" style="547"/>
    <col min="14857" max="14857" width="10.8984375" style="547" customWidth="1"/>
    <col min="14858" max="15100" width="8.796875" style="547"/>
    <col min="15101" max="15101" width="14.19921875" style="547" customWidth="1"/>
    <col min="15102" max="15102" width="11.5" style="547" customWidth="1"/>
    <col min="15103" max="15103" width="7.8984375" style="547" customWidth="1"/>
    <col min="15104" max="15104" width="12.3984375" style="547" customWidth="1"/>
    <col min="15105" max="15105" width="7.8984375" style="547" customWidth="1"/>
    <col min="15106" max="15106" width="11.5" style="547" customWidth="1"/>
    <col min="15107" max="15107" width="9.69921875" style="547" customWidth="1"/>
    <col min="15108" max="15108" width="7.8984375" style="547" customWidth="1"/>
    <col min="15109" max="15109" width="8.796875" style="547"/>
    <col min="15110" max="15110" width="11.19921875" style="547" customWidth="1"/>
    <col min="15111" max="15111" width="11.09765625" style="547" customWidth="1"/>
    <col min="15112" max="15112" width="8.796875" style="547"/>
    <col min="15113" max="15113" width="10.8984375" style="547" customWidth="1"/>
    <col min="15114" max="15356" width="8.796875" style="547"/>
    <col min="15357" max="15357" width="14.19921875" style="547" customWidth="1"/>
    <col min="15358" max="15358" width="11.5" style="547" customWidth="1"/>
    <col min="15359" max="15359" width="7.8984375" style="547" customWidth="1"/>
    <col min="15360" max="15360" width="12.3984375" style="547" customWidth="1"/>
    <col min="15361" max="15361" width="7.8984375" style="547" customWidth="1"/>
    <col min="15362" max="15362" width="11.5" style="547" customWidth="1"/>
    <col min="15363" max="15363" width="9.69921875" style="547" customWidth="1"/>
    <col min="15364" max="15364" width="7.8984375" style="547" customWidth="1"/>
    <col min="15365" max="15365" width="8.796875" style="547"/>
    <col min="15366" max="15366" width="11.19921875" style="547" customWidth="1"/>
    <col min="15367" max="15367" width="11.09765625" style="547" customWidth="1"/>
    <col min="15368" max="15368" width="8.796875" style="547"/>
    <col min="15369" max="15369" width="10.8984375" style="547" customWidth="1"/>
    <col min="15370" max="15612" width="8.796875" style="547"/>
    <col min="15613" max="15613" width="14.19921875" style="547" customWidth="1"/>
    <col min="15614" max="15614" width="11.5" style="547" customWidth="1"/>
    <col min="15615" max="15615" width="7.8984375" style="547" customWidth="1"/>
    <col min="15616" max="15616" width="12.3984375" style="547" customWidth="1"/>
    <col min="15617" max="15617" width="7.8984375" style="547" customWidth="1"/>
    <col min="15618" max="15618" width="11.5" style="547" customWidth="1"/>
    <col min="15619" max="15619" width="9.69921875" style="547" customWidth="1"/>
    <col min="15620" max="15620" width="7.8984375" style="547" customWidth="1"/>
    <col min="15621" max="15621" width="8.796875" style="547"/>
    <col min="15622" max="15622" width="11.19921875" style="547" customWidth="1"/>
    <col min="15623" max="15623" width="11.09765625" style="547" customWidth="1"/>
    <col min="15624" max="15624" width="8.796875" style="547"/>
    <col min="15625" max="15625" width="10.8984375" style="547" customWidth="1"/>
    <col min="15626" max="15868" width="8.796875" style="547"/>
    <col min="15869" max="15869" width="14.19921875" style="547" customWidth="1"/>
    <col min="15870" max="15870" width="11.5" style="547" customWidth="1"/>
    <col min="15871" max="15871" width="7.8984375" style="547" customWidth="1"/>
    <col min="15872" max="15872" width="12.3984375" style="547" customWidth="1"/>
    <col min="15873" max="15873" width="7.8984375" style="547" customWidth="1"/>
    <col min="15874" max="15874" width="11.5" style="547" customWidth="1"/>
    <col min="15875" max="15875" width="9.69921875" style="547" customWidth="1"/>
    <col min="15876" max="15876" width="7.8984375" style="547" customWidth="1"/>
    <col min="15877" max="15877" width="8.796875" style="547"/>
    <col min="15878" max="15878" width="11.19921875" style="547" customWidth="1"/>
    <col min="15879" max="15879" width="11.09765625" style="547" customWidth="1"/>
    <col min="15880" max="15880" width="8.796875" style="547"/>
    <col min="15881" max="15881" width="10.8984375" style="547" customWidth="1"/>
    <col min="15882" max="16124" width="8.796875" style="547"/>
    <col min="16125" max="16125" width="14.19921875" style="547" customWidth="1"/>
    <col min="16126" max="16126" width="11.5" style="547" customWidth="1"/>
    <col min="16127" max="16127" width="7.8984375" style="547" customWidth="1"/>
    <col min="16128" max="16128" width="12.3984375" style="547" customWidth="1"/>
    <col min="16129" max="16129" width="7.8984375" style="547" customWidth="1"/>
    <col min="16130" max="16130" width="11.5" style="547" customWidth="1"/>
    <col min="16131" max="16131" width="9.69921875" style="547" customWidth="1"/>
    <col min="16132" max="16132" width="7.8984375" style="547" customWidth="1"/>
    <col min="16133" max="16133" width="8.796875" style="547"/>
    <col min="16134" max="16134" width="11.19921875" style="547" customWidth="1"/>
    <col min="16135" max="16135" width="11.09765625" style="547" customWidth="1"/>
    <col min="16136" max="16136" width="8.796875" style="547"/>
    <col min="16137" max="16137" width="10.8984375" style="547" customWidth="1"/>
    <col min="16138" max="16384" width="8.796875" style="547"/>
  </cols>
  <sheetData>
    <row r="1" spans="1:8" x14ac:dyDescent="0.25">
      <c r="A1" s="642"/>
      <c r="B1" s="642"/>
      <c r="C1" s="642"/>
      <c r="D1" s="642"/>
      <c r="E1" s="642"/>
      <c r="F1" s="642"/>
      <c r="G1" s="642"/>
      <c r="H1" s="647">
        <f>inputPrYr!D6</f>
        <v>2025</v>
      </c>
    </row>
    <row r="2" spans="1:8" x14ac:dyDescent="0.25">
      <c r="A2" s="822" t="s">
        <v>865</v>
      </c>
      <c r="B2" s="823"/>
      <c r="C2" s="823"/>
      <c r="D2" s="823"/>
      <c r="E2" s="823"/>
      <c r="F2" s="823"/>
      <c r="G2" s="823"/>
      <c r="H2" s="823"/>
    </row>
    <row r="3" spans="1:8" x14ac:dyDescent="0.25">
      <c r="A3" s="642"/>
      <c r="B3" s="642"/>
      <c r="C3" s="642"/>
      <c r="D3" s="642"/>
      <c r="E3" s="642"/>
      <c r="F3" s="642"/>
      <c r="G3" s="642"/>
      <c r="H3" s="642"/>
    </row>
    <row r="4" spans="1:8" x14ac:dyDescent="0.25">
      <c r="A4" s="824" t="s">
        <v>861</v>
      </c>
      <c r="B4" s="824"/>
      <c r="C4" s="824"/>
      <c r="D4" s="824"/>
      <c r="E4" s="824"/>
      <c r="F4" s="824"/>
      <c r="G4" s="824"/>
      <c r="H4" s="824"/>
    </row>
    <row r="5" spans="1:8" x14ac:dyDescent="0.25">
      <c r="A5" s="825">
        <f>inputPrYr!D3</f>
        <v>0</v>
      </c>
      <c r="B5" s="821"/>
      <c r="C5" s="821"/>
      <c r="D5" s="821"/>
      <c r="E5" s="821"/>
      <c r="F5" s="821"/>
      <c r="G5" s="821"/>
      <c r="H5" s="821"/>
    </row>
    <row r="6" spans="1:8" x14ac:dyDescent="0.25">
      <c r="A6" s="824" t="str">
        <f>CONCATENATE("will meet on ",inputHearing!B42," at ",inputHearing!B44," at ",inputHearing!B46," for the purpose of hearing and")</f>
        <v>will meet on  at  at  for the purpose of hearing and</v>
      </c>
      <c r="B6" s="824"/>
      <c r="C6" s="824"/>
      <c r="D6" s="824"/>
      <c r="E6" s="824"/>
      <c r="F6" s="824"/>
      <c r="G6" s="824"/>
      <c r="H6" s="824"/>
    </row>
    <row r="7" spans="1:8" ht="14.25" customHeight="1" x14ac:dyDescent="0.25">
      <c r="A7" s="824" t="s">
        <v>866</v>
      </c>
      <c r="B7" s="824"/>
      <c r="C7" s="824"/>
      <c r="D7" s="824"/>
      <c r="E7" s="824"/>
      <c r="F7" s="824"/>
      <c r="G7" s="824"/>
      <c r="H7" s="824"/>
    </row>
    <row r="8" spans="1:8" ht="11.25" customHeight="1" x14ac:dyDescent="0.25">
      <c r="A8" s="642"/>
      <c r="B8" s="642"/>
      <c r="C8" s="642"/>
      <c r="D8" s="642"/>
      <c r="E8" s="642"/>
      <c r="F8" s="642"/>
      <c r="G8" s="642"/>
      <c r="H8" s="642"/>
    </row>
    <row r="9" spans="1:8" ht="15" customHeight="1" x14ac:dyDescent="0.25">
      <c r="A9" s="821" t="s">
        <v>867</v>
      </c>
      <c r="B9" s="821"/>
      <c r="C9" s="821"/>
      <c r="D9" s="821"/>
      <c r="E9" s="821"/>
      <c r="F9" s="821"/>
      <c r="G9" s="821"/>
      <c r="H9" s="821"/>
    </row>
    <row r="10" spans="1:8" ht="12" customHeight="1" x14ac:dyDescent="0.25">
      <c r="A10" s="826">
        <f>inputPrYr!D4</f>
        <v>0</v>
      </c>
      <c r="B10" s="824"/>
      <c r="C10" s="824"/>
      <c r="D10" s="824"/>
      <c r="E10" s="824"/>
      <c r="F10" s="824"/>
      <c r="G10" s="824"/>
      <c r="H10" s="824"/>
    </row>
    <row r="11" spans="1:8" x14ac:dyDescent="0.25">
      <c r="A11" s="648"/>
      <c r="B11" s="649"/>
      <c r="C11" s="649"/>
      <c r="D11" s="649"/>
      <c r="E11" s="649"/>
      <c r="F11" s="649"/>
      <c r="G11" s="649"/>
      <c r="H11" s="649"/>
    </row>
    <row r="12" spans="1:8" x14ac:dyDescent="0.25">
      <c r="A12" s="648"/>
      <c r="B12" s="827" t="s">
        <v>868</v>
      </c>
      <c r="C12" s="827"/>
      <c r="D12" s="650">
        <f>'Budget Hearing Notice'!I37</f>
        <v>0</v>
      </c>
      <c r="E12" s="827" t="s">
        <v>869</v>
      </c>
      <c r="F12" s="827"/>
      <c r="G12" s="641">
        <f>'Budget Hearing Notice'!I36</f>
        <v>0</v>
      </c>
      <c r="H12" s="649"/>
    </row>
    <row r="13" spans="1:8" x14ac:dyDescent="0.25">
      <c r="A13" s="642"/>
      <c r="B13" s="651"/>
      <c r="C13" s="651"/>
      <c r="D13" s="651"/>
      <c r="E13" s="651"/>
      <c r="F13" s="651"/>
      <c r="G13" s="651"/>
      <c r="H13" s="651"/>
    </row>
    <row r="14" spans="1:8" x14ac:dyDescent="0.25">
      <c r="A14" s="642"/>
      <c r="B14" s="828" t="s">
        <v>870</v>
      </c>
      <c r="C14" s="828"/>
      <c r="D14" s="828"/>
      <c r="E14" s="828"/>
      <c r="F14" s="828"/>
      <c r="G14" s="642"/>
      <c r="H14" s="647"/>
    </row>
    <row r="15" spans="1:8" x14ac:dyDescent="0.25">
      <c r="A15" s="642"/>
      <c r="B15" s="828" t="s">
        <v>871</v>
      </c>
      <c r="C15" s="828"/>
      <c r="D15" s="828"/>
      <c r="E15" s="828"/>
      <c r="F15" s="828"/>
      <c r="G15" s="642"/>
      <c r="H15" s="647"/>
    </row>
    <row r="16" spans="1:8" x14ac:dyDescent="0.25">
      <c r="A16" s="642"/>
      <c r="B16" s="652"/>
      <c r="C16" s="652"/>
      <c r="D16" s="652"/>
      <c r="E16" s="652"/>
      <c r="F16" s="652"/>
      <c r="G16" s="642"/>
      <c r="H16" s="647"/>
    </row>
    <row r="17" spans="1:8" x14ac:dyDescent="0.25">
      <c r="A17" s="642"/>
      <c r="B17" s="652"/>
      <c r="C17" s="652"/>
      <c r="D17" s="643" t="s">
        <v>510</v>
      </c>
      <c r="E17" s="644"/>
      <c r="F17" s="652"/>
      <c r="G17" s="642"/>
      <c r="H17" s="647"/>
    </row>
    <row r="19" spans="1:8" x14ac:dyDescent="0.25">
      <c r="A19" s="653"/>
      <c r="B19" s="653"/>
      <c r="C19" s="653"/>
      <c r="D19" s="653"/>
      <c r="E19" s="653"/>
      <c r="F19" s="653"/>
      <c r="G19" s="653"/>
      <c r="H19" s="653"/>
    </row>
    <row r="21" spans="1:8" x14ac:dyDescent="0.25">
      <c r="A21" s="653"/>
      <c r="B21" s="653"/>
      <c r="C21" s="653"/>
      <c r="D21" s="653"/>
      <c r="E21" s="653"/>
      <c r="F21" s="653"/>
      <c r="G21" s="653"/>
      <c r="H21" s="653"/>
    </row>
    <row r="22" spans="1:8" x14ac:dyDescent="0.25">
      <c r="A22" s="653"/>
      <c r="B22" s="653"/>
      <c r="C22" s="653"/>
      <c r="D22" s="653"/>
      <c r="E22" s="653"/>
      <c r="F22" s="653"/>
      <c r="G22" s="653"/>
      <c r="H22" s="653"/>
    </row>
    <row r="23" spans="1:8" x14ac:dyDescent="0.25">
      <c r="A23" s="653"/>
      <c r="B23" s="653"/>
      <c r="C23" s="653"/>
      <c r="D23" s="653"/>
      <c r="E23" s="653"/>
      <c r="F23" s="653"/>
      <c r="G23" s="653"/>
      <c r="H23" s="653"/>
    </row>
    <row r="24" spans="1:8" x14ac:dyDescent="0.25">
      <c r="A24" s="653"/>
      <c r="B24" s="653"/>
      <c r="C24" s="653"/>
      <c r="D24" s="653"/>
      <c r="E24" s="653"/>
      <c r="F24" s="653"/>
      <c r="G24" s="653"/>
      <c r="H24" s="653"/>
    </row>
    <row r="25" spans="1:8" x14ac:dyDescent="0.25">
      <c r="A25" s="653"/>
      <c r="B25" s="653"/>
      <c r="C25" s="653"/>
      <c r="D25" s="653"/>
      <c r="E25" s="653"/>
      <c r="F25" s="653"/>
      <c r="G25" s="653"/>
      <c r="H25" s="653"/>
    </row>
    <row r="26" spans="1:8" x14ac:dyDescent="0.25">
      <c r="A26" s="653"/>
      <c r="B26" s="653"/>
      <c r="C26" s="653"/>
      <c r="D26" s="653"/>
      <c r="E26" s="653"/>
      <c r="F26" s="653"/>
      <c r="G26" s="653"/>
      <c r="H26" s="653"/>
    </row>
    <row r="27" spans="1:8" x14ac:dyDescent="0.25">
      <c r="A27" s="653"/>
      <c r="B27" s="653"/>
      <c r="C27" s="653"/>
      <c r="D27" s="653"/>
      <c r="E27" s="653"/>
      <c r="F27" s="653"/>
      <c r="G27" s="653"/>
      <c r="H27" s="653"/>
    </row>
    <row r="28" spans="1:8" x14ac:dyDescent="0.25">
      <c r="A28" s="653"/>
      <c r="B28" s="653"/>
      <c r="C28" s="653"/>
      <c r="D28" s="653"/>
      <c r="E28" s="653"/>
      <c r="F28" s="653"/>
      <c r="G28" s="653"/>
      <c r="H28" s="653"/>
    </row>
    <row r="29" spans="1:8" x14ac:dyDescent="0.25">
      <c r="A29" s="653"/>
      <c r="B29" s="653"/>
      <c r="C29" s="653"/>
      <c r="D29" s="653"/>
      <c r="E29" s="653"/>
      <c r="F29" s="653"/>
      <c r="G29" s="653"/>
      <c r="H29" s="653"/>
    </row>
    <row r="37" ht="15" customHeight="1" x14ac:dyDescent="0.25"/>
  </sheetData>
  <sheetProtection sheet="1" objects="1" scenarios="1"/>
  <mergeCells count="11">
    <mergeCell ref="A10:H10"/>
    <mergeCell ref="B12:C12"/>
    <mergeCell ref="E12:F12"/>
    <mergeCell ref="B14:F14"/>
    <mergeCell ref="B15:F15"/>
    <mergeCell ref="A9:H9"/>
    <mergeCell ref="A2:H2"/>
    <mergeCell ref="A4:H4"/>
    <mergeCell ref="A5:H5"/>
    <mergeCell ref="A6:H6"/>
    <mergeCell ref="A7:H7"/>
  </mergeCells>
  <pageMargins left="1" right="1" top="0.5" bottom="0.5" header="0.5" footer="0.5"/>
  <pageSetup scale="76"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42"/>
  <sheetViews>
    <sheetView topLeftCell="A11" workbookViewId="0">
      <selection activeCell="F36" sqref="F36"/>
    </sheetView>
  </sheetViews>
  <sheetFormatPr defaultRowHeight="15.75" x14ac:dyDescent="0.25"/>
  <cols>
    <col min="1" max="1" width="10.59765625" customWidth="1"/>
    <col min="2" max="2" width="13.69921875" customWidth="1"/>
    <col min="3" max="5" width="12.69921875" customWidth="1"/>
  </cols>
  <sheetData>
    <row r="1" spans="1:6" x14ac:dyDescent="0.25">
      <c r="A1" s="13">
        <f>inputPrYr!D3</f>
        <v>0</v>
      </c>
      <c r="B1" s="10"/>
      <c r="C1" s="10"/>
      <c r="D1" s="10"/>
      <c r="E1" s="10"/>
      <c r="F1" s="10">
        <f>inputPrYr!D6</f>
        <v>2025</v>
      </c>
    </row>
    <row r="2" spans="1:6" x14ac:dyDescent="0.25">
      <c r="A2" s="10"/>
      <c r="B2" s="10"/>
      <c r="C2" s="10"/>
      <c r="D2" s="10"/>
      <c r="E2" s="10"/>
      <c r="F2" s="10"/>
    </row>
    <row r="3" spans="1:6" x14ac:dyDescent="0.25">
      <c r="A3" s="10"/>
      <c r="B3" s="831" t="str">
        <f>CONCATENATE("",F1," Neighborhood Revitalization Rebate")</f>
        <v>2025 Neighborhood Revitalization Rebate</v>
      </c>
      <c r="C3" s="812"/>
      <c r="D3" s="812"/>
      <c r="E3" s="812"/>
      <c r="F3" s="10"/>
    </row>
    <row r="4" spans="1:6" x14ac:dyDescent="0.25">
      <c r="A4" s="10"/>
      <c r="B4" s="10"/>
      <c r="C4" s="10"/>
      <c r="D4" s="10"/>
      <c r="E4" s="10"/>
      <c r="F4" s="10"/>
    </row>
    <row r="5" spans="1:6" ht="51.75" customHeight="1" x14ac:dyDescent="0.25">
      <c r="A5" s="10"/>
      <c r="B5" s="275" t="str">
        <f>CONCATENATE("Budgeted Funds                            for ",F1,"")</f>
        <v>Budgeted Funds                            for 2025</v>
      </c>
      <c r="C5" s="275" t="str">
        <f>CONCATENATE("",F1-1," Ad Valorem before Rebate**")</f>
        <v>2024 Ad Valorem before Rebate**</v>
      </c>
      <c r="D5" s="276" t="str">
        <f>CONCATENATE("",F1-1," Mil Rate before Rebate")</f>
        <v>2024 Mil Rate before Rebate</v>
      </c>
      <c r="E5" s="277" t="str">
        <f>CONCATENATE("Estimate ",F1," NR Rebate")</f>
        <v>Estimate 2025 NR Rebate</v>
      </c>
      <c r="F5" s="35"/>
    </row>
    <row r="6" spans="1:6" x14ac:dyDescent="0.25">
      <c r="A6" s="10"/>
      <c r="B6" s="22" t="str">
        <f>inputPrYr!B17</f>
        <v>General</v>
      </c>
      <c r="C6" s="55"/>
      <c r="D6" s="56" t="str">
        <f t="shared" ref="D6:D17" si="0">IF(C6&gt;0,C6/$D$23,"")</f>
        <v/>
      </c>
      <c r="E6" s="57">
        <f>IF(C6&gt;0,ROUND(D6*$D$27,0),0)</f>
        <v>0</v>
      </c>
      <c r="F6" s="35"/>
    </row>
    <row r="7" spans="1:6" x14ac:dyDescent="0.25">
      <c r="A7" s="10"/>
      <c r="B7" s="22" t="str">
        <f>inputPrYr!B18</f>
        <v>Debt Service</v>
      </c>
      <c r="C7" s="55"/>
      <c r="D7" s="56" t="str">
        <f t="shared" si="0"/>
        <v/>
      </c>
      <c r="E7" s="57">
        <f t="shared" ref="E7:E17" si="1">IF(C7&gt;0,ROUND(D7*$D$27,0),0)</f>
        <v>0</v>
      </c>
      <c r="F7" s="35"/>
    </row>
    <row r="8" spans="1:6" x14ac:dyDescent="0.25">
      <c r="A8" s="10"/>
      <c r="B8" s="22" t="str">
        <f>inputPrYr!B19</f>
        <v>Library</v>
      </c>
      <c r="C8" s="55"/>
      <c r="D8" s="56" t="str">
        <f t="shared" si="0"/>
        <v/>
      </c>
      <c r="E8" s="57">
        <f t="shared" si="1"/>
        <v>0</v>
      </c>
      <c r="F8" s="35"/>
    </row>
    <row r="9" spans="1:6" x14ac:dyDescent="0.25">
      <c r="A9" s="10"/>
      <c r="B9" s="22" t="str">
        <f>inputPrYr!B20</f>
        <v>Road</v>
      </c>
      <c r="C9" s="55"/>
      <c r="D9" s="56" t="str">
        <f t="shared" si="0"/>
        <v/>
      </c>
      <c r="E9" s="57">
        <f t="shared" si="1"/>
        <v>0</v>
      </c>
      <c r="F9" s="35"/>
    </row>
    <row r="10" spans="1:6" x14ac:dyDescent="0.25">
      <c r="A10" s="10"/>
      <c r="B10" s="22">
        <f>inputPrYr!B21</f>
        <v>0</v>
      </c>
      <c r="C10" s="55"/>
      <c r="D10" s="56" t="str">
        <f t="shared" si="0"/>
        <v/>
      </c>
      <c r="E10" s="57">
        <f t="shared" si="1"/>
        <v>0</v>
      </c>
      <c r="F10" s="35"/>
    </row>
    <row r="11" spans="1:6" x14ac:dyDescent="0.25">
      <c r="A11" s="10"/>
      <c r="B11" s="22">
        <f>inputPrYr!B22</f>
        <v>0</v>
      </c>
      <c r="C11" s="55"/>
      <c r="D11" s="56" t="str">
        <f t="shared" si="0"/>
        <v/>
      </c>
      <c r="E11" s="57">
        <f t="shared" si="1"/>
        <v>0</v>
      </c>
      <c r="F11" s="35"/>
    </row>
    <row r="12" spans="1:6" x14ac:dyDescent="0.25">
      <c r="A12" s="10"/>
      <c r="B12" s="22">
        <f>inputPrYr!B23</f>
        <v>0</v>
      </c>
      <c r="C12" s="55"/>
      <c r="D12" s="56" t="str">
        <f t="shared" si="0"/>
        <v/>
      </c>
      <c r="E12" s="57">
        <f t="shared" si="1"/>
        <v>0</v>
      </c>
      <c r="F12" s="35"/>
    </row>
    <row r="13" spans="1:6" x14ac:dyDescent="0.25">
      <c r="A13" s="10"/>
      <c r="B13" s="22">
        <f>inputPrYr!B24</f>
        <v>0</v>
      </c>
      <c r="C13" s="58"/>
      <c r="D13" s="56" t="str">
        <f t="shared" si="0"/>
        <v/>
      </c>
      <c r="E13" s="57">
        <f t="shared" si="1"/>
        <v>0</v>
      </c>
      <c r="F13" s="35"/>
    </row>
    <row r="14" spans="1:6" x14ac:dyDescent="0.25">
      <c r="A14" s="10"/>
      <c r="B14" s="22">
        <f>inputPrYr!B25</f>
        <v>0</v>
      </c>
      <c r="C14" s="58"/>
      <c r="D14" s="56" t="str">
        <f t="shared" si="0"/>
        <v/>
      </c>
      <c r="E14" s="57">
        <f t="shared" si="1"/>
        <v>0</v>
      </c>
      <c r="F14" s="35"/>
    </row>
    <row r="15" spans="1:6" x14ac:dyDescent="0.25">
      <c r="A15" s="10"/>
      <c r="B15" s="22">
        <f>inputPrYr!B26</f>
        <v>0</v>
      </c>
      <c r="C15" s="58"/>
      <c r="D15" s="56" t="str">
        <f t="shared" si="0"/>
        <v/>
      </c>
      <c r="E15" s="57">
        <f t="shared" si="1"/>
        <v>0</v>
      </c>
      <c r="F15" s="35"/>
    </row>
    <row r="16" spans="1:6" x14ac:dyDescent="0.25">
      <c r="A16" s="10"/>
      <c r="B16" s="22">
        <f>inputPrYr!B27</f>
        <v>0</v>
      </c>
      <c r="C16" s="58"/>
      <c r="D16" s="56" t="str">
        <f t="shared" si="0"/>
        <v/>
      </c>
      <c r="E16" s="57">
        <f t="shared" si="1"/>
        <v>0</v>
      </c>
      <c r="F16" s="35"/>
    </row>
    <row r="17" spans="1:6" x14ac:dyDescent="0.25">
      <c r="A17" s="10"/>
      <c r="B17" s="22">
        <f>inputPrYr!B28</f>
        <v>0</v>
      </c>
      <c r="C17" s="58"/>
      <c r="D17" s="56" t="str">
        <f t="shared" si="0"/>
        <v/>
      </c>
      <c r="E17" s="57">
        <f t="shared" si="1"/>
        <v>0</v>
      </c>
      <c r="F17" s="35"/>
    </row>
    <row r="18" spans="1:6" ht="16.5" thickBot="1" x14ac:dyDescent="0.3">
      <c r="A18" s="10"/>
      <c r="B18" s="23" t="s">
        <v>142</v>
      </c>
      <c r="C18" s="59">
        <f>SUM(C6:C17)</f>
        <v>0</v>
      </c>
      <c r="D18" s="60">
        <f>SUM(D6:D17)</f>
        <v>0</v>
      </c>
      <c r="E18" s="59">
        <f>SUM(E6:E17)</f>
        <v>0</v>
      </c>
      <c r="F18" s="35"/>
    </row>
    <row r="19" spans="1:6" ht="16.5" thickTop="1" x14ac:dyDescent="0.25">
      <c r="A19" s="10"/>
      <c r="B19" s="10"/>
      <c r="C19" s="10"/>
      <c r="D19" s="10"/>
      <c r="E19" s="10"/>
      <c r="F19" s="35"/>
    </row>
    <row r="20" spans="1:6" x14ac:dyDescent="0.25">
      <c r="A20" s="10"/>
      <c r="B20" s="10"/>
      <c r="C20" s="10"/>
      <c r="D20" s="10"/>
      <c r="E20" s="10"/>
      <c r="F20" s="35"/>
    </row>
    <row r="21" spans="1:6" x14ac:dyDescent="0.25">
      <c r="A21" s="829" t="str">
        <f>CONCATENATE("",F1-1," July 1 Valuation:")</f>
        <v>2024 July 1 Valuation:</v>
      </c>
      <c r="B21" s="830"/>
      <c r="C21" s="829"/>
      <c r="D21" s="61">
        <f>inputOth!E7</f>
        <v>0</v>
      </c>
      <c r="E21" s="10"/>
      <c r="F21" s="35"/>
    </row>
    <row r="22" spans="1:6" x14ac:dyDescent="0.25">
      <c r="A22" s="10"/>
      <c r="B22" s="10"/>
      <c r="C22" s="10"/>
      <c r="D22" s="10"/>
      <c r="E22" s="10"/>
      <c r="F22" s="35"/>
    </row>
    <row r="23" spans="1:6" x14ac:dyDescent="0.25">
      <c r="A23" s="10"/>
      <c r="B23" s="829" t="s">
        <v>249</v>
      </c>
      <c r="C23" s="829"/>
      <c r="D23" s="62" t="str">
        <f>IF(D21&gt;0,(D21*0.001),"")</f>
        <v/>
      </c>
      <c r="E23" s="10"/>
      <c r="F23" s="35"/>
    </row>
    <row r="24" spans="1:6" x14ac:dyDescent="0.25">
      <c r="A24" s="10"/>
      <c r="B24" s="38"/>
      <c r="C24" s="38"/>
      <c r="D24" s="63"/>
      <c r="E24" s="10"/>
      <c r="F24" s="35"/>
    </row>
    <row r="25" spans="1:6" x14ac:dyDescent="0.25">
      <c r="A25" s="829" t="s">
        <v>250</v>
      </c>
      <c r="B25" s="812"/>
      <c r="C25" s="812"/>
      <c r="D25" s="61">
        <f>inputOth!E13</f>
        <v>0</v>
      </c>
      <c r="E25" s="41"/>
      <c r="F25" s="41"/>
    </row>
    <row r="26" spans="1:6" x14ac:dyDescent="0.25">
      <c r="A26" s="41"/>
      <c r="B26" s="41"/>
      <c r="C26" s="41"/>
      <c r="D26" s="64"/>
      <c r="E26" s="41"/>
      <c r="F26" s="41"/>
    </row>
    <row r="27" spans="1:6" x14ac:dyDescent="0.25">
      <c r="A27" s="41"/>
      <c r="B27" s="829" t="s">
        <v>251</v>
      </c>
      <c r="C27" s="830"/>
      <c r="D27" s="62" t="str">
        <f>IF(D25&gt;0,(D25*0.001),"")</f>
        <v/>
      </c>
      <c r="E27" s="41"/>
      <c r="F27" s="41"/>
    </row>
    <row r="28" spans="1:6" x14ac:dyDescent="0.25">
      <c r="A28" s="41"/>
      <c r="B28" s="41"/>
      <c r="C28" s="41"/>
      <c r="D28" s="41"/>
      <c r="E28" s="41"/>
      <c r="F28" s="41"/>
    </row>
    <row r="29" spans="1:6" x14ac:dyDescent="0.25">
      <c r="A29" s="41"/>
      <c r="B29" s="41"/>
      <c r="C29" s="41"/>
      <c r="D29" s="41"/>
      <c r="E29" s="41"/>
      <c r="F29" s="41"/>
    </row>
    <row r="30" spans="1:6" x14ac:dyDescent="0.25">
      <c r="A30" s="41"/>
      <c r="B30" s="41"/>
      <c r="C30" s="41"/>
      <c r="D30" s="41"/>
      <c r="E30" s="41"/>
      <c r="F30" s="41"/>
    </row>
    <row r="31" spans="1:6" x14ac:dyDescent="0.25">
      <c r="A31" s="10" t="str">
        <f>CONCATENATE("**This information comes from the ",F1," Budget Summary page.  See instructions step #12 for completing")</f>
        <v>**This information comes from the 2025 Budget Summary page.  See instructions step #12 for completing</v>
      </c>
      <c r="B31" s="41"/>
      <c r="C31" s="41"/>
      <c r="D31" s="41"/>
      <c r="E31" s="41"/>
      <c r="F31" s="41"/>
    </row>
    <row r="32" spans="1:6" x14ac:dyDescent="0.25">
      <c r="A32" s="10" t="s">
        <v>462</v>
      </c>
      <c r="B32" s="41"/>
      <c r="C32" s="41"/>
      <c r="D32" s="41"/>
      <c r="E32" s="41"/>
      <c r="F32" s="41"/>
    </row>
    <row r="33" spans="1:6" x14ac:dyDescent="0.25">
      <c r="A33" s="10"/>
      <c r="B33" s="41"/>
      <c r="C33" s="41"/>
      <c r="D33" s="41"/>
      <c r="E33" s="41"/>
      <c r="F33" s="41"/>
    </row>
    <row r="34" spans="1:6" x14ac:dyDescent="0.25">
      <c r="A34" s="10"/>
      <c r="B34" s="41"/>
      <c r="C34" s="41"/>
      <c r="D34" s="41"/>
      <c r="E34" s="41"/>
      <c r="F34" s="41"/>
    </row>
    <row r="35" spans="1:6" x14ac:dyDescent="0.25">
      <c r="A35" s="10"/>
      <c r="B35" s="41"/>
      <c r="C35" s="41"/>
      <c r="D35" s="41"/>
      <c r="E35" s="41"/>
      <c r="F35" s="41"/>
    </row>
    <row r="36" spans="1:6" x14ac:dyDescent="0.25">
      <c r="A36" s="10"/>
      <c r="B36" s="41"/>
      <c r="C36" s="41"/>
      <c r="D36" s="41"/>
      <c r="E36" s="41"/>
      <c r="F36" s="41"/>
    </row>
    <row r="37" spans="1:6" x14ac:dyDescent="0.25">
      <c r="A37" s="10"/>
      <c r="B37" s="41"/>
      <c r="C37" s="41"/>
      <c r="D37" s="41"/>
      <c r="E37" s="41"/>
      <c r="F37" s="41"/>
    </row>
    <row r="38" spans="1:6" x14ac:dyDescent="0.25">
      <c r="A38" s="10"/>
      <c r="B38" s="41"/>
      <c r="C38" s="41"/>
      <c r="D38" s="41"/>
      <c r="E38" s="41"/>
      <c r="F38" s="41"/>
    </row>
    <row r="39" spans="1:6" x14ac:dyDescent="0.25">
      <c r="A39" s="10"/>
      <c r="B39" s="41"/>
      <c r="C39" s="41"/>
      <c r="D39" s="41"/>
      <c r="E39" s="41"/>
      <c r="F39" s="41"/>
    </row>
    <row r="40" spans="1:6" x14ac:dyDescent="0.25">
      <c r="A40" s="41"/>
      <c r="B40" s="41"/>
      <c r="C40" s="41"/>
      <c r="D40" s="41"/>
      <c r="E40" s="41"/>
      <c r="F40" s="41"/>
    </row>
    <row r="41" spans="1:6" x14ac:dyDescent="0.25">
      <c r="A41" s="41"/>
      <c r="B41" s="38" t="s">
        <v>4</v>
      </c>
      <c r="C41" s="525">
        <v>19</v>
      </c>
      <c r="D41" s="41"/>
      <c r="E41" s="41"/>
      <c r="F41" s="41"/>
    </row>
    <row r="42" spans="1:6" x14ac:dyDescent="0.25">
      <c r="A42" s="35"/>
      <c r="B42" s="10"/>
      <c r="C42" s="10"/>
      <c r="D42" s="65"/>
      <c r="E42" s="35"/>
      <c r="F42" s="35"/>
    </row>
  </sheetData>
  <sheetProtection sheet="1"/>
  <mergeCells count="5">
    <mergeCell ref="B27:C27"/>
    <mergeCell ref="B3:E3"/>
    <mergeCell ref="A21:C21"/>
    <mergeCell ref="B23:C23"/>
    <mergeCell ref="A25:C25"/>
  </mergeCells>
  <phoneticPr fontId="9"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C8F6-F51A-445C-A9DE-382290DCB4AF}">
  <dimension ref="A1:H14"/>
  <sheetViews>
    <sheetView workbookViewId="0">
      <selection activeCell="F16" sqref="F16"/>
    </sheetView>
  </sheetViews>
  <sheetFormatPr defaultRowHeight="15" x14ac:dyDescent="0.2"/>
  <cols>
    <col min="1" max="16384" width="8.796875" style="602"/>
  </cols>
  <sheetData>
    <row r="1" spans="1:8" ht="15.75" x14ac:dyDescent="0.25">
      <c r="A1" s="832" t="s">
        <v>885</v>
      </c>
      <c r="B1" s="832"/>
      <c r="C1" s="832"/>
      <c r="D1" s="832"/>
      <c r="E1" s="832"/>
      <c r="F1" s="832"/>
      <c r="G1" s="832"/>
      <c r="H1" s="832"/>
    </row>
    <row r="2" spans="1:8" ht="15.75" x14ac:dyDescent="0.25">
      <c r="A2" s="548"/>
      <c r="B2" s="548"/>
      <c r="C2" s="548"/>
      <c r="D2" s="548"/>
      <c r="E2" s="548"/>
      <c r="F2" s="548"/>
      <c r="G2" s="548"/>
      <c r="H2" s="548"/>
    </row>
    <row r="3" spans="1:8" ht="52.5" customHeight="1" x14ac:dyDescent="0.25">
      <c r="A3" s="833" t="s">
        <v>886</v>
      </c>
      <c r="B3" s="833"/>
      <c r="C3" s="833"/>
      <c r="D3" s="833"/>
      <c r="E3" s="833"/>
      <c r="F3" s="833"/>
      <c r="G3" s="833"/>
      <c r="H3" s="833"/>
    </row>
    <row r="4" spans="1:8" ht="15.75" x14ac:dyDescent="0.25">
      <c r="A4" s="548"/>
      <c r="B4" s="548"/>
      <c r="C4" s="548"/>
      <c r="D4" s="548"/>
      <c r="E4" s="548"/>
      <c r="F4" s="548"/>
      <c r="G4" s="548"/>
      <c r="H4" s="548"/>
    </row>
    <row r="5" spans="1:8" ht="52.5" customHeight="1" x14ac:dyDescent="0.25">
      <c r="A5" s="655"/>
      <c r="B5" s="834" t="s">
        <v>887</v>
      </c>
      <c r="C5" s="834"/>
      <c r="D5" s="834"/>
      <c r="E5" s="834"/>
      <c r="F5" s="834"/>
      <c r="G5" s="834"/>
      <c r="H5" s="834"/>
    </row>
    <row r="6" spans="1:8" ht="15.75" x14ac:dyDescent="0.25">
      <c r="A6" s="548"/>
      <c r="B6" s="548"/>
      <c r="C6" s="548"/>
      <c r="D6" s="548"/>
      <c r="E6" s="548"/>
      <c r="F6" s="548"/>
      <c r="G6" s="548"/>
      <c r="H6" s="548"/>
    </row>
    <row r="7" spans="1:8" ht="32.25" customHeight="1" x14ac:dyDescent="0.25">
      <c r="A7" s="655"/>
      <c r="B7" s="834" t="s">
        <v>888</v>
      </c>
      <c r="C7" s="834"/>
      <c r="D7" s="834"/>
      <c r="E7" s="834"/>
      <c r="F7" s="834"/>
      <c r="G7" s="834"/>
      <c r="H7" s="834"/>
    </row>
    <row r="8" spans="1:8" ht="15.75" x14ac:dyDescent="0.25">
      <c r="A8" s="548"/>
      <c r="B8" s="548"/>
      <c r="C8" s="548"/>
      <c r="D8" s="548"/>
      <c r="E8" s="548"/>
      <c r="F8" s="548"/>
      <c r="G8" s="548"/>
      <c r="H8" s="548"/>
    </row>
    <row r="9" spans="1:8" ht="15.75" x14ac:dyDescent="0.25">
      <c r="A9" s="835" t="s">
        <v>889</v>
      </c>
      <c r="B9" s="835"/>
      <c r="C9" s="835"/>
      <c r="D9" s="835"/>
      <c r="E9" s="835"/>
      <c r="F9" s="835"/>
      <c r="G9" s="835"/>
      <c r="H9" s="835"/>
    </row>
    <row r="10" spans="1:8" ht="15.75" x14ac:dyDescent="0.25">
      <c r="A10" s="548"/>
      <c r="B10" s="548"/>
      <c r="C10" s="548"/>
      <c r="D10" s="548"/>
      <c r="E10" s="548"/>
      <c r="F10" s="548"/>
      <c r="G10" s="548"/>
      <c r="H10" s="548"/>
    </row>
    <row r="11" spans="1:8" ht="15.75" x14ac:dyDescent="0.25">
      <c r="A11" s="548"/>
      <c r="B11" s="548"/>
      <c r="C11" s="548"/>
      <c r="D11" s="548"/>
      <c r="E11" s="548"/>
      <c r="F11" s="548"/>
      <c r="G11" s="548"/>
      <c r="H11" s="548"/>
    </row>
    <row r="12" spans="1:8" ht="15.75" x14ac:dyDescent="0.25">
      <c r="A12" s="548"/>
      <c r="B12" s="548"/>
      <c r="C12" s="548"/>
      <c r="D12" s="548"/>
      <c r="E12" s="548"/>
      <c r="F12" s="548"/>
      <c r="G12" s="548"/>
      <c r="H12" s="548"/>
    </row>
    <row r="13" spans="1:8" ht="15.75" x14ac:dyDescent="0.25">
      <c r="A13" s="548" t="s">
        <v>890</v>
      </c>
      <c r="B13" s="548"/>
      <c r="C13" s="548"/>
      <c r="D13" s="548"/>
      <c r="E13" s="548"/>
      <c r="F13" s="655"/>
      <c r="G13" s="655"/>
      <c r="H13" s="655"/>
    </row>
    <row r="14" spans="1:8" ht="15.75" x14ac:dyDescent="0.25">
      <c r="A14" s="548"/>
      <c r="B14" s="548"/>
      <c r="C14" s="548"/>
      <c r="D14" s="548"/>
      <c r="E14" s="548"/>
      <c r="F14" s="548" t="s">
        <v>891</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BF87-C167-4D7F-B64C-4EBEC8E4F038}">
  <dimension ref="A1:G20"/>
  <sheetViews>
    <sheetView workbookViewId="0">
      <selection activeCell="O29" sqref="O29"/>
    </sheetView>
  </sheetViews>
  <sheetFormatPr defaultRowHeight="15.75" x14ac:dyDescent="0.25"/>
  <cols>
    <col min="1" max="4" width="10.3984375" style="679" customWidth="1"/>
    <col min="5" max="7" width="9.5" style="679" customWidth="1"/>
    <col min="8" max="256" width="8.796875" style="679"/>
    <col min="257" max="260" width="10.3984375" style="679" customWidth="1"/>
    <col min="261" max="263" width="9.5" style="679" customWidth="1"/>
    <col min="264" max="512" width="8.796875" style="679"/>
    <col min="513" max="516" width="10.3984375" style="679" customWidth="1"/>
    <col min="517" max="519" width="9.5" style="679" customWidth="1"/>
    <col min="520" max="768" width="8.796875" style="679"/>
    <col min="769" max="772" width="10.3984375" style="679" customWidth="1"/>
    <col min="773" max="775" width="9.5" style="679" customWidth="1"/>
    <col min="776" max="1024" width="8.796875" style="679"/>
    <col min="1025" max="1028" width="10.3984375" style="679" customWidth="1"/>
    <col min="1029" max="1031" width="9.5" style="679" customWidth="1"/>
    <col min="1032" max="1280" width="8.796875" style="679"/>
    <col min="1281" max="1284" width="10.3984375" style="679" customWidth="1"/>
    <col min="1285" max="1287" width="9.5" style="679" customWidth="1"/>
    <col min="1288" max="1536" width="8.796875" style="679"/>
    <col min="1537" max="1540" width="10.3984375" style="679" customWidth="1"/>
    <col min="1541" max="1543" width="9.5" style="679" customWidth="1"/>
    <col min="1544" max="1792" width="8.796875" style="679"/>
    <col min="1793" max="1796" width="10.3984375" style="679" customWidth="1"/>
    <col min="1797" max="1799" width="9.5" style="679" customWidth="1"/>
    <col min="1800" max="2048" width="8.796875" style="679"/>
    <col min="2049" max="2052" width="10.3984375" style="679" customWidth="1"/>
    <col min="2053" max="2055" width="9.5" style="679" customWidth="1"/>
    <col min="2056" max="2304" width="8.796875" style="679"/>
    <col min="2305" max="2308" width="10.3984375" style="679" customWidth="1"/>
    <col min="2309" max="2311" width="9.5" style="679" customWidth="1"/>
    <col min="2312" max="2560" width="8.796875" style="679"/>
    <col min="2561" max="2564" width="10.3984375" style="679" customWidth="1"/>
    <col min="2565" max="2567" width="9.5" style="679" customWidth="1"/>
    <col min="2568" max="2816" width="8.796875" style="679"/>
    <col min="2817" max="2820" width="10.3984375" style="679" customWidth="1"/>
    <col min="2821" max="2823" width="9.5" style="679" customWidth="1"/>
    <col min="2824" max="3072" width="8.796875" style="679"/>
    <col min="3073" max="3076" width="10.3984375" style="679" customWidth="1"/>
    <col min="3077" max="3079" width="9.5" style="679" customWidth="1"/>
    <col min="3080" max="3328" width="8.796875" style="679"/>
    <col min="3329" max="3332" width="10.3984375" style="679" customWidth="1"/>
    <col min="3333" max="3335" width="9.5" style="679" customWidth="1"/>
    <col min="3336" max="3584" width="8.796875" style="679"/>
    <col min="3585" max="3588" width="10.3984375" style="679" customWidth="1"/>
    <col min="3589" max="3591" width="9.5" style="679" customWidth="1"/>
    <col min="3592" max="3840" width="8.796875" style="679"/>
    <col min="3841" max="3844" width="10.3984375" style="679" customWidth="1"/>
    <col min="3845" max="3847" width="9.5" style="679" customWidth="1"/>
    <col min="3848" max="4096" width="8.796875" style="679"/>
    <col min="4097" max="4100" width="10.3984375" style="679" customWidth="1"/>
    <col min="4101" max="4103" width="9.5" style="679" customWidth="1"/>
    <col min="4104" max="4352" width="8.796875" style="679"/>
    <col min="4353" max="4356" width="10.3984375" style="679" customWidth="1"/>
    <col min="4357" max="4359" width="9.5" style="679" customWidth="1"/>
    <col min="4360" max="4608" width="8.796875" style="679"/>
    <col min="4609" max="4612" width="10.3984375" style="679" customWidth="1"/>
    <col min="4613" max="4615" width="9.5" style="679" customWidth="1"/>
    <col min="4616" max="4864" width="8.796875" style="679"/>
    <col min="4865" max="4868" width="10.3984375" style="679" customWidth="1"/>
    <col min="4869" max="4871" width="9.5" style="679" customWidth="1"/>
    <col min="4872" max="5120" width="8.796875" style="679"/>
    <col min="5121" max="5124" width="10.3984375" style="679" customWidth="1"/>
    <col min="5125" max="5127" width="9.5" style="679" customWidth="1"/>
    <col min="5128" max="5376" width="8.796875" style="679"/>
    <col min="5377" max="5380" width="10.3984375" style="679" customWidth="1"/>
    <col min="5381" max="5383" width="9.5" style="679" customWidth="1"/>
    <col min="5384" max="5632" width="8.796875" style="679"/>
    <col min="5633" max="5636" width="10.3984375" style="679" customWidth="1"/>
    <col min="5637" max="5639" width="9.5" style="679" customWidth="1"/>
    <col min="5640" max="5888" width="8.796875" style="679"/>
    <col min="5889" max="5892" width="10.3984375" style="679" customWidth="1"/>
    <col min="5893" max="5895" width="9.5" style="679" customWidth="1"/>
    <col min="5896" max="6144" width="8.796875" style="679"/>
    <col min="6145" max="6148" width="10.3984375" style="679" customWidth="1"/>
    <col min="6149" max="6151" width="9.5" style="679" customWidth="1"/>
    <col min="6152" max="6400" width="8.796875" style="679"/>
    <col min="6401" max="6404" width="10.3984375" style="679" customWidth="1"/>
    <col min="6405" max="6407" width="9.5" style="679" customWidth="1"/>
    <col min="6408" max="6656" width="8.796875" style="679"/>
    <col min="6657" max="6660" width="10.3984375" style="679" customWidth="1"/>
    <col min="6661" max="6663" width="9.5" style="679" customWidth="1"/>
    <col min="6664" max="6912" width="8.796875" style="679"/>
    <col min="6913" max="6916" width="10.3984375" style="679" customWidth="1"/>
    <col min="6917" max="6919" width="9.5" style="679" customWidth="1"/>
    <col min="6920" max="7168" width="8.796875" style="679"/>
    <col min="7169" max="7172" width="10.3984375" style="679" customWidth="1"/>
    <col min="7173" max="7175" width="9.5" style="679" customWidth="1"/>
    <col min="7176" max="7424" width="8.796875" style="679"/>
    <col min="7425" max="7428" width="10.3984375" style="679" customWidth="1"/>
    <col min="7429" max="7431" width="9.5" style="679" customWidth="1"/>
    <col min="7432" max="7680" width="8.796875" style="679"/>
    <col min="7681" max="7684" width="10.3984375" style="679" customWidth="1"/>
    <col min="7685" max="7687" width="9.5" style="679" customWidth="1"/>
    <col min="7688" max="7936" width="8.796875" style="679"/>
    <col min="7937" max="7940" width="10.3984375" style="679" customWidth="1"/>
    <col min="7941" max="7943" width="9.5" style="679" customWidth="1"/>
    <col min="7944" max="8192" width="8.796875" style="679"/>
    <col min="8193" max="8196" width="10.3984375" style="679" customWidth="1"/>
    <col min="8197" max="8199" width="9.5" style="679" customWidth="1"/>
    <col min="8200" max="8448" width="8.796875" style="679"/>
    <col min="8449" max="8452" width="10.3984375" style="679" customWidth="1"/>
    <col min="8453" max="8455" width="9.5" style="679" customWidth="1"/>
    <col min="8456" max="8704" width="8.796875" style="679"/>
    <col min="8705" max="8708" width="10.3984375" style="679" customWidth="1"/>
    <col min="8709" max="8711" width="9.5" style="679" customWidth="1"/>
    <col min="8712" max="8960" width="8.796875" style="679"/>
    <col min="8961" max="8964" width="10.3984375" style="679" customWidth="1"/>
    <col min="8965" max="8967" width="9.5" style="679" customWidth="1"/>
    <col min="8968" max="9216" width="8.796875" style="679"/>
    <col min="9217" max="9220" width="10.3984375" style="679" customWidth="1"/>
    <col min="9221" max="9223" width="9.5" style="679" customWidth="1"/>
    <col min="9224" max="9472" width="8.796875" style="679"/>
    <col min="9473" max="9476" width="10.3984375" style="679" customWidth="1"/>
    <col min="9477" max="9479" width="9.5" style="679" customWidth="1"/>
    <col min="9480" max="9728" width="8.796875" style="679"/>
    <col min="9729" max="9732" width="10.3984375" style="679" customWidth="1"/>
    <col min="9733" max="9735" width="9.5" style="679" customWidth="1"/>
    <col min="9736" max="9984" width="8.796875" style="679"/>
    <col min="9985" max="9988" width="10.3984375" style="679" customWidth="1"/>
    <col min="9989" max="9991" width="9.5" style="679" customWidth="1"/>
    <col min="9992" max="10240" width="8.796875" style="679"/>
    <col min="10241" max="10244" width="10.3984375" style="679" customWidth="1"/>
    <col min="10245" max="10247" width="9.5" style="679" customWidth="1"/>
    <col min="10248" max="10496" width="8.796875" style="679"/>
    <col min="10497" max="10500" width="10.3984375" style="679" customWidth="1"/>
    <col min="10501" max="10503" width="9.5" style="679" customWidth="1"/>
    <col min="10504" max="10752" width="8.796875" style="679"/>
    <col min="10753" max="10756" width="10.3984375" style="679" customWidth="1"/>
    <col min="10757" max="10759" width="9.5" style="679" customWidth="1"/>
    <col min="10760" max="11008" width="8.796875" style="679"/>
    <col min="11009" max="11012" width="10.3984375" style="679" customWidth="1"/>
    <col min="11013" max="11015" width="9.5" style="679" customWidth="1"/>
    <col min="11016" max="11264" width="8.796875" style="679"/>
    <col min="11265" max="11268" width="10.3984375" style="679" customWidth="1"/>
    <col min="11269" max="11271" width="9.5" style="679" customWidth="1"/>
    <col min="11272" max="11520" width="8.796875" style="679"/>
    <col min="11521" max="11524" width="10.3984375" style="679" customWidth="1"/>
    <col min="11525" max="11527" width="9.5" style="679" customWidth="1"/>
    <col min="11528" max="11776" width="8.796875" style="679"/>
    <col min="11777" max="11780" width="10.3984375" style="679" customWidth="1"/>
    <col min="11781" max="11783" width="9.5" style="679" customWidth="1"/>
    <col min="11784" max="12032" width="8.796875" style="679"/>
    <col min="12033" max="12036" width="10.3984375" style="679" customWidth="1"/>
    <col min="12037" max="12039" width="9.5" style="679" customWidth="1"/>
    <col min="12040" max="12288" width="8.796875" style="679"/>
    <col min="12289" max="12292" width="10.3984375" style="679" customWidth="1"/>
    <col min="12293" max="12295" width="9.5" style="679" customWidth="1"/>
    <col min="12296" max="12544" width="8.796875" style="679"/>
    <col min="12545" max="12548" width="10.3984375" style="679" customWidth="1"/>
    <col min="12549" max="12551" width="9.5" style="679" customWidth="1"/>
    <col min="12552" max="12800" width="8.796875" style="679"/>
    <col min="12801" max="12804" width="10.3984375" style="679" customWidth="1"/>
    <col min="12805" max="12807" width="9.5" style="679" customWidth="1"/>
    <col min="12808" max="13056" width="8.796875" style="679"/>
    <col min="13057" max="13060" width="10.3984375" style="679" customWidth="1"/>
    <col min="13061" max="13063" width="9.5" style="679" customWidth="1"/>
    <col min="13064" max="13312" width="8.796875" style="679"/>
    <col min="13313" max="13316" width="10.3984375" style="679" customWidth="1"/>
    <col min="13317" max="13319" width="9.5" style="679" customWidth="1"/>
    <col min="13320" max="13568" width="8.796875" style="679"/>
    <col min="13569" max="13572" width="10.3984375" style="679" customWidth="1"/>
    <col min="13573" max="13575" width="9.5" style="679" customWidth="1"/>
    <col min="13576" max="13824" width="8.796875" style="679"/>
    <col min="13825" max="13828" width="10.3984375" style="679" customWidth="1"/>
    <col min="13829" max="13831" width="9.5" style="679" customWidth="1"/>
    <col min="13832" max="14080" width="8.796875" style="679"/>
    <col min="14081" max="14084" width="10.3984375" style="679" customWidth="1"/>
    <col min="14085" max="14087" width="9.5" style="679" customWidth="1"/>
    <col min="14088" max="14336" width="8.796875" style="679"/>
    <col min="14337" max="14340" width="10.3984375" style="679" customWidth="1"/>
    <col min="14341" max="14343" width="9.5" style="679" customWidth="1"/>
    <col min="14344" max="14592" width="8.796875" style="679"/>
    <col min="14593" max="14596" width="10.3984375" style="679" customWidth="1"/>
    <col min="14597" max="14599" width="9.5" style="679" customWidth="1"/>
    <col min="14600" max="14848" width="8.796875" style="679"/>
    <col min="14849" max="14852" width="10.3984375" style="679" customWidth="1"/>
    <col min="14853" max="14855" width="9.5" style="679" customWidth="1"/>
    <col min="14856" max="15104" width="8.796875" style="679"/>
    <col min="15105" max="15108" width="10.3984375" style="679" customWidth="1"/>
    <col min="15109" max="15111" width="9.5" style="679" customWidth="1"/>
    <col min="15112" max="15360" width="8.796875" style="679"/>
    <col min="15361" max="15364" width="10.3984375" style="679" customWidth="1"/>
    <col min="15365" max="15367" width="9.5" style="679" customWidth="1"/>
    <col min="15368" max="15616" width="8.796875" style="679"/>
    <col min="15617" max="15620" width="10.3984375" style="679" customWidth="1"/>
    <col min="15621" max="15623" width="9.5" style="679" customWidth="1"/>
    <col min="15624" max="15872" width="8.796875" style="679"/>
    <col min="15873" max="15876" width="10.3984375" style="679" customWidth="1"/>
    <col min="15877" max="15879" width="9.5" style="679" customWidth="1"/>
    <col min="15880" max="16128" width="8.796875" style="679"/>
    <col min="16129" max="16132" width="10.3984375" style="679" customWidth="1"/>
    <col min="16133" max="16135" width="9.5" style="679" customWidth="1"/>
    <col min="16136" max="16384" width="8.796875" style="679"/>
  </cols>
  <sheetData>
    <row r="1" spans="1:7" ht="18.75" x14ac:dyDescent="0.3">
      <c r="A1" s="839" t="s">
        <v>947</v>
      </c>
      <c r="B1" s="839"/>
      <c r="C1" s="839"/>
      <c r="D1" s="839"/>
      <c r="E1" s="839"/>
      <c r="F1" s="839"/>
      <c r="G1" s="839"/>
    </row>
    <row r="2" spans="1:7" x14ac:dyDescent="0.25">
      <c r="A2" s="680"/>
      <c r="B2" s="680"/>
      <c r="C2" s="680"/>
      <c r="D2" s="680"/>
      <c r="E2" s="680"/>
      <c r="F2" s="680"/>
      <c r="G2" s="680"/>
    </row>
    <row r="3" spans="1:7" ht="32.25" customHeight="1" x14ac:dyDescent="0.25">
      <c r="A3" s="840" t="s">
        <v>948</v>
      </c>
      <c r="B3" s="840"/>
      <c r="C3" s="840"/>
      <c r="D3" s="840"/>
      <c r="E3" s="840"/>
      <c r="F3" s="840"/>
      <c r="G3" s="840"/>
    </row>
    <row r="4" spans="1:7" x14ac:dyDescent="0.25">
      <c r="A4" s="841" t="s">
        <v>949</v>
      </c>
      <c r="B4" s="841"/>
      <c r="C4" s="841"/>
      <c r="D4" s="841"/>
      <c r="E4" s="841"/>
      <c r="F4" s="841"/>
      <c r="G4" s="841"/>
    </row>
    <row r="5" spans="1:7" x14ac:dyDescent="0.25">
      <c r="A5" s="841" t="s">
        <v>950</v>
      </c>
      <c r="B5" s="841"/>
      <c r="C5" s="841"/>
      <c r="D5" s="841"/>
      <c r="E5" s="841"/>
      <c r="F5" s="841"/>
      <c r="G5" s="841"/>
    </row>
    <row r="6" spans="1:7" x14ac:dyDescent="0.25">
      <c r="A6" s="681"/>
      <c r="B6" s="681"/>
      <c r="C6" s="681"/>
      <c r="D6" s="681"/>
      <c r="E6" s="681"/>
      <c r="F6" s="681"/>
      <c r="G6" s="681"/>
    </row>
    <row r="7" spans="1:7" ht="22.5" customHeight="1" x14ac:dyDescent="0.25">
      <c r="A7" s="842" t="s">
        <v>951</v>
      </c>
      <c r="B7" s="843"/>
      <c r="C7" s="843"/>
      <c r="D7" s="844"/>
      <c r="E7" s="682" t="s">
        <v>952</v>
      </c>
      <c r="F7" s="682" t="s">
        <v>953</v>
      </c>
      <c r="G7" s="682" t="s">
        <v>954</v>
      </c>
    </row>
    <row r="8" spans="1:7" ht="22.5" customHeight="1" x14ac:dyDescent="0.25">
      <c r="A8" s="836"/>
      <c r="B8" s="837"/>
      <c r="C8" s="837"/>
      <c r="D8" s="838"/>
      <c r="E8" s="683"/>
      <c r="F8" s="683"/>
      <c r="G8" s="683"/>
    </row>
    <row r="9" spans="1:7" ht="22.5" customHeight="1" x14ac:dyDescent="0.25">
      <c r="A9" s="836"/>
      <c r="B9" s="837"/>
      <c r="C9" s="837"/>
      <c r="D9" s="838"/>
      <c r="E9" s="683"/>
      <c r="F9" s="683"/>
      <c r="G9" s="683"/>
    </row>
    <row r="10" spans="1:7" ht="22.5" customHeight="1" x14ac:dyDescent="0.25">
      <c r="A10" s="845"/>
      <c r="B10" s="845"/>
      <c r="C10" s="845"/>
      <c r="D10" s="845"/>
      <c r="E10" s="683"/>
      <c r="F10" s="683"/>
      <c r="G10" s="683"/>
    </row>
    <row r="11" spans="1:7" ht="22.5" customHeight="1" x14ac:dyDescent="0.25">
      <c r="A11" s="845"/>
      <c r="B11" s="845"/>
      <c r="C11" s="845"/>
      <c r="D11" s="845"/>
      <c r="E11" s="683"/>
      <c r="F11" s="683"/>
      <c r="G11" s="683"/>
    </row>
    <row r="12" spans="1:7" ht="22.5" customHeight="1" x14ac:dyDescent="0.25">
      <c r="A12" s="845"/>
      <c r="B12" s="845"/>
      <c r="C12" s="845"/>
      <c r="D12" s="845"/>
      <c r="E12" s="683"/>
      <c r="F12" s="683"/>
      <c r="G12" s="683"/>
    </row>
    <row r="13" spans="1:7" ht="22.5" customHeight="1" x14ac:dyDescent="0.25">
      <c r="A13" s="845"/>
      <c r="B13" s="845"/>
      <c r="C13" s="845"/>
      <c r="D13" s="845"/>
      <c r="E13" s="683"/>
      <c r="F13" s="683"/>
      <c r="G13" s="683"/>
    </row>
    <row r="14" spans="1:7" ht="22.5" customHeight="1" x14ac:dyDescent="0.25">
      <c r="A14" s="845"/>
      <c r="B14" s="845"/>
      <c r="C14" s="845"/>
      <c r="D14" s="845"/>
      <c r="E14" s="683"/>
      <c r="F14" s="683"/>
      <c r="G14" s="683"/>
    </row>
    <row r="15" spans="1:7" ht="22.5" customHeight="1" x14ac:dyDescent="0.25">
      <c r="A15" s="845"/>
      <c r="B15" s="845"/>
      <c r="C15" s="845"/>
      <c r="D15" s="845"/>
      <c r="E15" s="683"/>
      <c r="F15" s="683"/>
      <c r="G15" s="683"/>
    </row>
    <row r="16" spans="1:7" ht="22.5" customHeight="1" thickBot="1" x14ac:dyDescent="0.3">
      <c r="A16" s="846"/>
      <c r="B16" s="846"/>
      <c r="C16" s="846"/>
      <c r="D16" s="846"/>
      <c r="E16" s="684"/>
      <c r="F16" s="684"/>
      <c r="G16" s="684"/>
    </row>
    <row r="17" spans="1:7" ht="22.5" customHeight="1" thickTop="1" x14ac:dyDescent="0.25">
      <c r="A17" s="847" t="s">
        <v>142</v>
      </c>
      <c r="B17" s="847"/>
      <c r="C17" s="847"/>
      <c r="D17" s="847"/>
      <c r="E17" s="685"/>
      <c r="F17" s="685"/>
      <c r="G17" s="685"/>
    </row>
    <row r="19" spans="1:7" x14ac:dyDescent="0.25">
      <c r="A19" s="686" t="s">
        <v>955</v>
      </c>
      <c r="B19" s="687"/>
    </row>
    <row r="20" spans="1:7" x14ac:dyDescent="0.25">
      <c r="A20" s="848"/>
      <c r="B20" s="848"/>
    </row>
  </sheetData>
  <sheetProtection sheet="1" objects="1" scenarios="1"/>
  <mergeCells count="16">
    <mergeCell ref="A15:D15"/>
    <mergeCell ref="A16:D16"/>
    <mergeCell ref="A17:D17"/>
    <mergeCell ref="A20:B20"/>
    <mergeCell ref="A9:D9"/>
    <mergeCell ref="A10:D10"/>
    <mergeCell ref="A11:D11"/>
    <mergeCell ref="A12:D12"/>
    <mergeCell ref="A13:D13"/>
    <mergeCell ref="A14:D14"/>
    <mergeCell ref="A8:D8"/>
    <mergeCell ref="A1:G1"/>
    <mergeCell ref="A3:G3"/>
    <mergeCell ref="A4:G4"/>
    <mergeCell ref="A5:G5"/>
    <mergeCell ref="A7:D7"/>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33499-876F-44F4-AB73-49F037DB89D3}">
  <dimension ref="A1:G23"/>
  <sheetViews>
    <sheetView workbookViewId="0">
      <selection activeCell="K10" sqref="K10"/>
    </sheetView>
  </sheetViews>
  <sheetFormatPr defaultRowHeight="15.75" x14ac:dyDescent="0.25"/>
  <cols>
    <col min="1" max="1" width="8.796875" style="548"/>
    <col min="2" max="3" width="8.796875" style="602"/>
    <col min="4" max="4" width="16.19921875" style="602" customWidth="1"/>
    <col min="5" max="6" width="8.796875" style="602"/>
    <col min="7" max="7" width="11.5" style="602" customWidth="1"/>
    <col min="8" max="16384" width="8.796875" style="602"/>
  </cols>
  <sheetData>
    <row r="1" spans="1:7" x14ac:dyDescent="0.25">
      <c r="A1" s="835" t="s">
        <v>872</v>
      </c>
      <c r="B1" s="835"/>
      <c r="C1" s="835"/>
      <c r="D1" s="835"/>
      <c r="E1" s="835"/>
      <c r="F1" s="835"/>
      <c r="G1" s="835"/>
    </row>
    <row r="3" spans="1:7" ht="55.5" customHeight="1" x14ac:dyDescent="0.25">
      <c r="A3" s="849" t="s">
        <v>873</v>
      </c>
      <c r="B3" s="849"/>
      <c r="C3" s="849"/>
      <c r="D3" s="849"/>
      <c r="E3" s="849"/>
      <c r="F3" s="849"/>
      <c r="G3" s="849"/>
    </row>
    <row r="4" spans="1:7" ht="55.5" customHeight="1" x14ac:dyDescent="0.25">
      <c r="A4" s="850" t="s">
        <v>874</v>
      </c>
      <c r="B4" s="850"/>
      <c r="C4" s="850"/>
      <c r="D4" s="850"/>
      <c r="E4" s="850"/>
      <c r="F4" s="850"/>
      <c r="G4" s="850"/>
    </row>
    <row r="5" spans="1:7" ht="55.5" customHeight="1" x14ac:dyDescent="0.25">
      <c r="A5" s="850" t="s">
        <v>875</v>
      </c>
      <c r="B5" s="850"/>
      <c r="C5" s="850"/>
      <c r="D5" s="850"/>
      <c r="E5" s="850"/>
      <c r="F5" s="850"/>
      <c r="G5" s="850"/>
    </row>
    <row r="6" spans="1:7" ht="55.5" customHeight="1" x14ac:dyDescent="0.25">
      <c r="A6" s="850" t="s">
        <v>876</v>
      </c>
      <c r="B6" s="850"/>
      <c r="C6" s="850"/>
      <c r="D6" s="850"/>
      <c r="E6" s="850"/>
      <c r="F6" s="850"/>
      <c r="G6" s="850"/>
    </row>
    <row r="7" spans="1:7" ht="55.5" customHeight="1" x14ac:dyDescent="0.25">
      <c r="A7" s="850" t="s">
        <v>877</v>
      </c>
      <c r="B7" s="850"/>
      <c r="C7" s="850"/>
      <c r="D7" s="850"/>
      <c r="E7" s="850"/>
      <c r="F7" s="850"/>
      <c r="G7" s="850"/>
    </row>
    <row r="8" spans="1:7" ht="55.5" customHeight="1" x14ac:dyDescent="0.25">
      <c r="A8" s="849" t="s">
        <v>878</v>
      </c>
      <c r="B8" s="849"/>
      <c r="C8" s="849"/>
      <c r="D8" s="849"/>
      <c r="E8" s="849"/>
      <c r="F8" s="849"/>
      <c r="G8" s="849"/>
    </row>
    <row r="9" spans="1:7" ht="55.5" customHeight="1" x14ac:dyDescent="0.25">
      <c r="A9" s="850" t="s">
        <v>879</v>
      </c>
      <c r="B9" s="850"/>
      <c r="C9" s="850"/>
      <c r="D9" s="850"/>
      <c r="E9" s="850"/>
      <c r="F9" s="850"/>
      <c r="G9" s="850"/>
    </row>
    <row r="10" spans="1:7" ht="55.5" customHeight="1" x14ac:dyDescent="0.25">
      <c r="A10" s="850" t="s">
        <v>880</v>
      </c>
      <c r="B10" s="850"/>
      <c r="C10" s="850"/>
      <c r="D10" s="850"/>
      <c r="E10" s="850"/>
      <c r="F10" s="850"/>
      <c r="G10" s="850"/>
    </row>
    <row r="11" spans="1:7" ht="55.5" customHeight="1" x14ac:dyDescent="0.25">
      <c r="A11" s="850" t="s">
        <v>881</v>
      </c>
      <c r="B11" s="850"/>
      <c r="C11" s="850"/>
      <c r="D11" s="850"/>
      <c r="E11" s="850"/>
      <c r="F11" s="850"/>
      <c r="G11" s="850"/>
    </row>
    <row r="12" spans="1:7" x14ac:dyDescent="0.25">
      <c r="A12" s="834" t="s">
        <v>882</v>
      </c>
      <c r="B12" s="834"/>
      <c r="C12" s="834"/>
      <c r="D12" s="834"/>
      <c r="E12" s="834"/>
      <c r="F12" s="834"/>
      <c r="G12" s="834"/>
    </row>
    <row r="13" spans="1:7" x14ac:dyDescent="0.25">
      <c r="A13" s="834" t="s">
        <v>882</v>
      </c>
      <c r="B13" s="834"/>
      <c r="C13" s="834"/>
      <c r="D13" s="834"/>
      <c r="E13" s="834"/>
      <c r="F13" s="834"/>
      <c r="G13" s="834"/>
    </row>
    <row r="14" spans="1:7" x14ac:dyDescent="0.25">
      <c r="A14" s="834" t="s">
        <v>882</v>
      </c>
      <c r="B14" s="834"/>
      <c r="C14" s="834"/>
      <c r="D14" s="834"/>
      <c r="E14" s="834"/>
      <c r="F14" s="834"/>
      <c r="G14" s="834"/>
    </row>
    <row r="15" spans="1:7" x14ac:dyDescent="0.25">
      <c r="A15" s="834" t="s">
        <v>882</v>
      </c>
      <c r="B15" s="834"/>
      <c r="C15" s="834"/>
      <c r="D15" s="834"/>
      <c r="E15" s="834"/>
      <c r="F15" s="834"/>
      <c r="G15" s="834"/>
    </row>
    <row r="16" spans="1:7" x14ac:dyDescent="0.25">
      <c r="A16" s="834" t="s">
        <v>882</v>
      </c>
      <c r="B16" s="834"/>
      <c r="C16" s="834"/>
      <c r="D16" s="834"/>
      <c r="E16" s="834"/>
      <c r="F16" s="834"/>
      <c r="G16" s="834"/>
    </row>
    <row r="17" spans="1:7" x14ac:dyDescent="0.25">
      <c r="A17" s="834" t="s">
        <v>882</v>
      </c>
      <c r="B17" s="834"/>
      <c r="C17" s="834"/>
      <c r="D17" s="834"/>
      <c r="E17" s="834"/>
      <c r="F17" s="834"/>
      <c r="G17" s="834"/>
    </row>
    <row r="18" spans="1:7" x14ac:dyDescent="0.25">
      <c r="A18" s="834" t="s">
        <v>882</v>
      </c>
      <c r="B18" s="834"/>
      <c r="C18" s="834"/>
      <c r="D18" s="834"/>
      <c r="E18" s="834"/>
      <c r="F18" s="834"/>
      <c r="G18" s="834"/>
    </row>
    <row r="19" spans="1:7" x14ac:dyDescent="0.25">
      <c r="A19" s="834" t="s">
        <v>882</v>
      </c>
      <c r="B19" s="834"/>
      <c r="C19" s="834"/>
      <c r="D19" s="834"/>
      <c r="E19" s="834"/>
      <c r="F19" s="834"/>
      <c r="G19" s="834"/>
    </row>
    <row r="20" spans="1:7" x14ac:dyDescent="0.25">
      <c r="A20" s="654"/>
      <c r="B20" s="654"/>
      <c r="C20" s="654"/>
      <c r="D20" s="654"/>
      <c r="E20" s="654"/>
      <c r="F20" s="654"/>
      <c r="G20" s="654"/>
    </row>
    <row r="21" spans="1:7" x14ac:dyDescent="0.25">
      <c r="A21" s="834" t="s">
        <v>883</v>
      </c>
      <c r="B21" s="834"/>
      <c r="C21" s="834"/>
      <c r="D21" s="834"/>
      <c r="E21" s="834"/>
      <c r="F21" s="834"/>
      <c r="G21" s="834"/>
    </row>
    <row r="22" spans="1:7" x14ac:dyDescent="0.25">
      <c r="A22" s="834" t="s">
        <v>884</v>
      </c>
      <c r="B22" s="834"/>
      <c r="C22" s="834"/>
      <c r="D22" s="834"/>
      <c r="E22" s="834"/>
      <c r="F22" s="834"/>
      <c r="G22" s="834"/>
    </row>
    <row r="23" spans="1:7" x14ac:dyDescent="0.25">
      <c r="A23" s="834"/>
      <c r="B23" s="834"/>
      <c r="C23" s="834"/>
      <c r="D23" s="834"/>
      <c r="E23" s="834"/>
      <c r="F23" s="834"/>
      <c r="G23" s="834"/>
    </row>
  </sheetData>
  <sheetProtection sheet="1" objects="1" scenarios="1"/>
  <mergeCells count="21">
    <mergeCell ref="A21:G21"/>
    <mergeCell ref="A22:G22"/>
    <mergeCell ref="A23:G23"/>
    <mergeCell ref="A14:G14"/>
    <mergeCell ref="A15:G15"/>
    <mergeCell ref="A16:G16"/>
    <mergeCell ref="A17:G17"/>
    <mergeCell ref="A18:G18"/>
    <mergeCell ref="A19:G19"/>
    <mergeCell ref="A13:G13"/>
    <mergeCell ref="A1:G1"/>
    <mergeCell ref="A3:G3"/>
    <mergeCell ref="A4:G4"/>
    <mergeCell ref="A5:G5"/>
    <mergeCell ref="A6:G6"/>
    <mergeCell ref="A7:G7"/>
    <mergeCell ref="A8:G8"/>
    <mergeCell ref="A9:G9"/>
    <mergeCell ref="A10:G10"/>
    <mergeCell ref="A11:G11"/>
    <mergeCell ref="A12:G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6"/>
  <sheetViews>
    <sheetView workbookViewId="0">
      <selection activeCell="A41" sqref="A41:E41"/>
    </sheetView>
  </sheetViews>
  <sheetFormatPr defaultRowHeight="15.75" x14ac:dyDescent="0.25"/>
  <cols>
    <col min="1" max="1" width="14.19921875" style="107" customWidth="1"/>
    <col min="2" max="2" width="18.69921875" style="107" customWidth="1"/>
    <col min="3" max="3" width="9.69921875" style="107" customWidth="1"/>
    <col min="4" max="4" width="14.09765625" style="107" customWidth="1"/>
    <col min="5" max="5" width="12.796875" style="107" customWidth="1"/>
    <col min="6" max="16384" width="8.796875" style="107"/>
  </cols>
  <sheetData>
    <row r="1" spans="1:5" x14ac:dyDescent="0.25">
      <c r="A1" s="112">
        <f>inputPrYr!D3</f>
        <v>0</v>
      </c>
      <c r="B1" s="73"/>
      <c r="C1" s="73"/>
      <c r="D1" s="73"/>
      <c r="E1" s="73">
        <f>inputPrYr!D6</f>
        <v>2025</v>
      </c>
    </row>
    <row r="2" spans="1:5" x14ac:dyDescent="0.25">
      <c r="A2" s="112">
        <f>inputPrYr!D4</f>
        <v>0</v>
      </c>
      <c r="B2" s="73"/>
      <c r="C2" s="73"/>
      <c r="D2" s="73"/>
      <c r="E2" s="73"/>
    </row>
    <row r="3" spans="1:5" x14ac:dyDescent="0.25">
      <c r="A3" s="73"/>
      <c r="B3" s="73"/>
      <c r="C3" s="73"/>
      <c r="D3" s="73"/>
      <c r="E3" s="73"/>
    </row>
    <row r="4" spans="1:5" x14ac:dyDescent="0.25">
      <c r="A4" s="701" t="s">
        <v>571</v>
      </c>
      <c r="B4" s="702"/>
      <c r="C4" s="702"/>
      <c r="D4" s="702"/>
      <c r="E4" s="702"/>
    </row>
    <row r="5" spans="1:5" x14ac:dyDescent="0.25">
      <c r="A5" s="73"/>
      <c r="B5" s="73"/>
      <c r="C5" s="73"/>
      <c r="D5" s="73"/>
      <c r="E5" s="73"/>
    </row>
    <row r="6" spans="1:5" x14ac:dyDescent="0.25">
      <c r="A6" s="515" t="str">
        <f>CONCATENATE("From the County Clerk's Budget Information for ",E1,":")</f>
        <v>From the County Clerk's Budget Information for 2025:</v>
      </c>
      <c r="B6" s="514"/>
      <c r="C6" s="513"/>
      <c r="D6" s="73"/>
      <c r="E6" s="113"/>
    </row>
    <row r="7" spans="1:5" x14ac:dyDescent="0.25">
      <c r="A7" s="77" t="str">
        <f>CONCATENATE("Total Assessed Valuation for ",E1-1,"")</f>
        <v>Total Assessed Valuation for 2024</v>
      </c>
      <c r="B7" s="73"/>
      <c r="C7" s="73"/>
      <c r="D7" s="73"/>
      <c r="E7" s="164"/>
    </row>
    <row r="8" spans="1:5" hidden="1" x14ac:dyDescent="0.25">
      <c r="A8" s="77" t="str">
        <f>CONCATENATE("New Improvements for ",E1-1,"")</f>
        <v>New Improvements for 2024</v>
      </c>
      <c r="B8" s="73"/>
      <c r="C8" s="73"/>
      <c r="D8" s="73"/>
      <c r="E8" s="491"/>
    </row>
    <row r="9" spans="1:5" hidden="1" x14ac:dyDescent="0.25">
      <c r="A9" s="77" t="str">
        <f>CONCATENATE("Personal Property - ",E1-1,"")</f>
        <v>Personal Property - 2024</v>
      </c>
      <c r="B9" s="73"/>
      <c r="C9" s="73"/>
      <c r="D9" s="73"/>
      <c r="E9" s="491"/>
    </row>
    <row r="10" spans="1:5" hidden="1" x14ac:dyDescent="0.25">
      <c r="A10" s="77" t="str">
        <f>CONCATENATE("Property that has changed in use for ",E1-1,"")</f>
        <v>Property that has changed in use for 2024</v>
      </c>
      <c r="B10" s="73"/>
      <c r="C10" s="73"/>
      <c r="D10" s="73"/>
      <c r="E10" s="491"/>
    </row>
    <row r="11" spans="1:5" hidden="1" x14ac:dyDescent="0.25">
      <c r="A11" s="77" t="str">
        <f>CONCATENATE("Personal Property - ",E1-2,"")</f>
        <v>Personal Property - 2023</v>
      </c>
      <c r="B11" s="73"/>
      <c r="C11" s="73"/>
      <c r="D11" s="73"/>
      <c r="E11" s="491"/>
    </row>
    <row r="12" spans="1:5" x14ac:dyDescent="0.25">
      <c r="A12" s="77" t="str">
        <f>CONCATENATE("Gross earnings (intangible) tax estimate for ",E1,"")</f>
        <v>Gross earnings (intangible) tax estimate for 2025</v>
      </c>
      <c r="B12" s="73"/>
      <c r="C12" s="73"/>
      <c r="D12" s="73"/>
      <c r="E12" s="491"/>
    </row>
    <row r="13" spans="1:5" x14ac:dyDescent="0.25">
      <c r="A13" s="77" t="str">
        <f>CONCATENATE("Neighborhood Revitalization - ",E1,"")</f>
        <v>Neighborhood Revitalization - 2025</v>
      </c>
      <c r="B13" s="73"/>
      <c r="C13" s="73"/>
      <c r="D13" s="73"/>
      <c r="E13" s="491"/>
    </row>
    <row r="14" spans="1:5" x14ac:dyDescent="0.25">
      <c r="A14" s="77"/>
      <c r="B14" s="73"/>
      <c r="C14" s="73"/>
      <c r="D14" s="73"/>
      <c r="E14" s="242"/>
    </row>
    <row r="15" spans="1:5" x14ac:dyDescent="0.25">
      <c r="A15" s="205" t="s">
        <v>746</v>
      </c>
      <c r="B15" s="73"/>
      <c r="C15" s="73"/>
      <c r="D15" s="601"/>
      <c r="E15" s="242"/>
    </row>
    <row r="16" spans="1:5" x14ac:dyDescent="0.25">
      <c r="A16" s="77"/>
      <c r="B16" s="73"/>
      <c r="C16" s="73"/>
      <c r="D16" s="73"/>
      <c r="E16" s="242"/>
    </row>
    <row r="17" spans="1:5" x14ac:dyDescent="0.25">
      <c r="A17" s="243" t="str">
        <f>CONCATENATE("Actual Tax Rates for the ",E1-1," Budget:")</f>
        <v>Actual Tax Rates for the 2024 Budget:</v>
      </c>
      <c r="B17" s="73"/>
      <c r="C17" s="73"/>
      <c r="D17" s="73"/>
      <c r="E17" s="244"/>
    </row>
    <row r="18" spans="1:5" x14ac:dyDescent="0.25">
      <c r="A18" s="703" t="s">
        <v>200</v>
      </c>
      <c r="B18" s="704"/>
      <c r="C18" s="73"/>
      <c r="D18" s="245" t="s">
        <v>2</v>
      </c>
      <c r="E18" s="244"/>
    </row>
    <row r="19" spans="1:5" x14ac:dyDescent="0.25">
      <c r="A19" s="79" t="str">
        <f>inputPrYr!B17</f>
        <v>General</v>
      </c>
      <c r="B19" s="80"/>
      <c r="C19" s="73"/>
      <c r="D19" s="492"/>
      <c r="E19" s="244"/>
    </row>
    <row r="20" spans="1:5" x14ac:dyDescent="0.25">
      <c r="A20" s="79" t="str">
        <f>inputPrYr!B18</f>
        <v>Debt Service</v>
      </c>
      <c r="B20" s="101"/>
      <c r="C20" s="73"/>
      <c r="D20" s="492"/>
      <c r="E20" s="244"/>
    </row>
    <row r="21" spans="1:5" x14ac:dyDescent="0.25">
      <c r="A21" s="79" t="str">
        <f>inputPrYr!B19</f>
        <v>Library</v>
      </c>
      <c r="B21" s="101"/>
      <c r="C21" s="73"/>
      <c r="D21" s="492"/>
      <c r="E21" s="244"/>
    </row>
    <row r="22" spans="1:5" x14ac:dyDescent="0.25">
      <c r="A22" s="79" t="str">
        <f>inputPrYr!B20</f>
        <v>Road</v>
      </c>
      <c r="B22" s="101"/>
      <c r="C22" s="73"/>
      <c r="D22" s="492"/>
      <c r="E22" s="244"/>
    </row>
    <row r="23" spans="1:5" x14ac:dyDescent="0.25">
      <c r="A23" s="79">
        <f>inputPrYr!B21</f>
        <v>0</v>
      </c>
      <c r="B23" s="101"/>
      <c r="C23" s="73"/>
      <c r="D23" s="492"/>
      <c r="E23" s="244"/>
    </row>
    <row r="24" spans="1:5" x14ac:dyDescent="0.25">
      <c r="A24" s="79">
        <f>inputPrYr!B22</f>
        <v>0</v>
      </c>
      <c r="B24" s="101"/>
      <c r="C24" s="73"/>
      <c r="D24" s="492"/>
      <c r="E24" s="244"/>
    </row>
    <row r="25" spans="1:5" x14ac:dyDescent="0.25">
      <c r="A25" s="79">
        <f>inputPrYr!B23</f>
        <v>0</v>
      </c>
      <c r="B25" s="101"/>
      <c r="C25" s="73"/>
      <c r="D25" s="493"/>
      <c r="E25" s="244"/>
    </row>
    <row r="26" spans="1:5" x14ac:dyDescent="0.25">
      <c r="A26" s="79">
        <f>inputPrYr!B24</f>
        <v>0</v>
      </c>
      <c r="B26" s="101"/>
      <c r="C26" s="73"/>
      <c r="D26" s="493"/>
      <c r="E26" s="244"/>
    </row>
    <row r="27" spans="1:5" x14ac:dyDescent="0.25">
      <c r="A27" s="79">
        <f>inputPrYr!B25</f>
        <v>0</v>
      </c>
      <c r="B27" s="101"/>
      <c r="C27" s="73"/>
      <c r="D27" s="493"/>
      <c r="E27" s="244"/>
    </row>
    <row r="28" spans="1:5" x14ac:dyDescent="0.25">
      <c r="A28" s="79">
        <f>inputPrYr!B26</f>
        <v>0</v>
      </c>
      <c r="B28" s="101"/>
      <c r="C28" s="73"/>
      <c r="D28" s="493"/>
      <c r="E28" s="244"/>
    </row>
    <row r="29" spans="1:5" x14ac:dyDescent="0.25">
      <c r="A29" s="79">
        <f>inputPrYr!B27</f>
        <v>0</v>
      </c>
      <c r="B29" s="101"/>
      <c r="C29" s="73"/>
      <c r="D29" s="493"/>
      <c r="E29" s="244"/>
    </row>
    <row r="30" spans="1:5" x14ac:dyDescent="0.25">
      <c r="A30" s="79">
        <f>inputPrYr!B28</f>
        <v>0</v>
      </c>
      <c r="B30" s="101"/>
      <c r="C30" s="73"/>
      <c r="D30" s="492"/>
      <c r="E30" s="244"/>
    </row>
    <row r="31" spans="1:5" x14ac:dyDescent="0.25">
      <c r="A31" s="73"/>
      <c r="B31" s="80" t="s">
        <v>194</v>
      </c>
      <c r="C31" s="91"/>
      <c r="D31" s="246">
        <f>SUM(D19:D30)</f>
        <v>0</v>
      </c>
      <c r="E31" s="73"/>
    </row>
    <row r="32" spans="1:5" x14ac:dyDescent="0.25">
      <c r="A32" s="73"/>
      <c r="B32" s="73"/>
      <c r="C32" s="73"/>
      <c r="D32" s="73"/>
      <c r="E32" s="73"/>
    </row>
    <row r="33" spans="1:5" x14ac:dyDescent="0.25">
      <c r="A33" s="80" t="str">
        <f>CONCATENATE("Final Assessed Valuation from the November 1, ",E1-2," Abstract:")</f>
        <v>Final Assessed Valuation from the November 1, 2023 Abstract:</v>
      </c>
      <c r="B33" s="80"/>
      <c r="C33" s="80"/>
      <c r="D33" s="80"/>
      <c r="E33" s="190"/>
    </row>
    <row r="34" spans="1:5" x14ac:dyDescent="0.25">
      <c r="A34" s="73"/>
      <c r="B34" s="73"/>
      <c r="C34" s="73"/>
      <c r="D34" s="73"/>
      <c r="E34" s="73"/>
    </row>
    <row r="35" spans="1:5" x14ac:dyDescent="0.25">
      <c r="A35" s="512" t="str">
        <f>CONCATENATE("From the County Treasurer's Budget Information - ",E1," Budget Year Estimates:")</f>
        <v>From the County Treasurer's Budget Information - 2025 Budget Year Estimates:</v>
      </c>
      <c r="B35" s="511"/>
      <c r="C35" s="511"/>
      <c r="D35" s="510"/>
      <c r="E35" s="113"/>
    </row>
    <row r="36" spans="1:5" x14ac:dyDescent="0.25">
      <c r="A36" s="79" t="s">
        <v>102</v>
      </c>
      <c r="B36" s="80"/>
      <c r="C36" s="80"/>
      <c r="D36" s="247"/>
      <c r="E36" s="545"/>
    </row>
    <row r="37" spans="1:5" x14ac:dyDescent="0.25">
      <c r="A37" s="248" t="s">
        <v>195</v>
      </c>
      <c r="B37" s="101"/>
      <c r="C37" s="101"/>
      <c r="D37" s="187"/>
      <c r="E37" s="545"/>
    </row>
    <row r="38" spans="1:5" x14ac:dyDescent="0.25">
      <c r="A38" s="248" t="s">
        <v>103</v>
      </c>
      <c r="B38" s="101"/>
      <c r="C38" s="101"/>
      <c r="D38" s="187"/>
      <c r="E38" s="545"/>
    </row>
    <row r="39" spans="1:5" x14ac:dyDescent="0.25">
      <c r="A39" s="540" t="s">
        <v>576</v>
      </c>
      <c r="B39" s="101"/>
      <c r="C39" s="101"/>
      <c r="D39" s="187"/>
      <c r="E39" s="545"/>
    </row>
    <row r="40" spans="1:5" x14ac:dyDescent="0.25">
      <c r="A40" s="540" t="s">
        <v>577</v>
      </c>
      <c r="B40" s="101"/>
      <c r="C40" s="101"/>
      <c r="D40" s="187"/>
      <c r="E40" s="545"/>
    </row>
    <row r="41" spans="1:5" x14ac:dyDescent="0.25">
      <c r="A41" s="248" t="s">
        <v>71</v>
      </c>
      <c r="B41" s="80"/>
      <c r="C41" s="80"/>
      <c r="D41" s="247"/>
      <c r="E41" s="164"/>
    </row>
    <row r="42" spans="1:5" x14ac:dyDescent="0.25">
      <c r="A42" s="73" t="s">
        <v>105</v>
      </c>
      <c r="B42" s="73"/>
      <c r="C42" s="73"/>
      <c r="D42" s="73"/>
      <c r="E42" s="73"/>
    </row>
    <row r="43" spans="1:5" x14ac:dyDescent="0.25">
      <c r="A43" s="205" t="s">
        <v>106</v>
      </c>
      <c r="B43" s="74"/>
      <c r="C43" s="74"/>
      <c r="D43" s="73"/>
      <c r="E43" s="73"/>
    </row>
    <row r="44" spans="1:5" x14ac:dyDescent="0.25">
      <c r="A44" s="77" t="str">
        <f>CONCATENATE("Actual Delinquency for ",E1-3," Tax - (e.g. rate .01213 = 1.213%;  key in 1.2)")</f>
        <v>Actual Delinquency for 2022 Tax - (e.g. rate .01213 = 1.213%;  key in 1.2)</v>
      </c>
      <c r="B44" s="73"/>
      <c r="C44" s="73"/>
      <c r="D44" s="73"/>
      <c r="E44" s="533"/>
    </row>
    <row r="45" spans="1:5" x14ac:dyDescent="0.25">
      <c r="A45" s="79" t="s">
        <v>561</v>
      </c>
      <c r="B45" s="77"/>
      <c r="C45" s="73"/>
      <c r="D45" s="73"/>
      <c r="E45" s="349">
        <v>0</v>
      </c>
    </row>
    <row r="46" spans="1:5" x14ac:dyDescent="0.25">
      <c r="A46" s="249" t="s">
        <v>107</v>
      </c>
      <c r="B46" s="249"/>
      <c r="C46" s="250"/>
      <c r="D46" s="250"/>
      <c r="E46" s="251"/>
    </row>
    <row r="47" spans="1:5" x14ac:dyDescent="0.25">
      <c r="A47" s="119"/>
      <c r="B47" s="119"/>
      <c r="C47" s="119"/>
      <c r="D47" s="119"/>
      <c r="E47" s="119"/>
    </row>
    <row r="48" spans="1:5" x14ac:dyDescent="0.25">
      <c r="A48" s="705" t="str">
        <f>CONCATENATE("From the ",E1-2," Budget Certificate Page")</f>
        <v>From the 2023 Budget Certificate Page</v>
      </c>
      <c r="B48" s="706"/>
      <c r="C48" s="119"/>
      <c r="D48" s="119"/>
      <c r="E48" s="119"/>
    </row>
    <row r="49" spans="1:5" x14ac:dyDescent="0.25">
      <c r="A49" s="252"/>
      <c r="B49" s="252" t="str">
        <f>CONCATENATE("",E1-2," Expenditure Amounts")</f>
        <v>2023 Expenditure Amounts</v>
      </c>
      <c r="C49" s="707" t="str">
        <f>CONCATENATE("Note: If the ",E1-2," budget was amended, then the")</f>
        <v>Note: If the 2023 budget was amended, then the</v>
      </c>
      <c r="D49" s="708"/>
      <c r="E49" s="708"/>
    </row>
    <row r="50" spans="1:5" x14ac:dyDescent="0.25">
      <c r="A50" s="253" t="s">
        <v>138</v>
      </c>
      <c r="B50" s="253" t="s">
        <v>139</v>
      </c>
      <c r="C50" s="207" t="s">
        <v>140</v>
      </c>
      <c r="D50" s="254"/>
      <c r="E50" s="254"/>
    </row>
    <row r="51" spans="1:5" x14ac:dyDescent="0.25">
      <c r="A51" s="92" t="str">
        <f>inputPrYr!B17</f>
        <v>General</v>
      </c>
      <c r="B51" s="190"/>
      <c r="C51" s="207" t="s">
        <v>141</v>
      </c>
      <c r="D51" s="254"/>
      <c r="E51" s="254"/>
    </row>
    <row r="52" spans="1:5" x14ac:dyDescent="0.25">
      <c r="A52" s="92" t="str">
        <f>inputPrYr!B18</f>
        <v>Debt Service</v>
      </c>
      <c r="B52" s="190"/>
      <c r="C52" s="207"/>
      <c r="D52" s="254"/>
      <c r="E52" s="254"/>
    </row>
    <row r="53" spans="1:5" x14ac:dyDescent="0.25">
      <c r="A53" s="92" t="str">
        <f>inputPrYr!B19</f>
        <v>Library</v>
      </c>
      <c r="B53" s="190"/>
      <c r="C53" s="207"/>
      <c r="D53" s="254"/>
      <c r="E53" s="254"/>
    </row>
    <row r="54" spans="1:5" x14ac:dyDescent="0.25">
      <c r="A54" s="92" t="str">
        <f>inputPrYr!B20</f>
        <v>Road</v>
      </c>
      <c r="B54" s="190"/>
      <c r="C54" s="119"/>
      <c r="D54" s="119"/>
      <c r="E54" s="119"/>
    </row>
    <row r="55" spans="1:5" x14ac:dyDescent="0.25">
      <c r="A55" s="92">
        <f>inputPrYr!B21</f>
        <v>0</v>
      </c>
      <c r="B55" s="190"/>
      <c r="C55" s="119"/>
      <c r="D55" s="119"/>
      <c r="E55" s="119"/>
    </row>
    <row r="56" spans="1:5" x14ac:dyDescent="0.25">
      <c r="A56" s="92">
        <f>inputPrYr!B22</f>
        <v>0</v>
      </c>
      <c r="B56" s="190"/>
      <c r="C56" s="119"/>
      <c r="D56" s="119"/>
      <c r="E56" s="119"/>
    </row>
    <row r="57" spans="1:5" x14ac:dyDescent="0.25">
      <c r="A57" s="92">
        <f>inputPrYr!B23</f>
        <v>0</v>
      </c>
      <c r="B57" s="190"/>
      <c r="C57" s="119"/>
      <c r="D57" s="119"/>
      <c r="E57" s="119"/>
    </row>
    <row r="58" spans="1:5" x14ac:dyDescent="0.25">
      <c r="A58" s="92">
        <f>inputPrYr!B24</f>
        <v>0</v>
      </c>
      <c r="B58" s="190"/>
      <c r="C58" s="119"/>
      <c r="D58" s="119"/>
      <c r="E58" s="119"/>
    </row>
    <row r="59" spans="1:5" x14ac:dyDescent="0.25">
      <c r="A59" s="92">
        <f>inputPrYr!B25</f>
        <v>0</v>
      </c>
      <c r="B59" s="190"/>
      <c r="C59" s="119"/>
      <c r="D59" s="119"/>
      <c r="E59" s="119"/>
    </row>
    <row r="60" spans="1:5" x14ac:dyDescent="0.25">
      <c r="A60" s="92">
        <f>inputPrYr!B26</f>
        <v>0</v>
      </c>
      <c r="B60" s="190"/>
      <c r="C60" s="119"/>
      <c r="D60" s="119"/>
      <c r="E60" s="119"/>
    </row>
    <row r="61" spans="1:5" x14ac:dyDescent="0.25">
      <c r="A61" s="92">
        <f>inputPrYr!B27</f>
        <v>0</v>
      </c>
      <c r="B61" s="190"/>
      <c r="C61" s="119"/>
      <c r="D61" s="119"/>
      <c r="E61" s="119"/>
    </row>
    <row r="62" spans="1:5" x14ac:dyDescent="0.25">
      <c r="A62" s="92">
        <f>inputPrYr!B28</f>
        <v>0</v>
      </c>
      <c r="B62" s="190"/>
      <c r="C62" s="119"/>
      <c r="D62" s="119"/>
      <c r="E62" s="119"/>
    </row>
    <row r="63" spans="1:5" x14ac:dyDescent="0.25">
      <c r="A63" s="92">
        <f>inputPrYr!B32</f>
        <v>0</v>
      </c>
      <c r="B63" s="190"/>
      <c r="C63" s="119"/>
      <c r="D63" s="119"/>
      <c r="E63" s="119"/>
    </row>
    <row r="64" spans="1:5" x14ac:dyDescent="0.25">
      <c r="A64" s="92">
        <f>inputPrYr!B33</f>
        <v>0</v>
      </c>
      <c r="B64" s="190"/>
      <c r="C64" s="119"/>
      <c r="D64" s="119"/>
      <c r="E64" s="119"/>
    </row>
    <row r="65" spans="1:5" x14ac:dyDescent="0.25">
      <c r="A65" s="92">
        <f>inputPrYr!B34</f>
        <v>0</v>
      </c>
      <c r="B65" s="190"/>
      <c r="C65" s="119"/>
      <c r="D65" s="119"/>
      <c r="E65" s="119"/>
    </row>
    <row r="66" spans="1:5" x14ac:dyDescent="0.25">
      <c r="A66" s="92">
        <f>inputPrYr!B35</f>
        <v>0</v>
      </c>
      <c r="B66" s="190"/>
      <c r="C66" s="119"/>
      <c r="D66" s="119"/>
      <c r="E66" s="119"/>
    </row>
  </sheetData>
  <sheetProtection sheet="1" objects="1" scenarios="1"/>
  <mergeCells count="4">
    <mergeCell ref="A4:E4"/>
    <mergeCell ref="A18:B18"/>
    <mergeCell ref="A48:B48"/>
    <mergeCell ref="C49:E49"/>
  </mergeCells>
  <phoneticPr fontId="9" type="noConversion"/>
  <pageMargins left="0.75" right="0.75" top="1" bottom="1" header="0.5" footer="0.5"/>
  <pageSetup scale="7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A85"/>
  <sheetViews>
    <sheetView workbookViewId="0">
      <selection activeCell="A13" sqref="A13:A14"/>
    </sheetView>
  </sheetViews>
  <sheetFormatPr defaultRowHeight="15.75" x14ac:dyDescent="0.25"/>
  <cols>
    <col min="1" max="1" width="64.19921875" style="1" customWidth="1"/>
    <col min="2" max="16384" width="8.796875" style="104"/>
  </cols>
  <sheetData>
    <row r="1" spans="1:1" ht="20.25" x14ac:dyDescent="0.3">
      <c r="A1" s="660" t="s">
        <v>899</v>
      </c>
    </row>
    <row r="3" spans="1:1" x14ac:dyDescent="0.25">
      <c r="A3" s="656" t="s">
        <v>258</v>
      </c>
    </row>
    <row r="5" spans="1:1" x14ac:dyDescent="0.25">
      <c r="A5" s="1" t="s">
        <v>259</v>
      </c>
    </row>
    <row r="6" spans="1:1" x14ac:dyDescent="0.25">
      <c r="A6" s="1" t="str">
        <f>CONCATENATE(inputPrYr!D6-2," 'total expenditures' exceed your ",inputPrYr!D6-2," 'budget authority.'")</f>
        <v>2023 'total expenditures' exceed your 2023 'budget authority.'</v>
      </c>
    </row>
    <row r="8" spans="1:1" x14ac:dyDescent="0.25">
      <c r="A8" s="1" t="s">
        <v>260</v>
      </c>
    </row>
    <row r="9" spans="1:1" x14ac:dyDescent="0.25">
      <c r="A9" s="1" t="s">
        <v>261</v>
      </c>
    </row>
    <row r="10" spans="1:1" x14ac:dyDescent="0.25">
      <c r="A10" s="1" t="s">
        <v>262</v>
      </c>
    </row>
    <row r="13" spans="1:1" x14ac:dyDescent="0.25">
      <c r="A13" s="657" t="s">
        <v>263</v>
      </c>
    </row>
    <row r="15" spans="1:1" x14ac:dyDescent="0.25">
      <c r="A15" s="1" t="s">
        <v>892</v>
      </c>
    </row>
    <row r="16" spans="1:1" x14ac:dyDescent="0.25">
      <c r="A16" s="1" t="str">
        <f>CONCATENATE("(i.e. an audit has not been completed, or the ",inputPrYr!D6," adopted")</f>
        <v>(i.e. an audit has not been completed, or the 2025 adopted</v>
      </c>
    </row>
    <row r="17" spans="1:1" x14ac:dyDescent="0.25">
      <c r="A17" s="1" t="s">
        <v>264</v>
      </c>
    </row>
    <row r="18" spans="1:1" x14ac:dyDescent="0.25">
      <c r="A18" s="1" t="s">
        <v>265</v>
      </c>
    </row>
    <row r="19" spans="1:1" x14ac:dyDescent="0.25">
      <c r="A19" s="1" t="s">
        <v>266</v>
      </c>
    </row>
    <row r="21" spans="1:1" x14ac:dyDescent="0.25">
      <c r="A21" s="657" t="s">
        <v>267</v>
      </c>
    </row>
    <row r="22" spans="1:1" x14ac:dyDescent="0.25">
      <c r="A22" s="657"/>
    </row>
    <row r="23" spans="1:1" x14ac:dyDescent="0.25">
      <c r="A23" s="1" t="s">
        <v>268</v>
      </c>
    </row>
    <row r="24" spans="1:1" x14ac:dyDescent="0.25">
      <c r="A24" s="1" t="s">
        <v>269</v>
      </c>
    </row>
    <row r="25" spans="1:1" x14ac:dyDescent="0.25">
      <c r="A25" s="1" t="str">
        <f>CONCATENATE("particular fund.  If your ",inputPrYr!D6-2," budget was amended, did you")</f>
        <v>particular fund.  If your 2023 budget was amended, did you</v>
      </c>
    </row>
    <row r="26" spans="1:1" x14ac:dyDescent="0.25">
      <c r="A26" s="1" t="s">
        <v>270</v>
      </c>
    </row>
    <row r="28" spans="1:1" x14ac:dyDescent="0.25">
      <c r="A28" s="1" t="str">
        <f>CONCATENATE("Next, look to see if any of your ",inputPrYr!D6-2," expenditures can be")</f>
        <v>Next, look to see if any of your 2023 expenditures can be</v>
      </c>
    </row>
    <row r="29" spans="1:1" x14ac:dyDescent="0.25">
      <c r="A29" s="1" t="s">
        <v>271</v>
      </c>
    </row>
    <row r="30" spans="1:1" x14ac:dyDescent="0.25">
      <c r="A30" s="1" t="s">
        <v>272</v>
      </c>
    </row>
    <row r="31" spans="1:1" x14ac:dyDescent="0.25">
      <c r="A31" s="1" t="s">
        <v>273</v>
      </c>
    </row>
    <row r="33" spans="1:1" x14ac:dyDescent="0.25">
      <c r="A33" s="1" t="str">
        <f>CONCATENATE("Additionally, do your ",inputPrYr!D6-2," receipts contain a reimbursement")</f>
        <v>Additionally, do your 2023 receipts contain a reimbursement</v>
      </c>
    </row>
    <row r="34" spans="1:1" x14ac:dyDescent="0.25">
      <c r="A34" s="1" t="s">
        <v>274</v>
      </c>
    </row>
    <row r="35" spans="1:1" x14ac:dyDescent="0.25">
      <c r="A35" s="1" t="s">
        <v>893</v>
      </c>
    </row>
    <row r="37" spans="1:1" x14ac:dyDescent="0.25">
      <c r="A37" s="1" t="s">
        <v>275</v>
      </c>
    </row>
    <row r="38" spans="1:1" x14ac:dyDescent="0.25">
      <c r="A38" s="1" t="s">
        <v>276</v>
      </c>
    </row>
    <row r="39" spans="1:1" x14ac:dyDescent="0.25">
      <c r="A39" s="1" t="s">
        <v>277</v>
      </c>
    </row>
    <row r="40" spans="1:1" x14ac:dyDescent="0.25">
      <c r="A40" s="1" t="s">
        <v>278</v>
      </c>
    </row>
    <row r="41" spans="1:1" x14ac:dyDescent="0.25">
      <c r="A41" s="1" t="s">
        <v>279</v>
      </c>
    </row>
    <row r="42" spans="1:1" x14ac:dyDescent="0.25">
      <c r="A42" s="1" t="s">
        <v>280</v>
      </c>
    </row>
    <row r="43" spans="1:1" x14ac:dyDescent="0.25">
      <c r="A43" s="1" t="s">
        <v>281</v>
      </c>
    </row>
    <row r="44" spans="1:1" x14ac:dyDescent="0.25">
      <c r="A44" s="1" t="s">
        <v>282</v>
      </c>
    </row>
    <row r="46" spans="1:1" x14ac:dyDescent="0.25">
      <c r="A46" s="1" t="s">
        <v>283</v>
      </c>
    </row>
    <row r="47" spans="1:1" x14ac:dyDescent="0.25">
      <c r="A47" s="1" t="s">
        <v>284</v>
      </c>
    </row>
    <row r="48" spans="1:1" x14ac:dyDescent="0.25">
      <c r="A48" s="1" t="s">
        <v>285</v>
      </c>
    </row>
    <row r="50" spans="1:1" x14ac:dyDescent="0.25">
      <c r="A50" s="1" t="s">
        <v>286</v>
      </c>
    </row>
    <row r="51" spans="1:1" x14ac:dyDescent="0.25">
      <c r="A51" s="1" t="s">
        <v>287</v>
      </c>
    </row>
    <row r="52" spans="1:1" x14ac:dyDescent="0.25">
      <c r="A52" s="1" t="s">
        <v>288</v>
      </c>
    </row>
    <row r="54" spans="1:1" x14ac:dyDescent="0.25">
      <c r="A54" s="657" t="s">
        <v>289</v>
      </c>
    </row>
    <row r="56" spans="1:1" x14ac:dyDescent="0.25">
      <c r="A56" s="1" t="s">
        <v>290</v>
      </c>
    </row>
    <row r="57" spans="1:1" x14ac:dyDescent="0.25">
      <c r="A57" s="1" t="s">
        <v>291</v>
      </c>
    </row>
    <row r="58" spans="1:1" x14ac:dyDescent="0.25">
      <c r="A58" s="1" t="s">
        <v>292</v>
      </c>
    </row>
    <row r="59" spans="1:1" x14ac:dyDescent="0.25">
      <c r="A59" s="1" t="s">
        <v>293</v>
      </c>
    </row>
    <row r="60" spans="1:1" x14ac:dyDescent="0.25">
      <c r="A60" s="1" t="s">
        <v>294</v>
      </c>
    </row>
    <row r="61" spans="1:1" x14ac:dyDescent="0.25">
      <c r="A61" s="1" t="s">
        <v>295</v>
      </c>
    </row>
    <row r="62" spans="1:1" x14ac:dyDescent="0.25">
      <c r="A62" s="1" t="s">
        <v>296</v>
      </c>
    </row>
    <row r="63" spans="1:1" x14ac:dyDescent="0.25">
      <c r="A63" s="1" t="s">
        <v>297</v>
      </c>
    </row>
    <row r="64" spans="1:1" x14ac:dyDescent="0.25">
      <c r="A64" s="1" t="s">
        <v>298</v>
      </c>
    </row>
    <row r="65" spans="1:1" x14ac:dyDescent="0.25">
      <c r="A65" s="1" t="s">
        <v>299</v>
      </c>
    </row>
    <row r="66" spans="1:1" x14ac:dyDescent="0.25">
      <c r="A66" s="1" t="s">
        <v>300</v>
      </c>
    </row>
    <row r="67" spans="1:1" x14ac:dyDescent="0.25">
      <c r="A67" s="1" t="s">
        <v>301</v>
      </c>
    </row>
    <row r="68" spans="1:1" x14ac:dyDescent="0.25">
      <c r="A68" s="1" t="s">
        <v>302</v>
      </c>
    </row>
    <row r="70" spans="1:1" x14ac:dyDescent="0.25">
      <c r="A70" s="1" t="s">
        <v>303</v>
      </c>
    </row>
    <row r="71" spans="1:1" x14ac:dyDescent="0.25">
      <c r="A71" s="1" t="s">
        <v>304</v>
      </c>
    </row>
    <row r="72" spans="1:1" x14ac:dyDescent="0.25">
      <c r="A72" s="1" t="s">
        <v>305</v>
      </c>
    </row>
    <row r="74" spans="1:1" x14ac:dyDescent="0.25">
      <c r="A74" s="657" t="str">
        <f>CONCATENATE("What if the ",inputPrYr!D6-2," financial records have been closed?")</f>
        <v>What if the 2023 financial records have been closed?</v>
      </c>
    </row>
    <row r="76" spans="1:1" x14ac:dyDescent="0.25">
      <c r="A76" s="1" t="s">
        <v>306</v>
      </c>
    </row>
    <row r="77" spans="1:1" x14ac:dyDescent="0.25">
      <c r="A77" s="1" t="str">
        <f>CONCATENATE("(i.e. an audit for ",inputPrYr!D6-2," has been completed, or the ",inputPrYr!D6)</f>
        <v>(i.e. an audit for 2023 has been completed, or the 2025</v>
      </c>
    </row>
    <row r="78" spans="1:1" x14ac:dyDescent="0.25">
      <c r="A78" s="1" t="s">
        <v>307</v>
      </c>
    </row>
    <row r="79" spans="1:1" x14ac:dyDescent="0.25">
      <c r="A79" s="1" t="s">
        <v>308</v>
      </c>
    </row>
    <row r="81" spans="1:1" x14ac:dyDescent="0.25">
      <c r="A81" s="1" t="s">
        <v>309</v>
      </c>
    </row>
    <row r="82" spans="1:1" x14ac:dyDescent="0.25">
      <c r="A82" s="1" t="s">
        <v>310</v>
      </c>
    </row>
    <row r="83" spans="1:1" x14ac:dyDescent="0.25">
      <c r="A83" s="1" t="s">
        <v>311</v>
      </c>
    </row>
    <row r="85" spans="1:1" x14ac:dyDescent="0.25">
      <c r="A85" s="1" t="s">
        <v>312</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J109"/>
  <sheetViews>
    <sheetView workbookViewId="0"/>
  </sheetViews>
  <sheetFormatPr defaultRowHeight="15.75" x14ac:dyDescent="0.25"/>
  <cols>
    <col min="1" max="1" width="64.19921875" style="1" customWidth="1"/>
  </cols>
  <sheetData>
    <row r="1" spans="1:10" ht="20.25" x14ac:dyDescent="0.3">
      <c r="A1" s="660" t="s">
        <v>898</v>
      </c>
    </row>
    <row r="3" spans="1:10" x14ac:dyDescent="0.25">
      <c r="A3" s="656" t="s">
        <v>313</v>
      </c>
      <c r="B3" s="271"/>
      <c r="C3" s="271"/>
      <c r="D3" s="271"/>
      <c r="E3" s="271"/>
      <c r="F3" s="271"/>
      <c r="G3" s="271"/>
      <c r="H3" s="273"/>
      <c r="I3" s="273"/>
      <c r="J3" s="273"/>
    </row>
    <row r="5" spans="1:10" x14ac:dyDescent="0.25">
      <c r="A5" s="1" t="s">
        <v>314</v>
      </c>
    </row>
    <row r="6" spans="1:10" x14ac:dyDescent="0.25">
      <c r="A6" s="1" t="str">
        <f>CONCATENATE(inputPrYr!D6-2," expenditures show that you finished the year with a ")</f>
        <v xml:space="preserve">2023 expenditures show that you finished the year with a </v>
      </c>
    </row>
    <row r="7" spans="1:10" x14ac:dyDescent="0.25">
      <c r="A7" s="1" t="s">
        <v>315</v>
      </c>
    </row>
    <row r="9" spans="1:10" x14ac:dyDescent="0.25">
      <c r="A9" s="1" t="s">
        <v>316</v>
      </c>
    </row>
    <row r="10" spans="1:10" x14ac:dyDescent="0.25">
      <c r="A10" s="1" t="s">
        <v>317</v>
      </c>
    </row>
    <row r="11" spans="1:10" x14ac:dyDescent="0.25">
      <c r="A11" s="1" t="s">
        <v>318</v>
      </c>
    </row>
    <row r="13" spans="1:10" x14ac:dyDescent="0.25">
      <c r="A13" s="657" t="s">
        <v>319</v>
      </c>
    </row>
    <row r="14" spans="1:10" x14ac:dyDescent="0.25">
      <c r="A14" s="657"/>
    </row>
    <row r="15" spans="1:10" x14ac:dyDescent="0.25">
      <c r="A15" s="1" t="s">
        <v>320</v>
      </c>
    </row>
    <row r="16" spans="1:10" x14ac:dyDescent="0.25">
      <c r="A16" s="1" t="s">
        <v>321</v>
      </c>
    </row>
    <row r="17" spans="1:1" x14ac:dyDescent="0.25">
      <c r="A17" s="1" t="s">
        <v>322</v>
      </c>
    </row>
    <row r="19" spans="1:1" x14ac:dyDescent="0.25">
      <c r="A19" s="657" t="s">
        <v>323</v>
      </c>
    </row>
    <row r="20" spans="1:1" x14ac:dyDescent="0.25">
      <c r="A20" s="657"/>
    </row>
    <row r="21" spans="1:1" x14ac:dyDescent="0.25">
      <c r="A21" s="1" t="s">
        <v>324</v>
      </c>
    </row>
    <row r="22" spans="1:1" x14ac:dyDescent="0.25">
      <c r="A22" s="1" t="s">
        <v>325</v>
      </c>
    </row>
    <row r="23" spans="1:1" x14ac:dyDescent="0.25">
      <c r="A23" s="1" t="s">
        <v>894</v>
      </c>
    </row>
    <row r="25" spans="1:1" x14ac:dyDescent="0.25">
      <c r="A25" s="657" t="s">
        <v>326</v>
      </c>
    </row>
    <row r="26" spans="1:1" x14ac:dyDescent="0.25">
      <c r="A26" s="657"/>
    </row>
    <row r="27" spans="1:1" x14ac:dyDescent="0.25">
      <c r="A27" s="1" t="s">
        <v>327</v>
      </c>
    </row>
    <row r="28" spans="1:1" x14ac:dyDescent="0.25">
      <c r="A28" s="1" t="s">
        <v>328</v>
      </c>
    </row>
    <row r="29" spans="1:1" x14ac:dyDescent="0.25">
      <c r="A29" s="1" t="s">
        <v>329</v>
      </c>
    </row>
    <row r="31" spans="1:1" x14ac:dyDescent="0.25">
      <c r="A31" s="657" t="s">
        <v>330</v>
      </c>
    </row>
    <row r="32" spans="1:1" x14ac:dyDescent="0.25">
      <c r="A32" s="657"/>
    </row>
    <row r="33" spans="1:8" x14ac:dyDescent="0.25">
      <c r="A33" s="1" t="str">
        <f>CONCATENATE("If your financial records for ",inputPrYr!D6-2," are not closed")</f>
        <v>If your financial records for 2023 are not closed</v>
      </c>
      <c r="B33" s="272"/>
      <c r="C33" s="272"/>
      <c r="D33" s="272"/>
      <c r="E33" s="272"/>
      <c r="F33" s="272"/>
      <c r="G33" s="272"/>
      <c r="H33" s="272"/>
    </row>
    <row r="34" spans="1:8" x14ac:dyDescent="0.25">
      <c r="A34" s="1" t="str">
        <f>CONCATENATE("(i.e. an audit has not been completed, or the ",inputPrYr!D6," adopted ")</f>
        <v xml:space="preserve">(i.e. an audit has not been completed, or the 2025 adopted </v>
      </c>
      <c r="B34" s="272"/>
      <c r="C34" s="272"/>
      <c r="D34" s="272"/>
      <c r="E34" s="272"/>
      <c r="F34" s="272"/>
      <c r="G34" s="272"/>
      <c r="H34" s="272"/>
    </row>
    <row r="35" spans="1:8" x14ac:dyDescent="0.25">
      <c r="A35" s="1" t="s">
        <v>331</v>
      </c>
      <c r="B35" s="272"/>
      <c r="C35" s="272"/>
      <c r="D35" s="272"/>
      <c r="E35" s="272"/>
      <c r="F35" s="272"/>
      <c r="G35" s="272"/>
      <c r="H35" s="272"/>
    </row>
    <row r="36" spans="1:8" x14ac:dyDescent="0.25">
      <c r="A36" s="1" t="s">
        <v>332</v>
      </c>
      <c r="B36" s="272"/>
      <c r="C36" s="272"/>
      <c r="D36" s="272"/>
      <c r="E36" s="272"/>
      <c r="F36" s="272"/>
      <c r="G36" s="272"/>
      <c r="H36" s="272"/>
    </row>
    <row r="37" spans="1:8" x14ac:dyDescent="0.25">
      <c r="A37" s="1" t="s">
        <v>333</v>
      </c>
      <c r="B37" s="272"/>
      <c r="C37" s="272"/>
      <c r="D37" s="272"/>
      <c r="E37" s="272"/>
      <c r="F37" s="272"/>
      <c r="G37" s="272"/>
      <c r="H37" s="272"/>
    </row>
    <row r="38" spans="1:8" x14ac:dyDescent="0.25">
      <c r="A38" s="1" t="s">
        <v>334</v>
      </c>
      <c r="B38" s="272"/>
      <c r="C38" s="272"/>
      <c r="D38" s="272"/>
      <c r="E38" s="272"/>
      <c r="F38" s="272"/>
      <c r="G38" s="272"/>
      <c r="H38" s="272"/>
    </row>
    <row r="39" spans="1:8" x14ac:dyDescent="0.25">
      <c r="A39" s="1" t="s">
        <v>335</v>
      </c>
      <c r="B39" s="272"/>
      <c r="C39" s="272"/>
      <c r="D39" s="272"/>
      <c r="E39" s="272"/>
      <c r="F39" s="272"/>
      <c r="G39" s="272"/>
      <c r="H39" s="272"/>
    </row>
    <row r="40" spans="1:8" x14ac:dyDescent="0.25">
      <c r="B40" s="272"/>
      <c r="C40" s="272"/>
      <c r="D40" s="272"/>
      <c r="E40" s="272"/>
      <c r="F40" s="272"/>
      <c r="G40" s="272"/>
      <c r="H40" s="272"/>
    </row>
    <row r="41" spans="1:8" x14ac:dyDescent="0.25">
      <c r="A41" s="1" t="s">
        <v>336</v>
      </c>
      <c r="B41" s="272"/>
      <c r="C41" s="272"/>
      <c r="D41" s="272"/>
      <c r="E41" s="272"/>
      <c r="F41" s="272"/>
      <c r="G41" s="272"/>
      <c r="H41" s="272"/>
    </row>
    <row r="42" spans="1:8" x14ac:dyDescent="0.25">
      <c r="A42" s="1" t="s">
        <v>337</v>
      </c>
      <c r="B42" s="272"/>
      <c r="C42" s="272"/>
      <c r="D42" s="272"/>
      <c r="E42" s="272"/>
      <c r="F42" s="272"/>
      <c r="G42" s="272"/>
      <c r="H42" s="272"/>
    </row>
    <row r="43" spans="1:8" x14ac:dyDescent="0.25">
      <c r="A43" s="1" t="s">
        <v>338</v>
      </c>
      <c r="B43" s="272"/>
      <c r="C43" s="272"/>
      <c r="D43" s="272"/>
      <c r="E43" s="272"/>
      <c r="F43" s="272"/>
      <c r="G43" s="272"/>
      <c r="H43" s="272"/>
    </row>
    <row r="44" spans="1:8" x14ac:dyDescent="0.25">
      <c r="A44" s="1" t="s">
        <v>339</v>
      </c>
      <c r="B44" s="272"/>
      <c r="C44" s="272"/>
      <c r="D44" s="272"/>
      <c r="E44" s="272"/>
      <c r="F44" s="272"/>
      <c r="G44" s="272"/>
      <c r="H44" s="272"/>
    </row>
    <row r="45" spans="1:8" x14ac:dyDescent="0.25">
      <c r="B45" s="272"/>
      <c r="C45" s="272"/>
      <c r="D45" s="272"/>
      <c r="E45" s="272"/>
      <c r="F45" s="272"/>
      <c r="G45" s="272"/>
      <c r="H45" s="272"/>
    </row>
    <row r="46" spans="1:8" x14ac:dyDescent="0.25">
      <c r="A46" s="1" t="s">
        <v>340</v>
      </c>
      <c r="B46" s="272"/>
      <c r="C46" s="272"/>
      <c r="D46" s="272"/>
      <c r="E46" s="272"/>
      <c r="F46" s="272"/>
      <c r="G46" s="272"/>
      <c r="H46" s="272"/>
    </row>
    <row r="47" spans="1:8" x14ac:dyDescent="0.25">
      <c r="A47" s="1" t="s">
        <v>341</v>
      </c>
      <c r="B47" s="272"/>
      <c r="C47" s="272"/>
      <c r="D47" s="272"/>
      <c r="E47" s="272"/>
      <c r="F47" s="272"/>
      <c r="G47" s="272"/>
      <c r="H47" s="272"/>
    </row>
    <row r="48" spans="1:8" x14ac:dyDescent="0.25">
      <c r="A48" s="1" t="s">
        <v>342</v>
      </c>
      <c r="B48" s="272"/>
      <c r="C48" s="272"/>
      <c r="D48" s="272"/>
      <c r="E48" s="272"/>
      <c r="F48" s="272"/>
      <c r="G48" s="272"/>
      <c r="H48" s="272"/>
    </row>
    <row r="49" spans="1:8" x14ac:dyDescent="0.25">
      <c r="A49" s="1" t="s">
        <v>343</v>
      </c>
      <c r="B49" s="272"/>
      <c r="C49" s="272"/>
      <c r="D49" s="272"/>
      <c r="E49" s="272"/>
      <c r="F49" s="272"/>
      <c r="G49" s="272"/>
      <c r="H49" s="272"/>
    </row>
    <row r="50" spans="1:8" x14ac:dyDescent="0.25">
      <c r="A50" s="1" t="s">
        <v>344</v>
      </c>
      <c r="B50" s="272"/>
      <c r="C50" s="272"/>
      <c r="D50" s="272"/>
      <c r="E50" s="272"/>
      <c r="F50" s="272"/>
      <c r="G50" s="272"/>
      <c r="H50" s="272"/>
    </row>
    <row r="51" spans="1:8" x14ac:dyDescent="0.25">
      <c r="B51" s="272"/>
      <c r="C51" s="272"/>
      <c r="D51" s="272"/>
      <c r="E51" s="272"/>
      <c r="F51" s="272"/>
      <c r="G51" s="272"/>
      <c r="H51" s="272"/>
    </row>
    <row r="52" spans="1:8" x14ac:dyDescent="0.25">
      <c r="A52" s="657" t="s">
        <v>345</v>
      </c>
      <c r="B52" s="273"/>
      <c r="C52" s="273"/>
      <c r="D52" s="273"/>
      <c r="E52" s="273"/>
      <c r="F52" s="273"/>
      <c r="G52" s="273"/>
      <c r="H52" s="272"/>
    </row>
    <row r="53" spans="1:8" x14ac:dyDescent="0.25">
      <c r="A53" s="657" t="s">
        <v>346</v>
      </c>
      <c r="B53" s="273"/>
      <c r="C53" s="273"/>
      <c r="D53" s="273"/>
      <c r="E53" s="273"/>
      <c r="F53" s="273"/>
      <c r="G53" s="273"/>
      <c r="H53" s="272"/>
    </row>
    <row r="54" spans="1:8" x14ac:dyDescent="0.25">
      <c r="B54" s="272"/>
      <c r="C54" s="272"/>
      <c r="D54" s="272"/>
      <c r="E54" s="272"/>
      <c r="F54" s="272"/>
      <c r="G54" s="272"/>
      <c r="H54" s="272"/>
    </row>
    <row r="55" spans="1:8" x14ac:dyDescent="0.25">
      <c r="A55" s="1" t="s">
        <v>347</v>
      </c>
      <c r="B55" s="272"/>
      <c r="C55" s="272"/>
      <c r="D55" s="272"/>
      <c r="E55" s="272"/>
      <c r="F55" s="272"/>
      <c r="G55" s="272"/>
      <c r="H55" s="272"/>
    </row>
    <row r="56" spans="1:8" x14ac:dyDescent="0.25">
      <c r="A56" s="1" t="s">
        <v>348</v>
      </c>
      <c r="B56" s="272"/>
      <c r="C56" s="272"/>
      <c r="D56" s="272"/>
      <c r="E56" s="272"/>
      <c r="F56" s="272"/>
      <c r="G56" s="272"/>
      <c r="H56" s="272"/>
    </row>
    <row r="57" spans="1:8" x14ac:dyDescent="0.25">
      <c r="A57" s="1" t="s">
        <v>349</v>
      </c>
      <c r="B57" s="272"/>
      <c r="C57" s="272"/>
      <c r="D57" s="272"/>
      <c r="E57" s="272"/>
      <c r="F57" s="272"/>
      <c r="G57" s="272"/>
      <c r="H57" s="272"/>
    </row>
    <row r="58" spans="1:8" x14ac:dyDescent="0.25">
      <c r="A58" s="1" t="s">
        <v>350</v>
      </c>
      <c r="B58" s="272"/>
      <c r="C58" s="272"/>
      <c r="D58" s="272"/>
      <c r="E58" s="272"/>
      <c r="F58" s="272"/>
      <c r="G58" s="272"/>
      <c r="H58" s="272"/>
    </row>
    <row r="59" spans="1:8" x14ac:dyDescent="0.25">
      <c r="B59" s="272"/>
      <c r="C59" s="272"/>
      <c r="D59" s="272"/>
      <c r="E59" s="272"/>
      <c r="F59" s="272"/>
      <c r="G59" s="272"/>
      <c r="H59" s="272"/>
    </row>
    <row r="60" spans="1:8" x14ac:dyDescent="0.25">
      <c r="A60" s="1" t="s">
        <v>351</v>
      </c>
      <c r="B60" s="272"/>
      <c r="C60" s="272"/>
      <c r="D60" s="272"/>
      <c r="E60" s="272"/>
      <c r="F60" s="272"/>
      <c r="G60" s="272"/>
      <c r="H60" s="272"/>
    </row>
    <row r="61" spans="1:8" x14ac:dyDescent="0.25">
      <c r="A61" s="1" t="s">
        <v>352</v>
      </c>
      <c r="B61" s="272"/>
      <c r="C61" s="272"/>
      <c r="D61" s="272"/>
      <c r="E61" s="272"/>
      <c r="F61" s="272"/>
      <c r="G61" s="272"/>
      <c r="H61" s="272"/>
    </row>
    <row r="62" spans="1:8" x14ac:dyDescent="0.25">
      <c r="A62" s="1" t="s">
        <v>353</v>
      </c>
      <c r="B62" s="272"/>
      <c r="C62" s="272"/>
      <c r="D62" s="272"/>
      <c r="E62" s="272"/>
      <c r="F62" s="272"/>
      <c r="G62" s="272"/>
      <c r="H62" s="272"/>
    </row>
    <row r="63" spans="1:8" x14ac:dyDescent="0.25">
      <c r="A63" s="1" t="s">
        <v>354</v>
      </c>
      <c r="B63" s="272"/>
      <c r="C63" s="272"/>
      <c r="D63" s="272"/>
      <c r="E63" s="272"/>
      <c r="F63" s="272"/>
      <c r="G63" s="272"/>
      <c r="H63" s="272"/>
    </row>
    <row r="64" spans="1:8" x14ac:dyDescent="0.25">
      <c r="A64" s="1" t="s">
        <v>355</v>
      </c>
      <c r="B64" s="272"/>
      <c r="C64" s="272"/>
      <c r="D64" s="272"/>
      <c r="E64" s="272"/>
      <c r="F64" s="272"/>
      <c r="G64" s="272"/>
      <c r="H64" s="272"/>
    </row>
    <row r="65" spans="1:8" x14ac:dyDescent="0.25">
      <c r="A65" s="1" t="s">
        <v>356</v>
      </c>
      <c r="B65" s="272"/>
      <c r="C65" s="272"/>
      <c r="D65" s="272"/>
      <c r="E65" s="272"/>
      <c r="F65" s="272"/>
      <c r="G65" s="272"/>
      <c r="H65" s="272"/>
    </row>
    <row r="66" spans="1:8" x14ac:dyDescent="0.25">
      <c r="B66" s="272"/>
      <c r="C66" s="272"/>
      <c r="D66" s="272"/>
      <c r="E66" s="272"/>
      <c r="F66" s="272"/>
      <c r="G66" s="272"/>
      <c r="H66" s="272"/>
    </row>
    <row r="67" spans="1:8" x14ac:dyDescent="0.25">
      <c r="A67" s="1" t="s">
        <v>357</v>
      </c>
      <c r="B67" s="272"/>
      <c r="C67" s="272"/>
      <c r="D67" s="272"/>
      <c r="E67" s="272"/>
      <c r="F67" s="272"/>
      <c r="G67" s="272"/>
      <c r="H67" s="272"/>
    </row>
    <row r="68" spans="1:8" x14ac:dyDescent="0.25">
      <c r="A68" s="1" t="s">
        <v>358</v>
      </c>
      <c r="B68" s="272"/>
      <c r="C68" s="272"/>
      <c r="D68" s="272"/>
      <c r="E68" s="272"/>
      <c r="F68" s="272"/>
      <c r="G68" s="272"/>
      <c r="H68" s="272"/>
    </row>
    <row r="69" spans="1:8" x14ac:dyDescent="0.25">
      <c r="A69" s="1" t="s">
        <v>359</v>
      </c>
      <c r="B69" s="272"/>
      <c r="C69" s="272"/>
      <c r="D69" s="272"/>
      <c r="E69" s="272"/>
      <c r="F69" s="272"/>
      <c r="G69" s="272"/>
      <c r="H69" s="272"/>
    </row>
    <row r="70" spans="1:8" x14ac:dyDescent="0.25">
      <c r="A70" s="1" t="s">
        <v>360</v>
      </c>
      <c r="B70" s="272"/>
      <c r="C70" s="272"/>
      <c r="D70" s="272"/>
      <c r="E70" s="272"/>
      <c r="F70" s="272"/>
      <c r="G70" s="272"/>
      <c r="H70" s="272"/>
    </row>
    <row r="71" spans="1:8" x14ac:dyDescent="0.25">
      <c r="A71" s="1" t="s">
        <v>361</v>
      </c>
      <c r="B71" s="272"/>
      <c r="C71" s="272"/>
      <c r="D71" s="272"/>
      <c r="E71" s="272"/>
      <c r="F71" s="272"/>
      <c r="G71" s="272"/>
      <c r="H71" s="272"/>
    </row>
    <row r="72" spans="1:8" x14ac:dyDescent="0.25">
      <c r="A72" s="1" t="s">
        <v>362</v>
      </c>
      <c r="B72" s="272"/>
      <c r="C72" s="272"/>
      <c r="D72" s="272"/>
      <c r="E72" s="272"/>
      <c r="F72" s="272"/>
      <c r="G72" s="272"/>
      <c r="H72" s="272"/>
    </row>
    <row r="73" spans="1:8" x14ac:dyDescent="0.25">
      <c r="A73" s="1" t="s">
        <v>363</v>
      </c>
      <c r="B73" s="272"/>
      <c r="C73" s="272"/>
      <c r="D73" s="272"/>
      <c r="E73" s="272"/>
      <c r="F73" s="272"/>
      <c r="G73" s="272"/>
      <c r="H73" s="272"/>
    </row>
    <row r="74" spans="1:8" x14ac:dyDescent="0.25">
      <c r="B74" s="272"/>
      <c r="C74" s="272"/>
      <c r="D74" s="272"/>
      <c r="E74" s="272"/>
      <c r="F74" s="272"/>
      <c r="G74" s="272"/>
      <c r="H74" s="272"/>
    </row>
    <row r="75" spans="1:8" x14ac:dyDescent="0.25">
      <c r="A75" s="1" t="s">
        <v>364</v>
      </c>
      <c r="B75" s="272"/>
      <c r="C75" s="272"/>
      <c r="D75" s="272"/>
      <c r="E75" s="272"/>
      <c r="F75" s="272"/>
      <c r="G75" s="272"/>
      <c r="H75" s="272"/>
    </row>
    <row r="76" spans="1:8" x14ac:dyDescent="0.25">
      <c r="A76" s="1" t="s">
        <v>365</v>
      </c>
      <c r="B76" s="272"/>
      <c r="C76" s="272"/>
      <c r="D76" s="272"/>
      <c r="E76" s="272"/>
      <c r="F76" s="272"/>
      <c r="G76" s="272"/>
      <c r="H76" s="272"/>
    </row>
    <row r="77" spans="1:8" x14ac:dyDescent="0.25">
      <c r="A77" s="1" t="s">
        <v>366</v>
      </c>
      <c r="B77" s="272"/>
      <c r="C77" s="272"/>
      <c r="D77" s="272"/>
      <c r="E77" s="272"/>
      <c r="F77" s="272"/>
      <c r="G77" s="272"/>
      <c r="H77" s="272"/>
    </row>
    <row r="78" spans="1:8" x14ac:dyDescent="0.25">
      <c r="B78" s="272"/>
      <c r="C78" s="272"/>
      <c r="D78" s="272"/>
      <c r="E78" s="272"/>
      <c r="F78" s="272"/>
      <c r="G78" s="272"/>
      <c r="H78" s="272"/>
    </row>
    <row r="79" spans="1:8" x14ac:dyDescent="0.25">
      <c r="A79" s="1" t="s">
        <v>312</v>
      </c>
    </row>
    <row r="80" spans="1:8" x14ac:dyDescent="0.25">
      <c r="A80" s="657"/>
    </row>
    <row r="107" spans="1:1" x14ac:dyDescent="0.25">
      <c r="A107" s="657"/>
    </row>
    <row r="108" spans="1:1" x14ac:dyDescent="0.25">
      <c r="A108" s="657"/>
    </row>
    <row r="109" spans="1:1" x14ac:dyDescent="0.25">
      <c r="A109" s="657"/>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L75"/>
  <sheetViews>
    <sheetView workbookViewId="0"/>
  </sheetViews>
  <sheetFormatPr defaultRowHeight="15.75" x14ac:dyDescent="0.25"/>
  <cols>
    <col min="1" max="1" width="64.19921875" style="1" customWidth="1"/>
  </cols>
  <sheetData>
    <row r="1" spans="1:12" ht="20.25" x14ac:dyDescent="0.3">
      <c r="A1" s="660" t="s">
        <v>897</v>
      </c>
    </row>
    <row r="3" spans="1:12" x14ac:dyDescent="0.25">
      <c r="A3" s="656" t="s">
        <v>367</v>
      </c>
      <c r="B3" s="271"/>
      <c r="C3" s="271"/>
      <c r="D3" s="271"/>
      <c r="E3" s="271"/>
      <c r="F3" s="271"/>
      <c r="G3" s="271"/>
      <c r="H3" s="271"/>
      <c r="I3" s="271"/>
      <c r="J3" s="271"/>
      <c r="K3" s="271"/>
      <c r="L3" s="271"/>
    </row>
    <row r="4" spans="1:12" x14ac:dyDescent="0.25">
      <c r="A4" s="656"/>
      <c r="B4" s="271"/>
      <c r="C4" s="271"/>
      <c r="D4" s="271"/>
      <c r="E4" s="271"/>
      <c r="F4" s="271"/>
      <c r="G4" s="271"/>
      <c r="H4" s="271"/>
      <c r="I4" s="271"/>
      <c r="J4" s="271"/>
      <c r="K4" s="271"/>
      <c r="L4" s="271"/>
    </row>
    <row r="5" spans="1:12" x14ac:dyDescent="0.25">
      <c r="A5" s="1" t="s">
        <v>259</v>
      </c>
      <c r="I5" s="271"/>
      <c r="J5" s="271"/>
      <c r="K5" s="271"/>
      <c r="L5" s="271"/>
    </row>
    <row r="6" spans="1:12" x14ac:dyDescent="0.25">
      <c r="A6" s="1" t="str">
        <f>CONCATENATE("estimated ",inputPrYr!D6-1," 'total expenditures' exceed your ",inputPrYr!D6-1,"")</f>
        <v>estimated 2024 'total expenditures' exceed your 2024</v>
      </c>
      <c r="I6" s="271"/>
      <c r="J6" s="271"/>
      <c r="K6" s="271"/>
      <c r="L6" s="271"/>
    </row>
    <row r="7" spans="1:12" x14ac:dyDescent="0.25">
      <c r="A7" s="658" t="s">
        <v>368</v>
      </c>
      <c r="I7" s="271"/>
      <c r="J7" s="271"/>
      <c r="K7" s="271"/>
      <c r="L7" s="271"/>
    </row>
    <row r="8" spans="1:12" x14ac:dyDescent="0.25">
      <c r="I8" s="271"/>
      <c r="J8" s="271"/>
      <c r="K8" s="271"/>
      <c r="L8" s="271"/>
    </row>
    <row r="9" spans="1:12" x14ac:dyDescent="0.25">
      <c r="A9" s="1" t="s">
        <v>369</v>
      </c>
      <c r="I9" s="271"/>
      <c r="J9" s="271"/>
      <c r="K9" s="271"/>
      <c r="L9" s="271"/>
    </row>
    <row r="10" spans="1:12" x14ac:dyDescent="0.25">
      <c r="A10" s="1" t="s">
        <v>370</v>
      </c>
      <c r="I10" s="271"/>
      <c r="J10" s="271"/>
      <c r="K10" s="271"/>
      <c r="L10" s="271"/>
    </row>
    <row r="11" spans="1:12" x14ac:dyDescent="0.25">
      <c r="A11" s="1" t="s">
        <v>371</v>
      </c>
      <c r="I11" s="271"/>
      <c r="J11" s="271"/>
      <c r="K11" s="271"/>
      <c r="L11" s="271"/>
    </row>
    <row r="12" spans="1:12" x14ac:dyDescent="0.25">
      <c r="A12" s="1" t="s">
        <v>372</v>
      </c>
      <c r="I12" s="271"/>
      <c r="J12" s="271"/>
      <c r="K12" s="271"/>
      <c r="L12" s="271"/>
    </row>
    <row r="13" spans="1:12" x14ac:dyDescent="0.25">
      <c r="A13" s="1" t="s">
        <v>373</v>
      </c>
      <c r="I13" s="271"/>
      <c r="J13" s="271"/>
      <c r="K13" s="271"/>
      <c r="L13" s="271"/>
    </row>
    <row r="14" spans="1:12" x14ac:dyDescent="0.25">
      <c r="A14" s="656"/>
      <c r="B14" s="271"/>
      <c r="C14" s="271"/>
      <c r="D14" s="271"/>
      <c r="E14" s="271"/>
      <c r="F14" s="271"/>
      <c r="G14" s="271"/>
      <c r="H14" s="271"/>
      <c r="I14" s="271"/>
      <c r="J14" s="271"/>
      <c r="K14" s="271"/>
      <c r="L14" s="271"/>
    </row>
    <row r="15" spans="1:12" x14ac:dyDescent="0.25">
      <c r="A15" s="657" t="s">
        <v>374</v>
      </c>
    </row>
    <row r="16" spans="1:12" x14ac:dyDescent="0.25">
      <c r="A16" s="657" t="s">
        <v>375</v>
      </c>
    </row>
    <row r="17" spans="1:7" x14ac:dyDescent="0.25">
      <c r="A17" s="657"/>
    </row>
    <row r="18" spans="1:7" x14ac:dyDescent="0.25">
      <c r="A18" s="1" t="s">
        <v>376</v>
      </c>
      <c r="B18" s="272"/>
      <c r="C18" s="272"/>
      <c r="D18" s="272"/>
      <c r="E18" s="272"/>
      <c r="F18" s="272"/>
      <c r="G18" s="272"/>
    </row>
    <row r="19" spans="1:7" x14ac:dyDescent="0.25">
      <c r="A19" s="1" t="str">
        <f>CONCATENATE("your ",inputPrYr!D6-1," numbers to see what steps might be necessary to")</f>
        <v>your 2024 numbers to see what steps might be necessary to</v>
      </c>
      <c r="B19" s="272"/>
      <c r="C19" s="272"/>
      <c r="D19" s="272"/>
      <c r="E19" s="272"/>
      <c r="F19" s="272"/>
      <c r="G19" s="272"/>
    </row>
    <row r="20" spans="1:7" x14ac:dyDescent="0.25">
      <c r="A20" s="1" t="s">
        <v>377</v>
      </c>
      <c r="B20" s="272"/>
      <c r="C20" s="272"/>
      <c r="D20" s="272"/>
      <c r="E20" s="272"/>
      <c r="F20" s="272"/>
      <c r="G20" s="272"/>
    </row>
    <row r="21" spans="1:7" x14ac:dyDescent="0.25">
      <c r="A21" s="1" t="s">
        <v>378</v>
      </c>
      <c r="B21" s="272"/>
      <c r="C21" s="272"/>
      <c r="D21" s="272"/>
      <c r="E21" s="272"/>
      <c r="F21" s="272"/>
      <c r="G21" s="272"/>
    </row>
    <row r="23" spans="1:7" x14ac:dyDescent="0.25">
      <c r="A23" s="657" t="s">
        <v>379</v>
      </c>
    </row>
    <row r="24" spans="1:7" x14ac:dyDescent="0.25">
      <c r="A24" s="657"/>
    </row>
    <row r="25" spans="1:7" x14ac:dyDescent="0.25">
      <c r="A25" s="1" t="s">
        <v>380</v>
      </c>
    </row>
    <row r="26" spans="1:7" x14ac:dyDescent="0.25">
      <c r="A26" s="1" t="s">
        <v>381</v>
      </c>
      <c r="B26" s="272"/>
      <c r="C26" s="272"/>
      <c r="D26" s="272"/>
      <c r="E26" s="272"/>
      <c r="F26" s="272"/>
    </row>
    <row r="27" spans="1:7" x14ac:dyDescent="0.25">
      <c r="A27" s="1" t="s">
        <v>382</v>
      </c>
      <c r="B27" s="272"/>
      <c r="C27" s="272"/>
      <c r="D27" s="272"/>
      <c r="E27" s="272"/>
      <c r="F27" s="272"/>
    </row>
    <row r="28" spans="1:7" x14ac:dyDescent="0.25">
      <c r="A28" s="1" t="s">
        <v>383</v>
      </c>
      <c r="B28" s="272"/>
      <c r="C28" s="272"/>
      <c r="D28" s="272"/>
      <c r="E28" s="272"/>
      <c r="F28" s="272"/>
    </row>
    <row r="29" spans="1:7" x14ac:dyDescent="0.25">
      <c r="B29" s="272"/>
      <c r="C29" s="272"/>
      <c r="D29" s="272"/>
      <c r="E29" s="272"/>
      <c r="F29" s="272"/>
    </row>
    <row r="30" spans="1:7" x14ac:dyDescent="0.25">
      <c r="A30" s="657" t="s">
        <v>384</v>
      </c>
      <c r="B30" s="273"/>
      <c r="C30" s="273"/>
      <c r="D30" s="273"/>
      <c r="E30" s="273"/>
      <c r="F30" s="273"/>
      <c r="G30" s="273"/>
    </row>
    <row r="31" spans="1:7" x14ac:dyDescent="0.25">
      <c r="A31" s="657" t="s">
        <v>385</v>
      </c>
      <c r="B31" s="273"/>
      <c r="C31" s="273"/>
      <c r="D31" s="273"/>
      <c r="E31" s="273"/>
      <c r="F31" s="273"/>
      <c r="G31" s="273"/>
    </row>
    <row r="32" spans="1:7" x14ac:dyDescent="0.25">
      <c r="B32" s="272"/>
      <c r="C32" s="272"/>
      <c r="D32" s="272"/>
      <c r="E32" s="272"/>
      <c r="F32" s="272"/>
    </row>
    <row r="33" spans="1:6" x14ac:dyDescent="0.25">
      <c r="A33" s="659" t="str">
        <f>CONCATENATE("Well, let's look to see if any of your ",inputPrYr!D6-1," expenditures can")</f>
        <v>Well, let's look to see if any of your 2024 expenditures can</v>
      </c>
      <c r="B33" s="272"/>
      <c r="C33" s="272"/>
      <c r="D33" s="272"/>
      <c r="E33" s="272"/>
      <c r="F33" s="272"/>
    </row>
    <row r="34" spans="1:6" x14ac:dyDescent="0.25">
      <c r="A34" s="659" t="s">
        <v>386</v>
      </c>
      <c r="B34" s="272"/>
      <c r="C34" s="272"/>
      <c r="D34" s="272"/>
      <c r="E34" s="272"/>
      <c r="F34" s="272"/>
    </row>
    <row r="35" spans="1:6" x14ac:dyDescent="0.25">
      <c r="A35" s="659" t="s">
        <v>272</v>
      </c>
      <c r="B35" s="272"/>
      <c r="C35" s="272"/>
      <c r="D35" s="272"/>
      <c r="E35" s="272"/>
      <c r="F35" s="272"/>
    </row>
    <row r="36" spans="1:6" x14ac:dyDescent="0.25">
      <c r="A36" s="659" t="s">
        <v>273</v>
      </c>
      <c r="B36" s="272"/>
      <c r="C36" s="272"/>
      <c r="D36" s="272"/>
      <c r="E36" s="272"/>
      <c r="F36" s="272"/>
    </row>
    <row r="37" spans="1:6" x14ac:dyDescent="0.25">
      <c r="A37" s="659"/>
      <c r="B37" s="272"/>
      <c r="C37" s="272"/>
      <c r="D37" s="272"/>
      <c r="E37" s="272"/>
      <c r="F37" s="272"/>
    </row>
    <row r="38" spans="1:6" x14ac:dyDescent="0.25">
      <c r="A38" s="659" t="str">
        <f>CONCATENATE("Additionally, do your ",inputPrYr!D6-1," receipts contain a reimbursement")</f>
        <v>Additionally, do your 2024 receipts contain a reimbursement</v>
      </c>
      <c r="B38" s="272"/>
      <c r="C38" s="272"/>
      <c r="D38" s="272"/>
      <c r="E38" s="272"/>
      <c r="F38" s="272"/>
    </row>
    <row r="39" spans="1:6" x14ac:dyDescent="0.25">
      <c r="A39" s="659" t="s">
        <v>274</v>
      </c>
      <c r="B39" s="272"/>
      <c r="C39" s="272"/>
      <c r="D39" s="272"/>
      <c r="E39" s="272"/>
      <c r="F39" s="272"/>
    </row>
    <row r="40" spans="1:6" x14ac:dyDescent="0.25">
      <c r="A40" s="659" t="s">
        <v>893</v>
      </c>
      <c r="B40" s="272"/>
      <c r="C40" s="272"/>
      <c r="D40" s="272"/>
      <c r="E40" s="272"/>
      <c r="F40" s="272"/>
    </row>
    <row r="41" spans="1:6" x14ac:dyDescent="0.25">
      <c r="A41" s="659"/>
      <c r="B41" s="272"/>
      <c r="C41" s="272"/>
      <c r="D41" s="272"/>
      <c r="E41" s="272"/>
      <c r="F41" s="272"/>
    </row>
    <row r="42" spans="1:6" x14ac:dyDescent="0.25">
      <c r="A42" s="659" t="s">
        <v>275</v>
      </c>
      <c r="B42" s="272"/>
      <c r="C42" s="272"/>
      <c r="D42" s="272"/>
      <c r="E42" s="272"/>
      <c r="F42" s="272"/>
    </row>
    <row r="43" spans="1:6" x14ac:dyDescent="0.25">
      <c r="A43" s="659" t="s">
        <v>276</v>
      </c>
      <c r="B43" s="272"/>
      <c r="C43" s="272"/>
      <c r="D43" s="272"/>
      <c r="E43" s="272"/>
      <c r="F43" s="272"/>
    </row>
    <row r="44" spans="1:6" x14ac:dyDescent="0.25">
      <c r="A44" s="659" t="s">
        <v>277</v>
      </c>
      <c r="B44" s="272"/>
      <c r="C44" s="272"/>
      <c r="D44" s="272"/>
      <c r="E44" s="272"/>
      <c r="F44" s="272"/>
    </row>
    <row r="45" spans="1:6" x14ac:dyDescent="0.25">
      <c r="A45" s="659" t="s">
        <v>387</v>
      </c>
      <c r="B45" s="272"/>
      <c r="C45" s="272"/>
      <c r="D45" s="272"/>
      <c r="E45" s="272"/>
      <c r="F45" s="272"/>
    </row>
    <row r="46" spans="1:6" x14ac:dyDescent="0.25">
      <c r="A46" s="659" t="s">
        <v>279</v>
      </c>
      <c r="B46" s="272"/>
      <c r="C46" s="272"/>
      <c r="D46" s="272"/>
      <c r="E46" s="272"/>
      <c r="F46" s="272"/>
    </row>
    <row r="47" spans="1:6" x14ac:dyDescent="0.25">
      <c r="A47" s="659" t="s">
        <v>388</v>
      </c>
      <c r="B47" s="272"/>
      <c r="C47" s="272"/>
      <c r="D47" s="272"/>
      <c r="E47" s="272"/>
      <c r="F47" s="272"/>
    </row>
    <row r="48" spans="1:6" x14ac:dyDescent="0.25">
      <c r="A48" s="659" t="s">
        <v>389</v>
      </c>
      <c r="B48" s="272"/>
      <c r="C48" s="272"/>
      <c r="D48" s="272"/>
      <c r="E48" s="272"/>
      <c r="F48" s="272"/>
    </row>
    <row r="49" spans="1:6" x14ac:dyDescent="0.25">
      <c r="A49" s="659" t="s">
        <v>282</v>
      </c>
      <c r="B49" s="272"/>
      <c r="C49" s="272"/>
      <c r="D49" s="272"/>
      <c r="E49" s="272"/>
      <c r="F49" s="272"/>
    </row>
    <row r="50" spans="1:6" x14ac:dyDescent="0.25">
      <c r="A50" s="659"/>
      <c r="B50" s="272"/>
      <c r="C50" s="272"/>
      <c r="D50" s="272"/>
      <c r="E50" s="272"/>
      <c r="F50" s="272"/>
    </row>
    <row r="51" spans="1:6" x14ac:dyDescent="0.25">
      <c r="A51" s="659" t="s">
        <v>283</v>
      </c>
      <c r="B51" s="272"/>
      <c r="C51" s="272"/>
      <c r="D51" s="272"/>
      <c r="E51" s="272"/>
      <c r="F51" s="272"/>
    </row>
    <row r="52" spans="1:6" x14ac:dyDescent="0.25">
      <c r="A52" s="659" t="s">
        <v>284</v>
      </c>
      <c r="B52" s="272"/>
      <c r="C52" s="272"/>
      <c r="D52" s="272"/>
      <c r="E52" s="272"/>
      <c r="F52" s="272"/>
    </row>
    <row r="53" spans="1:6" x14ac:dyDescent="0.25">
      <c r="A53" s="659" t="s">
        <v>285</v>
      </c>
      <c r="B53" s="272"/>
      <c r="C53" s="272"/>
      <c r="D53" s="272"/>
      <c r="E53" s="272"/>
      <c r="F53" s="272"/>
    </row>
    <row r="54" spans="1:6" x14ac:dyDescent="0.25">
      <c r="A54" s="659"/>
      <c r="B54" s="272"/>
      <c r="C54" s="272"/>
      <c r="D54" s="272"/>
      <c r="E54" s="272"/>
      <c r="F54" s="272"/>
    </row>
    <row r="55" spans="1:6" x14ac:dyDescent="0.25">
      <c r="A55" s="659" t="s">
        <v>390</v>
      </c>
      <c r="B55" s="272"/>
      <c r="C55" s="272"/>
      <c r="D55" s="272"/>
      <c r="E55" s="272"/>
      <c r="F55" s="272"/>
    </row>
    <row r="56" spans="1:6" x14ac:dyDescent="0.25">
      <c r="A56" s="659" t="s">
        <v>391</v>
      </c>
      <c r="B56" s="272"/>
      <c r="C56" s="272"/>
      <c r="D56" s="272"/>
      <c r="E56" s="272"/>
      <c r="F56" s="272"/>
    </row>
    <row r="57" spans="1:6" x14ac:dyDescent="0.25">
      <c r="A57" s="659" t="s">
        <v>392</v>
      </c>
      <c r="B57" s="272"/>
      <c r="C57" s="272"/>
      <c r="D57" s="272"/>
      <c r="E57" s="272"/>
      <c r="F57" s="272"/>
    </row>
    <row r="58" spans="1:6" x14ac:dyDescent="0.25">
      <c r="A58" s="659" t="s">
        <v>393</v>
      </c>
      <c r="B58" s="272"/>
      <c r="C58" s="272"/>
      <c r="D58" s="272"/>
      <c r="E58" s="272"/>
      <c r="F58" s="272"/>
    </row>
    <row r="59" spans="1:6" x14ac:dyDescent="0.25">
      <c r="A59" s="659" t="s">
        <v>394</v>
      </c>
      <c r="B59" s="272"/>
      <c r="C59" s="272"/>
      <c r="D59" s="272"/>
      <c r="E59" s="272"/>
      <c r="F59" s="272"/>
    </row>
    <row r="60" spans="1:6" x14ac:dyDescent="0.25">
      <c r="A60" s="659"/>
      <c r="B60" s="272"/>
      <c r="C60" s="272"/>
      <c r="D60" s="272"/>
      <c r="E60" s="272"/>
      <c r="F60" s="272"/>
    </row>
    <row r="61" spans="1:6" x14ac:dyDescent="0.25">
      <c r="A61" s="659" t="s">
        <v>395</v>
      </c>
      <c r="B61" s="272"/>
      <c r="C61" s="272"/>
      <c r="D61" s="272"/>
      <c r="E61" s="272"/>
      <c r="F61" s="272"/>
    </row>
    <row r="62" spans="1:6" x14ac:dyDescent="0.25">
      <c r="A62" s="659" t="s">
        <v>396</v>
      </c>
      <c r="B62" s="272"/>
      <c r="C62" s="272"/>
      <c r="D62" s="272"/>
      <c r="E62" s="272"/>
      <c r="F62" s="272"/>
    </row>
    <row r="63" spans="1:6" x14ac:dyDescent="0.25">
      <c r="A63" s="659" t="s">
        <v>397</v>
      </c>
      <c r="B63" s="272"/>
      <c r="C63" s="272"/>
      <c r="D63" s="272"/>
      <c r="E63" s="272"/>
      <c r="F63" s="272"/>
    </row>
    <row r="64" spans="1:6" x14ac:dyDescent="0.25">
      <c r="A64" s="659" t="s">
        <v>398</v>
      </c>
    </row>
    <row r="65" spans="1:1" x14ac:dyDescent="0.25">
      <c r="A65" s="659" t="s">
        <v>399</v>
      </c>
    </row>
    <row r="66" spans="1:1" x14ac:dyDescent="0.25">
      <c r="A66" s="659" t="s">
        <v>400</v>
      </c>
    </row>
    <row r="68" spans="1:1" x14ac:dyDescent="0.25">
      <c r="A68" s="1" t="s">
        <v>401</v>
      </c>
    </row>
    <row r="69" spans="1:1" x14ac:dyDescent="0.25">
      <c r="A69" s="1" t="s">
        <v>402</v>
      </c>
    </row>
    <row r="70" spans="1:1" x14ac:dyDescent="0.25">
      <c r="A70" s="1" t="s">
        <v>403</v>
      </c>
    </row>
    <row r="71" spans="1:1" x14ac:dyDescent="0.25">
      <c r="A71" s="1" t="s">
        <v>404</v>
      </c>
    </row>
    <row r="72" spans="1:1" x14ac:dyDescent="0.25">
      <c r="A72" s="1" t="s">
        <v>405</v>
      </c>
    </row>
    <row r="73" spans="1:1" x14ac:dyDescent="0.25">
      <c r="A73" s="1" t="s">
        <v>406</v>
      </c>
    </row>
    <row r="75" spans="1:1" x14ac:dyDescent="0.25">
      <c r="A75" s="1" t="s">
        <v>312</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78"/>
  <sheetViews>
    <sheetView workbookViewId="0"/>
  </sheetViews>
  <sheetFormatPr defaultRowHeight="15.75" x14ac:dyDescent="0.25"/>
  <cols>
    <col min="1" max="1" width="64.19921875" style="1" customWidth="1"/>
  </cols>
  <sheetData>
    <row r="1" spans="1:7" ht="20.25" x14ac:dyDescent="0.3">
      <c r="A1" s="660" t="s">
        <v>896</v>
      </c>
    </row>
    <row r="3" spans="1:7" x14ac:dyDescent="0.25">
      <c r="A3" s="656" t="s">
        <v>407</v>
      </c>
      <c r="B3" s="271"/>
      <c r="C3" s="271"/>
      <c r="D3" s="271"/>
      <c r="E3" s="271"/>
      <c r="F3" s="271"/>
      <c r="G3" s="271"/>
    </row>
    <row r="4" spans="1:7" x14ac:dyDescent="0.25">
      <c r="A4" s="656"/>
      <c r="B4" s="271"/>
      <c r="C4" s="271"/>
      <c r="D4" s="271"/>
      <c r="E4" s="271"/>
      <c r="F4" s="271"/>
      <c r="G4" s="271"/>
    </row>
    <row r="5" spans="1:7" x14ac:dyDescent="0.25">
      <c r="A5" s="1" t="s">
        <v>314</v>
      </c>
    </row>
    <row r="6" spans="1:7" x14ac:dyDescent="0.25">
      <c r="A6" s="1" t="str">
        <f>CONCATENATE(inputPrYr!D6," estimated expenditures show that at the end of this year")</f>
        <v>2025 estimated expenditures show that at the end of this year</v>
      </c>
    </row>
    <row r="7" spans="1:7" x14ac:dyDescent="0.25">
      <c r="A7" s="1" t="s">
        <v>408</v>
      </c>
    </row>
    <row r="8" spans="1:7" x14ac:dyDescent="0.25">
      <c r="A8" s="1" t="s">
        <v>409</v>
      </c>
    </row>
    <row r="10" spans="1:7" x14ac:dyDescent="0.25">
      <c r="A10" s="1" t="s">
        <v>316</v>
      </c>
    </row>
    <row r="11" spans="1:7" x14ac:dyDescent="0.25">
      <c r="A11" s="1" t="s">
        <v>317</v>
      </c>
    </row>
    <row r="12" spans="1:7" x14ac:dyDescent="0.25">
      <c r="A12" s="1" t="s">
        <v>318</v>
      </c>
    </row>
    <row r="13" spans="1:7" x14ac:dyDescent="0.25">
      <c r="A13" s="656"/>
      <c r="B13" s="271"/>
      <c r="C13" s="271"/>
      <c r="D13" s="271"/>
      <c r="E13" s="271"/>
      <c r="F13" s="271"/>
      <c r="G13" s="271"/>
    </row>
    <row r="14" spans="1:7" x14ac:dyDescent="0.25">
      <c r="A14" s="657" t="s">
        <v>410</v>
      </c>
    </row>
    <row r="16" spans="1:7" x14ac:dyDescent="0.25">
      <c r="A16" s="1" t="s">
        <v>411</v>
      </c>
    </row>
    <row r="17" spans="1:7" x14ac:dyDescent="0.25">
      <c r="A17" s="1" t="s">
        <v>412</v>
      </c>
    </row>
    <row r="18" spans="1:7" x14ac:dyDescent="0.25">
      <c r="A18" s="1" t="s">
        <v>413</v>
      </c>
    </row>
    <row r="20" spans="1:7" x14ac:dyDescent="0.25">
      <c r="A20" s="1" t="s">
        <v>414</v>
      </c>
    </row>
    <row r="21" spans="1:7" x14ac:dyDescent="0.25">
      <c r="A21" s="1" t="s">
        <v>415</v>
      </c>
    </row>
    <row r="22" spans="1:7" x14ac:dyDescent="0.25">
      <c r="A22" s="1" t="s">
        <v>416</v>
      </c>
    </row>
    <row r="23" spans="1:7" x14ac:dyDescent="0.25">
      <c r="A23" s="1" t="s">
        <v>417</v>
      </c>
    </row>
    <row r="25" spans="1:7" x14ac:dyDescent="0.25">
      <c r="A25" s="657" t="s">
        <v>379</v>
      </c>
    </row>
    <row r="26" spans="1:7" x14ac:dyDescent="0.25">
      <c r="A26" s="657"/>
    </row>
    <row r="27" spans="1:7" x14ac:dyDescent="0.25">
      <c r="A27" s="1" t="s">
        <v>380</v>
      </c>
    </row>
    <row r="28" spans="1:7" x14ac:dyDescent="0.25">
      <c r="A28" s="1" t="s">
        <v>381</v>
      </c>
      <c r="B28" s="272"/>
      <c r="C28" s="272"/>
      <c r="D28" s="272"/>
      <c r="E28" s="272"/>
      <c r="F28" s="272"/>
    </row>
    <row r="29" spans="1:7" x14ac:dyDescent="0.25">
      <c r="A29" s="1" t="s">
        <v>382</v>
      </c>
      <c r="B29" s="272"/>
      <c r="C29" s="272"/>
      <c r="D29" s="272"/>
      <c r="E29" s="272"/>
      <c r="F29" s="272"/>
    </row>
    <row r="30" spans="1:7" x14ac:dyDescent="0.25">
      <c r="A30" s="1" t="s">
        <v>383</v>
      </c>
      <c r="B30" s="272"/>
      <c r="C30" s="272"/>
      <c r="D30" s="272"/>
      <c r="E30" s="272"/>
      <c r="F30" s="272"/>
    </row>
    <row r="32" spans="1:7" x14ac:dyDescent="0.25">
      <c r="A32" s="657" t="s">
        <v>384</v>
      </c>
      <c r="B32" s="273"/>
      <c r="C32" s="273"/>
      <c r="D32" s="273"/>
      <c r="E32" s="273"/>
      <c r="F32" s="273"/>
      <c r="G32" s="273"/>
    </row>
    <row r="33" spans="1:7" x14ac:dyDescent="0.25">
      <c r="A33" s="657" t="s">
        <v>385</v>
      </c>
      <c r="B33" s="273"/>
      <c r="C33" s="273"/>
      <c r="D33" s="273"/>
      <c r="E33" s="273"/>
      <c r="F33" s="273"/>
      <c r="G33" s="273"/>
    </row>
    <row r="34" spans="1:7" x14ac:dyDescent="0.25">
      <c r="A34" s="657"/>
      <c r="B34" s="273"/>
      <c r="C34" s="273"/>
      <c r="D34" s="273"/>
      <c r="E34" s="273"/>
      <c r="F34" s="273"/>
      <c r="G34" s="273"/>
    </row>
    <row r="35" spans="1:7" x14ac:dyDescent="0.25">
      <c r="A35" s="1" t="s">
        <v>418</v>
      </c>
      <c r="B35" s="272"/>
      <c r="C35" s="272"/>
      <c r="D35" s="272"/>
      <c r="E35" s="272"/>
      <c r="F35" s="272"/>
      <c r="G35" s="272"/>
    </row>
    <row r="36" spans="1:7" x14ac:dyDescent="0.25">
      <c r="A36" s="1" t="s">
        <v>419</v>
      </c>
      <c r="B36" s="272"/>
      <c r="C36" s="272"/>
      <c r="D36" s="272"/>
      <c r="E36" s="272"/>
      <c r="F36" s="272"/>
      <c r="G36" s="272"/>
    </row>
    <row r="37" spans="1:7" x14ac:dyDescent="0.25">
      <c r="A37" s="1" t="s">
        <v>420</v>
      </c>
      <c r="B37" s="272"/>
      <c r="C37" s="272"/>
      <c r="D37" s="272"/>
      <c r="E37" s="272"/>
      <c r="F37" s="272"/>
      <c r="G37" s="272"/>
    </row>
    <row r="38" spans="1:7" x14ac:dyDescent="0.25">
      <c r="A38" s="1" t="s">
        <v>421</v>
      </c>
      <c r="B38" s="272"/>
      <c r="C38" s="272"/>
      <c r="D38" s="272"/>
      <c r="E38" s="272"/>
      <c r="F38" s="272"/>
      <c r="G38" s="272"/>
    </row>
    <row r="39" spans="1:7" x14ac:dyDescent="0.25">
      <c r="A39" s="1" t="s">
        <v>422</v>
      </c>
      <c r="B39" s="272"/>
      <c r="C39" s="272"/>
      <c r="D39" s="272"/>
      <c r="E39" s="272"/>
      <c r="F39" s="272"/>
      <c r="G39" s="272"/>
    </row>
    <row r="40" spans="1:7" x14ac:dyDescent="0.25">
      <c r="A40" s="657"/>
      <c r="B40" s="273"/>
      <c r="C40" s="273"/>
      <c r="D40" s="273"/>
      <c r="E40" s="273"/>
      <c r="F40" s="273"/>
      <c r="G40" s="273"/>
    </row>
    <row r="41" spans="1:7" x14ac:dyDescent="0.25">
      <c r="A41" s="659" t="str">
        <f>CONCATENATE("So, let's look to see if any of your ",inputPrYr!D6-1," expenditures can")</f>
        <v>So, let's look to see if any of your 2024 expenditures can</v>
      </c>
      <c r="B41" s="272"/>
      <c r="C41" s="272"/>
      <c r="D41" s="272"/>
      <c r="E41" s="272"/>
      <c r="F41" s="272"/>
    </row>
    <row r="42" spans="1:7" x14ac:dyDescent="0.25">
      <c r="A42" s="659" t="s">
        <v>386</v>
      </c>
      <c r="B42" s="272"/>
      <c r="C42" s="272"/>
      <c r="D42" s="272"/>
      <c r="E42" s="272"/>
      <c r="F42" s="272"/>
    </row>
    <row r="43" spans="1:7" x14ac:dyDescent="0.25">
      <c r="A43" s="659" t="s">
        <v>272</v>
      </c>
      <c r="B43" s="272"/>
      <c r="C43" s="272"/>
      <c r="D43" s="272"/>
      <c r="E43" s="272"/>
      <c r="F43" s="272"/>
    </row>
    <row r="44" spans="1:7" x14ac:dyDescent="0.25">
      <c r="A44" s="659" t="s">
        <v>273</v>
      </c>
      <c r="B44" s="272"/>
      <c r="C44" s="272"/>
      <c r="D44" s="272"/>
      <c r="E44" s="272"/>
      <c r="F44" s="272"/>
    </row>
    <row r="46" spans="1:7" x14ac:dyDescent="0.25">
      <c r="A46" s="659" t="str">
        <f>CONCATENATE("Additionally, do your ",inputPrYr!D6-1," receipts contain a reimbursement")</f>
        <v>Additionally, do your 2024 receipts contain a reimbursement</v>
      </c>
      <c r="B46" s="272"/>
      <c r="C46" s="272"/>
      <c r="D46" s="272"/>
      <c r="E46" s="272"/>
      <c r="F46" s="272"/>
    </row>
    <row r="47" spans="1:7" x14ac:dyDescent="0.25">
      <c r="A47" s="659" t="s">
        <v>274</v>
      </c>
      <c r="B47" s="272"/>
      <c r="C47" s="272"/>
      <c r="D47" s="272"/>
      <c r="E47" s="272"/>
      <c r="F47" s="272"/>
    </row>
    <row r="48" spans="1:7" x14ac:dyDescent="0.25">
      <c r="A48" s="659" t="s">
        <v>893</v>
      </c>
      <c r="B48" s="272"/>
      <c r="C48" s="272"/>
      <c r="D48" s="272"/>
      <c r="E48" s="272"/>
      <c r="F48" s="272"/>
    </row>
    <row r="49" spans="1:7" x14ac:dyDescent="0.25">
      <c r="B49" s="272"/>
      <c r="C49" s="272"/>
      <c r="D49" s="272"/>
      <c r="E49" s="272"/>
      <c r="F49" s="272"/>
      <c r="G49" s="272"/>
    </row>
    <row r="50" spans="1:7" x14ac:dyDescent="0.25">
      <c r="A50" s="1" t="s">
        <v>340</v>
      </c>
      <c r="B50" s="272"/>
      <c r="C50" s="272"/>
      <c r="D50" s="272"/>
      <c r="E50" s="272"/>
      <c r="F50" s="272"/>
      <c r="G50" s="272"/>
    </row>
    <row r="51" spans="1:7" x14ac:dyDescent="0.25">
      <c r="A51" s="1" t="s">
        <v>341</v>
      </c>
      <c r="B51" s="272"/>
      <c r="C51" s="272"/>
      <c r="D51" s="272"/>
      <c r="E51" s="272"/>
      <c r="F51" s="272"/>
      <c r="G51" s="272"/>
    </row>
    <row r="52" spans="1:7" x14ac:dyDescent="0.25">
      <c r="A52" s="1" t="s">
        <v>342</v>
      </c>
      <c r="B52" s="272"/>
      <c r="C52" s="272"/>
      <c r="D52" s="272"/>
      <c r="E52" s="272"/>
      <c r="F52" s="272"/>
      <c r="G52" s="272"/>
    </row>
    <row r="53" spans="1:7" x14ac:dyDescent="0.25">
      <c r="A53" s="1" t="s">
        <v>343</v>
      </c>
      <c r="B53" s="272"/>
      <c r="C53" s="272"/>
      <c r="D53" s="272"/>
      <c r="E53" s="272"/>
      <c r="F53" s="272"/>
      <c r="G53" s="272"/>
    </row>
    <row r="54" spans="1:7" x14ac:dyDescent="0.25">
      <c r="A54" s="1" t="s">
        <v>344</v>
      </c>
      <c r="B54" s="272"/>
      <c r="C54" s="272"/>
      <c r="D54" s="272"/>
      <c r="E54" s="272"/>
      <c r="F54" s="272"/>
      <c r="G54" s="272"/>
    </row>
    <row r="55" spans="1:7" x14ac:dyDescent="0.25">
      <c r="B55" s="272"/>
      <c r="C55" s="272"/>
      <c r="D55" s="272"/>
      <c r="E55" s="272"/>
      <c r="F55" s="272"/>
      <c r="G55" s="272"/>
    </row>
    <row r="56" spans="1:7" x14ac:dyDescent="0.25">
      <c r="A56" s="659" t="s">
        <v>283</v>
      </c>
      <c r="B56" s="272"/>
      <c r="C56" s="272"/>
      <c r="D56" s="272"/>
      <c r="E56" s="272"/>
      <c r="F56" s="272"/>
    </row>
    <row r="57" spans="1:7" x14ac:dyDescent="0.25">
      <c r="A57" s="659" t="s">
        <v>284</v>
      </c>
      <c r="B57" s="272"/>
      <c r="C57" s="272"/>
      <c r="D57" s="272"/>
      <c r="E57" s="272"/>
      <c r="F57" s="272"/>
    </row>
    <row r="58" spans="1:7" x14ac:dyDescent="0.25">
      <c r="A58" s="659" t="s">
        <v>285</v>
      </c>
      <c r="B58" s="272"/>
      <c r="C58" s="272"/>
      <c r="D58" s="272"/>
      <c r="E58" s="272"/>
      <c r="F58" s="272"/>
    </row>
    <row r="59" spans="1:7" x14ac:dyDescent="0.25">
      <c r="A59" s="659"/>
      <c r="B59" s="272"/>
      <c r="C59" s="272"/>
      <c r="D59" s="272"/>
      <c r="E59" s="272"/>
      <c r="F59" s="272"/>
    </row>
    <row r="60" spans="1:7" x14ac:dyDescent="0.25">
      <c r="A60" s="1" t="s">
        <v>423</v>
      </c>
      <c r="B60" s="272"/>
      <c r="C60" s="272"/>
      <c r="D60" s="272"/>
      <c r="E60" s="272"/>
      <c r="F60" s="272"/>
      <c r="G60" s="272"/>
    </row>
    <row r="61" spans="1:7" x14ac:dyDescent="0.25">
      <c r="A61" s="1" t="s">
        <v>424</v>
      </c>
      <c r="B61" s="272"/>
      <c r="C61" s="272"/>
      <c r="D61" s="272"/>
      <c r="E61" s="272"/>
      <c r="F61" s="272"/>
      <c r="G61" s="272"/>
    </row>
    <row r="62" spans="1:7" x14ac:dyDescent="0.25">
      <c r="A62" s="1" t="s">
        <v>425</v>
      </c>
      <c r="B62" s="272"/>
      <c r="C62" s="272"/>
      <c r="D62" s="272"/>
      <c r="E62" s="272"/>
      <c r="F62" s="272"/>
      <c r="G62" s="272"/>
    </row>
    <row r="63" spans="1:7" x14ac:dyDescent="0.25">
      <c r="A63" s="1" t="s">
        <v>426</v>
      </c>
      <c r="B63" s="272"/>
      <c r="C63" s="272"/>
      <c r="D63" s="272"/>
      <c r="E63" s="272"/>
      <c r="F63" s="272"/>
      <c r="G63" s="272"/>
    </row>
    <row r="64" spans="1:7" x14ac:dyDescent="0.25">
      <c r="A64" s="1" t="s">
        <v>427</v>
      </c>
      <c r="B64" s="272"/>
      <c r="C64" s="272"/>
      <c r="D64" s="272"/>
      <c r="E64" s="272"/>
      <c r="F64" s="272"/>
      <c r="G64" s="272"/>
    </row>
    <row r="66" spans="1:6" x14ac:dyDescent="0.25">
      <c r="A66" s="659" t="s">
        <v>390</v>
      </c>
      <c r="B66" s="272"/>
      <c r="C66" s="272"/>
      <c r="D66" s="272"/>
      <c r="E66" s="272"/>
      <c r="F66" s="272"/>
    </row>
    <row r="67" spans="1:6" x14ac:dyDescent="0.25">
      <c r="A67" s="659" t="s">
        <v>391</v>
      </c>
      <c r="B67" s="272"/>
      <c r="C67" s="272"/>
      <c r="D67" s="272"/>
      <c r="E67" s="272"/>
      <c r="F67" s="272"/>
    </row>
    <row r="68" spans="1:6" x14ac:dyDescent="0.25">
      <c r="A68" s="659" t="s">
        <v>392</v>
      </c>
      <c r="B68" s="272"/>
      <c r="C68" s="272"/>
      <c r="D68" s="272"/>
      <c r="E68" s="272"/>
      <c r="F68" s="272"/>
    </row>
    <row r="69" spans="1:6" x14ac:dyDescent="0.25">
      <c r="A69" s="659" t="s">
        <v>393</v>
      </c>
      <c r="B69" s="272"/>
      <c r="C69" s="272"/>
      <c r="D69" s="272"/>
      <c r="E69" s="272"/>
      <c r="F69" s="272"/>
    </row>
    <row r="70" spans="1:6" x14ac:dyDescent="0.25">
      <c r="A70" s="659" t="s">
        <v>394</v>
      </c>
      <c r="B70" s="272"/>
      <c r="C70" s="272"/>
      <c r="D70" s="272"/>
      <c r="E70" s="272"/>
      <c r="F70" s="272"/>
    </row>
    <row r="72" spans="1:6" x14ac:dyDescent="0.25">
      <c r="A72" s="1" t="s">
        <v>312</v>
      </c>
    </row>
    <row r="78" spans="1:6" x14ac:dyDescent="0.25">
      <c r="A78" s="657"/>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G52"/>
  <sheetViews>
    <sheetView workbookViewId="0">
      <selection activeCell="C18" sqref="C18"/>
    </sheetView>
  </sheetViews>
  <sheetFormatPr defaultRowHeight="15.75" x14ac:dyDescent="0.25"/>
  <cols>
    <col min="1" max="1" width="64.19921875" style="1" customWidth="1"/>
  </cols>
  <sheetData>
    <row r="1" spans="1:7" ht="20.25" x14ac:dyDescent="0.3">
      <c r="A1" s="660" t="s">
        <v>895</v>
      </c>
    </row>
    <row r="3" spans="1:7" x14ac:dyDescent="0.25">
      <c r="A3" s="656" t="s">
        <v>428</v>
      </c>
      <c r="B3" s="271"/>
      <c r="C3" s="271"/>
      <c r="D3" s="271"/>
      <c r="E3" s="271"/>
      <c r="F3" s="271"/>
      <c r="G3" s="271"/>
    </row>
    <row r="4" spans="1:7" x14ac:dyDescent="0.25">
      <c r="A4" s="656" t="s">
        <v>429</v>
      </c>
      <c r="B4" s="271"/>
      <c r="C4" s="271"/>
      <c r="D4" s="271"/>
      <c r="E4" s="271"/>
      <c r="F4" s="271"/>
      <c r="G4" s="271"/>
    </row>
    <row r="5" spans="1:7" x14ac:dyDescent="0.25">
      <c r="A5" s="656"/>
      <c r="B5" s="271"/>
      <c r="C5" s="271"/>
      <c r="D5" s="271"/>
      <c r="E5" s="271"/>
      <c r="F5" s="271"/>
      <c r="G5" s="271"/>
    </row>
    <row r="6" spans="1:7" x14ac:dyDescent="0.25">
      <c r="A6" s="656"/>
      <c r="B6" s="271"/>
      <c r="C6" s="271"/>
      <c r="D6" s="271"/>
      <c r="E6" s="271"/>
      <c r="F6" s="271"/>
      <c r="G6" s="271"/>
    </row>
    <row r="7" spans="1:7" x14ac:dyDescent="0.25">
      <c r="A7" s="1" t="s">
        <v>259</v>
      </c>
    </row>
    <row r="8" spans="1:7" x14ac:dyDescent="0.25">
      <c r="A8" s="1" t="str">
        <f>CONCATENATE("estimated ",inputPrYr!D6," 'total expenditures' exceed your ",inputPrYr!D6,"")</f>
        <v>estimated 2025 'total expenditures' exceed your 2025</v>
      </c>
    </row>
    <row r="9" spans="1:7" x14ac:dyDescent="0.25">
      <c r="A9" s="658" t="s">
        <v>430</v>
      </c>
    </row>
    <row r="11" spans="1:7" x14ac:dyDescent="0.25">
      <c r="A11" s="1" t="s">
        <v>431</v>
      </c>
    </row>
    <row r="12" spans="1:7" x14ac:dyDescent="0.25">
      <c r="A12" s="1" t="s">
        <v>432</v>
      </c>
    </row>
    <row r="13" spans="1:7" x14ac:dyDescent="0.25">
      <c r="A13" s="1" t="s">
        <v>433</v>
      </c>
    </row>
    <row r="15" spans="1:7" x14ac:dyDescent="0.25">
      <c r="A15" s="657" t="s">
        <v>434</v>
      </c>
    </row>
    <row r="16" spans="1:7" x14ac:dyDescent="0.25">
      <c r="A16" s="656"/>
      <c r="B16" s="271"/>
      <c r="C16" s="271"/>
      <c r="D16" s="271"/>
      <c r="E16" s="271"/>
      <c r="F16" s="271"/>
      <c r="G16" s="271"/>
    </row>
    <row r="17" spans="1:7" x14ac:dyDescent="0.25">
      <c r="A17" s="1" t="s">
        <v>435</v>
      </c>
    </row>
    <row r="18" spans="1:7" x14ac:dyDescent="0.25">
      <c r="A18" s="1" t="s">
        <v>436</v>
      </c>
      <c r="B18" s="274"/>
      <c r="C18" s="274"/>
      <c r="D18" s="274"/>
      <c r="E18" s="274"/>
      <c r="F18" s="274"/>
      <c r="G18" s="274"/>
    </row>
    <row r="19" spans="1:7" x14ac:dyDescent="0.25">
      <c r="A19" s="1" t="s">
        <v>437</v>
      </c>
    </row>
    <row r="20" spans="1:7" x14ac:dyDescent="0.25">
      <c r="A20" s="1" t="s">
        <v>438</v>
      </c>
    </row>
    <row r="22" spans="1:7" x14ac:dyDescent="0.25">
      <c r="A22" s="657" t="s">
        <v>439</v>
      </c>
    </row>
    <row r="24" spans="1:7" x14ac:dyDescent="0.25">
      <c r="A24" s="1" t="s">
        <v>440</v>
      </c>
    </row>
    <row r="25" spans="1:7" x14ac:dyDescent="0.25">
      <c r="A25" s="1" t="s">
        <v>441</v>
      </c>
    </row>
    <row r="26" spans="1:7" x14ac:dyDescent="0.25">
      <c r="A26" s="1" t="s">
        <v>442</v>
      </c>
    </row>
    <row r="28" spans="1:7" x14ac:dyDescent="0.25">
      <c r="A28" s="657" t="s">
        <v>443</v>
      </c>
    </row>
    <row r="30" spans="1:7" x14ac:dyDescent="0.25">
      <c r="A30" s="1" t="s">
        <v>444</v>
      </c>
    </row>
    <row r="31" spans="1:7" x14ac:dyDescent="0.25">
      <c r="A31" s="1" t="s">
        <v>445</v>
      </c>
    </row>
    <row r="32" spans="1:7" x14ac:dyDescent="0.25">
      <c r="A32" s="1" t="s">
        <v>446</v>
      </c>
    </row>
    <row r="33" spans="1:1" x14ac:dyDescent="0.25">
      <c r="A33" s="1" t="s">
        <v>447</v>
      </c>
    </row>
    <row r="35" spans="1:1" x14ac:dyDescent="0.25">
      <c r="A35" s="1" t="s">
        <v>448</v>
      </c>
    </row>
    <row r="36" spans="1:1" x14ac:dyDescent="0.25">
      <c r="A36" s="1" t="s">
        <v>449</v>
      </c>
    </row>
    <row r="37" spans="1:1" x14ac:dyDescent="0.25">
      <c r="A37" s="1" t="s">
        <v>450</v>
      </c>
    </row>
    <row r="38" spans="1:1" x14ac:dyDescent="0.25">
      <c r="A38" s="1" t="s">
        <v>451</v>
      </c>
    </row>
    <row r="40" spans="1:1" x14ac:dyDescent="0.25">
      <c r="A40" s="1" t="s">
        <v>452</v>
      </c>
    </row>
    <row r="41" spans="1:1" x14ac:dyDescent="0.25">
      <c r="A41" s="1" t="s">
        <v>453</v>
      </c>
    </row>
    <row r="42" spans="1:1" x14ac:dyDescent="0.25">
      <c r="A42" s="1" t="s">
        <v>454</v>
      </c>
    </row>
    <row r="43" spans="1:1" x14ac:dyDescent="0.25">
      <c r="A43" s="1" t="s">
        <v>455</v>
      </c>
    </row>
    <row r="44" spans="1:1" x14ac:dyDescent="0.25">
      <c r="A44" s="1" t="s">
        <v>456</v>
      </c>
    </row>
    <row r="45" spans="1:1" x14ac:dyDescent="0.25">
      <c r="A45" s="1" t="s">
        <v>457</v>
      </c>
    </row>
    <row r="47" spans="1:1" x14ac:dyDescent="0.25">
      <c r="A47" s="1" t="s">
        <v>458</v>
      </c>
    </row>
    <row r="48" spans="1:1" x14ac:dyDescent="0.25">
      <c r="A48" s="1" t="s">
        <v>459</v>
      </c>
    </row>
    <row r="49" spans="1:1" x14ac:dyDescent="0.25">
      <c r="A49" s="1" t="s">
        <v>460</v>
      </c>
    </row>
    <row r="50" spans="1:1" x14ac:dyDescent="0.25">
      <c r="A50" s="1" t="s">
        <v>461</v>
      </c>
    </row>
    <row r="52" spans="1:1" x14ac:dyDescent="0.25">
      <c r="A52" s="1" t="s">
        <v>312</v>
      </c>
    </row>
  </sheetData>
  <sheetProtection sheet="1"/>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BA7F-EAC0-442A-8C59-24E209AB9B6D}">
  <dimension ref="A1:N245"/>
  <sheetViews>
    <sheetView workbookViewId="0">
      <selection activeCell="E41" sqref="E41"/>
    </sheetView>
  </sheetViews>
  <sheetFormatPr defaultRowHeight="15" x14ac:dyDescent="0.2"/>
  <cols>
    <col min="1" max="1" width="3.09765625" style="602" customWidth="1"/>
    <col min="2" max="2" width="7.19921875" style="602" customWidth="1"/>
    <col min="3" max="16384" width="8.796875" style="602"/>
  </cols>
  <sheetData>
    <row r="1" spans="1:14" ht="15.75" customHeight="1" x14ac:dyDescent="0.2">
      <c r="A1" s="851" t="s">
        <v>923</v>
      </c>
      <c r="B1" s="851"/>
      <c r="C1" s="851"/>
      <c r="D1" s="851"/>
      <c r="E1" s="851"/>
      <c r="F1" s="851"/>
      <c r="G1" s="851"/>
      <c r="H1" s="851"/>
      <c r="I1" s="851"/>
      <c r="J1" s="851"/>
      <c r="K1" s="851"/>
      <c r="L1" s="851"/>
      <c r="M1" s="851"/>
      <c r="N1" s="851"/>
    </row>
    <row r="2" spans="1:14" ht="9.75" customHeight="1" x14ac:dyDescent="0.2">
      <c r="A2" s="851"/>
      <c r="B2" s="851"/>
      <c r="C2" s="851"/>
      <c r="D2" s="851"/>
      <c r="E2" s="851"/>
      <c r="F2" s="851"/>
      <c r="G2" s="851"/>
      <c r="H2" s="851"/>
      <c r="I2" s="851"/>
      <c r="J2" s="851"/>
      <c r="K2" s="851"/>
      <c r="L2" s="851"/>
      <c r="M2" s="851"/>
      <c r="N2" s="851"/>
    </row>
    <row r="3" spans="1:14" ht="18" x14ac:dyDescent="0.25">
      <c r="A3" s="667" t="s">
        <v>746</v>
      </c>
    </row>
    <row r="4" spans="1:14" ht="9.75" customHeight="1" x14ac:dyDescent="0.55000000000000004">
      <c r="B4" s="668"/>
    </row>
    <row r="5" spans="1:14" ht="15.75" x14ac:dyDescent="0.2">
      <c r="B5" s="669" t="s">
        <v>924</v>
      </c>
    </row>
    <row r="6" spans="1:14" ht="8.1" customHeight="1" x14ac:dyDescent="0.2">
      <c r="B6" s="669"/>
    </row>
    <row r="7" spans="1:14" ht="15.75" x14ac:dyDescent="0.2">
      <c r="B7" s="669" t="s">
        <v>925</v>
      </c>
    </row>
    <row r="8" spans="1:14" ht="15.75" x14ac:dyDescent="0.2">
      <c r="B8" s="670" t="s">
        <v>926</v>
      </c>
    </row>
    <row r="9" spans="1:14" ht="8.1" customHeight="1" x14ac:dyDescent="0.2">
      <c r="B9" s="670"/>
    </row>
    <row r="10" spans="1:14" ht="15.75" x14ac:dyDescent="0.2">
      <c r="C10" s="671" t="s">
        <v>927</v>
      </c>
      <c r="D10" s="669" t="s">
        <v>928</v>
      </c>
    </row>
    <row r="11" spans="1:14" ht="15.75" customHeight="1" x14ac:dyDescent="0.2">
      <c r="B11" s="669"/>
      <c r="D11" s="669" t="s">
        <v>929</v>
      </c>
    </row>
    <row r="12" spans="1:14" ht="15.75" customHeight="1" x14ac:dyDescent="0.2">
      <c r="B12" s="669"/>
      <c r="D12" s="669"/>
    </row>
    <row r="13" spans="1:14" ht="15.75" customHeight="1" x14ac:dyDescent="0.2">
      <c r="B13" s="669" t="s">
        <v>930</v>
      </c>
      <c r="E13" s="669" t="s">
        <v>931</v>
      </c>
    </row>
    <row r="14" spans="1:14" ht="15.75" customHeight="1" x14ac:dyDescent="0.2">
      <c r="B14" s="669"/>
      <c r="E14" s="669" t="s">
        <v>932</v>
      </c>
    </row>
    <row r="15" spans="1:14" ht="15.75" customHeight="1" x14ac:dyDescent="0.2">
      <c r="B15" s="669"/>
      <c r="E15" s="669" t="s">
        <v>933</v>
      </c>
    </row>
    <row r="16" spans="1:14" ht="15.75" customHeight="1" x14ac:dyDescent="0.2">
      <c r="B16" s="669"/>
      <c r="E16" s="669" t="s">
        <v>934</v>
      </c>
    </row>
    <row r="17" spans="2:5" ht="15.75" customHeight="1" x14ac:dyDescent="0.2">
      <c r="B17" s="669"/>
      <c r="E17" s="669"/>
    </row>
    <row r="18" spans="2:5" ht="15.75" customHeight="1" x14ac:dyDescent="0.2">
      <c r="B18" s="669"/>
      <c r="E18" s="669"/>
    </row>
    <row r="19" spans="2:5" ht="15.75" customHeight="1" x14ac:dyDescent="0.2">
      <c r="B19" s="669"/>
      <c r="E19" s="669"/>
    </row>
    <row r="20" spans="2:5" ht="15.75" customHeight="1" x14ac:dyDescent="0.2">
      <c r="B20" s="669"/>
      <c r="E20" s="669"/>
    </row>
    <row r="21" spans="2:5" ht="15.75" customHeight="1" x14ac:dyDescent="0.2">
      <c r="B21" s="669"/>
      <c r="E21" s="669"/>
    </row>
    <row r="22" spans="2:5" ht="15.75" customHeight="1" x14ac:dyDescent="0.2">
      <c r="B22" s="669"/>
      <c r="E22" s="669"/>
    </row>
    <row r="23" spans="2:5" ht="15.75" customHeight="1" x14ac:dyDescent="0.2">
      <c r="B23" s="669"/>
      <c r="E23" s="669"/>
    </row>
    <row r="24" spans="2:5" ht="15.75" customHeight="1" x14ac:dyDescent="0.2">
      <c r="B24" s="669"/>
      <c r="E24" s="669"/>
    </row>
    <row r="25" spans="2:5" ht="15.75" customHeight="1" x14ac:dyDescent="0.2">
      <c r="B25" s="669"/>
      <c r="E25" s="669"/>
    </row>
    <row r="26" spans="2:5" ht="15.75" customHeight="1" x14ac:dyDescent="0.2">
      <c r="B26" s="669"/>
      <c r="E26" s="669"/>
    </row>
    <row r="27" spans="2:5" ht="15.75" customHeight="1" x14ac:dyDescent="0.2">
      <c r="B27" s="669"/>
      <c r="E27" s="669"/>
    </row>
    <row r="28" spans="2:5" ht="15.75" customHeight="1" x14ac:dyDescent="0.2">
      <c r="B28" s="669"/>
      <c r="E28" s="669"/>
    </row>
    <row r="29" spans="2:5" ht="15.75" customHeight="1" x14ac:dyDescent="0.2">
      <c r="B29" s="669"/>
      <c r="E29" s="669"/>
    </row>
    <row r="30" spans="2:5" ht="15.75" customHeight="1" x14ac:dyDescent="0.2">
      <c r="B30" s="669"/>
      <c r="E30" s="669"/>
    </row>
    <row r="31" spans="2:5" ht="15.75" customHeight="1" x14ac:dyDescent="0.2">
      <c r="B31" s="669"/>
      <c r="E31" s="669"/>
    </row>
    <row r="32" spans="2:5" ht="15.75" customHeight="1" x14ac:dyDescent="0.2">
      <c r="B32" s="669"/>
      <c r="E32" s="669"/>
    </row>
    <row r="33" spans="2:5" ht="15.75" customHeight="1" x14ac:dyDescent="0.2">
      <c r="B33" s="669"/>
      <c r="E33" s="669"/>
    </row>
    <row r="34" spans="2:5" ht="15.75" customHeight="1" x14ac:dyDescent="0.2">
      <c r="B34" s="669"/>
      <c r="E34" s="669"/>
    </row>
    <row r="35" spans="2:5" ht="15.75" customHeight="1" x14ac:dyDescent="0.2">
      <c r="B35" s="669"/>
      <c r="E35" s="669"/>
    </row>
    <row r="36" spans="2:5" ht="15.75" customHeight="1" x14ac:dyDescent="0.2">
      <c r="B36" s="669" t="s">
        <v>935</v>
      </c>
      <c r="D36" s="669"/>
      <c r="E36" s="669" t="s">
        <v>936</v>
      </c>
    </row>
    <row r="37" spans="2:5" ht="15.75" customHeight="1" x14ac:dyDescent="0.2">
      <c r="B37" s="669"/>
      <c r="D37" s="669"/>
      <c r="E37" s="669" t="s">
        <v>937</v>
      </c>
    </row>
    <row r="38" spans="2:5" ht="15.75" customHeight="1" x14ac:dyDescent="0.2">
      <c r="B38" s="669"/>
      <c r="D38" s="669"/>
      <c r="E38" s="669" t="s">
        <v>938</v>
      </c>
    </row>
    <row r="39" spans="2:5" ht="15.75" customHeight="1" x14ac:dyDescent="0.2">
      <c r="B39" s="669"/>
      <c r="D39" s="669"/>
      <c r="E39" s="669" t="s">
        <v>939</v>
      </c>
    </row>
    <row r="40" spans="2:5" ht="15.75" customHeight="1" x14ac:dyDescent="0.2"/>
    <row r="41" spans="2:5" ht="15.75" customHeight="1" x14ac:dyDescent="0.2">
      <c r="B41" s="669" t="s">
        <v>746</v>
      </c>
      <c r="E41" s="672" t="s">
        <v>940</v>
      </c>
    </row>
    <row r="42" spans="2:5" ht="15.75" customHeight="1" x14ac:dyDescent="0.2">
      <c r="B42" s="669"/>
      <c r="E42" s="672"/>
    </row>
    <row r="43" spans="2:5" ht="15.75" customHeight="1" x14ac:dyDescent="0.2">
      <c r="E43" s="672"/>
    </row>
    <row r="44" spans="2:5" ht="15.75" customHeight="1" x14ac:dyDescent="0.2">
      <c r="B44" s="669" t="s">
        <v>941</v>
      </c>
      <c r="D44" s="669"/>
      <c r="E44" s="672" t="s">
        <v>942</v>
      </c>
    </row>
    <row r="45" spans="2:5" ht="15.75" customHeight="1" x14ac:dyDescent="0.2">
      <c r="B45" s="669"/>
      <c r="D45" s="669"/>
      <c r="E45" s="669"/>
    </row>
    <row r="46" spans="2:5" ht="15.75" customHeight="1" x14ac:dyDescent="0.2">
      <c r="B46" s="669"/>
      <c r="D46" s="669"/>
    </row>
    <row r="47" spans="2:5" ht="15.75" customHeight="1" x14ac:dyDescent="0.2">
      <c r="B47" s="669"/>
      <c r="D47" s="669"/>
    </row>
    <row r="48" spans="2:5" ht="15.75" customHeight="1" x14ac:dyDescent="0.2">
      <c r="B48" s="669"/>
      <c r="D48" s="669"/>
    </row>
    <row r="49" spans="1:14" ht="15.75" customHeight="1" x14ac:dyDescent="0.2">
      <c r="B49" s="669"/>
      <c r="D49" s="669"/>
    </row>
    <row r="50" spans="1:14" ht="15.75" customHeight="1" x14ac:dyDescent="0.2">
      <c r="B50" s="669"/>
      <c r="D50" s="669"/>
    </row>
    <row r="51" spans="1:14" ht="15.75" customHeight="1" x14ac:dyDescent="0.2">
      <c r="B51" s="669"/>
      <c r="D51" s="669"/>
    </row>
    <row r="52" spans="1:14" ht="15.75" customHeight="1" x14ac:dyDescent="0.2">
      <c r="B52" s="669"/>
      <c r="D52" s="669"/>
    </row>
    <row r="53" spans="1:14" ht="15.75" customHeight="1" x14ac:dyDescent="0.2">
      <c r="B53" s="669"/>
      <c r="D53" s="669"/>
    </row>
    <row r="54" spans="1:14" ht="15.75" customHeight="1" x14ac:dyDescent="0.2">
      <c r="B54" s="669"/>
      <c r="D54" s="669"/>
    </row>
    <row r="55" spans="1:14" ht="15.75" customHeight="1" x14ac:dyDescent="0.2">
      <c r="B55" s="669"/>
    </row>
    <row r="56" spans="1:14" ht="15.75" customHeight="1" x14ac:dyDescent="0.2">
      <c r="B56" s="669"/>
    </row>
    <row r="57" spans="1:14" ht="15.75" customHeight="1" x14ac:dyDescent="0.2">
      <c r="B57" s="669"/>
    </row>
    <row r="58" spans="1:14" ht="15.75" customHeight="1" x14ac:dyDescent="0.2">
      <c r="B58" s="669"/>
    </row>
    <row r="59" spans="1:14" ht="3" customHeight="1" x14ac:dyDescent="0.2">
      <c r="A59" s="673"/>
      <c r="B59" s="674"/>
      <c r="C59" s="673"/>
      <c r="D59" s="673"/>
      <c r="E59" s="673"/>
      <c r="F59" s="673"/>
      <c r="G59" s="673"/>
      <c r="H59" s="673"/>
      <c r="I59" s="673"/>
      <c r="J59" s="673"/>
      <c r="K59" s="673"/>
      <c r="L59" s="673"/>
      <c r="M59" s="673"/>
      <c r="N59" s="673"/>
    </row>
    <row r="60" spans="1:14" ht="15.75" customHeight="1" x14ac:dyDescent="0.2">
      <c r="B60" s="669"/>
    </row>
    <row r="61" spans="1:14" ht="15.75" customHeight="1" x14ac:dyDescent="0.25">
      <c r="A61" s="852" t="s">
        <v>573</v>
      </c>
      <c r="B61" s="852"/>
      <c r="C61" s="852"/>
      <c r="D61" s="852"/>
      <c r="E61" s="852"/>
      <c r="F61" s="852"/>
      <c r="G61" s="852"/>
      <c r="H61" s="852"/>
      <c r="I61" s="852"/>
      <c r="J61" s="852"/>
      <c r="K61" s="675"/>
    </row>
    <row r="62" spans="1:14" ht="21.75" customHeight="1" x14ac:dyDescent="0.25">
      <c r="A62" s="852"/>
      <c r="B62" s="852"/>
      <c r="C62" s="852"/>
      <c r="D62" s="852"/>
      <c r="E62" s="852"/>
      <c r="F62" s="852"/>
      <c r="G62" s="852"/>
      <c r="H62" s="852"/>
      <c r="I62" s="852"/>
      <c r="J62" s="852"/>
      <c r="K62" s="675"/>
    </row>
    <row r="63" spans="1:14" ht="15.75" customHeight="1" x14ac:dyDescent="0.2">
      <c r="B63" s="669"/>
    </row>
    <row r="64" spans="1:14" ht="15.75" x14ac:dyDescent="0.2">
      <c r="B64" s="669"/>
    </row>
    <row r="65" spans="2:2" ht="18.75" customHeight="1" x14ac:dyDescent="0.2">
      <c r="B65" s="669"/>
    </row>
    <row r="66" spans="2:2" ht="13.5" customHeight="1" x14ac:dyDescent="0.2">
      <c r="B66" s="669"/>
    </row>
    <row r="67" spans="2:2" ht="15.75" x14ac:dyDescent="0.2">
      <c r="B67" s="669"/>
    </row>
    <row r="82" spans="12:12" x14ac:dyDescent="0.2">
      <c r="L82" s="676"/>
    </row>
    <row r="214" spans="1:14" ht="3" customHeight="1" x14ac:dyDescent="0.2">
      <c r="A214" s="673"/>
      <c r="B214" s="674"/>
      <c r="C214" s="673"/>
      <c r="D214" s="673"/>
      <c r="E214" s="673"/>
      <c r="F214" s="673"/>
      <c r="G214" s="673"/>
      <c r="H214" s="673"/>
      <c r="I214" s="673"/>
      <c r="J214" s="673"/>
      <c r="K214" s="673"/>
      <c r="L214" s="673"/>
      <c r="M214" s="673"/>
      <c r="N214" s="673"/>
    </row>
    <row r="217" spans="1:14" ht="18" x14ac:dyDescent="0.25">
      <c r="A217" s="677" t="s">
        <v>468</v>
      </c>
      <c r="B217" s="678"/>
    </row>
    <row r="218" spans="1:14" ht="15.75" x14ac:dyDescent="0.25">
      <c r="B218" s="548"/>
    </row>
    <row r="219" spans="1:14" ht="30" customHeight="1" x14ac:dyDescent="0.25">
      <c r="B219" s="834" t="s">
        <v>469</v>
      </c>
      <c r="C219" s="834"/>
      <c r="D219" s="834"/>
      <c r="E219" s="834"/>
      <c r="F219" s="834"/>
      <c r="G219" s="834"/>
      <c r="H219" s="834"/>
      <c r="I219" s="834"/>
      <c r="J219" s="661"/>
    </row>
    <row r="220" spans="1:14" ht="15.75" x14ac:dyDescent="0.25">
      <c r="B220" s="583" t="s">
        <v>910</v>
      </c>
    </row>
    <row r="221" spans="1:14" ht="15.75" x14ac:dyDescent="0.25">
      <c r="B221" s="548"/>
    </row>
    <row r="222" spans="1:14" ht="45.75" customHeight="1" x14ac:dyDescent="0.25">
      <c r="B222" s="834" t="s">
        <v>470</v>
      </c>
      <c r="C222" s="834"/>
      <c r="D222" s="834"/>
      <c r="E222" s="834"/>
      <c r="F222" s="834"/>
      <c r="G222" s="834"/>
      <c r="H222" s="834"/>
    </row>
    <row r="223" spans="1:14" ht="15.75" x14ac:dyDescent="0.25">
      <c r="B223" s="583" t="s">
        <v>911</v>
      </c>
    </row>
    <row r="224" spans="1:14" ht="15.75" x14ac:dyDescent="0.25">
      <c r="B224" s="548"/>
    </row>
    <row r="225" spans="2:2" ht="15.75" x14ac:dyDescent="0.25">
      <c r="B225" s="548" t="s">
        <v>912</v>
      </c>
    </row>
    <row r="226" spans="2:2" ht="15.75" x14ac:dyDescent="0.25">
      <c r="B226" s="583" t="s">
        <v>913</v>
      </c>
    </row>
    <row r="227" spans="2:2" ht="15.75" x14ac:dyDescent="0.25">
      <c r="B227" s="548"/>
    </row>
    <row r="228" spans="2:2" ht="15.75" x14ac:dyDescent="0.25">
      <c r="B228" s="548" t="s">
        <v>471</v>
      </c>
    </row>
    <row r="229" spans="2:2" ht="15.75" x14ac:dyDescent="0.25">
      <c r="B229" s="583" t="s">
        <v>914</v>
      </c>
    </row>
    <row r="230" spans="2:2" ht="15.75" x14ac:dyDescent="0.25">
      <c r="B230" s="548"/>
    </row>
    <row r="231" spans="2:2" ht="15.75" x14ac:dyDescent="0.25">
      <c r="B231" s="548" t="s">
        <v>472</v>
      </c>
    </row>
    <row r="232" spans="2:2" ht="15.75" x14ac:dyDescent="0.25">
      <c r="B232" s="583" t="s">
        <v>915</v>
      </c>
    </row>
    <row r="233" spans="2:2" ht="15.75" x14ac:dyDescent="0.25">
      <c r="B233" s="548"/>
    </row>
    <row r="234" spans="2:2" ht="15.75" x14ac:dyDescent="0.25">
      <c r="B234" s="548" t="s">
        <v>916</v>
      </c>
    </row>
    <row r="235" spans="2:2" ht="15.75" x14ac:dyDescent="0.25">
      <c r="B235" s="583" t="s">
        <v>917</v>
      </c>
    </row>
    <row r="236" spans="2:2" ht="15.75" x14ac:dyDescent="0.25">
      <c r="B236" s="548"/>
    </row>
    <row r="237" spans="2:2" ht="15.75" x14ac:dyDescent="0.25">
      <c r="B237" s="548" t="s">
        <v>473</v>
      </c>
    </row>
    <row r="238" spans="2:2" ht="15.75" x14ac:dyDescent="0.25">
      <c r="B238" s="583" t="s">
        <v>918</v>
      </c>
    </row>
    <row r="239" spans="2:2" ht="15.75" x14ac:dyDescent="0.25">
      <c r="B239" s="548"/>
    </row>
    <row r="240" spans="2:2" ht="15.75" x14ac:dyDescent="0.25">
      <c r="B240" s="548" t="s">
        <v>474</v>
      </c>
    </row>
    <row r="241" spans="2:2" ht="15.75" x14ac:dyDescent="0.25">
      <c r="B241" s="583" t="s">
        <v>919</v>
      </c>
    </row>
    <row r="242" spans="2:2" ht="15.75" x14ac:dyDescent="0.25">
      <c r="B242" s="548"/>
    </row>
    <row r="243" spans="2:2" ht="15.75" x14ac:dyDescent="0.25">
      <c r="B243" s="548" t="s">
        <v>475</v>
      </c>
    </row>
    <row r="244" spans="2:2" ht="15.75" x14ac:dyDescent="0.25">
      <c r="B244" s="583" t="s">
        <v>920</v>
      </c>
    </row>
    <row r="245" spans="2:2" ht="15.75" x14ac:dyDescent="0.25">
      <c r="B245" s="548"/>
    </row>
  </sheetData>
  <mergeCells count="4">
    <mergeCell ref="A1:N2"/>
    <mergeCell ref="A61:J62"/>
    <mergeCell ref="B219:I219"/>
    <mergeCell ref="B222:H222"/>
  </mergeCells>
  <hyperlinks>
    <hyperlink ref="B244" r:id="rId1" xr:uid="{BB4858E4-BC54-433C-B94C-D51F0275F703}"/>
  </hyperlinks>
  <pageMargins left="0.7" right="0.7" top="0.75" bottom="0.75" header="0.3" footer="0.3"/>
  <pageSetup orientation="landscape"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280"/>
  <sheetViews>
    <sheetView workbookViewId="0"/>
  </sheetViews>
  <sheetFormatPr defaultRowHeight="15.75" x14ac:dyDescent="0.25"/>
  <cols>
    <col min="1" max="1" width="73" style="1" customWidth="1"/>
    <col min="2" max="16384" width="8.796875" style="1"/>
  </cols>
  <sheetData>
    <row r="1" spans="1:1" x14ac:dyDescent="0.25">
      <c r="A1" s="662" t="s">
        <v>958</v>
      </c>
    </row>
    <row r="2" spans="1:1" x14ac:dyDescent="0.25">
      <c r="A2" s="258" t="s">
        <v>956</v>
      </c>
    </row>
    <row r="3" spans="1:1" x14ac:dyDescent="0.25">
      <c r="A3" s="107" t="s">
        <v>957</v>
      </c>
    </row>
    <row r="4" spans="1:1" x14ac:dyDescent="0.25">
      <c r="A4" s="107" t="s">
        <v>959</v>
      </c>
    </row>
    <row r="6" spans="1:1" x14ac:dyDescent="0.25">
      <c r="A6" s="267" t="s">
        <v>943</v>
      </c>
    </row>
    <row r="7" spans="1:1" x14ac:dyDescent="0.25">
      <c r="A7" s="1" t="s">
        <v>944</v>
      </c>
    </row>
    <row r="8" spans="1:1" x14ac:dyDescent="0.25">
      <c r="A8" s="1" t="s">
        <v>945</v>
      </c>
    </row>
    <row r="9" spans="1:1" x14ac:dyDescent="0.25">
      <c r="A9" s="1" t="s">
        <v>946</v>
      </c>
    </row>
    <row r="11" spans="1:1" x14ac:dyDescent="0.25">
      <c r="A11" s="662" t="s">
        <v>900</v>
      </c>
    </row>
    <row r="12" spans="1:1" x14ac:dyDescent="0.25">
      <c r="A12" s="258" t="s">
        <v>901</v>
      </c>
    </row>
    <row r="13" spans="1:1" x14ac:dyDescent="0.25">
      <c r="A13" s="258" t="s">
        <v>902</v>
      </c>
    </row>
    <row r="14" spans="1:1" ht="31.5" x14ac:dyDescent="0.25">
      <c r="A14" s="258" t="s">
        <v>903</v>
      </c>
    </row>
    <row r="15" spans="1:1" ht="31.5" x14ac:dyDescent="0.25">
      <c r="A15" s="258" t="s">
        <v>904</v>
      </c>
    </row>
    <row r="16" spans="1:1" x14ac:dyDescent="0.25">
      <c r="A16" s="258" t="s">
        <v>905</v>
      </c>
    </row>
    <row r="17" spans="1:1" ht="21.75" customHeight="1" x14ac:dyDescent="0.25">
      <c r="A17" s="258" t="s">
        <v>906</v>
      </c>
    </row>
    <row r="18" spans="1:1" x14ac:dyDescent="0.25">
      <c r="A18" s="258" t="s">
        <v>907</v>
      </c>
    </row>
    <row r="19" spans="1:1" x14ac:dyDescent="0.25">
      <c r="A19" s="258" t="s">
        <v>908</v>
      </c>
    </row>
    <row r="20" spans="1:1" x14ac:dyDescent="0.25">
      <c r="A20" s="258" t="s">
        <v>909</v>
      </c>
    </row>
    <row r="21" spans="1:1" x14ac:dyDescent="0.25">
      <c r="A21" s="258"/>
    </row>
    <row r="22" spans="1:1" x14ac:dyDescent="0.25">
      <c r="A22" s="588" t="s">
        <v>749</v>
      </c>
    </row>
    <row r="23" spans="1:1" x14ac:dyDescent="0.25">
      <c r="A23" s="107" t="s">
        <v>750</v>
      </c>
    </row>
    <row r="24" spans="1:1" x14ac:dyDescent="0.25">
      <c r="A24" s="107" t="s">
        <v>751</v>
      </c>
    </row>
    <row r="25" spans="1:1" x14ac:dyDescent="0.25">
      <c r="A25" s="107" t="s">
        <v>752</v>
      </c>
    </row>
    <row r="26" spans="1:1" x14ac:dyDescent="0.25">
      <c r="A26" s="107" t="s">
        <v>753</v>
      </c>
    </row>
    <row r="27" spans="1:1" x14ac:dyDescent="0.25">
      <c r="A27" s="107" t="s">
        <v>754</v>
      </c>
    </row>
    <row r="28" spans="1:1" x14ac:dyDescent="0.25">
      <c r="A28" s="107" t="s">
        <v>755</v>
      </c>
    </row>
    <row r="30" spans="1:1" x14ac:dyDescent="0.25">
      <c r="A30" s="584" t="s">
        <v>742</v>
      </c>
    </row>
    <row r="31" spans="1:1" x14ac:dyDescent="0.25">
      <c r="A31" s="107" t="s">
        <v>743</v>
      </c>
    </row>
    <row r="32" spans="1:1" x14ac:dyDescent="0.25">
      <c r="A32" s="107" t="s">
        <v>744</v>
      </c>
    </row>
    <row r="33" spans="1:1" x14ac:dyDescent="0.25">
      <c r="A33" s="107" t="s">
        <v>745</v>
      </c>
    </row>
    <row r="35" spans="1:1" x14ac:dyDescent="0.25">
      <c r="A35" s="267" t="s">
        <v>737</v>
      </c>
    </row>
    <row r="36" spans="1:1" x14ac:dyDescent="0.25">
      <c r="A36" s="1" t="s">
        <v>739</v>
      </c>
    </row>
    <row r="37" spans="1:1" x14ac:dyDescent="0.25">
      <c r="A37" s="1" t="s">
        <v>738</v>
      </c>
    </row>
    <row r="38" spans="1:1" x14ac:dyDescent="0.25">
      <c r="A38" s="1" t="s">
        <v>740</v>
      </c>
    </row>
    <row r="40" spans="1:1" x14ac:dyDescent="0.25">
      <c r="A40" s="267" t="s">
        <v>730</v>
      </c>
    </row>
    <row r="41" spans="1:1" x14ac:dyDescent="0.25">
      <c r="A41" s="1" t="s">
        <v>731</v>
      </c>
    </row>
    <row r="42" spans="1:1" x14ac:dyDescent="0.25">
      <c r="A42" s="1" t="s">
        <v>732</v>
      </c>
    </row>
    <row r="43" spans="1:1" x14ac:dyDescent="0.25">
      <c r="A43" s="1" t="s">
        <v>733</v>
      </c>
    </row>
    <row r="44" spans="1:1" x14ac:dyDescent="0.25">
      <c r="A44" s="1" t="s">
        <v>734</v>
      </c>
    </row>
    <row r="45" spans="1:1" x14ac:dyDescent="0.25">
      <c r="A45" s="1" t="s">
        <v>735</v>
      </c>
    </row>
    <row r="47" spans="1:1" x14ac:dyDescent="0.25">
      <c r="A47" s="549" t="s">
        <v>727</v>
      </c>
    </row>
    <row r="48" spans="1:1" x14ac:dyDescent="0.25">
      <c r="A48" s="1" t="s">
        <v>728</v>
      </c>
    </row>
    <row r="50" spans="1:1" x14ac:dyDescent="0.25">
      <c r="A50" s="549" t="s">
        <v>726</v>
      </c>
    </row>
    <row r="51" spans="1:1" x14ac:dyDescent="0.25">
      <c r="A51" s="548" t="s">
        <v>725</v>
      </c>
    </row>
    <row r="53" spans="1:1" x14ac:dyDescent="0.25">
      <c r="A53" s="549" t="s">
        <v>597</v>
      </c>
    </row>
    <row r="54" spans="1:1" x14ac:dyDescent="0.25">
      <c r="A54" s="548" t="s">
        <v>598</v>
      </c>
    </row>
    <row r="56" spans="1:1" x14ac:dyDescent="0.25">
      <c r="A56" s="549" t="s">
        <v>596</v>
      </c>
    </row>
    <row r="57" spans="1:1" x14ac:dyDescent="0.25">
      <c r="A57" s="548" t="s">
        <v>599</v>
      </c>
    </row>
    <row r="58" spans="1:1" x14ac:dyDescent="0.25">
      <c r="A58" s="548" t="s">
        <v>600</v>
      </c>
    </row>
    <row r="59" spans="1:1" x14ac:dyDescent="0.25">
      <c r="A59" s="548" t="s">
        <v>601</v>
      </c>
    </row>
    <row r="60" spans="1:1" x14ac:dyDescent="0.25">
      <c r="A60" s="548" t="s">
        <v>602</v>
      </c>
    </row>
    <row r="61" spans="1:1" x14ac:dyDescent="0.25">
      <c r="A61" s="548" t="s">
        <v>603</v>
      </c>
    </row>
    <row r="62" spans="1:1" x14ac:dyDescent="0.25">
      <c r="A62" s="548"/>
    </row>
    <row r="63" spans="1:1" x14ac:dyDescent="0.25">
      <c r="A63" s="268" t="s">
        <v>604</v>
      </c>
    </row>
    <row r="64" spans="1:1" x14ac:dyDescent="0.25">
      <c r="A64" s="502" t="s">
        <v>594</v>
      </c>
    </row>
    <row r="65" spans="1:1" x14ac:dyDescent="0.25">
      <c r="A65" s="547" t="s">
        <v>595</v>
      </c>
    </row>
    <row r="67" spans="1:1" x14ac:dyDescent="0.25">
      <c r="A67" s="268" t="s">
        <v>605</v>
      </c>
    </row>
    <row r="68" spans="1:1" x14ac:dyDescent="0.25">
      <c r="A68" s="502" t="s">
        <v>593</v>
      </c>
    </row>
    <row r="70" spans="1:1" x14ac:dyDescent="0.25">
      <c r="A70" s="268" t="s">
        <v>606</v>
      </c>
    </row>
    <row r="71" spans="1:1" x14ac:dyDescent="0.25">
      <c r="A71" s="502" t="s">
        <v>574</v>
      </c>
    </row>
    <row r="73" spans="1:1" x14ac:dyDescent="0.25">
      <c r="A73" s="268" t="s">
        <v>607</v>
      </c>
    </row>
    <row r="74" spans="1:1" x14ac:dyDescent="0.25">
      <c r="A74" s="1" t="s">
        <v>566</v>
      </c>
    </row>
    <row r="76" spans="1:1" x14ac:dyDescent="0.25">
      <c r="A76" s="268" t="s">
        <v>608</v>
      </c>
    </row>
    <row r="77" spans="1:1" x14ac:dyDescent="0.25">
      <c r="A77" s="502" t="s">
        <v>565</v>
      </c>
    </row>
    <row r="79" spans="1:1" x14ac:dyDescent="0.25">
      <c r="A79" s="268" t="s">
        <v>609</v>
      </c>
    </row>
    <row r="80" spans="1:1" x14ac:dyDescent="0.25">
      <c r="A80" s="501" t="s">
        <v>564</v>
      </c>
    </row>
    <row r="82" spans="1:1" x14ac:dyDescent="0.25">
      <c r="A82" s="268" t="s">
        <v>610</v>
      </c>
    </row>
    <row r="83" spans="1:1" x14ac:dyDescent="0.25">
      <c r="A83" s="488" t="s">
        <v>611</v>
      </c>
    </row>
    <row r="85" spans="1:1" x14ac:dyDescent="0.25">
      <c r="A85" s="268" t="s">
        <v>612</v>
      </c>
    </row>
    <row r="86" spans="1:1" x14ac:dyDescent="0.25">
      <c r="A86" s="488" t="s">
        <v>563</v>
      </c>
    </row>
    <row r="88" spans="1:1" x14ac:dyDescent="0.25">
      <c r="A88" s="268" t="s">
        <v>613</v>
      </c>
    </row>
    <row r="89" spans="1:1" x14ac:dyDescent="0.25">
      <c r="A89" s="489" t="s">
        <v>614</v>
      </c>
    </row>
    <row r="91" spans="1:1" x14ac:dyDescent="0.25">
      <c r="A91" s="268" t="s">
        <v>615</v>
      </c>
    </row>
    <row r="92" spans="1:1" x14ac:dyDescent="0.25">
      <c r="A92" s="489" t="s">
        <v>616</v>
      </c>
    </row>
    <row r="94" spans="1:1" x14ac:dyDescent="0.25">
      <c r="A94" s="268" t="s">
        <v>615</v>
      </c>
    </row>
    <row r="95" spans="1:1" x14ac:dyDescent="0.25">
      <c r="A95" s="489" t="s">
        <v>618</v>
      </c>
    </row>
    <row r="97" spans="1:1" x14ac:dyDescent="0.25">
      <c r="A97" s="268" t="s">
        <v>617</v>
      </c>
    </row>
    <row r="98" spans="1:1" x14ac:dyDescent="0.25">
      <c r="A98" s="488" t="s">
        <v>619</v>
      </c>
    </row>
    <row r="100" spans="1:1" x14ac:dyDescent="0.25">
      <c r="A100" s="268" t="s">
        <v>620</v>
      </c>
    </row>
    <row r="101" spans="1:1" x14ac:dyDescent="0.25">
      <c r="A101" s="486" t="s">
        <v>621</v>
      </c>
    </row>
    <row r="102" spans="1:1" x14ac:dyDescent="0.25">
      <c r="A102" s="486" t="s">
        <v>622</v>
      </c>
    </row>
    <row r="103" spans="1:1" x14ac:dyDescent="0.25">
      <c r="A103" s="486" t="s">
        <v>623</v>
      </c>
    </row>
    <row r="104" spans="1:1" x14ac:dyDescent="0.25">
      <c r="A104" s="486" t="s">
        <v>624</v>
      </c>
    </row>
    <row r="105" spans="1:1" x14ac:dyDescent="0.25">
      <c r="A105" s="486" t="s">
        <v>625</v>
      </c>
    </row>
    <row r="106" spans="1:1" x14ac:dyDescent="0.25">
      <c r="A106" s="486" t="s">
        <v>626</v>
      </c>
    </row>
    <row r="107" spans="1:1" x14ac:dyDescent="0.25">
      <c r="A107" s="486" t="s">
        <v>627</v>
      </c>
    </row>
    <row r="108" spans="1:1" x14ac:dyDescent="0.25">
      <c r="A108" s="486" t="s">
        <v>628</v>
      </c>
    </row>
    <row r="109" spans="1:1" x14ac:dyDescent="0.25">
      <c r="A109" s="486" t="s">
        <v>629</v>
      </c>
    </row>
    <row r="110" spans="1:1" x14ac:dyDescent="0.25">
      <c r="A110" s="486" t="s">
        <v>630</v>
      </c>
    </row>
    <row r="111" spans="1:1" x14ac:dyDescent="0.25">
      <c r="A111" s="486" t="s">
        <v>631</v>
      </c>
    </row>
    <row r="112" spans="1:1" x14ac:dyDescent="0.25">
      <c r="A112" s="486" t="s">
        <v>632</v>
      </c>
    </row>
    <row r="113" spans="1:1" x14ac:dyDescent="0.25">
      <c r="A113" s="486" t="s">
        <v>633</v>
      </c>
    </row>
    <row r="114" spans="1:1" x14ac:dyDescent="0.25">
      <c r="A114" s="486" t="s">
        <v>634</v>
      </c>
    </row>
    <row r="115" spans="1:1" x14ac:dyDescent="0.25">
      <c r="A115" s="486" t="s">
        <v>635</v>
      </c>
    </row>
    <row r="116" spans="1:1" x14ac:dyDescent="0.25">
      <c r="A116" s="486" t="s">
        <v>636</v>
      </c>
    </row>
    <row r="117" spans="1:1" x14ac:dyDescent="0.25">
      <c r="A117" s="486" t="s">
        <v>637</v>
      </c>
    </row>
    <row r="118" spans="1:1" x14ac:dyDescent="0.25">
      <c r="A118" s="486" t="s">
        <v>638</v>
      </c>
    </row>
    <row r="119" spans="1:1" x14ac:dyDescent="0.25">
      <c r="A119" s="486" t="s">
        <v>639</v>
      </c>
    </row>
    <row r="120" spans="1:1" x14ac:dyDescent="0.25">
      <c r="A120" s="486" t="s">
        <v>640</v>
      </c>
    </row>
    <row r="121" spans="1:1" x14ac:dyDescent="0.25">
      <c r="A121" s="486" t="s">
        <v>641</v>
      </c>
    </row>
    <row r="122" spans="1:1" x14ac:dyDescent="0.25">
      <c r="A122" s="486" t="s">
        <v>642</v>
      </c>
    </row>
    <row r="123" spans="1:1" x14ac:dyDescent="0.25">
      <c r="A123" s="486" t="s">
        <v>643</v>
      </c>
    </row>
    <row r="124" spans="1:1" x14ac:dyDescent="0.25">
      <c r="A124" s="486" t="s">
        <v>644</v>
      </c>
    </row>
    <row r="125" spans="1:1" x14ac:dyDescent="0.25">
      <c r="A125" s="486" t="s">
        <v>645</v>
      </c>
    </row>
    <row r="126" spans="1:1" x14ac:dyDescent="0.25">
      <c r="A126" s="486" t="s">
        <v>646</v>
      </c>
    </row>
    <row r="127" spans="1:1" x14ac:dyDescent="0.25">
      <c r="A127" s="486" t="s">
        <v>647</v>
      </c>
    </row>
    <row r="128" spans="1:1" x14ac:dyDescent="0.25">
      <c r="A128" s="486" t="s">
        <v>648</v>
      </c>
    </row>
    <row r="129" spans="1:1" x14ac:dyDescent="0.25">
      <c r="A129" s="486" t="s">
        <v>649</v>
      </c>
    </row>
    <row r="131" spans="1:1" x14ac:dyDescent="0.25">
      <c r="A131" s="268" t="s">
        <v>650</v>
      </c>
    </row>
    <row r="132" spans="1:1" x14ac:dyDescent="0.25">
      <c r="A132" s="1" t="s">
        <v>651</v>
      </c>
    </row>
    <row r="134" spans="1:1" x14ac:dyDescent="0.25">
      <c r="A134" s="268" t="s">
        <v>652</v>
      </c>
    </row>
    <row r="135" spans="1:1" x14ac:dyDescent="0.25">
      <c r="A135" s="344" t="s">
        <v>653</v>
      </c>
    </row>
    <row r="137" spans="1:1" x14ac:dyDescent="0.25">
      <c r="A137" s="268" t="s">
        <v>654</v>
      </c>
    </row>
    <row r="138" spans="1:1" x14ac:dyDescent="0.25">
      <c r="A138" s="1" t="s">
        <v>655</v>
      </c>
    </row>
    <row r="140" spans="1:1" x14ac:dyDescent="0.25">
      <c r="A140" s="268" t="s">
        <v>656</v>
      </c>
    </row>
    <row r="141" spans="1:1" x14ac:dyDescent="0.25">
      <c r="A141" s="344" t="s">
        <v>657</v>
      </c>
    </row>
    <row r="142" spans="1:1" x14ac:dyDescent="0.25">
      <c r="A142" s="344" t="s">
        <v>658</v>
      </c>
    </row>
    <row r="143" spans="1:1" ht="31.5" x14ac:dyDescent="0.25">
      <c r="A143" s="343" t="s">
        <v>659</v>
      </c>
    </row>
    <row r="144" spans="1:1" x14ac:dyDescent="0.25">
      <c r="A144" s="344" t="s">
        <v>660</v>
      </c>
    </row>
    <row r="145" spans="1:1" x14ac:dyDescent="0.25">
      <c r="A145" s="344" t="s">
        <v>661</v>
      </c>
    </row>
    <row r="146" spans="1:1" x14ac:dyDescent="0.25">
      <c r="A146" s="344" t="s">
        <v>662</v>
      </c>
    </row>
    <row r="147" spans="1:1" x14ac:dyDescent="0.25">
      <c r="A147" s="344" t="s">
        <v>663</v>
      </c>
    </row>
    <row r="148" spans="1:1" ht="36.75" customHeight="1" x14ac:dyDescent="0.25">
      <c r="A148" s="344" t="s">
        <v>664</v>
      </c>
    </row>
    <row r="149" spans="1:1" x14ac:dyDescent="0.25">
      <c r="A149" s="344" t="s">
        <v>665</v>
      </c>
    </row>
    <row r="150" spans="1:1" x14ac:dyDescent="0.25">
      <c r="A150" s="344" t="s">
        <v>666</v>
      </c>
    </row>
    <row r="151" spans="1:1" x14ac:dyDescent="0.25">
      <c r="A151" s="344" t="s">
        <v>667</v>
      </c>
    </row>
    <row r="152" spans="1:1" x14ac:dyDescent="0.25">
      <c r="A152" s="344" t="s">
        <v>668</v>
      </c>
    </row>
    <row r="153" spans="1:1" x14ac:dyDescent="0.25">
      <c r="A153" s="344" t="s">
        <v>669</v>
      </c>
    </row>
    <row r="154" spans="1:1" x14ac:dyDescent="0.25">
      <c r="A154" s="344" t="s">
        <v>670</v>
      </c>
    </row>
    <row r="155" spans="1:1" x14ac:dyDescent="0.25">
      <c r="A155" s="344" t="s">
        <v>671</v>
      </c>
    </row>
    <row r="156" spans="1:1" x14ac:dyDescent="0.25">
      <c r="A156" s="344" t="s">
        <v>672</v>
      </c>
    </row>
    <row r="157" spans="1:1" x14ac:dyDescent="0.25">
      <c r="A157" s="344" t="s">
        <v>673</v>
      </c>
    </row>
    <row r="158" spans="1:1" x14ac:dyDescent="0.25">
      <c r="A158" s="344" t="s">
        <v>674</v>
      </c>
    </row>
    <row r="159" spans="1:1" x14ac:dyDescent="0.25">
      <c r="A159" s="344" t="s">
        <v>675</v>
      </c>
    </row>
    <row r="160" spans="1:1" x14ac:dyDescent="0.25">
      <c r="A160" s="344" t="s">
        <v>676</v>
      </c>
    </row>
    <row r="161" spans="1:1" x14ac:dyDescent="0.25">
      <c r="A161" s="344" t="s">
        <v>677</v>
      </c>
    </row>
    <row r="162" spans="1:1" x14ac:dyDescent="0.25">
      <c r="A162" s="344" t="s">
        <v>678</v>
      </c>
    </row>
    <row r="163" spans="1:1" x14ac:dyDescent="0.25">
      <c r="A163" s="344" t="s">
        <v>679</v>
      </c>
    </row>
    <row r="165" spans="1:1" x14ac:dyDescent="0.25">
      <c r="A165" s="268" t="s">
        <v>680</v>
      </c>
    </row>
    <row r="166" spans="1:1" ht="31.5" x14ac:dyDescent="0.25">
      <c r="A166" s="258" t="s">
        <v>681</v>
      </c>
    </row>
    <row r="168" spans="1:1" x14ac:dyDescent="0.25">
      <c r="A168" s="268" t="s">
        <v>682</v>
      </c>
    </row>
    <row r="169" spans="1:1" x14ac:dyDescent="0.25">
      <c r="A169" s="107" t="s">
        <v>683</v>
      </c>
    </row>
    <row r="170" spans="1:1" x14ac:dyDescent="0.25">
      <c r="A170" s="107" t="s">
        <v>684</v>
      </c>
    </row>
    <row r="171" spans="1:1" x14ac:dyDescent="0.25">
      <c r="A171" s="107" t="s">
        <v>685</v>
      </c>
    </row>
    <row r="173" spans="1:1" x14ac:dyDescent="0.25">
      <c r="A173" s="278" t="s">
        <v>686</v>
      </c>
    </row>
    <row r="174" spans="1:1" x14ac:dyDescent="0.25">
      <c r="A174" s="107" t="s">
        <v>687</v>
      </c>
    </row>
    <row r="176" spans="1:1" x14ac:dyDescent="0.25">
      <c r="A176" s="268" t="s">
        <v>688</v>
      </c>
    </row>
    <row r="177" spans="1:1" x14ac:dyDescent="0.25">
      <c r="A177" s="269" t="s">
        <v>689</v>
      </c>
    </row>
    <row r="178" spans="1:1" x14ac:dyDescent="0.25">
      <c r="A178" s="269" t="s">
        <v>690</v>
      </c>
    </row>
    <row r="179" spans="1:1" x14ac:dyDescent="0.25">
      <c r="A179" s="269" t="s">
        <v>691</v>
      </c>
    </row>
    <row r="180" spans="1:1" x14ac:dyDescent="0.25">
      <c r="A180" s="270" t="s">
        <v>692</v>
      </c>
    </row>
    <row r="182" spans="1:1" x14ac:dyDescent="0.25">
      <c r="A182" s="267" t="s">
        <v>693</v>
      </c>
    </row>
    <row r="183" spans="1:1" x14ac:dyDescent="0.25">
      <c r="A183" s="1" t="s">
        <v>215</v>
      </c>
    </row>
    <row r="184" spans="1:1" x14ac:dyDescent="0.25">
      <c r="A184" s="1" t="s">
        <v>694</v>
      </c>
    </row>
    <row r="185" spans="1:1" x14ac:dyDescent="0.25">
      <c r="A185" s="1" t="s">
        <v>695</v>
      </c>
    </row>
    <row r="186" spans="1:1" x14ac:dyDescent="0.25">
      <c r="A186" s="1" t="s">
        <v>696</v>
      </c>
    </row>
    <row r="187" spans="1:1" x14ac:dyDescent="0.25">
      <c r="A187" s="1" t="s">
        <v>697</v>
      </c>
    </row>
    <row r="188" spans="1:1" x14ac:dyDescent="0.25">
      <c r="A188" s="1" t="s">
        <v>698</v>
      </c>
    </row>
    <row r="189" spans="1:1" x14ac:dyDescent="0.25">
      <c r="A189" s="1" t="s">
        <v>699</v>
      </c>
    </row>
    <row r="190" spans="1:1" x14ac:dyDescent="0.25">
      <c r="A190" s="1" t="s">
        <v>700</v>
      </c>
    </row>
    <row r="191" spans="1:1" x14ac:dyDescent="0.25">
      <c r="A191" s="1" t="s">
        <v>701</v>
      </c>
    </row>
    <row r="192" spans="1:1" x14ac:dyDescent="0.25">
      <c r="A192" s="1" t="s">
        <v>702</v>
      </c>
    </row>
    <row r="193" spans="1:1" x14ac:dyDescent="0.25">
      <c r="A193" s="1" t="s">
        <v>703</v>
      </c>
    </row>
    <row r="194" spans="1:1" x14ac:dyDescent="0.25">
      <c r="A194" s="1" t="s">
        <v>704</v>
      </c>
    </row>
    <row r="195" spans="1:1" x14ac:dyDescent="0.25">
      <c r="A195" s="265" t="s">
        <v>705</v>
      </c>
    </row>
    <row r="197" spans="1:1" x14ac:dyDescent="0.25">
      <c r="A197" s="267" t="s">
        <v>706</v>
      </c>
    </row>
    <row r="198" spans="1:1" x14ac:dyDescent="0.25">
      <c r="A198" s="1" t="s">
        <v>707</v>
      </c>
    </row>
    <row r="199" spans="1:1" x14ac:dyDescent="0.25">
      <c r="A199" s="1" t="s">
        <v>708</v>
      </c>
    </row>
    <row r="201" spans="1:1" x14ac:dyDescent="0.25">
      <c r="A201" s="267" t="s">
        <v>709</v>
      </c>
    </row>
    <row r="202" spans="1:1" x14ac:dyDescent="0.25">
      <c r="A202" s="1" t="s">
        <v>710</v>
      </c>
    </row>
    <row r="203" spans="1:1" ht="15.75" customHeight="1" x14ac:dyDescent="0.25"/>
    <row r="204" spans="1:1" x14ac:dyDescent="0.25">
      <c r="A204" s="267" t="s">
        <v>711</v>
      </c>
    </row>
    <row r="205" spans="1:1" x14ac:dyDescent="0.25">
      <c r="A205" s="1" t="s">
        <v>712</v>
      </c>
    </row>
    <row r="207" spans="1:1" x14ac:dyDescent="0.25">
      <c r="A207" s="267" t="s">
        <v>713</v>
      </c>
    </row>
    <row r="208" spans="1:1" x14ac:dyDescent="0.25">
      <c r="A208" s="1" t="s">
        <v>714</v>
      </c>
    </row>
    <row r="209" spans="1:1" x14ac:dyDescent="0.25">
      <c r="A209" s="1" t="s">
        <v>715</v>
      </c>
    </row>
    <row r="211" spans="1:1" x14ac:dyDescent="0.25">
      <c r="A211" s="267" t="s">
        <v>716</v>
      </c>
    </row>
    <row r="212" spans="1:1" x14ac:dyDescent="0.25">
      <c r="A212" s="1" t="s">
        <v>717</v>
      </c>
    </row>
    <row r="213" spans="1:1" x14ac:dyDescent="0.25">
      <c r="A213" s="1" t="s">
        <v>718</v>
      </c>
    </row>
    <row r="214" spans="1:1" x14ac:dyDescent="0.25">
      <c r="A214" s="1" t="s">
        <v>719</v>
      </c>
    </row>
    <row r="216" spans="1:1" x14ac:dyDescent="0.25">
      <c r="A216" s="267" t="s">
        <v>720</v>
      </c>
    </row>
    <row r="217" spans="1:1" ht="15.75" customHeight="1" x14ac:dyDescent="0.25">
      <c r="A217" s="1" t="s">
        <v>209</v>
      </c>
    </row>
    <row r="218" spans="1:1" ht="15.75" customHeight="1" x14ac:dyDescent="0.25">
      <c r="A218" s="1" t="s">
        <v>210</v>
      </c>
    </row>
    <row r="219" spans="1:1" ht="15.75" customHeight="1" x14ac:dyDescent="0.25"/>
    <row r="220" spans="1:1" ht="15.75" customHeight="1" x14ac:dyDescent="0.25">
      <c r="A220" s="267" t="s">
        <v>721</v>
      </c>
    </row>
    <row r="221" spans="1:1" ht="33" customHeight="1" x14ac:dyDescent="0.25">
      <c r="A221" s="1" t="s">
        <v>208</v>
      </c>
    </row>
    <row r="222" spans="1:1" ht="15.75" customHeight="1" x14ac:dyDescent="0.25"/>
    <row r="223" spans="1:1" ht="33.75" customHeight="1" x14ac:dyDescent="0.25">
      <c r="A223" s="267" t="s">
        <v>170</v>
      </c>
    </row>
    <row r="224" spans="1:1" ht="15.75" customHeight="1" x14ac:dyDescent="0.25">
      <c r="A224" s="1" t="s">
        <v>171</v>
      </c>
    </row>
    <row r="225" spans="1:1" ht="15.75" customHeight="1" x14ac:dyDescent="0.25">
      <c r="A225" s="2" t="s">
        <v>186</v>
      </c>
    </row>
    <row r="226" spans="1:1" ht="15.75" customHeight="1" x14ac:dyDescent="0.25">
      <c r="A226" s="1" t="s">
        <v>172</v>
      </c>
    </row>
    <row r="227" spans="1:1" x14ac:dyDescent="0.25">
      <c r="A227" s="1" t="s">
        <v>173</v>
      </c>
    </row>
    <row r="228" spans="1:1" x14ac:dyDescent="0.25">
      <c r="A228" s="1" t="s">
        <v>174</v>
      </c>
    </row>
    <row r="229" spans="1:1" x14ac:dyDescent="0.25">
      <c r="A229" s="1" t="s">
        <v>175</v>
      </c>
    </row>
    <row r="230" spans="1:1" ht="31.5" x14ac:dyDescent="0.25">
      <c r="A230" s="2" t="s">
        <v>159</v>
      </c>
    </row>
    <row r="231" spans="1:1" ht="31.5" x14ac:dyDescent="0.25">
      <c r="A231" s="2" t="s">
        <v>182</v>
      </c>
    </row>
    <row r="232" spans="1:1" ht="31.5" x14ac:dyDescent="0.25">
      <c r="A232" s="2" t="s">
        <v>176</v>
      </c>
    </row>
    <row r="233" spans="1:1" x14ac:dyDescent="0.25">
      <c r="A233" s="2" t="s">
        <v>177</v>
      </c>
    </row>
    <row r="234" spans="1:1" ht="31.5" x14ac:dyDescent="0.25">
      <c r="A234" s="2" t="s">
        <v>178</v>
      </c>
    </row>
    <row r="235" spans="1:1" x14ac:dyDescent="0.25">
      <c r="A235" s="1" t="s">
        <v>179</v>
      </c>
    </row>
    <row r="236" spans="1:1" x14ac:dyDescent="0.25">
      <c r="A236" s="1" t="s">
        <v>180</v>
      </c>
    </row>
    <row r="237" spans="1:1" x14ac:dyDescent="0.25">
      <c r="A237" s="1" t="s">
        <v>181</v>
      </c>
    </row>
    <row r="238" spans="1:1" x14ac:dyDescent="0.25">
      <c r="A238" s="1" t="s">
        <v>185</v>
      </c>
    </row>
    <row r="239" spans="1:1" ht="31.5" x14ac:dyDescent="0.25">
      <c r="A239" s="2" t="s">
        <v>183</v>
      </c>
    </row>
    <row r="240" spans="1:1" x14ac:dyDescent="0.25">
      <c r="A240" s="2" t="s">
        <v>154</v>
      </c>
    </row>
    <row r="241" spans="1:1" ht="31.5" x14ac:dyDescent="0.25">
      <c r="A241" s="2" t="s">
        <v>722</v>
      </c>
    </row>
    <row r="242" spans="1:1" x14ac:dyDescent="0.25">
      <c r="A242" s="2" t="s">
        <v>723</v>
      </c>
    </row>
    <row r="243" spans="1:1" x14ac:dyDescent="0.25">
      <c r="A243" s="2" t="s">
        <v>155</v>
      </c>
    </row>
    <row r="244" spans="1:1" x14ac:dyDescent="0.25">
      <c r="A244" s="2" t="s">
        <v>156</v>
      </c>
    </row>
    <row r="245" spans="1:1" ht="31.5" x14ac:dyDescent="0.25">
      <c r="A245" s="2" t="s">
        <v>157</v>
      </c>
    </row>
    <row r="246" spans="1:1" ht="31.5" x14ac:dyDescent="0.25">
      <c r="A246" s="2" t="s">
        <v>160</v>
      </c>
    </row>
    <row r="247" spans="1:1" ht="31.5" x14ac:dyDescent="0.25">
      <c r="A247" s="2" t="s">
        <v>158</v>
      </c>
    </row>
    <row r="248" spans="1:1" ht="31.5" x14ac:dyDescent="0.25">
      <c r="A248" s="2" t="s">
        <v>724</v>
      </c>
    </row>
    <row r="249" spans="1:1" x14ac:dyDescent="0.25">
      <c r="A249" s="2" t="s">
        <v>166</v>
      </c>
    </row>
    <row r="251" spans="1:1" x14ac:dyDescent="0.25">
      <c r="A251" s="267" t="s">
        <v>120</v>
      </c>
    </row>
    <row r="252" spans="1:1" ht="47.25" x14ac:dyDescent="0.25">
      <c r="A252" s="2" t="s">
        <v>161</v>
      </c>
    </row>
    <row r="253" spans="1:1" x14ac:dyDescent="0.25">
      <c r="A253" s="1" t="s">
        <v>121</v>
      </c>
    </row>
    <row r="254" spans="1:1" x14ac:dyDescent="0.25">
      <c r="A254" s="1" t="s">
        <v>125</v>
      </c>
    </row>
    <row r="255" spans="1:1" x14ac:dyDescent="0.25">
      <c r="A255" s="1" t="s">
        <v>126</v>
      </c>
    </row>
    <row r="256" spans="1:1" x14ac:dyDescent="0.25">
      <c r="A256" s="1" t="s">
        <v>122</v>
      </c>
    </row>
    <row r="257" spans="1:1" x14ac:dyDescent="0.25">
      <c r="A257" s="1" t="s">
        <v>123</v>
      </c>
    </row>
    <row r="258" spans="1:1" x14ac:dyDescent="0.25">
      <c r="A258" s="1" t="s">
        <v>124</v>
      </c>
    </row>
    <row r="259" spans="1:1" x14ac:dyDescent="0.25">
      <c r="A259" s="2" t="s">
        <v>127</v>
      </c>
    </row>
    <row r="260" spans="1:1" x14ac:dyDescent="0.25">
      <c r="A260" s="1" t="s">
        <v>128</v>
      </c>
    </row>
    <row r="261" spans="1:1" x14ac:dyDescent="0.25">
      <c r="A261" s="1" t="s">
        <v>129</v>
      </c>
    </row>
    <row r="262" spans="1:1" x14ac:dyDescent="0.25">
      <c r="A262" s="1" t="s">
        <v>162</v>
      </c>
    </row>
    <row r="263" spans="1:1" x14ac:dyDescent="0.25">
      <c r="A263" s="1" t="s">
        <v>130</v>
      </c>
    </row>
    <row r="264" spans="1:1" x14ac:dyDescent="0.25">
      <c r="A264" s="1" t="s">
        <v>163</v>
      </c>
    </row>
    <row r="265" spans="1:1" x14ac:dyDescent="0.25">
      <c r="A265" s="1" t="s">
        <v>131</v>
      </c>
    </row>
    <row r="266" spans="1:1" x14ac:dyDescent="0.25">
      <c r="A266" s="1" t="s">
        <v>164</v>
      </c>
    </row>
    <row r="267" spans="1:1" x14ac:dyDescent="0.25">
      <c r="A267" s="1" t="s">
        <v>132</v>
      </c>
    </row>
    <row r="268" spans="1:1" x14ac:dyDescent="0.25">
      <c r="A268" s="1" t="s">
        <v>134</v>
      </c>
    </row>
    <row r="269" spans="1:1" x14ac:dyDescent="0.25">
      <c r="A269" s="1" t="s">
        <v>165</v>
      </c>
    </row>
    <row r="270" spans="1:1" x14ac:dyDescent="0.25">
      <c r="A270" s="1" t="s">
        <v>150</v>
      </c>
    </row>
    <row r="271" spans="1:1" x14ac:dyDescent="0.25">
      <c r="A271" s="1" t="s">
        <v>151</v>
      </c>
    </row>
    <row r="272" spans="1:1" x14ac:dyDescent="0.25">
      <c r="A272" s="1" t="s">
        <v>152</v>
      </c>
    </row>
    <row r="273" spans="1:1" x14ac:dyDescent="0.25">
      <c r="A273" s="1" t="s">
        <v>135</v>
      </c>
    </row>
    <row r="274" spans="1:1" x14ac:dyDescent="0.25">
      <c r="A274" s="1" t="s">
        <v>136</v>
      </c>
    </row>
    <row r="275" spans="1:1" x14ac:dyDescent="0.25">
      <c r="A275" s="1" t="s">
        <v>137</v>
      </c>
    </row>
    <row r="276" spans="1:1" x14ac:dyDescent="0.25">
      <c r="A276" s="1" t="s">
        <v>147</v>
      </c>
    </row>
    <row r="277" spans="1:1" x14ac:dyDescent="0.25">
      <c r="A277" s="1" t="s">
        <v>148</v>
      </c>
    </row>
    <row r="278" spans="1:1" x14ac:dyDescent="0.25">
      <c r="A278" s="1" t="s">
        <v>149</v>
      </c>
    </row>
    <row r="279" spans="1:1" x14ac:dyDescent="0.25">
      <c r="A279" s="1" t="s">
        <v>153</v>
      </c>
    </row>
    <row r="280" spans="1:1" x14ac:dyDescent="0.25">
      <c r="A280" s="1" t="s">
        <v>167</v>
      </c>
    </row>
  </sheetData>
  <sheetProtection sheet="1" objects="1" scenario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367C0-8422-420B-AF7E-234E798287FC}">
  <sheetPr>
    <pageSetUpPr fitToPage="1"/>
  </sheetPr>
  <dimension ref="A1:N49"/>
  <sheetViews>
    <sheetView zoomScale="80" zoomScaleNormal="80" workbookViewId="0">
      <selection activeCell="B46" sqref="B46:E46"/>
    </sheetView>
  </sheetViews>
  <sheetFormatPr defaultRowHeight="15.75" x14ac:dyDescent="0.25"/>
  <cols>
    <col min="1" max="1" width="15.5" style="602" customWidth="1"/>
    <col min="2" max="2" width="14.5" style="602" customWidth="1"/>
    <col min="3" max="7" width="8.796875" style="602"/>
    <col min="8" max="8" width="11.3984375" style="548" customWidth="1"/>
    <col min="9" max="9" width="11.19921875" style="548" customWidth="1"/>
    <col min="10" max="11" width="8.796875" style="548"/>
    <col min="12" max="16384" width="8.796875" style="602"/>
  </cols>
  <sheetData>
    <row r="1" spans="1:14" ht="15" x14ac:dyDescent="0.2">
      <c r="A1" s="720" t="s">
        <v>849</v>
      </c>
      <c r="B1" s="720"/>
      <c r="C1" s="720"/>
      <c r="D1" s="720"/>
      <c r="E1" s="720"/>
      <c r="F1" s="720"/>
      <c r="H1" s="709" t="s">
        <v>848</v>
      </c>
      <c r="I1" s="709"/>
      <c r="J1" s="709"/>
      <c r="K1" s="709"/>
    </row>
    <row r="2" spans="1:14" ht="20.25" customHeight="1" x14ac:dyDescent="0.2">
      <c r="A2" s="720"/>
      <c r="B2" s="720"/>
      <c r="C2" s="720"/>
      <c r="D2" s="720"/>
      <c r="E2" s="720"/>
      <c r="F2" s="720"/>
      <c r="H2" s="709"/>
      <c r="I2" s="709"/>
      <c r="J2" s="709"/>
      <c r="K2" s="709"/>
    </row>
    <row r="3" spans="1:14" ht="18" customHeight="1" x14ac:dyDescent="0.2">
      <c r="A3" s="721" t="s">
        <v>847</v>
      </c>
      <c r="B3" s="721"/>
      <c r="C3" s="721"/>
      <c r="D3" s="721"/>
      <c r="E3" s="721"/>
      <c r="F3" s="721"/>
      <c r="H3" s="606" t="s">
        <v>560</v>
      </c>
      <c r="I3" s="710" t="s">
        <v>846</v>
      </c>
      <c r="J3" s="711"/>
      <c r="K3" s="712"/>
    </row>
    <row r="4" spans="1:14" ht="18" customHeight="1" x14ac:dyDescent="0.25">
      <c r="A4" s="721"/>
      <c r="B4" s="721"/>
      <c r="C4" s="721"/>
      <c r="D4" s="721"/>
      <c r="E4" s="721"/>
      <c r="F4" s="721"/>
      <c r="H4" s="606"/>
      <c r="I4" s="606"/>
    </row>
    <row r="5" spans="1:14" ht="18" customHeight="1" x14ac:dyDescent="0.2">
      <c r="A5" s="721"/>
      <c r="B5" s="721"/>
      <c r="C5" s="721"/>
      <c r="D5" s="721"/>
      <c r="E5" s="721"/>
      <c r="F5" s="721"/>
      <c r="H5" s="606" t="s">
        <v>252</v>
      </c>
      <c r="I5" s="710" t="s">
        <v>845</v>
      </c>
      <c r="J5" s="711"/>
      <c r="K5" s="712"/>
    </row>
    <row r="6" spans="1:14" ht="18" customHeight="1" x14ac:dyDescent="0.25">
      <c r="A6" s="721"/>
      <c r="B6" s="721"/>
      <c r="C6" s="721"/>
      <c r="D6" s="721"/>
      <c r="E6" s="721"/>
      <c r="F6" s="721"/>
      <c r="H6" s="606"/>
      <c r="I6" s="606"/>
    </row>
    <row r="7" spans="1:14" ht="18" customHeight="1" x14ac:dyDescent="0.2">
      <c r="A7" s="721"/>
      <c r="B7" s="721"/>
      <c r="C7" s="721"/>
      <c r="D7" s="721"/>
      <c r="E7" s="721"/>
      <c r="F7" s="721"/>
      <c r="H7" s="606" t="s">
        <v>253</v>
      </c>
      <c r="I7" s="710" t="s">
        <v>256</v>
      </c>
      <c r="J7" s="711"/>
      <c r="K7" s="712"/>
    </row>
    <row r="8" spans="1:14" ht="18" customHeight="1" x14ac:dyDescent="0.25">
      <c r="A8" s="721"/>
      <c r="B8" s="721"/>
      <c r="C8" s="721"/>
      <c r="D8" s="721"/>
      <c r="E8" s="721"/>
      <c r="F8" s="721"/>
      <c r="H8" s="606"/>
      <c r="I8" s="606"/>
    </row>
    <row r="9" spans="1:14" ht="18" customHeight="1" x14ac:dyDescent="0.2">
      <c r="A9" s="721"/>
      <c r="B9" s="721"/>
      <c r="C9" s="721"/>
      <c r="D9" s="721"/>
      <c r="E9" s="721"/>
      <c r="F9" s="721"/>
      <c r="H9" s="606" t="s">
        <v>254</v>
      </c>
      <c r="I9" s="710" t="s">
        <v>844</v>
      </c>
      <c r="J9" s="711"/>
      <c r="K9" s="712"/>
    </row>
    <row r="10" spans="1:14" ht="18" customHeight="1" x14ac:dyDescent="0.25">
      <c r="A10" s="721"/>
      <c r="B10" s="721"/>
      <c r="C10" s="721"/>
      <c r="D10" s="721"/>
      <c r="E10" s="721"/>
      <c r="F10" s="721"/>
      <c r="H10" s="606"/>
      <c r="I10" s="606"/>
    </row>
    <row r="11" spans="1:14" ht="18" customHeight="1" x14ac:dyDescent="0.2">
      <c r="A11" s="721"/>
      <c r="B11" s="721"/>
      <c r="C11" s="721"/>
      <c r="D11" s="721"/>
      <c r="E11" s="721"/>
      <c r="F11" s="721"/>
      <c r="H11" s="606" t="s">
        <v>255</v>
      </c>
      <c r="I11" s="714" t="s">
        <v>844</v>
      </c>
      <c r="J11" s="715"/>
      <c r="K11" s="716"/>
    </row>
    <row r="12" spans="1:14" ht="18" customHeight="1" x14ac:dyDescent="0.25">
      <c r="A12" s="721"/>
      <c r="B12" s="721"/>
      <c r="C12" s="721"/>
      <c r="D12" s="721"/>
      <c r="E12" s="721"/>
      <c r="F12" s="721"/>
    </row>
    <row r="13" spans="1:14" ht="21" customHeight="1" x14ac:dyDescent="0.3">
      <c r="A13" s="709" t="s">
        <v>843</v>
      </c>
      <c r="B13" s="709"/>
      <c r="C13" s="709"/>
      <c r="D13" s="709"/>
      <c r="E13" s="709"/>
      <c r="F13" s="709"/>
      <c r="G13" s="709"/>
      <c r="H13" s="709"/>
      <c r="I13" s="709"/>
      <c r="J13" s="709"/>
      <c r="K13" s="709"/>
      <c r="M13" s="612"/>
      <c r="N13" s="612"/>
    </row>
    <row r="14" spans="1:14" x14ac:dyDescent="0.25">
      <c r="A14" s="610" t="s">
        <v>559</v>
      </c>
      <c r="B14" s="710"/>
      <c r="C14" s="711"/>
      <c r="D14" s="711"/>
      <c r="E14" s="712"/>
      <c r="H14" s="713" t="s">
        <v>842</v>
      </c>
      <c r="I14" s="713"/>
      <c r="J14" s="713"/>
      <c r="K14" s="713"/>
    </row>
    <row r="15" spans="1:14" x14ac:dyDescent="0.25">
      <c r="A15" s="610"/>
      <c r="B15" s="611"/>
      <c r="C15" s="607"/>
      <c r="D15" s="607"/>
      <c r="E15" s="607"/>
      <c r="H15" s="713"/>
      <c r="I15" s="713"/>
      <c r="J15" s="713"/>
      <c r="K15" s="713"/>
    </row>
    <row r="16" spans="1:14" x14ac:dyDescent="0.25">
      <c r="A16" s="610" t="s">
        <v>560</v>
      </c>
      <c r="B16" s="710"/>
      <c r="C16" s="711"/>
      <c r="D16" s="711"/>
      <c r="E16" s="712"/>
      <c r="H16" s="713"/>
      <c r="I16" s="713"/>
      <c r="J16" s="713"/>
      <c r="K16" s="713"/>
    </row>
    <row r="17" spans="1:13" x14ac:dyDescent="0.25">
      <c r="A17" s="609"/>
      <c r="B17" s="605"/>
      <c r="C17" s="605"/>
      <c r="D17" s="607"/>
      <c r="E17" s="605"/>
      <c r="F17" s="603"/>
      <c r="H17" s="713"/>
      <c r="I17" s="713"/>
      <c r="J17" s="713"/>
      <c r="K17" s="713"/>
    </row>
    <row r="18" spans="1:13" x14ac:dyDescent="0.25">
      <c r="A18" s="604" t="s">
        <v>252</v>
      </c>
      <c r="B18" s="710"/>
      <c r="C18" s="711"/>
      <c r="D18" s="711"/>
      <c r="E18" s="712"/>
      <c r="F18" s="603"/>
      <c r="H18" s="713"/>
      <c r="I18" s="713"/>
      <c r="J18" s="713"/>
      <c r="K18" s="713"/>
    </row>
    <row r="19" spans="1:13" x14ac:dyDescent="0.25">
      <c r="A19" s="608" t="s">
        <v>835</v>
      </c>
      <c r="B19" s="607"/>
      <c r="C19" s="607"/>
      <c r="D19" s="266"/>
      <c r="E19" s="605"/>
      <c r="F19" s="603"/>
      <c r="H19" s="713"/>
      <c r="I19" s="713"/>
      <c r="J19" s="713"/>
      <c r="K19" s="713"/>
    </row>
    <row r="20" spans="1:13" x14ac:dyDescent="0.25">
      <c r="A20" s="604" t="s">
        <v>253</v>
      </c>
      <c r="B20" s="714"/>
      <c r="C20" s="715"/>
      <c r="D20" s="715"/>
      <c r="E20" s="716"/>
      <c r="F20" s="603"/>
      <c r="H20" s="713"/>
      <c r="I20" s="713"/>
      <c r="J20" s="713"/>
      <c r="K20" s="713"/>
    </row>
    <row r="21" spans="1:13" x14ac:dyDescent="0.25">
      <c r="A21" s="604"/>
      <c r="B21" s="266"/>
      <c r="C21" s="606"/>
      <c r="D21" s="606"/>
      <c r="E21" s="605"/>
      <c r="F21" s="603"/>
      <c r="H21" s="713"/>
      <c r="I21" s="713"/>
      <c r="J21" s="713"/>
      <c r="K21" s="713"/>
    </row>
    <row r="22" spans="1:13" x14ac:dyDescent="0.25">
      <c r="A22" s="604" t="s">
        <v>254</v>
      </c>
      <c r="B22" s="717"/>
      <c r="C22" s="718"/>
      <c r="D22" s="718"/>
      <c r="E22" s="719"/>
      <c r="F22" s="603"/>
      <c r="H22" s="713"/>
      <c r="I22" s="713"/>
      <c r="J22" s="713"/>
      <c r="K22" s="713"/>
    </row>
    <row r="23" spans="1:13" x14ac:dyDescent="0.25">
      <c r="A23" s="604"/>
      <c r="B23" s="266"/>
      <c r="C23" s="606"/>
      <c r="D23" s="606"/>
      <c r="E23" s="605"/>
      <c r="F23" s="603"/>
      <c r="H23" s="713"/>
      <c r="I23" s="713"/>
      <c r="J23" s="713"/>
      <c r="K23" s="713"/>
    </row>
    <row r="24" spans="1:13" x14ac:dyDescent="0.25">
      <c r="A24" s="604" t="s">
        <v>838</v>
      </c>
      <c r="B24" s="717"/>
      <c r="C24" s="718"/>
      <c r="D24" s="718"/>
      <c r="E24" s="719"/>
      <c r="F24" s="603"/>
      <c r="H24" s="713"/>
      <c r="I24" s="713"/>
      <c r="J24" s="713"/>
      <c r="K24" s="713"/>
    </row>
    <row r="27" spans="1:13" ht="21" customHeight="1" x14ac:dyDescent="0.2">
      <c r="A27" s="709" t="s">
        <v>841</v>
      </c>
      <c r="B27" s="709"/>
      <c r="C27" s="709"/>
      <c r="D27" s="709"/>
      <c r="E27" s="709"/>
      <c r="F27" s="709"/>
      <c r="G27" s="709"/>
      <c r="H27" s="709"/>
      <c r="I27" s="709"/>
      <c r="J27" s="709"/>
      <c r="K27" s="709"/>
    </row>
    <row r="28" spans="1:13" ht="15.75" customHeight="1" x14ac:dyDescent="0.25">
      <c r="A28" s="610" t="s">
        <v>559</v>
      </c>
      <c r="B28" s="710"/>
      <c r="C28" s="711"/>
      <c r="D28" s="711"/>
      <c r="E28" s="712"/>
      <c r="H28" s="713" t="s">
        <v>840</v>
      </c>
      <c r="I28" s="713"/>
      <c r="J28" s="713"/>
      <c r="K28" s="713"/>
      <c r="M28" s="602" t="s">
        <v>839</v>
      </c>
    </row>
    <row r="29" spans="1:13" x14ac:dyDescent="0.25">
      <c r="A29" s="610"/>
      <c r="B29" s="611"/>
      <c r="H29" s="713"/>
      <c r="I29" s="713"/>
      <c r="J29" s="713"/>
      <c r="K29" s="713"/>
    </row>
    <row r="30" spans="1:13" x14ac:dyDescent="0.25">
      <c r="A30" s="610" t="s">
        <v>560</v>
      </c>
      <c r="B30" s="710"/>
      <c r="C30" s="711"/>
      <c r="D30" s="711"/>
      <c r="E30" s="712"/>
      <c r="H30" s="713"/>
      <c r="I30" s="713"/>
      <c r="J30" s="713"/>
      <c r="K30" s="713"/>
    </row>
    <row r="31" spans="1:13" x14ac:dyDescent="0.25">
      <c r="A31" s="609"/>
      <c r="B31" s="603"/>
      <c r="C31" s="603"/>
      <c r="E31" s="603"/>
      <c r="F31" s="603"/>
      <c r="H31" s="713"/>
      <c r="I31" s="713"/>
      <c r="J31" s="713"/>
      <c r="K31" s="713"/>
    </row>
    <row r="32" spans="1:13" x14ac:dyDescent="0.25">
      <c r="A32" s="604" t="s">
        <v>252</v>
      </c>
      <c r="B32" s="710"/>
      <c r="C32" s="711"/>
      <c r="D32" s="711"/>
      <c r="E32" s="712"/>
      <c r="F32" s="603"/>
      <c r="H32" s="713"/>
      <c r="I32" s="713"/>
      <c r="J32" s="713"/>
      <c r="K32" s="713"/>
    </row>
    <row r="33" spans="1:11" x14ac:dyDescent="0.25">
      <c r="A33" s="608" t="s">
        <v>835</v>
      </c>
      <c r="D33" s="266"/>
      <c r="E33" s="603"/>
      <c r="F33" s="603"/>
      <c r="H33" s="713"/>
      <c r="I33" s="713"/>
      <c r="J33" s="713"/>
      <c r="K33" s="713"/>
    </row>
    <row r="34" spans="1:11" x14ac:dyDescent="0.25">
      <c r="A34" s="604" t="s">
        <v>253</v>
      </c>
      <c r="B34" s="714"/>
      <c r="C34" s="715"/>
      <c r="D34" s="715"/>
      <c r="E34" s="716"/>
      <c r="F34" s="603"/>
      <c r="H34" s="713"/>
      <c r="I34" s="713"/>
      <c r="J34" s="713"/>
      <c r="K34" s="713"/>
    </row>
    <row r="35" spans="1:11" x14ac:dyDescent="0.25">
      <c r="A35" s="604"/>
      <c r="B35" s="266"/>
      <c r="C35" s="606"/>
      <c r="D35" s="606"/>
      <c r="E35" s="603"/>
      <c r="F35" s="603"/>
      <c r="H35" s="713"/>
      <c r="I35" s="713"/>
      <c r="J35" s="713"/>
      <c r="K35" s="713"/>
    </row>
    <row r="36" spans="1:11" x14ac:dyDescent="0.25">
      <c r="A36" s="604" t="s">
        <v>254</v>
      </c>
      <c r="B36" s="717"/>
      <c r="C36" s="718"/>
      <c r="D36" s="718"/>
      <c r="E36" s="719"/>
      <c r="F36" s="603"/>
      <c r="H36" s="713"/>
      <c r="I36" s="713"/>
      <c r="J36" s="713"/>
      <c r="K36" s="713"/>
    </row>
    <row r="37" spans="1:11" x14ac:dyDescent="0.25">
      <c r="A37" s="604"/>
      <c r="B37" s="266"/>
      <c r="C37" s="606"/>
      <c r="D37" s="606"/>
      <c r="E37" s="603"/>
      <c r="F37" s="603"/>
      <c r="H37" s="713"/>
      <c r="I37" s="713"/>
      <c r="J37" s="713"/>
      <c r="K37" s="713"/>
    </row>
    <row r="38" spans="1:11" x14ac:dyDescent="0.25">
      <c r="A38" s="604" t="s">
        <v>838</v>
      </c>
      <c r="B38" s="717"/>
      <c r="C38" s="718"/>
      <c r="D38" s="718"/>
      <c r="E38" s="719"/>
      <c r="F38" s="603"/>
      <c r="H38" s="713"/>
      <c r="I38" s="713"/>
      <c r="J38" s="713"/>
      <c r="K38" s="713"/>
    </row>
    <row r="39" spans="1:11" ht="15.75" customHeight="1" x14ac:dyDescent="0.2">
      <c r="H39" s="713"/>
      <c r="I39" s="713"/>
      <c r="J39" s="713"/>
      <c r="K39" s="713"/>
    </row>
    <row r="41" spans="1:11" ht="21" customHeight="1" x14ac:dyDescent="0.2">
      <c r="A41" s="709" t="s">
        <v>837</v>
      </c>
      <c r="B41" s="709"/>
      <c r="C41" s="709"/>
      <c r="D41" s="709"/>
      <c r="E41" s="709"/>
      <c r="F41" s="709"/>
      <c r="G41" s="709"/>
      <c r="H41" s="709"/>
      <c r="I41" s="709"/>
      <c r="J41" s="709"/>
      <c r="K41" s="709"/>
    </row>
    <row r="42" spans="1:11" ht="15.75" customHeight="1" x14ac:dyDescent="0.25">
      <c r="A42" s="604" t="s">
        <v>252</v>
      </c>
      <c r="B42" s="710"/>
      <c r="C42" s="711"/>
      <c r="D42" s="711"/>
      <c r="E42" s="712"/>
      <c r="F42" s="603"/>
      <c r="H42" s="713" t="s">
        <v>836</v>
      </c>
      <c r="I42" s="713"/>
      <c r="J42" s="713"/>
      <c r="K42" s="713"/>
    </row>
    <row r="43" spans="1:11" x14ac:dyDescent="0.25">
      <c r="A43" s="608" t="s">
        <v>835</v>
      </c>
      <c r="B43" s="607"/>
      <c r="C43" s="607"/>
      <c r="D43" s="266"/>
      <c r="E43" s="605"/>
      <c r="F43" s="603"/>
      <c r="H43" s="713"/>
      <c r="I43" s="713"/>
      <c r="J43" s="713"/>
      <c r="K43" s="713"/>
    </row>
    <row r="44" spans="1:11" x14ac:dyDescent="0.25">
      <c r="A44" s="604" t="s">
        <v>253</v>
      </c>
      <c r="B44" s="714"/>
      <c r="C44" s="715"/>
      <c r="D44" s="715"/>
      <c r="E44" s="716"/>
      <c r="F44" s="603"/>
      <c r="H44" s="713"/>
      <c r="I44" s="713"/>
      <c r="J44" s="713"/>
      <c r="K44" s="713"/>
    </row>
    <row r="45" spans="1:11" x14ac:dyDescent="0.25">
      <c r="A45" s="604"/>
      <c r="B45" s="266"/>
      <c r="C45" s="606"/>
      <c r="D45" s="606"/>
      <c r="E45" s="605"/>
      <c r="F45" s="603"/>
      <c r="H45" s="713"/>
      <c r="I45" s="713"/>
      <c r="J45" s="713"/>
      <c r="K45" s="713"/>
    </row>
    <row r="46" spans="1:11" x14ac:dyDescent="0.25">
      <c r="A46" s="604" t="s">
        <v>254</v>
      </c>
      <c r="B46" s="717"/>
      <c r="C46" s="718"/>
      <c r="D46" s="718"/>
      <c r="E46" s="719"/>
      <c r="F46" s="603"/>
      <c r="H46" s="713"/>
      <c r="I46" s="713"/>
      <c r="J46" s="713"/>
      <c r="K46" s="713"/>
    </row>
    <row r="47" spans="1:11" ht="15.75" customHeight="1" x14ac:dyDescent="0.2">
      <c r="H47" s="713"/>
      <c r="I47" s="713"/>
      <c r="J47" s="713"/>
      <c r="K47" s="713"/>
    </row>
    <row r="48" spans="1:11" ht="15.75" customHeight="1" x14ac:dyDescent="0.2">
      <c r="H48" s="713"/>
      <c r="I48" s="713"/>
      <c r="J48" s="713"/>
      <c r="K48" s="713"/>
    </row>
    <row r="49" spans="8:11" ht="15.75" customHeight="1" x14ac:dyDescent="0.2">
      <c r="H49" s="713"/>
      <c r="I49" s="713"/>
      <c r="J49" s="713"/>
      <c r="K49" s="713"/>
    </row>
  </sheetData>
  <sheetProtection sheet="1" objects="1" scenarios="1"/>
  <mergeCells count="29">
    <mergeCell ref="A1:F2"/>
    <mergeCell ref="H1:K2"/>
    <mergeCell ref="A3:F12"/>
    <mergeCell ref="I3:K3"/>
    <mergeCell ref="I5:K5"/>
    <mergeCell ref="I7:K7"/>
    <mergeCell ref="I9:K9"/>
    <mergeCell ref="I11:K11"/>
    <mergeCell ref="A13:K13"/>
    <mergeCell ref="B14:E14"/>
    <mergeCell ref="H14:K24"/>
    <mergeCell ref="B16:E16"/>
    <mergeCell ref="B18:E18"/>
    <mergeCell ref="B20:E20"/>
    <mergeCell ref="B22:E22"/>
    <mergeCell ref="B24:E24"/>
    <mergeCell ref="A27:K27"/>
    <mergeCell ref="B28:E28"/>
    <mergeCell ref="H28:K39"/>
    <mergeCell ref="B30:E30"/>
    <mergeCell ref="B32:E32"/>
    <mergeCell ref="B34:E34"/>
    <mergeCell ref="B36:E36"/>
    <mergeCell ref="B38:E38"/>
    <mergeCell ref="A41:K41"/>
    <mergeCell ref="B42:E42"/>
    <mergeCell ref="H42:K49"/>
    <mergeCell ref="B44:E44"/>
    <mergeCell ref="B46:E46"/>
  </mergeCells>
  <pageMargins left="0.7" right="0.7" top="0.75" bottom="0.75" header="0.3" footer="0.3"/>
  <pageSetup scale="51"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46"/>
  <sheetViews>
    <sheetView workbookViewId="0">
      <selection sqref="A1:A40"/>
    </sheetView>
  </sheetViews>
  <sheetFormatPr defaultRowHeight="15.75" x14ac:dyDescent="0.25"/>
  <cols>
    <col min="1" max="1" width="87.8984375" customWidth="1"/>
  </cols>
  <sheetData>
    <row r="1" spans="1:1" x14ac:dyDescent="0.25">
      <c r="A1" s="722" t="s">
        <v>736</v>
      </c>
    </row>
    <row r="2" spans="1:1" x14ac:dyDescent="0.25">
      <c r="A2" s="722"/>
    </row>
    <row r="3" spans="1:1" x14ac:dyDescent="0.25">
      <c r="A3" s="722"/>
    </row>
    <row r="4" spans="1:1" x14ac:dyDescent="0.25">
      <c r="A4" s="722"/>
    </row>
    <row r="5" spans="1:1" x14ac:dyDescent="0.25">
      <c r="A5" s="722"/>
    </row>
    <row r="6" spans="1:1" x14ac:dyDescent="0.25">
      <c r="A6" s="722"/>
    </row>
    <row r="7" spans="1:1" x14ac:dyDescent="0.25">
      <c r="A7" s="722"/>
    </row>
    <row r="8" spans="1:1" x14ac:dyDescent="0.25">
      <c r="A8" s="722"/>
    </row>
    <row r="9" spans="1:1" x14ac:dyDescent="0.25">
      <c r="A9" s="722"/>
    </row>
    <row r="10" spans="1:1" x14ac:dyDescent="0.25">
      <c r="A10" s="722"/>
    </row>
    <row r="11" spans="1:1" x14ac:dyDescent="0.25">
      <c r="A11" s="722"/>
    </row>
    <row r="12" spans="1:1" x14ac:dyDescent="0.25">
      <c r="A12" s="722"/>
    </row>
    <row r="13" spans="1:1" x14ac:dyDescent="0.25">
      <c r="A13" s="722"/>
    </row>
    <row r="14" spans="1:1" x14ac:dyDescent="0.25">
      <c r="A14" s="722"/>
    </row>
    <row r="15" spans="1:1" x14ac:dyDescent="0.25">
      <c r="A15" s="722"/>
    </row>
    <row r="16" spans="1:1" x14ac:dyDescent="0.25">
      <c r="A16" s="722"/>
    </row>
    <row r="17" spans="1:1" x14ac:dyDescent="0.25">
      <c r="A17" s="722"/>
    </row>
    <row r="18" spans="1:1" x14ac:dyDescent="0.25">
      <c r="A18" s="722"/>
    </row>
    <row r="19" spans="1:1" x14ac:dyDescent="0.25">
      <c r="A19" s="722"/>
    </row>
    <row r="20" spans="1:1" x14ac:dyDescent="0.25">
      <c r="A20" s="722"/>
    </row>
    <row r="21" spans="1:1" x14ac:dyDescent="0.25">
      <c r="A21" s="722"/>
    </row>
    <row r="22" spans="1:1" x14ac:dyDescent="0.25">
      <c r="A22" s="722"/>
    </row>
    <row r="23" spans="1:1" x14ac:dyDescent="0.25">
      <c r="A23" s="722"/>
    </row>
    <row r="24" spans="1:1" x14ac:dyDescent="0.25">
      <c r="A24" s="722"/>
    </row>
    <row r="25" spans="1:1" x14ac:dyDescent="0.25">
      <c r="A25" s="722"/>
    </row>
    <row r="26" spans="1:1" x14ac:dyDescent="0.25">
      <c r="A26" s="722"/>
    </row>
    <row r="27" spans="1:1" x14ac:dyDescent="0.25">
      <c r="A27" s="722"/>
    </row>
    <row r="28" spans="1:1" x14ac:dyDescent="0.25">
      <c r="A28" s="722"/>
    </row>
    <row r="29" spans="1:1" x14ac:dyDescent="0.25">
      <c r="A29" s="722"/>
    </row>
    <row r="30" spans="1:1" x14ac:dyDescent="0.25">
      <c r="A30" s="722"/>
    </row>
    <row r="31" spans="1:1" x14ac:dyDescent="0.25">
      <c r="A31" s="722"/>
    </row>
    <row r="32" spans="1:1" x14ac:dyDescent="0.25">
      <c r="A32" s="722"/>
    </row>
    <row r="33" spans="1:1" x14ac:dyDescent="0.25">
      <c r="A33" s="722"/>
    </row>
    <row r="34" spans="1:1" x14ac:dyDescent="0.25">
      <c r="A34" s="722"/>
    </row>
    <row r="35" spans="1:1" x14ac:dyDescent="0.25">
      <c r="A35" s="722"/>
    </row>
    <row r="36" spans="1:1" x14ac:dyDescent="0.25">
      <c r="A36" s="722"/>
    </row>
    <row r="37" spans="1:1" x14ac:dyDescent="0.25">
      <c r="A37" s="722"/>
    </row>
    <row r="38" spans="1:1" x14ac:dyDescent="0.25">
      <c r="A38" s="722"/>
    </row>
    <row r="39" spans="1:1" x14ac:dyDescent="0.25">
      <c r="A39" s="722"/>
    </row>
    <row r="40" spans="1:1" x14ac:dyDescent="0.25">
      <c r="A40" s="722"/>
    </row>
    <row r="41" spans="1:1" x14ac:dyDescent="0.25">
      <c r="A41" s="258"/>
    </row>
    <row r="42" spans="1:1" x14ac:dyDescent="0.25">
      <c r="A42" s="258"/>
    </row>
    <row r="43" spans="1:1" x14ac:dyDescent="0.25">
      <c r="A43" s="258"/>
    </row>
    <row r="44" spans="1:1" x14ac:dyDescent="0.25">
      <c r="A44" s="258"/>
    </row>
    <row r="45" spans="1:1" x14ac:dyDescent="0.25">
      <c r="A45" s="258"/>
    </row>
    <row r="46" spans="1:1" x14ac:dyDescent="0.25">
      <c r="A46" s="258"/>
    </row>
  </sheetData>
  <sheetProtection sheet="1" objects="1" scenarios="1"/>
  <mergeCells count="1">
    <mergeCell ref="A1:A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V74"/>
  <sheetViews>
    <sheetView zoomScale="90" workbookViewId="0">
      <selection activeCell="F46" sqref="F46"/>
    </sheetView>
  </sheetViews>
  <sheetFormatPr defaultRowHeight="15.75" x14ac:dyDescent="0.25"/>
  <cols>
    <col min="1" max="1" width="20.69921875" style="107" customWidth="1"/>
    <col min="2" max="2" width="9.69921875" style="107" customWidth="1"/>
    <col min="3" max="3" width="5.69921875" style="107" customWidth="1"/>
    <col min="4" max="6" width="12.69921875" style="107" customWidth="1"/>
    <col min="7" max="16384" width="8.796875" style="107"/>
  </cols>
  <sheetData>
    <row r="1" spans="1:22" s="73" customFormat="1" x14ac:dyDescent="0.25">
      <c r="A1" s="724" t="s">
        <v>62</v>
      </c>
      <c r="B1" s="724"/>
      <c r="C1" s="724"/>
      <c r="D1" s="724"/>
      <c r="E1" s="724"/>
      <c r="F1" s="724"/>
      <c r="G1" s="73">
        <f>inputPrYr!D6</f>
        <v>2025</v>
      </c>
      <c r="H1" s="856"/>
      <c r="I1" s="856"/>
      <c r="J1" s="856"/>
      <c r="K1" s="856"/>
      <c r="L1" s="856"/>
      <c r="M1" s="856"/>
      <c r="N1" s="856"/>
      <c r="O1" s="856"/>
      <c r="P1" s="856"/>
      <c r="Q1" s="856"/>
      <c r="R1" s="856"/>
      <c r="S1" s="856"/>
      <c r="T1" s="856"/>
      <c r="U1" s="856"/>
      <c r="V1" s="856"/>
    </row>
    <row r="2" spans="1:22" s="73" customFormat="1" x14ac:dyDescent="0.25">
      <c r="B2" s="74"/>
      <c r="C2" s="74"/>
      <c r="D2" s="74"/>
      <c r="E2" s="74"/>
      <c r="F2" s="75"/>
      <c r="H2" s="856"/>
      <c r="I2" s="856"/>
      <c r="J2" s="856"/>
      <c r="K2" s="856"/>
      <c r="L2" s="856"/>
      <c r="M2" s="856"/>
      <c r="N2" s="856"/>
      <c r="O2" s="856"/>
      <c r="P2" s="856"/>
      <c r="Q2" s="856"/>
      <c r="R2" s="856"/>
      <c r="S2" s="856"/>
      <c r="T2" s="856"/>
      <c r="U2" s="856"/>
      <c r="V2" s="856"/>
    </row>
    <row r="3" spans="1:22" s="73" customFormat="1" x14ac:dyDescent="0.25">
      <c r="A3" s="733" t="str">
        <f>CONCATENATE("To the Clerk of ",inputPrYr!D4,", State of Kansas")</f>
        <v>To the Clerk of , State of Kansas</v>
      </c>
      <c r="B3" s="732"/>
      <c r="C3" s="732"/>
      <c r="D3" s="732"/>
      <c r="E3" s="732"/>
      <c r="F3" s="732"/>
      <c r="G3" s="732"/>
      <c r="H3" s="856"/>
      <c r="I3" s="856"/>
      <c r="J3" s="856"/>
      <c r="K3" s="856"/>
      <c r="L3" s="856"/>
      <c r="M3" s="856"/>
      <c r="N3" s="856"/>
      <c r="O3" s="856"/>
      <c r="P3" s="856"/>
      <c r="Q3" s="856"/>
      <c r="R3" s="856"/>
      <c r="S3" s="856"/>
      <c r="T3" s="856"/>
      <c r="U3" s="856"/>
      <c r="V3" s="856"/>
    </row>
    <row r="4" spans="1:22" s="73" customFormat="1" x14ac:dyDescent="0.25">
      <c r="A4" s="733" t="s">
        <v>98</v>
      </c>
      <c r="B4" s="734"/>
      <c r="C4" s="734"/>
      <c r="D4" s="734"/>
      <c r="E4" s="734"/>
      <c r="F4" s="734"/>
      <c r="H4" s="856"/>
      <c r="I4" s="856"/>
      <c r="J4" s="856"/>
      <c r="K4" s="856"/>
      <c r="L4" s="856"/>
      <c r="M4" s="856"/>
      <c r="N4" s="856"/>
      <c r="O4" s="856"/>
      <c r="P4" s="856"/>
      <c r="Q4" s="856"/>
      <c r="R4" s="856"/>
      <c r="S4" s="856"/>
      <c r="T4" s="856"/>
      <c r="U4" s="856"/>
      <c r="V4" s="856"/>
    </row>
    <row r="5" spans="1:22" s="73" customFormat="1" x14ac:dyDescent="0.25">
      <c r="A5" s="703">
        <f>inputPrYr!D3</f>
        <v>0</v>
      </c>
      <c r="B5" s="734"/>
      <c r="C5" s="734"/>
      <c r="D5" s="734"/>
      <c r="E5" s="734"/>
      <c r="F5" s="734"/>
      <c r="H5" s="856"/>
      <c r="I5" s="856"/>
      <c r="J5" s="856"/>
      <c r="K5" s="856"/>
      <c r="L5" s="856"/>
      <c r="M5" s="856"/>
      <c r="N5" s="856"/>
      <c r="O5" s="856"/>
      <c r="P5" s="856"/>
      <c r="Q5" s="856"/>
      <c r="R5" s="856"/>
      <c r="S5" s="856"/>
      <c r="T5" s="856"/>
      <c r="U5" s="856"/>
      <c r="V5" s="856"/>
    </row>
    <row r="6" spans="1:22" s="73" customFormat="1" x14ac:dyDescent="0.25">
      <c r="A6" s="731" t="s">
        <v>96</v>
      </c>
      <c r="B6" s="732"/>
      <c r="C6" s="732"/>
      <c r="D6" s="732"/>
      <c r="E6" s="732"/>
      <c r="F6" s="732"/>
      <c r="H6" s="856"/>
      <c r="I6" s="856"/>
      <c r="J6" s="856"/>
      <c r="K6" s="856"/>
      <c r="L6" s="856"/>
      <c r="M6" s="856"/>
      <c r="N6" s="856"/>
      <c r="O6" s="856"/>
      <c r="P6" s="856"/>
      <c r="Q6" s="856"/>
      <c r="R6" s="856"/>
      <c r="S6" s="856"/>
      <c r="T6" s="856"/>
      <c r="U6" s="856"/>
      <c r="V6" s="856"/>
    </row>
    <row r="7" spans="1:22" s="73" customFormat="1" x14ac:dyDescent="0.25">
      <c r="A7" s="733" t="s">
        <v>97</v>
      </c>
      <c r="B7" s="734"/>
      <c r="C7" s="734"/>
      <c r="D7" s="734"/>
      <c r="E7" s="734"/>
      <c r="F7" s="734"/>
      <c r="H7" s="856"/>
      <c r="I7" s="856"/>
      <c r="J7" s="856"/>
      <c r="K7" s="856"/>
      <c r="L7" s="856"/>
      <c r="M7" s="856"/>
      <c r="N7" s="856"/>
      <c r="O7" s="856"/>
      <c r="P7" s="856"/>
      <c r="Q7" s="856"/>
      <c r="R7" s="856"/>
      <c r="S7" s="856"/>
      <c r="T7" s="856"/>
      <c r="U7" s="856"/>
      <c r="V7" s="856"/>
    </row>
    <row r="8" spans="1:22" s="73" customFormat="1" x14ac:dyDescent="0.25">
      <c r="A8" s="733" t="str">
        <f>CONCATENATE("maximum expenditures for the various funds for the year ",G1,"; and (3) the")</f>
        <v>maximum expenditures for the various funds for the year 2025; and (3) the</v>
      </c>
      <c r="B8" s="734"/>
      <c r="C8" s="734"/>
      <c r="D8" s="734"/>
      <c r="E8" s="734"/>
      <c r="F8" s="734"/>
      <c r="H8" s="856"/>
      <c r="I8" s="856"/>
      <c r="J8" s="856"/>
      <c r="K8" s="856"/>
      <c r="L8" s="856"/>
      <c r="M8" s="856"/>
      <c r="N8" s="856"/>
      <c r="O8" s="856"/>
      <c r="P8" s="856"/>
      <c r="Q8" s="856"/>
      <c r="R8" s="856"/>
      <c r="S8" s="856"/>
      <c r="T8" s="856"/>
      <c r="U8" s="856"/>
      <c r="V8" s="856"/>
    </row>
    <row r="9" spans="1:22" s="73" customFormat="1" x14ac:dyDescent="0.25">
      <c r="A9" s="733" t="str">
        <f>CONCATENATE("Amount(s) of ",G1-1," Ad Valorem Tax are within statutory limitations for the ",G1," Budget.")</f>
        <v>Amount(s) of 2024 Ad Valorem Tax are within statutory limitations for the 2025 Budget.</v>
      </c>
      <c r="B9" s="734"/>
      <c r="C9" s="734"/>
      <c r="D9" s="734"/>
      <c r="E9" s="734"/>
      <c r="F9" s="734"/>
      <c r="H9" s="856"/>
      <c r="I9" s="856"/>
      <c r="J9" s="856"/>
      <c r="K9" s="856"/>
      <c r="L9" s="856"/>
      <c r="M9" s="856"/>
      <c r="N9" s="856"/>
      <c r="O9" s="856"/>
      <c r="P9" s="856"/>
      <c r="Q9" s="856"/>
      <c r="R9" s="856"/>
      <c r="S9" s="856"/>
      <c r="T9" s="856"/>
      <c r="U9" s="856"/>
      <c r="V9" s="856"/>
    </row>
    <row r="10" spans="1:22" s="73" customFormat="1" x14ac:dyDescent="0.25">
      <c r="D10" s="76"/>
      <c r="E10" s="76"/>
      <c r="F10" s="76"/>
      <c r="H10" s="856"/>
      <c r="I10" s="856"/>
      <c r="J10" s="856"/>
      <c r="K10" s="856"/>
      <c r="L10" s="856"/>
      <c r="M10" s="856"/>
      <c r="N10" s="856"/>
      <c r="O10" s="856"/>
      <c r="P10" s="856"/>
      <c r="Q10" s="856"/>
      <c r="R10" s="856"/>
      <c r="S10" s="856"/>
      <c r="T10" s="856"/>
      <c r="U10" s="856"/>
      <c r="V10" s="856"/>
    </row>
    <row r="11" spans="1:22" s="73" customFormat="1" ht="16.5" x14ac:dyDescent="0.25">
      <c r="D11" s="728" t="str">
        <f>CONCATENATE("",G1," Adopted Budget")</f>
        <v>2025 Adopted Budget</v>
      </c>
      <c r="E11" s="729"/>
      <c r="F11" s="730"/>
      <c r="H11" s="856"/>
      <c r="I11" s="856"/>
      <c r="J11" s="856"/>
      <c r="K11" s="856"/>
      <c r="L11" s="856"/>
      <c r="M11" s="856"/>
      <c r="N11" s="856"/>
      <c r="O11" s="856"/>
      <c r="P11" s="856"/>
      <c r="Q11" s="856"/>
      <c r="R11" s="856"/>
      <c r="S11" s="856"/>
      <c r="T11" s="856"/>
      <c r="U11" s="856"/>
      <c r="V11" s="856"/>
    </row>
    <row r="12" spans="1:22" s="73" customFormat="1" ht="15.75" customHeight="1" x14ac:dyDescent="0.25">
      <c r="A12" s="77"/>
      <c r="C12" s="76"/>
      <c r="D12" s="725" t="s">
        <v>856</v>
      </c>
      <c r="E12" s="725" t="str">
        <f>CONCATENATE("Amount of ",G1-1," Ad Valorem Tax")</f>
        <v>Amount of 2024 Ad Valorem Tax</v>
      </c>
      <c r="F12" s="725" t="s">
        <v>855</v>
      </c>
      <c r="H12" s="856"/>
      <c r="I12" s="856"/>
      <c r="J12" s="856"/>
      <c r="K12" s="856"/>
      <c r="L12" s="856"/>
      <c r="M12" s="856"/>
      <c r="N12" s="856"/>
      <c r="O12" s="856"/>
      <c r="P12" s="856"/>
      <c r="Q12" s="856"/>
      <c r="R12" s="856"/>
      <c r="S12" s="856"/>
      <c r="T12" s="856"/>
      <c r="U12" s="856"/>
      <c r="V12" s="856"/>
    </row>
    <row r="13" spans="1:22" s="73" customFormat="1" x14ac:dyDescent="0.25">
      <c r="C13" s="78" t="s">
        <v>196</v>
      </c>
      <c r="D13" s="735"/>
      <c r="E13" s="726"/>
      <c r="F13" s="735"/>
      <c r="H13" s="856"/>
      <c r="I13" s="856"/>
      <c r="J13" s="856"/>
      <c r="K13" s="856"/>
      <c r="L13" s="856"/>
      <c r="M13" s="856"/>
      <c r="N13" s="856"/>
      <c r="O13" s="856"/>
      <c r="P13" s="856"/>
      <c r="Q13" s="856"/>
      <c r="R13" s="856"/>
      <c r="S13" s="856"/>
      <c r="T13" s="856"/>
      <c r="U13" s="856"/>
      <c r="V13" s="856"/>
    </row>
    <row r="14" spans="1:22" s="73" customFormat="1" x14ac:dyDescent="0.25">
      <c r="A14" s="473" t="s">
        <v>197</v>
      </c>
      <c r="B14" s="80"/>
      <c r="C14" s="81" t="s">
        <v>198</v>
      </c>
      <c r="D14" s="736"/>
      <c r="E14" s="727"/>
      <c r="F14" s="736"/>
      <c r="H14" s="856"/>
      <c r="I14" s="856"/>
      <c r="J14" s="856"/>
      <c r="K14" s="856"/>
      <c r="L14" s="856"/>
      <c r="M14" s="856"/>
      <c r="N14" s="856"/>
      <c r="O14" s="856"/>
      <c r="P14" s="856"/>
      <c r="Q14" s="856"/>
      <c r="R14" s="856"/>
      <c r="S14" s="856"/>
      <c r="T14" s="856"/>
      <c r="U14" s="856"/>
      <c r="V14" s="856"/>
    </row>
    <row r="15" spans="1:22" s="73" customFormat="1" x14ac:dyDescent="0.25">
      <c r="A15" s="82" t="s">
        <v>495</v>
      </c>
      <c r="B15" s="83"/>
      <c r="C15" s="85">
        <v>2</v>
      </c>
      <c r="F15" s="86"/>
      <c r="H15" s="856"/>
      <c r="I15" s="856"/>
      <c r="J15" s="856"/>
      <c r="K15" s="856"/>
      <c r="L15" s="856"/>
      <c r="M15" s="856"/>
      <c r="N15" s="856"/>
      <c r="O15" s="856"/>
      <c r="P15" s="856"/>
      <c r="Q15" s="856"/>
      <c r="R15" s="856"/>
      <c r="S15" s="856"/>
      <c r="T15" s="856"/>
      <c r="U15" s="856"/>
      <c r="V15" s="856"/>
    </row>
    <row r="16" spans="1:22" s="73" customFormat="1" x14ac:dyDescent="0.25">
      <c r="A16" s="87" t="s">
        <v>111</v>
      </c>
      <c r="B16" s="83"/>
      <c r="C16" s="85">
        <v>3</v>
      </c>
      <c r="F16" s="86"/>
      <c r="H16" s="856"/>
      <c r="I16" s="856"/>
      <c r="J16" s="856"/>
      <c r="K16" s="856"/>
      <c r="L16" s="856"/>
      <c r="M16" s="856"/>
      <c r="N16" s="856"/>
      <c r="O16" s="856"/>
      <c r="P16" s="856"/>
      <c r="Q16" s="856"/>
      <c r="R16" s="856"/>
      <c r="S16" s="856"/>
      <c r="T16" s="856"/>
      <c r="U16" s="856"/>
      <c r="V16" s="856"/>
    </row>
    <row r="17" spans="1:22" s="73" customFormat="1" x14ac:dyDescent="0.25">
      <c r="A17" s="87" t="s">
        <v>89</v>
      </c>
      <c r="B17" s="83"/>
      <c r="C17" s="85">
        <v>4</v>
      </c>
      <c r="F17" s="86"/>
      <c r="H17" s="856"/>
      <c r="I17" s="856"/>
      <c r="J17" s="856"/>
      <c r="K17" s="856"/>
      <c r="L17" s="856"/>
      <c r="M17" s="856"/>
      <c r="N17" s="856"/>
      <c r="O17" s="856"/>
      <c r="P17" s="856"/>
      <c r="Q17" s="856"/>
      <c r="R17" s="856"/>
      <c r="S17" s="856"/>
      <c r="T17" s="856"/>
      <c r="U17" s="856"/>
      <c r="V17" s="856"/>
    </row>
    <row r="18" spans="1:22" s="73" customFormat="1" x14ac:dyDescent="0.25">
      <c r="A18" s="87" t="str">
        <f>IF(inputPrYr!D19="","","Computation to Determine State Library Grant")</f>
        <v/>
      </c>
      <c r="B18" s="83"/>
      <c r="C18" s="85" t="str">
        <f>IF(inputPrYr!D19="","",'Library Grant'!F40)</f>
        <v/>
      </c>
      <c r="F18" s="86"/>
      <c r="H18" s="856"/>
      <c r="I18" s="856"/>
      <c r="J18" s="856"/>
      <c r="K18" s="856"/>
      <c r="L18" s="856"/>
      <c r="M18" s="856"/>
      <c r="N18" s="856"/>
      <c r="O18" s="856"/>
      <c r="P18" s="856"/>
      <c r="Q18" s="856"/>
      <c r="R18" s="856"/>
      <c r="S18" s="856"/>
      <c r="T18" s="856"/>
      <c r="U18" s="856"/>
      <c r="V18" s="856"/>
    </row>
    <row r="19" spans="1:22" s="73" customFormat="1" x14ac:dyDescent="0.25">
      <c r="A19" s="88" t="s">
        <v>200</v>
      </c>
      <c r="B19" s="89" t="s">
        <v>201</v>
      </c>
      <c r="C19" s="90"/>
      <c r="F19" s="91"/>
      <c r="H19" s="856"/>
      <c r="I19" s="856"/>
      <c r="J19" s="856"/>
      <c r="K19" s="856"/>
      <c r="L19" s="856"/>
      <c r="M19" s="856"/>
      <c r="N19" s="856"/>
      <c r="O19" s="856"/>
      <c r="P19" s="856"/>
      <c r="Q19" s="856"/>
      <c r="R19" s="856"/>
      <c r="S19" s="856"/>
      <c r="T19" s="856"/>
      <c r="U19" s="856"/>
      <c r="V19" s="856"/>
    </row>
    <row r="20" spans="1:22" s="73" customFormat="1" x14ac:dyDescent="0.25">
      <c r="A20" s="92" t="str">
        <f>inputPrYr!B17</f>
        <v>General</v>
      </c>
      <c r="B20" s="93" t="str">
        <f>inputPrYr!C17</f>
        <v>79-1962</v>
      </c>
      <c r="C20" s="94" t="str">
        <f>IF(General!C62&gt;0,General!C62,"  ")</f>
        <v xml:space="preserve">  </v>
      </c>
      <c r="D20" s="469" t="str">
        <f>IF(General!$E$49&lt;&gt;0,General!$E$49,"  ")</f>
        <v xml:space="preserve">  </v>
      </c>
      <c r="E20" s="469">
        <f>IF(General!$E$56&lt;&gt;0,General!$E$56,0)</f>
        <v>0</v>
      </c>
      <c r="F20" s="470" t="str">
        <f>IF(AND(General!E56=0,$F$40&gt;=0)," ",IF(AND(E20&gt;0,$F$40=0)," ",IF(AND(E20&gt;0,$F$40&gt;0),ROUND(E20/$F$40*1000,3))))</f>
        <v xml:space="preserve"> </v>
      </c>
      <c r="H20" s="856"/>
      <c r="I20" s="856"/>
      <c r="J20" s="856"/>
      <c r="K20" s="856"/>
      <c r="L20" s="856"/>
      <c r="M20" s="856"/>
      <c r="N20" s="856"/>
      <c r="O20" s="856"/>
      <c r="P20" s="856"/>
      <c r="Q20" s="856"/>
      <c r="R20" s="856"/>
      <c r="S20" s="856"/>
      <c r="T20" s="856"/>
      <c r="U20" s="856"/>
      <c r="V20" s="856"/>
    </row>
    <row r="21" spans="1:22" s="73" customFormat="1" x14ac:dyDescent="0.25">
      <c r="A21" s="92" t="s">
        <v>211</v>
      </c>
      <c r="B21" s="93" t="str">
        <f>inputPrYr!C18</f>
        <v>10-113</v>
      </c>
      <c r="C21" s="94" t="str">
        <f>IF('DebtSvs-Library'!C88&gt;0,'DebtSvs-Library'!C88,"  ")</f>
        <v xml:space="preserve">  </v>
      </c>
      <c r="D21" s="469" t="str">
        <f>IF('DebtSvs-Library'!E34&lt;&gt;0,'DebtSvs-Library'!E34,"  ")</f>
        <v xml:space="preserve">  </v>
      </c>
      <c r="E21" s="469" t="str">
        <f>IF('DebtSvs-Library'!E41&lt;&gt;0,'DebtSvs-Library'!E41,"  ")</f>
        <v xml:space="preserve">  </v>
      </c>
      <c r="F21" s="470" t="str">
        <f>IF(AND('DebtSvs-Library'!E41=0,$F$40&gt;=0)," ",IF(AND(E21&gt;0,$F$40=0)," ",IF(AND(E21&gt;0,$F$40&gt;0),ROUND(E21/$F$40*1000,3))))</f>
        <v xml:space="preserve"> </v>
      </c>
      <c r="H21" s="856"/>
      <c r="I21" s="856"/>
      <c r="J21" s="856"/>
      <c r="K21" s="856"/>
      <c r="L21" s="856"/>
      <c r="M21" s="856"/>
      <c r="N21" s="856"/>
      <c r="O21" s="856"/>
      <c r="P21" s="856"/>
      <c r="Q21" s="856"/>
      <c r="R21" s="856"/>
      <c r="S21" s="856"/>
      <c r="T21" s="856"/>
      <c r="U21" s="856"/>
      <c r="V21" s="856"/>
    </row>
    <row r="22" spans="1:22" s="73" customFormat="1" x14ac:dyDescent="0.25">
      <c r="A22" s="92" t="str">
        <f>IF(inputPrYr!$B19&gt;"  ",inputPrYr!$B19,"  ")</f>
        <v>Library</v>
      </c>
      <c r="B22" s="93" t="str">
        <f>inputPrYr!C19</f>
        <v>12-1220</v>
      </c>
      <c r="C22" s="94" t="str">
        <f>IF('DebtSvs-Library'!C88&gt;0,'DebtSvs-Library'!C88,"  ")</f>
        <v xml:space="preserve">  </v>
      </c>
      <c r="D22" s="469" t="str">
        <f>IF('DebtSvs-Library'!E75&lt;&gt;0,'DebtSvs-Library'!E75,"  ")</f>
        <v xml:space="preserve">  </v>
      </c>
      <c r="E22" s="469" t="str">
        <f>IF('DebtSvs-Library'!E82&lt;&gt;0,'DebtSvs-Library'!E82,"  ")</f>
        <v xml:space="preserve">  </v>
      </c>
      <c r="F22" s="470" t="str">
        <f>IF(AND('DebtSvs-Library'!E82=0,$F$40&gt;=0)," ",IF(AND(E22&gt;0,$F$40=0)," ",IF(AND(E22&gt;0,$F$40&gt;0),ROUND(E22/$F$40*1000,3))))</f>
        <v xml:space="preserve"> </v>
      </c>
      <c r="H22" s="856"/>
      <c r="I22" s="856"/>
      <c r="J22" s="856"/>
      <c r="K22" s="856"/>
      <c r="L22" s="856"/>
      <c r="M22" s="856"/>
      <c r="N22" s="856"/>
      <c r="O22" s="856"/>
      <c r="P22" s="856"/>
      <c r="Q22" s="856"/>
      <c r="R22" s="856"/>
      <c r="S22" s="856"/>
      <c r="T22" s="856"/>
      <c r="U22" s="856"/>
      <c r="V22" s="856"/>
    </row>
    <row r="23" spans="1:22" s="73" customFormat="1" x14ac:dyDescent="0.25">
      <c r="A23" s="92" t="str">
        <f>IF(inputPrYr!$B20&gt;"  ",inputPrYr!$B20,"  ")</f>
        <v>Road</v>
      </c>
      <c r="B23" s="93" t="str">
        <f>IF(inputPrYr!C20&gt;0,inputPrYr!C20,"  ")</f>
        <v>68-518c</v>
      </c>
      <c r="C23" s="94" t="str">
        <f>IF(Road!C71&gt;0,Road!C71,"  ")</f>
        <v xml:space="preserve">  </v>
      </c>
      <c r="D23" s="469" t="str">
        <f>IF(Road!$E$43&lt;&gt;0,Road!$E$43,"  ")</f>
        <v xml:space="preserve">  </v>
      </c>
      <c r="E23" s="469" t="str">
        <f>IF(Road!$E$50&lt;&gt;0,Road!$E$50,"  ")</f>
        <v xml:space="preserve">  </v>
      </c>
      <c r="F23" s="470" t="str">
        <f>IF(AND(Road!E50=0,$F$40&gt;=0)," ",IF(AND(E23&gt;0,$F$40=0)," ",IF(AND(E23&gt;0,$F$40&gt;0),ROUND(E23/$F$40*1000,3))))</f>
        <v xml:space="preserve"> </v>
      </c>
      <c r="H23" s="856"/>
      <c r="I23" s="856"/>
      <c r="J23" s="856"/>
      <c r="K23" s="856"/>
      <c r="L23" s="856"/>
      <c r="M23" s="856"/>
      <c r="N23" s="856"/>
      <c r="O23" s="856"/>
      <c r="P23" s="856"/>
      <c r="Q23" s="856"/>
      <c r="R23" s="856"/>
      <c r="S23" s="856"/>
      <c r="T23" s="856"/>
      <c r="U23" s="856"/>
      <c r="V23" s="856"/>
    </row>
    <row r="24" spans="1:22" s="73" customFormat="1" x14ac:dyDescent="0.25">
      <c r="A24" s="92" t="str">
        <f>IF(inputPrYr!$B21&gt;"  ",inputPrYr!$B21,"  ")</f>
        <v xml:space="preserve">  </v>
      </c>
      <c r="B24" s="93" t="str">
        <f>IF(inputPrYr!C21&gt;0,inputPrYr!C21,"  ")</f>
        <v xml:space="preserve">  </v>
      </c>
      <c r="C24" s="94" t="str">
        <f>IF('Levy Page 9'!C88&gt;0,'Levy Page 9'!C88,"  ")</f>
        <v xml:space="preserve">  </v>
      </c>
      <c r="D24" s="469" t="str">
        <f>IF('Levy Page 9'!$E$34&lt;&gt;0,'Levy Page 9'!$E$34,"  ")</f>
        <v xml:space="preserve">  </v>
      </c>
      <c r="E24" s="469" t="str">
        <f>IF('Levy Page 9'!$E$41&lt;&gt;0,'Levy Page 9'!$E$41,"  ")</f>
        <v xml:space="preserve">  </v>
      </c>
      <c r="F24" s="470" t="str">
        <f>IF(AND('Levy Page 9'!E41=0,$F$40&gt;=0)," ",IF(AND(E24&gt;0,$F$40=0)," ",IF(AND(E24&gt;0,$F$40&gt;0),ROUND(E24/$F$40*1000,3))))</f>
        <v xml:space="preserve"> </v>
      </c>
      <c r="H24" s="856"/>
      <c r="I24" s="856"/>
      <c r="J24" s="856"/>
      <c r="K24" s="856"/>
      <c r="L24" s="856"/>
      <c r="M24" s="856"/>
      <c r="N24" s="856"/>
      <c r="O24" s="856"/>
      <c r="P24" s="856"/>
      <c r="Q24" s="856"/>
      <c r="R24" s="856"/>
      <c r="S24" s="856"/>
      <c r="T24" s="856"/>
      <c r="U24" s="856"/>
      <c r="V24" s="856"/>
    </row>
    <row r="25" spans="1:22" s="73" customFormat="1" x14ac:dyDescent="0.25">
      <c r="A25" s="92" t="str">
        <f>IF(inputPrYr!$B22&gt;"  ",inputPrYr!$B22,"  ")</f>
        <v xml:space="preserve">  </v>
      </c>
      <c r="B25" s="93" t="str">
        <f>IF(inputPrYr!C22&gt;0,inputPrYr!C22,"  ")</f>
        <v xml:space="preserve">  </v>
      </c>
      <c r="C25" s="94" t="str">
        <f>IF('Levy Page 9'!C88&gt;0,'Levy Page 9'!C88,"  ")</f>
        <v xml:space="preserve">  </v>
      </c>
      <c r="D25" s="469" t="str">
        <f>IF('Levy Page 9'!$E$75&lt;&gt;0,'Levy Page 9'!$E$75,"  ")</f>
        <v xml:space="preserve">  </v>
      </c>
      <c r="E25" s="469" t="str">
        <f>IF('Levy Page 9'!$E$82&lt;&gt;0,'Levy Page 9'!$E$82,"  ")</f>
        <v xml:space="preserve">  </v>
      </c>
      <c r="F25" s="470" t="str">
        <f>IF(AND('Levy Page 9'!E82=0,$F$40&gt;=0)," ",IF(AND(E25&gt;0,$F$40=0)," ",IF(AND(E25&gt;0,$F$40&gt;0),ROUND(E25/$F$40*1000,3))))</f>
        <v xml:space="preserve"> </v>
      </c>
      <c r="H25" s="856"/>
      <c r="I25" s="856"/>
      <c r="J25" s="856"/>
      <c r="K25" s="856"/>
      <c r="L25" s="856"/>
      <c r="M25" s="856"/>
      <c r="N25" s="856"/>
      <c r="O25" s="856"/>
      <c r="P25" s="856"/>
      <c r="Q25" s="856"/>
      <c r="R25" s="856"/>
      <c r="S25" s="856"/>
      <c r="T25" s="856"/>
      <c r="U25" s="856"/>
      <c r="V25" s="856"/>
    </row>
    <row r="26" spans="1:22" s="73" customFormat="1" x14ac:dyDescent="0.25">
      <c r="A26" s="92" t="str">
        <f>IF(inputPrYr!$B23&gt;"  ",inputPrYr!$B23,"  ")</f>
        <v xml:space="preserve">  </v>
      </c>
      <c r="B26" s="93" t="str">
        <f>IF(inputPrYr!C23&gt;0,inputPrYr!C23,"  ")</f>
        <v xml:space="preserve">  </v>
      </c>
      <c r="C26" s="94" t="str">
        <f>IF('Levy Page 10'!C88&gt;0,'Levy Page 10'!C88,"  ")</f>
        <v xml:space="preserve">  </v>
      </c>
      <c r="D26" s="469" t="str">
        <f>IF('Levy Page 10'!$E$34&lt;&gt;0,'Levy Page 10'!$E$34,"  ")</f>
        <v xml:space="preserve">  </v>
      </c>
      <c r="E26" s="469" t="str">
        <f>IF('Levy Page 10'!$E$41&lt;&gt;0,'Levy Page 10'!$E$41,"  ")</f>
        <v xml:space="preserve">  </v>
      </c>
      <c r="F26" s="470" t="str">
        <f>IF(AND('Levy Page 10'!$E$41=0,$F$40&gt;=0)," ",IF(AND(E26&gt;0,$F$40=0)," ",IF(AND(E26&gt;0,$F$40&gt;0),ROUND(E26/$F$40*1000,3))))</f>
        <v xml:space="preserve"> </v>
      </c>
      <c r="H26" s="856"/>
      <c r="I26" s="856"/>
      <c r="J26" s="856"/>
      <c r="K26" s="856"/>
      <c r="L26" s="856"/>
      <c r="M26" s="856"/>
      <c r="N26" s="856"/>
      <c r="O26" s="856"/>
      <c r="P26" s="856"/>
      <c r="Q26" s="856"/>
      <c r="R26" s="856"/>
      <c r="S26" s="856"/>
      <c r="T26" s="856"/>
      <c r="U26" s="856"/>
      <c r="V26" s="856"/>
    </row>
    <row r="27" spans="1:22" s="73" customFormat="1" x14ac:dyDescent="0.25">
      <c r="A27" s="92" t="str">
        <f>IF(inputPrYr!$B24&gt;"  ",inputPrYr!$B24,"  ")</f>
        <v xml:space="preserve">  </v>
      </c>
      <c r="B27" s="93" t="str">
        <f>IF(inputPrYr!C24&gt;0,inputPrYr!C24,"  ")</f>
        <v xml:space="preserve">  </v>
      </c>
      <c r="C27" s="94" t="str">
        <f>IF('Levy Page 10'!C88&gt;0,'Levy Page 10'!C88,"  ")</f>
        <v xml:space="preserve">  </v>
      </c>
      <c r="D27" s="469" t="str">
        <f>IF('Levy Page 10'!$E$75&lt;&gt;0,'Levy Page 10'!$E$75,"  ")</f>
        <v xml:space="preserve">  </v>
      </c>
      <c r="E27" s="469" t="str">
        <f>IF('Levy Page 10'!$E$82&lt;&gt;0,'Levy Page 10'!$E$82,"  ")</f>
        <v xml:space="preserve">  </v>
      </c>
      <c r="F27" s="470" t="str">
        <f>IF(AND('Levy Page 10'!$E$82=0,$F$40&gt;=0)," ",IF(AND(E27&gt;0,$F$40=0)," ",IF(AND(E27&gt;0,$F$40&gt;0),ROUND(E27/$F$40*1000,3))))</f>
        <v xml:space="preserve"> </v>
      </c>
      <c r="H27" s="856"/>
      <c r="I27" s="856"/>
      <c r="J27" s="856"/>
      <c r="K27" s="856"/>
      <c r="L27" s="856"/>
      <c r="M27" s="856"/>
      <c r="N27" s="856"/>
      <c r="O27" s="856"/>
      <c r="P27" s="856"/>
      <c r="Q27" s="856"/>
      <c r="R27" s="856"/>
      <c r="S27" s="856"/>
      <c r="T27" s="856"/>
      <c r="U27" s="856"/>
      <c r="V27" s="856"/>
    </row>
    <row r="28" spans="1:22" s="73" customFormat="1" x14ac:dyDescent="0.25">
      <c r="A28" s="92" t="str">
        <f>IF(inputPrYr!$B25&gt;"  ",inputPrYr!$B25,"  ")</f>
        <v xml:space="preserve">  </v>
      </c>
      <c r="B28" s="93" t="str">
        <f>IF(inputPrYr!C25&gt;0,inputPrYr!C25,"  ")</f>
        <v xml:space="preserve">  </v>
      </c>
      <c r="C28" s="94" t="str">
        <f>IF('Levy Page 11'!C88&gt;0,'Levy Page 11'!C88,"  ")</f>
        <v xml:space="preserve">  </v>
      </c>
      <c r="D28" s="469" t="str">
        <f>IF('Levy Page 11'!$E$34&lt;&gt;0,'Levy Page 11'!$E$34,"  ")</f>
        <v xml:space="preserve">  </v>
      </c>
      <c r="E28" s="469" t="str">
        <f>IF('Levy Page 11'!$E$41&lt;&gt;0,'Levy Page 11'!$E$41,"  ")</f>
        <v xml:space="preserve">  </v>
      </c>
      <c r="F28" s="470" t="str">
        <f>IF(AND('Levy Page 11'!$E$41=0,$F$40&gt;=0)," ",IF(AND(E28&gt;0,$F$40=0)," ",IF(AND(E28&gt;0,$F$40&gt;0),ROUND(E28/$F$40*1000,3))))</f>
        <v xml:space="preserve"> </v>
      </c>
      <c r="H28" s="856"/>
      <c r="I28" s="856"/>
      <c r="J28" s="856"/>
      <c r="K28" s="856"/>
      <c r="L28" s="856"/>
      <c r="M28" s="856"/>
      <c r="N28" s="856"/>
      <c r="O28" s="856"/>
      <c r="P28" s="856"/>
      <c r="Q28" s="856"/>
      <c r="R28" s="856"/>
      <c r="S28" s="856"/>
      <c r="T28" s="856"/>
      <c r="U28" s="856"/>
      <c r="V28" s="856"/>
    </row>
    <row r="29" spans="1:22" s="73" customFormat="1" x14ac:dyDescent="0.25">
      <c r="A29" s="92" t="str">
        <f>IF(inputPrYr!$B26&gt;"  ",inputPrYr!$B26,"  ")</f>
        <v xml:space="preserve">  </v>
      </c>
      <c r="B29" s="93" t="str">
        <f>IF(inputPrYr!C26&gt;0,inputPrYr!C26,"  ")</f>
        <v xml:space="preserve">  </v>
      </c>
      <c r="C29" s="94" t="str">
        <f>IF('Levy Page 11'!C88&gt;0,'Levy Page 11'!C88,"  ")</f>
        <v xml:space="preserve">  </v>
      </c>
      <c r="D29" s="469" t="str">
        <f>IF('Levy Page 11'!$E$75&lt;&gt;0,'Levy Page 11'!$E$75,"  ")</f>
        <v xml:space="preserve">  </v>
      </c>
      <c r="E29" s="469" t="str">
        <f>IF('Levy Page 11'!$E$82&lt;&gt;0,'Levy Page 11'!$E$82,"  ")</f>
        <v xml:space="preserve">  </v>
      </c>
      <c r="F29" s="470" t="str">
        <f>IF(AND('Levy Page 11'!$E$82=0,$F$40&gt;=0)," ",IF(AND(E29&gt;0,$F$40=0)," ",IF(AND(E29&gt;0,$F$40&gt;0),ROUND(E29/$F$40*1000,3))))</f>
        <v xml:space="preserve"> </v>
      </c>
      <c r="H29" s="856"/>
      <c r="I29" s="856"/>
      <c r="J29" s="856"/>
      <c r="K29" s="856"/>
      <c r="L29" s="856"/>
      <c r="M29" s="856"/>
      <c r="N29" s="856"/>
      <c r="O29" s="856"/>
      <c r="P29" s="856"/>
      <c r="Q29" s="856"/>
      <c r="R29" s="856"/>
      <c r="S29" s="856"/>
      <c r="T29" s="856"/>
      <c r="U29" s="856"/>
      <c r="V29" s="856"/>
    </row>
    <row r="30" spans="1:22" s="73" customFormat="1" x14ac:dyDescent="0.25">
      <c r="A30" s="92" t="str">
        <f>IF(inputPrYr!$B27&gt;"  ",inputPrYr!$B27,"  ")</f>
        <v xml:space="preserve">  </v>
      </c>
      <c r="B30" s="93" t="str">
        <f>IF(inputPrYr!C27&gt;0,inputPrYr!C27,"  ")</f>
        <v xml:space="preserve">  </v>
      </c>
      <c r="C30" s="94" t="str">
        <f>IF('Levy Page 12'!C88&gt;0,'Levy Page 12'!C88,"  ")</f>
        <v xml:space="preserve">  </v>
      </c>
      <c r="D30" s="469" t="str">
        <f>IF('Levy Page 12'!$E$34&lt;&gt;0,'Levy Page 12'!$E$34,"  ")</f>
        <v xml:space="preserve">  </v>
      </c>
      <c r="E30" s="469" t="str">
        <f>IF('Levy Page 12'!$E$41&lt;&gt;0,'Levy Page 12'!$E$41,"  ")</f>
        <v xml:space="preserve">  </v>
      </c>
      <c r="F30" s="470" t="str">
        <f>IF(AND('Levy Page 12'!$E$41=0,$F$40&gt;=0)," ",IF(AND(E30&gt;0,$F$40=0)," ",IF(AND(E30&gt;0,$F$40&gt;0),ROUND(E30/$F$40*1000,3))))</f>
        <v xml:space="preserve"> </v>
      </c>
      <c r="H30" s="856"/>
      <c r="I30" s="856"/>
      <c r="J30" s="856"/>
      <c r="K30" s="856"/>
      <c r="L30" s="856"/>
      <c r="M30" s="856"/>
      <c r="N30" s="856"/>
      <c r="O30" s="856"/>
      <c r="P30" s="856"/>
      <c r="Q30" s="856"/>
      <c r="R30" s="856"/>
      <c r="S30" s="856"/>
      <c r="T30" s="856"/>
      <c r="U30" s="856"/>
      <c r="V30" s="856"/>
    </row>
    <row r="31" spans="1:22" s="73" customFormat="1" x14ac:dyDescent="0.25">
      <c r="A31" s="92" t="str">
        <f>IF(inputPrYr!$B28&gt;"  ",inputPrYr!$B28,"  ")</f>
        <v xml:space="preserve">  </v>
      </c>
      <c r="B31" s="93" t="str">
        <f>IF(inputPrYr!C28&gt;0,inputPrYr!C28,"  ")</f>
        <v xml:space="preserve">  </v>
      </c>
      <c r="C31" s="94" t="str">
        <f>IF('Levy Page 12'!C88&gt;0,'Levy Page 12'!C88,"  ")</f>
        <v xml:space="preserve">  </v>
      </c>
      <c r="D31" s="469" t="str">
        <f>IF('Levy Page 12'!$E$75&lt;&gt;0,'Levy Page 12'!$E$75,"  ")</f>
        <v xml:space="preserve">  </v>
      </c>
      <c r="E31" s="469" t="str">
        <f>IF('Levy Page 12'!$E$82&lt;&gt;0,'Levy Page 12'!$E$82,"  ")</f>
        <v xml:space="preserve">  </v>
      </c>
      <c r="F31" s="470" t="str">
        <f>IF(AND('Levy Page 12'!$E$82=0,$F$40&gt;=0)," ",IF(AND(E31&gt;0,$F$40=0)," ",IF(AND(E31&gt;0,$F$40&gt;0),ROUND(E31/$F$40*1000,3))))</f>
        <v xml:space="preserve"> </v>
      </c>
      <c r="H31" s="856"/>
      <c r="I31" s="856"/>
      <c r="J31" s="856"/>
      <c r="K31" s="856"/>
      <c r="L31" s="856"/>
      <c r="M31" s="856"/>
      <c r="N31" s="856"/>
      <c r="O31" s="856"/>
      <c r="P31" s="856"/>
      <c r="Q31" s="856"/>
      <c r="R31" s="856"/>
      <c r="S31" s="856"/>
      <c r="T31" s="856"/>
      <c r="U31" s="856"/>
      <c r="V31" s="856"/>
    </row>
    <row r="32" spans="1:22" s="73" customFormat="1" x14ac:dyDescent="0.25">
      <c r="A32" s="95" t="str">
        <f>IF(inputPrYr!$B32&gt;"  ",inputPrYr!$B32,"  ")</f>
        <v xml:space="preserve">  </v>
      </c>
      <c r="B32" s="96"/>
      <c r="C32" s="97" t="str">
        <f>IF('No Levy Page 13'!$C$65&gt;0,'No Levy Page 13'!$C$65,"  ")</f>
        <v xml:space="preserve">  </v>
      </c>
      <c r="D32" s="469" t="str">
        <f>IF('No Levy Page 13'!$E$27&lt;&gt;0,'No Levy Page 13'!$E$27,"  ")</f>
        <v xml:space="preserve">  </v>
      </c>
      <c r="E32" s="469"/>
      <c r="F32" s="470"/>
      <c r="H32" s="856"/>
      <c r="I32" s="856"/>
      <c r="J32" s="856"/>
      <c r="K32" s="856"/>
      <c r="L32" s="856"/>
      <c r="M32" s="856"/>
      <c r="N32" s="856"/>
      <c r="O32" s="856"/>
      <c r="P32" s="856"/>
      <c r="Q32" s="856"/>
      <c r="R32" s="856"/>
      <c r="S32" s="856"/>
      <c r="T32" s="856"/>
      <c r="U32" s="856"/>
      <c r="V32" s="856"/>
    </row>
    <row r="33" spans="1:22" s="73" customFormat="1" x14ac:dyDescent="0.25">
      <c r="A33" s="98" t="str">
        <f>IF(inputPrYr!$B33&gt;"  ",inputPrYr!$B33,"  ")</f>
        <v xml:space="preserve">  </v>
      </c>
      <c r="B33" s="99"/>
      <c r="C33" s="97" t="str">
        <f>IF('No Levy Page 13'!$C$65&gt;0,'No Levy Page 13'!$C$65,"  ")</f>
        <v xml:space="preserve">  </v>
      </c>
      <c r="D33" s="469" t="str">
        <f>IF('No Levy Page 13'!$E$57&lt;&gt;0,'No Levy Page 13'!$E$57,"  ")</f>
        <v xml:space="preserve">  </v>
      </c>
      <c r="E33" s="469"/>
      <c r="F33" s="470"/>
      <c r="H33" s="856"/>
      <c r="I33" s="856"/>
      <c r="J33" s="856"/>
      <c r="K33" s="856"/>
      <c r="L33" s="856"/>
      <c r="M33" s="856"/>
      <c r="N33" s="856"/>
      <c r="O33" s="856"/>
      <c r="P33" s="856"/>
      <c r="Q33" s="856"/>
      <c r="R33" s="856"/>
      <c r="S33" s="856"/>
      <c r="T33" s="856"/>
      <c r="U33" s="856"/>
      <c r="V33" s="856"/>
    </row>
    <row r="34" spans="1:22" s="73" customFormat="1" x14ac:dyDescent="0.25">
      <c r="A34" s="95" t="str">
        <f>IF(inputPrYr!$B34&gt;"  ",inputPrYr!$B34,"  ")</f>
        <v xml:space="preserve">  </v>
      </c>
      <c r="B34" s="99"/>
      <c r="C34" s="97" t="str">
        <f>IF('No Levy Page 14'!$C$65&gt;0,'No Levy Page 14'!$C$65,"  ")</f>
        <v xml:space="preserve">  </v>
      </c>
      <c r="D34" s="469" t="str">
        <f>IF('No Levy Page 14'!$E$27&lt;&gt;0,'No Levy Page 14'!$E$27,"  ")</f>
        <v xml:space="preserve">  </v>
      </c>
      <c r="E34" s="469"/>
      <c r="F34" s="470"/>
      <c r="H34" s="856"/>
      <c r="I34" s="856"/>
      <c r="J34" s="856"/>
      <c r="K34" s="856"/>
      <c r="L34" s="856"/>
      <c r="M34" s="856"/>
      <c r="N34" s="856"/>
      <c r="O34" s="856"/>
      <c r="P34" s="856"/>
      <c r="Q34" s="856"/>
      <c r="R34" s="856"/>
      <c r="S34" s="856"/>
      <c r="T34" s="856"/>
      <c r="U34" s="856"/>
      <c r="V34" s="856"/>
    </row>
    <row r="35" spans="1:22" s="73" customFormat="1" x14ac:dyDescent="0.25">
      <c r="A35" s="98" t="str">
        <f>IF(inputPrYr!$B35&gt;"  ",inputPrYr!$B35,"  ")</f>
        <v xml:space="preserve">  </v>
      </c>
      <c r="B35" s="99"/>
      <c r="C35" s="97" t="str">
        <f>IF('No Levy Page 14'!$C$65&gt;0,'No Levy Page 14'!$C$65,"  ")</f>
        <v xml:space="preserve">  </v>
      </c>
      <c r="D35" s="469" t="str">
        <f>IF('No Levy Page 14'!$E$57&lt;&gt;0,'No Levy Page 14'!$E$57,"  ")</f>
        <v xml:space="preserve">  </v>
      </c>
      <c r="E35" s="469"/>
      <c r="F35" s="470"/>
      <c r="H35" s="856"/>
      <c r="I35" s="856"/>
      <c r="J35" s="856"/>
      <c r="K35" s="856"/>
      <c r="L35" s="856"/>
      <c r="M35" s="856"/>
      <c r="N35" s="856"/>
      <c r="O35" s="856"/>
      <c r="P35" s="856"/>
      <c r="Q35" s="856"/>
      <c r="R35" s="856"/>
      <c r="S35" s="856"/>
      <c r="T35" s="856"/>
      <c r="U35" s="856"/>
      <c r="V35" s="856"/>
    </row>
    <row r="36" spans="1:22" s="73" customFormat="1" x14ac:dyDescent="0.25">
      <c r="A36" s="95" t="str">
        <f>IF((inputPrYr!$B39&gt;"  "),('Non-Budgeted Funds'!$A3),"  ")</f>
        <v xml:space="preserve">  </v>
      </c>
      <c r="B36" s="99"/>
      <c r="C36" s="97" t="str">
        <f>IF('Non-Budgeted Funds'!$F$37&gt;0,'Non-Budgeted Funds'!$F$37,"  ")</f>
        <v xml:space="preserve">  </v>
      </c>
      <c r="D36" s="469"/>
      <c r="E36" s="469"/>
      <c r="F36" s="470"/>
      <c r="H36" s="856"/>
      <c r="I36" s="856"/>
      <c r="J36" s="856"/>
      <c r="K36" s="856"/>
      <c r="L36" s="856"/>
      <c r="M36" s="856"/>
      <c r="N36" s="856"/>
      <c r="O36" s="856"/>
      <c r="P36" s="856"/>
      <c r="Q36" s="856"/>
      <c r="R36" s="856"/>
      <c r="S36" s="856"/>
      <c r="T36" s="856"/>
      <c r="U36" s="856"/>
      <c r="V36" s="856"/>
    </row>
    <row r="37" spans="1:22" s="73" customFormat="1" x14ac:dyDescent="0.25">
      <c r="A37" s="82" t="s">
        <v>202</v>
      </c>
      <c r="B37" s="96"/>
      <c r="C37" s="97" t="str">
        <f>IF(Road!C71&gt;0,Road!C71,"  ")</f>
        <v xml:space="preserve">  </v>
      </c>
      <c r="D37" s="125"/>
      <c r="E37" s="125"/>
      <c r="F37" s="470"/>
      <c r="H37" s="856"/>
      <c r="I37" s="856"/>
      <c r="J37" s="856"/>
      <c r="K37" s="856"/>
      <c r="L37" s="856"/>
      <c r="M37" s="856"/>
      <c r="N37" s="856"/>
      <c r="O37" s="856"/>
      <c r="P37" s="856"/>
      <c r="Q37" s="856"/>
      <c r="R37" s="856"/>
      <c r="S37" s="856"/>
      <c r="T37" s="856"/>
      <c r="U37" s="856"/>
      <c r="V37" s="856"/>
    </row>
    <row r="38" spans="1:22" s="73" customFormat="1" ht="16.5" thickBot="1" x14ac:dyDescent="0.3">
      <c r="A38" s="100" t="s">
        <v>203</v>
      </c>
      <c r="B38" s="101"/>
      <c r="C38" s="102" t="s">
        <v>204</v>
      </c>
      <c r="D38" s="471">
        <f>SUM(D20:D36)</f>
        <v>0</v>
      </c>
      <c r="E38" s="471">
        <f>SUM(E20:E36)</f>
        <v>0</v>
      </c>
      <c r="F38" s="472" t="str">
        <f>IF(SUM(F20:F36)&gt;0,SUM(F20:F36),"")</f>
        <v/>
      </c>
      <c r="H38" s="856"/>
      <c r="I38" s="856"/>
      <c r="J38" s="856"/>
      <c r="K38" s="856"/>
      <c r="L38" s="856"/>
      <c r="M38" s="856"/>
      <c r="N38" s="856"/>
      <c r="O38" s="856"/>
      <c r="P38" s="856"/>
      <c r="Q38" s="856"/>
      <c r="R38" s="856"/>
      <c r="S38" s="856"/>
      <c r="T38" s="856"/>
      <c r="U38" s="856"/>
      <c r="V38" s="856"/>
    </row>
    <row r="39" spans="1:22" s="73" customFormat="1" ht="15.75" customHeight="1" thickTop="1" x14ac:dyDescent="0.25">
      <c r="A39" s="82" t="s">
        <v>850</v>
      </c>
      <c r="B39" s="91"/>
      <c r="C39" s="97" t="str">
        <f>IF('Budget Hearing Notice'!D56&gt;0,'Budget Hearing Notice'!D56, " ")</f>
        <v xml:space="preserve"> </v>
      </c>
      <c r="D39" s="117"/>
      <c r="E39" s="117"/>
      <c r="F39" s="613" t="s">
        <v>84</v>
      </c>
      <c r="H39" s="856"/>
      <c r="I39" s="856"/>
      <c r="J39" s="856"/>
      <c r="K39" s="856"/>
      <c r="L39" s="856"/>
      <c r="M39" s="856"/>
      <c r="N39" s="856"/>
      <c r="O39" s="856"/>
      <c r="P39" s="856"/>
      <c r="Q39" s="856"/>
      <c r="R39" s="856"/>
      <c r="S39" s="856"/>
      <c r="T39" s="856"/>
      <c r="U39" s="856"/>
      <c r="V39" s="856"/>
    </row>
    <row r="40" spans="1:22" s="73" customFormat="1" x14ac:dyDescent="0.25">
      <c r="A40" s="614" t="s">
        <v>851</v>
      </c>
      <c r="B40" s="83"/>
      <c r="C40" s="615" t="str">
        <f>IF('Combined Rate-Bud Hearing Notic'!D56&gt;0, 'Combined Rate-Bud Hearing Notic'!D56, " ")</f>
        <v xml:space="preserve"> </v>
      </c>
      <c r="D40" s="117"/>
      <c r="E40" s="117"/>
      <c r="F40" s="737"/>
      <c r="H40" s="856"/>
      <c r="I40" s="856"/>
      <c r="J40" s="856"/>
      <c r="K40" s="856"/>
      <c r="L40" s="856"/>
      <c r="M40" s="856"/>
      <c r="N40" s="856"/>
      <c r="O40" s="856"/>
      <c r="P40" s="856"/>
      <c r="Q40" s="856"/>
      <c r="R40" s="856"/>
      <c r="S40" s="856"/>
      <c r="T40" s="856"/>
      <c r="U40" s="856"/>
      <c r="V40" s="856"/>
    </row>
    <row r="41" spans="1:22" s="73" customFormat="1" x14ac:dyDescent="0.25">
      <c r="A41" s="614" t="s">
        <v>852</v>
      </c>
      <c r="B41" s="86"/>
      <c r="C41" s="615" t="str">
        <f>IF('RNR Hearing Notice'!E17&gt;0, 'RNR Hearing Notice'!E17, " ")</f>
        <v xml:space="preserve"> </v>
      </c>
      <c r="F41" s="738"/>
      <c r="H41" s="856"/>
      <c r="I41" s="856"/>
      <c r="J41" s="856"/>
      <c r="K41" s="856"/>
      <c r="L41" s="856"/>
      <c r="M41" s="856"/>
      <c r="N41" s="856"/>
      <c r="O41" s="856"/>
      <c r="P41" s="856"/>
      <c r="Q41" s="856"/>
      <c r="R41" s="856"/>
      <c r="S41" s="856"/>
      <c r="T41" s="856"/>
      <c r="U41" s="856"/>
      <c r="V41" s="856"/>
    </row>
    <row r="42" spans="1:22" s="73" customFormat="1" x14ac:dyDescent="0.25">
      <c r="A42" s="82" t="s">
        <v>146</v>
      </c>
      <c r="B42" s="83"/>
      <c r="C42" s="97">
        <f>IF('NR Rebate'!C41&gt;0,'NR Rebate'!C41,"")</f>
        <v>19</v>
      </c>
      <c r="F42" s="723" t="str">
        <f>CONCATENATE("Nov 1, ", inputPrYr!D6-1, " Total Assessed Valuation")</f>
        <v>Nov 1, 2024 Total Assessed Valuation</v>
      </c>
      <c r="H42" s="856"/>
      <c r="I42" s="856"/>
      <c r="J42" s="856"/>
      <c r="K42" s="856"/>
      <c r="L42" s="856"/>
      <c r="M42" s="856"/>
      <c r="N42" s="856"/>
      <c r="O42" s="856"/>
      <c r="P42" s="856"/>
      <c r="Q42" s="856"/>
      <c r="R42" s="856"/>
      <c r="S42" s="856"/>
      <c r="T42" s="856"/>
      <c r="U42" s="856"/>
      <c r="V42" s="856"/>
    </row>
    <row r="43" spans="1:22" s="73" customFormat="1" x14ac:dyDescent="0.25">
      <c r="A43" s="77"/>
      <c r="C43" s="616"/>
      <c r="F43" s="723"/>
      <c r="H43" s="856"/>
      <c r="I43" s="856"/>
      <c r="J43" s="856"/>
      <c r="K43" s="856"/>
      <c r="L43" s="856"/>
      <c r="M43" s="856"/>
      <c r="N43" s="856"/>
      <c r="O43" s="856"/>
      <c r="P43" s="856"/>
      <c r="Q43" s="856"/>
      <c r="R43" s="856"/>
      <c r="S43" s="856"/>
      <c r="T43" s="856"/>
      <c r="U43" s="856"/>
      <c r="V43" s="856"/>
    </row>
    <row r="44" spans="1:22" s="73" customFormat="1" x14ac:dyDescent="0.25">
      <c r="A44" s="77"/>
      <c r="C44" s="616"/>
      <c r="D44" s="77"/>
      <c r="E44" s="77"/>
      <c r="F44" s="116"/>
      <c r="H44" s="856"/>
      <c r="I44" s="856"/>
      <c r="J44" s="856"/>
      <c r="K44" s="856"/>
      <c r="L44" s="856"/>
      <c r="M44" s="856"/>
      <c r="N44" s="856"/>
      <c r="O44" s="856"/>
      <c r="P44" s="856"/>
      <c r="Q44" s="856"/>
      <c r="R44" s="856"/>
      <c r="S44" s="856"/>
      <c r="T44" s="856"/>
      <c r="U44" s="856"/>
      <c r="V44" s="856"/>
    </row>
    <row r="45" spans="1:22" s="73" customFormat="1" x14ac:dyDescent="0.25">
      <c r="A45" s="77"/>
      <c r="C45" s="616"/>
      <c r="D45" s="77"/>
      <c r="E45" s="111" t="s">
        <v>853</v>
      </c>
      <c r="F45" s="618">
        <f>inputOth!D15</f>
        <v>0</v>
      </c>
      <c r="H45" s="856"/>
      <c r="I45" s="856"/>
      <c r="J45" s="856"/>
      <c r="K45" s="856"/>
      <c r="L45" s="856"/>
      <c r="M45" s="856"/>
      <c r="N45" s="856"/>
      <c r="O45" s="856"/>
      <c r="P45" s="856"/>
      <c r="Q45" s="856"/>
      <c r="R45" s="856"/>
      <c r="S45" s="856"/>
      <c r="T45" s="856"/>
      <c r="U45" s="856"/>
      <c r="V45" s="856"/>
    </row>
    <row r="46" spans="1:22" s="73" customFormat="1" x14ac:dyDescent="0.25">
      <c r="A46" s="853" t="s">
        <v>960</v>
      </c>
      <c r="B46" s="854"/>
      <c r="C46" s="854"/>
      <c r="D46" s="854"/>
      <c r="E46" s="854"/>
      <c r="F46" s="618" t="str">
        <f>IF(E38&gt;inputPrYr!E29,"YES","NO")</f>
        <v>NO</v>
      </c>
      <c r="H46" s="856"/>
      <c r="I46" s="856"/>
      <c r="J46" s="856"/>
      <c r="K46" s="856"/>
      <c r="L46" s="856"/>
      <c r="M46" s="856"/>
      <c r="N46" s="856"/>
      <c r="O46" s="856"/>
      <c r="P46" s="856"/>
      <c r="Q46" s="856"/>
      <c r="R46" s="856"/>
      <c r="S46" s="856"/>
      <c r="T46" s="856"/>
      <c r="U46" s="856"/>
      <c r="V46" s="856"/>
    </row>
    <row r="47" spans="1:22" s="73" customFormat="1" x14ac:dyDescent="0.25">
      <c r="A47" s="77"/>
      <c r="C47" s="616"/>
      <c r="D47" s="617"/>
      <c r="H47" s="856"/>
      <c r="I47" s="856"/>
      <c r="J47" s="856"/>
      <c r="K47" s="856"/>
      <c r="L47" s="856"/>
      <c r="M47" s="856"/>
      <c r="N47" s="856"/>
      <c r="O47" s="856"/>
      <c r="P47" s="856"/>
      <c r="Q47" s="856"/>
      <c r="R47" s="856"/>
      <c r="S47" s="856"/>
      <c r="T47" s="856"/>
      <c r="U47" s="856"/>
      <c r="V47" s="856"/>
    </row>
    <row r="48" spans="1:22" s="73" customFormat="1" x14ac:dyDescent="0.25">
      <c r="A48" s="77" t="s">
        <v>205</v>
      </c>
      <c r="H48" s="856"/>
      <c r="I48" s="856"/>
      <c r="J48" s="856"/>
      <c r="K48" s="856"/>
      <c r="L48" s="856"/>
      <c r="M48" s="856"/>
      <c r="N48" s="856"/>
      <c r="O48" s="856"/>
      <c r="P48" s="856"/>
      <c r="Q48" s="856"/>
      <c r="R48" s="856"/>
      <c r="S48" s="856"/>
      <c r="T48" s="856"/>
      <c r="U48" s="856"/>
      <c r="V48" s="856"/>
    </row>
    <row r="49" spans="1:22" s="73" customFormat="1" x14ac:dyDescent="0.25">
      <c r="A49" s="105"/>
      <c r="B49" s="105"/>
      <c r="D49" s="10" t="s">
        <v>854</v>
      </c>
      <c r="E49" s="10"/>
      <c r="F49" s="77"/>
      <c r="H49" s="856"/>
      <c r="I49" s="856"/>
      <c r="J49" s="856"/>
      <c r="K49" s="856"/>
      <c r="L49" s="856"/>
      <c r="M49" s="856"/>
      <c r="N49" s="856"/>
      <c r="O49" s="856"/>
      <c r="P49" s="856"/>
      <c r="Q49" s="856"/>
      <c r="R49" s="856"/>
      <c r="S49" s="856"/>
      <c r="T49" s="856"/>
      <c r="U49" s="856"/>
      <c r="V49" s="856"/>
    </row>
    <row r="50" spans="1:22" s="73" customFormat="1" x14ac:dyDescent="0.25">
      <c r="A50" s="106"/>
      <c r="B50" s="106"/>
      <c r="D50" s="10"/>
      <c r="E50" s="10"/>
      <c r="F50" s="10"/>
      <c r="H50" s="856"/>
      <c r="I50" s="856"/>
      <c r="J50" s="856"/>
      <c r="K50" s="856"/>
      <c r="L50" s="856"/>
      <c r="M50" s="856"/>
      <c r="N50" s="856"/>
      <c r="O50" s="856"/>
      <c r="P50" s="856"/>
      <c r="Q50" s="856"/>
      <c r="R50" s="856"/>
      <c r="S50" s="856"/>
      <c r="T50" s="856"/>
      <c r="U50" s="856"/>
      <c r="V50" s="856"/>
    </row>
    <row r="51" spans="1:22" s="73" customFormat="1" x14ac:dyDescent="0.25">
      <c r="A51" s="77" t="s">
        <v>93</v>
      </c>
      <c r="D51" s="10" t="s">
        <v>854</v>
      </c>
      <c r="E51" s="10"/>
      <c r="F51" s="10"/>
      <c r="H51" s="856"/>
      <c r="I51" s="856"/>
      <c r="J51" s="856"/>
      <c r="K51" s="856"/>
      <c r="L51" s="856"/>
      <c r="M51" s="856"/>
      <c r="N51" s="856"/>
      <c r="O51" s="856"/>
      <c r="P51" s="856"/>
      <c r="Q51" s="856"/>
      <c r="R51" s="856"/>
      <c r="S51" s="856"/>
      <c r="T51" s="856"/>
      <c r="U51" s="856"/>
      <c r="V51" s="856"/>
    </row>
    <row r="52" spans="1:22" s="73" customFormat="1" x14ac:dyDescent="0.25">
      <c r="A52" s="105"/>
      <c r="B52" s="105"/>
      <c r="C52" s="77"/>
      <c r="D52" s="10"/>
      <c r="E52" s="10"/>
      <c r="F52" s="10"/>
      <c r="H52" s="856"/>
      <c r="I52" s="856"/>
      <c r="J52" s="856"/>
      <c r="K52" s="856"/>
      <c r="L52" s="856"/>
      <c r="M52" s="856"/>
      <c r="N52" s="856"/>
      <c r="O52" s="856"/>
      <c r="P52" s="856"/>
      <c r="Q52" s="856"/>
      <c r="R52" s="856"/>
      <c r="S52" s="856"/>
      <c r="T52" s="856"/>
      <c r="U52" s="856"/>
      <c r="V52" s="856"/>
    </row>
    <row r="53" spans="1:22" s="73" customFormat="1" x14ac:dyDescent="0.25">
      <c r="A53" s="106"/>
      <c r="B53" s="106"/>
      <c r="C53" s="77"/>
      <c r="D53" s="10" t="s">
        <v>854</v>
      </c>
      <c r="E53" s="619"/>
      <c r="F53" s="10"/>
      <c r="H53" s="856"/>
      <c r="I53" s="856"/>
      <c r="J53" s="856"/>
      <c r="K53" s="856"/>
      <c r="L53" s="856"/>
      <c r="M53" s="856"/>
      <c r="N53" s="856"/>
      <c r="O53" s="856"/>
      <c r="P53" s="856"/>
      <c r="Q53" s="856"/>
      <c r="R53" s="856"/>
      <c r="S53" s="856"/>
      <c r="T53" s="856"/>
      <c r="U53" s="856"/>
      <c r="V53" s="856"/>
    </row>
    <row r="54" spans="1:22" x14ac:dyDescent="0.25">
      <c r="A54" s="77" t="s">
        <v>558</v>
      </c>
      <c r="B54" s="73"/>
      <c r="C54" s="77"/>
      <c r="D54" s="11"/>
      <c r="E54" s="10"/>
      <c r="F54" s="619"/>
      <c r="G54" s="73"/>
    </row>
    <row r="55" spans="1:22" x14ac:dyDescent="0.25">
      <c r="A55" s="105"/>
      <c r="B55" s="105"/>
      <c r="C55" s="77"/>
      <c r="D55" s="10" t="s">
        <v>854</v>
      </c>
      <c r="E55" s="619"/>
      <c r="F55" s="10"/>
      <c r="G55" s="73"/>
    </row>
    <row r="56" spans="1:22" x14ac:dyDescent="0.25">
      <c r="A56" s="76"/>
      <c r="B56" s="73"/>
      <c r="C56" s="77"/>
      <c r="D56" s="11"/>
      <c r="E56" s="10"/>
      <c r="F56" s="619"/>
      <c r="G56" s="73"/>
    </row>
    <row r="57" spans="1:22" x14ac:dyDescent="0.25">
      <c r="A57" s="620" t="s">
        <v>95</v>
      </c>
      <c r="B57" s="110">
        <f>G1-1</f>
        <v>2024</v>
      </c>
      <c r="C57" s="77"/>
      <c r="D57" s="10" t="s">
        <v>854</v>
      </c>
      <c r="E57" s="619"/>
      <c r="F57" s="10"/>
      <c r="G57" s="73"/>
    </row>
    <row r="58" spans="1:22" x14ac:dyDescent="0.25">
      <c r="A58" s="73"/>
      <c r="B58" s="73"/>
      <c r="C58" s="73"/>
      <c r="D58" s="10"/>
      <c r="E58" s="11"/>
      <c r="F58" s="619"/>
      <c r="G58" s="73"/>
    </row>
    <row r="59" spans="1:22" x14ac:dyDescent="0.25">
      <c r="A59" s="621"/>
      <c r="B59" s="73"/>
      <c r="C59" s="73"/>
      <c r="D59" s="10" t="s">
        <v>854</v>
      </c>
      <c r="E59" s="10"/>
      <c r="F59" s="10"/>
      <c r="G59" s="73"/>
    </row>
    <row r="60" spans="1:22" x14ac:dyDescent="0.25">
      <c r="A60" s="622" t="s">
        <v>207</v>
      </c>
      <c r="B60" s="73"/>
      <c r="C60" s="73"/>
      <c r="D60" s="622" t="s">
        <v>206</v>
      </c>
      <c r="E60" s="73"/>
      <c r="F60" s="73"/>
      <c r="G60" s="73"/>
    </row>
    <row r="61" spans="1:22" x14ac:dyDescent="0.25">
      <c r="A61" s="73"/>
      <c r="B61" s="73"/>
      <c r="C61" s="73"/>
      <c r="D61" s="73"/>
      <c r="E61" s="73"/>
      <c r="F61" s="73"/>
      <c r="G61" s="73"/>
    </row>
    <row r="62" spans="1:22" x14ac:dyDescent="0.25">
      <c r="A62" s="73"/>
      <c r="B62" s="73"/>
      <c r="C62" s="73"/>
      <c r="D62" s="73"/>
      <c r="E62" s="73"/>
      <c r="F62" s="73"/>
      <c r="G62" s="73"/>
    </row>
    <row r="63" spans="1:22" x14ac:dyDescent="0.25">
      <c r="A63" s="73"/>
      <c r="B63" s="73"/>
      <c r="C63" s="73"/>
      <c r="D63" s="73"/>
      <c r="E63" s="73"/>
      <c r="F63" s="73"/>
      <c r="G63" s="73"/>
    </row>
    <row r="64" spans="1:22" x14ac:dyDescent="0.25">
      <c r="A64" s="109" t="s">
        <v>0</v>
      </c>
      <c r="B64" s="108"/>
      <c r="C64" s="108"/>
      <c r="D64" s="108"/>
      <c r="E64" s="143"/>
      <c r="F64" s="73"/>
      <c r="G64" s="73"/>
    </row>
    <row r="65" spans="1:7" x14ac:dyDescent="0.25">
      <c r="A65" s="109" t="s">
        <v>1</v>
      </c>
      <c r="B65" s="108"/>
      <c r="C65" s="108"/>
      <c r="D65" s="108"/>
      <c r="E65" s="143"/>
      <c r="F65" s="73"/>
      <c r="G65" s="73"/>
    </row>
    <row r="66" spans="1:7" x14ac:dyDescent="0.25">
      <c r="A66" s="109"/>
      <c r="B66" s="108"/>
      <c r="C66" s="108"/>
      <c r="D66" s="108"/>
      <c r="E66" s="143"/>
      <c r="F66" s="73"/>
      <c r="G66" s="73"/>
    </row>
    <row r="67" spans="1:7" x14ac:dyDescent="0.25">
      <c r="A67" s="73"/>
      <c r="B67" s="73"/>
      <c r="C67" s="73"/>
      <c r="D67" s="73"/>
      <c r="E67" s="73"/>
      <c r="F67" s="80"/>
      <c r="G67" s="855"/>
    </row>
    <row r="68" spans="1:7" x14ac:dyDescent="0.25">
      <c r="A68" s="623" t="s">
        <v>729</v>
      </c>
      <c r="B68" s="624"/>
      <c r="C68" s="624"/>
      <c r="D68" s="624"/>
      <c r="E68" s="624"/>
      <c r="F68" s="625"/>
      <c r="G68" s="626"/>
    </row>
    <row r="69" spans="1:7" x14ac:dyDescent="0.25">
      <c r="A69" s="626"/>
      <c r="B69" s="627"/>
      <c r="C69" s="627"/>
      <c r="D69" s="627"/>
      <c r="E69" s="627"/>
      <c r="F69" s="628"/>
      <c r="G69" s="626"/>
    </row>
    <row r="70" spans="1:7" x14ac:dyDescent="0.25">
      <c r="A70" s="626"/>
      <c r="B70" s="627"/>
      <c r="C70" s="627"/>
      <c r="D70" s="627"/>
      <c r="E70" s="627"/>
      <c r="F70" s="628"/>
      <c r="G70" s="626"/>
    </row>
    <row r="71" spans="1:7" x14ac:dyDescent="0.25">
      <c r="A71" s="629"/>
      <c r="B71" s="630"/>
      <c r="C71" s="630"/>
      <c r="D71" s="630"/>
      <c r="E71" s="630"/>
      <c r="F71" s="631"/>
      <c r="G71" s="626"/>
    </row>
    <row r="72" spans="1:7" x14ac:dyDescent="0.25">
      <c r="A72" s="345"/>
    </row>
    <row r="73" spans="1:7" x14ac:dyDescent="0.25">
      <c r="A73" s="345"/>
      <c r="E73" s="107" t="s">
        <v>839</v>
      </c>
    </row>
    <row r="74" spans="1:7" x14ac:dyDescent="0.25">
      <c r="A74" s="345"/>
      <c r="D74" s="346"/>
      <c r="E74" s="347"/>
    </row>
  </sheetData>
  <sheetProtection sheet="1" objects="1" scenarios="1"/>
  <mergeCells count="15">
    <mergeCell ref="A46:E46"/>
    <mergeCell ref="F42:F43"/>
    <mergeCell ref="A1:F1"/>
    <mergeCell ref="E12:E14"/>
    <mergeCell ref="D11:F11"/>
    <mergeCell ref="A6:F6"/>
    <mergeCell ref="A7:F7"/>
    <mergeCell ref="A3:G3"/>
    <mergeCell ref="F12:F14"/>
    <mergeCell ref="D12:D14"/>
    <mergeCell ref="A4:F4"/>
    <mergeCell ref="A5:F5"/>
    <mergeCell ref="A8:F8"/>
    <mergeCell ref="A9:F9"/>
    <mergeCell ref="F40:F41"/>
  </mergeCells>
  <phoneticPr fontId="0" type="noConversion"/>
  <conditionalFormatting sqref="E20">
    <cfRule type="cellIs" dxfId="195" priority="2" stopIfTrue="1" operator="equal">
      <formula>0</formula>
    </cfRule>
  </conditionalFormatting>
  <conditionalFormatting sqref="F46">
    <cfRule type="containsText" dxfId="0" priority="1" operator="containsText" text="YES">
      <formula>NOT(ISERROR(SEARCH("YES",F46)))</formula>
    </cfRule>
  </conditionalFormatting>
  <pageMargins left="0.4" right="0.4" top="0.83" bottom="0.85" header="0.3" footer="0.6"/>
  <pageSetup scale="73" orientation="portrait" blackAndWhite="1" horizontalDpi="4294967292" verticalDpi="96" r:id="rId1"/>
  <headerFooter alignWithMargins="0">
    <oddHeader xml:space="preserve">&amp;RState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J361"/>
  <sheetViews>
    <sheetView zoomScale="85" workbookViewId="0">
      <selection activeCell="D9" sqref="D9:I9"/>
    </sheetView>
  </sheetViews>
  <sheetFormatPr defaultRowHeight="15.75" x14ac:dyDescent="0.25"/>
  <cols>
    <col min="1" max="1" width="6.296875" style="73" customWidth="1"/>
    <col min="2" max="2" width="17.796875" style="107" customWidth="1"/>
    <col min="3" max="4" width="13.69921875" style="107" customWidth="1"/>
    <col min="5" max="5" width="12.3984375" style="107" hidden="1" customWidth="1"/>
    <col min="6" max="7" width="13.69921875" style="107" customWidth="1"/>
    <col min="8" max="9" width="13.59765625" style="107" customWidth="1"/>
    <col min="10" max="10" width="6.296875" style="107" customWidth="1"/>
    <col min="11" max="16384" width="8.796875" style="107"/>
  </cols>
  <sheetData>
    <row r="1" spans="1:10" x14ac:dyDescent="0.25">
      <c r="B1" s="112">
        <f>inputPrYr!D3</f>
        <v>0</v>
      </c>
      <c r="C1" s="73"/>
      <c r="D1" s="73"/>
      <c r="E1" s="73"/>
      <c r="F1" s="73"/>
      <c r="G1" s="117"/>
      <c r="H1" s="117"/>
      <c r="I1" s="111"/>
      <c r="J1" s="111">
        <f>inputPrYr!D6</f>
        <v>2025</v>
      </c>
    </row>
    <row r="2" spans="1:10" x14ac:dyDescent="0.25">
      <c r="B2" s="112"/>
      <c r="C2" s="73"/>
      <c r="D2" s="73"/>
      <c r="E2" s="73"/>
      <c r="F2" s="73"/>
      <c r="G2" s="117"/>
      <c r="H2" s="117"/>
      <c r="I2" s="117"/>
      <c r="J2" s="73"/>
    </row>
    <row r="3" spans="1:10" x14ac:dyDescent="0.25">
      <c r="B3" s="112"/>
      <c r="C3" s="73"/>
      <c r="D3" s="73"/>
      <c r="E3" s="73"/>
      <c r="F3" s="73"/>
      <c r="G3" s="117"/>
      <c r="H3" s="117"/>
      <c r="I3" s="117"/>
      <c r="J3" s="73"/>
    </row>
    <row r="4" spans="1:10" x14ac:dyDescent="0.25">
      <c r="B4" s="112"/>
      <c r="C4" s="73"/>
      <c r="D4" s="73"/>
      <c r="E4" s="73"/>
      <c r="F4" s="73"/>
      <c r="G4" s="117"/>
      <c r="H4" s="117"/>
      <c r="I4" s="117"/>
      <c r="J4" s="73"/>
    </row>
    <row r="5" spans="1:10" x14ac:dyDescent="0.25">
      <c r="B5" s="73"/>
      <c r="C5" s="73"/>
      <c r="D5" s="73"/>
      <c r="E5" s="73"/>
      <c r="F5" s="73"/>
      <c r="G5" s="73"/>
      <c r="H5" s="73"/>
      <c r="I5" s="73"/>
      <c r="J5" s="73"/>
    </row>
    <row r="6" spans="1:10" x14ac:dyDescent="0.25">
      <c r="A6" s="745" t="s">
        <v>580</v>
      </c>
      <c r="B6" s="745"/>
      <c r="C6" s="745"/>
      <c r="D6" s="745"/>
      <c r="E6" s="745"/>
      <c r="F6" s="745"/>
      <c r="G6" s="745"/>
      <c r="H6" s="746"/>
      <c r="I6" s="734"/>
      <c r="J6" s="734"/>
    </row>
    <row r="7" spans="1:10" x14ac:dyDescent="0.25">
      <c r="B7" s="118"/>
      <c r="C7" s="119"/>
      <c r="D7" s="119"/>
      <c r="E7" s="119"/>
      <c r="F7" s="119"/>
      <c r="G7" s="119"/>
      <c r="H7" s="119"/>
      <c r="I7" s="119"/>
      <c r="J7" s="119"/>
    </row>
    <row r="8" spans="1:10" x14ac:dyDescent="0.25">
      <c r="B8" s="73"/>
      <c r="C8" s="120"/>
      <c r="D8" s="74"/>
      <c r="E8" s="74"/>
      <c r="F8" s="74"/>
      <c r="G8" s="73"/>
      <c r="H8" s="73"/>
      <c r="I8" s="73"/>
      <c r="J8" s="73"/>
    </row>
    <row r="9" spans="1:10" ht="21" customHeight="1" x14ac:dyDescent="0.25">
      <c r="B9" s="122" t="s">
        <v>553</v>
      </c>
      <c r="C9" s="739" t="str">
        <f>CONCATENATE("Tax Levy Amount in ",J1-1," Budget")</f>
        <v>Tax Levy Amount in 2024 Budget</v>
      </c>
      <c r="D9" s="741" t="str">
        <f>CONCATENATE("Allocation for Year ",J1,"")</f>
        <v>Allocation for Year 2025</v>
      </c>
      <c r="E9" s="742"/>
      <c r="F9" s="742"/>
      <c r="G9" s="742"/>
      <c r="H9" s="743"/>
      <c r="I9" s="744"/>
      <c r="J9" s="117"/>
    </row>
    <row r="10" spans="1:10" x14ac:dyDescent="0.25">
      <c r="B10" s="81" t="str">
        <f>CONCATENATE("for ",J1-1,"")</f>
        <v>for 2024</v>
      </c>
      <c r="C10" s="740"/>
      <c r="D10" s="81" t="s">
        <v>68</v>
      </c>
      <c r="E10" s="81"/>
      <c r="F10" s="81" t="s">
        <v>69</v>
      </c>
      <c r="G10" s="81" t="s">
        <v>81</v>
      </c>
      <c r="H10" s="541" t="s">
        <v>578</v>
      </c>
      <c r="I10" s="541" t="s">
        <v>579</v>
      </c>
      <c r="J10" s="117"/>
    </row>
    <row r="11" spans="1:10" x14ac:dyDescent="0.25">
      <c r="B11" s="92" t="str">
        <f>inputPrYr!B17</f>
        <v>General</v>
      </c>
      <c r="C11" s="92" t="str">
        <f>IF(inputPrYr!E17&gt;0,inputPrYr!E17,"  ")</f>
        <v xml:space="preserve">  </v>
      </c>
      <c r="D11" s="92">
        <f>IF(inputPrYr!E17=0,0,D25-SUM(D12:D22))</f>
        <v>0</v>
      </c>
      <c r="E11" s="124"/>
      <c r="F11" s="92">
        <f>IF(inputPrYr!E17=0,0,F27-SUM(F12:F22))</f>
        <v>0</v>
      </c>
      <c r="G11" s="92">
        <f>IF(inputPrYr!E17=0,0,G29-SUM(G12:G22))</f>
        <v>0</v>
      </c>
      <c r="H11" s="92">
        <f>IF(inputPrYr!E17=0,0,H31-SUM(H12:H22))</f>
        <v>0</v>
      </c>
      <c r="I11" s="92">
        <f>IF(inputPrYr!E17=0,0,I33-SUM(I12:I22))</f>
        <v>0</v>
      </c>
      <c r="J11" s="117"/>
    </row>
    <row r="12" spans="1:10" x14ac:dyDescent="0.25">
      <c r="B12" s="92" t="str">
        <f>inputPrYr!B18</f>
        <v>Debt Service</v>
      </c>
      <c r="C12" s="92">
        <f>IF(inputPrYr!E18&gt;=0,inputPrYr!E18,"  ")</f>
        <v>0</v>
      </c>
      <c r="D12" s="92">
        <f>IF(inputPrYr!E18=0,0,ROUND(C12*$D$35,0))</f>
        <v>0</v>
      </c>
      <c r="E12" s="124"/>
      <c r="F12" s="92">
        <f>IF(inputPrYr!$E$18=0,0,ROUND($C$12*$F$37,0))</f>
        <v>0</v>
      </c>
      <c r="G12" s="92">
        <f>IF(inputPrYr!E18=0,0,ROUND($C12*$G$39,0))</f>
        <v>0</v>
      </c>
      <c r="H12" s="92">
        <f>IF(inputPrYr!E18=0,0,ROUND(C12*$H$41,0))</f>
        <v>0</v>
      </c>
      <c r="I12" s="92">
        <f>IF(inputPrYr!E18=0,0,ROUND($C12*$I$43,0))</f>
        <v>0</v>
      </c>
      <c r="J12" s="117"/>
    </row>
    <row r="13" spans="1:10" x14ac:dyDescent="0.25">
      <c r="B13" s="92" t="str">
        <f>inputPrYr!B19</f>
        <v>Library</v>
      </c>
      <c r="C13" s="92">
        <f>IF(inputPrYr!E19&gt;=0,inputPrYr!E19,"  ")</f>
        <v>0</v>
      </c>
      <c r="D13" s="92">
        <f>IF(inputPrYr!E19=0,0,ROUND(C13*$D$35,0))</f>
        <v>0</v>
      </c>
      <c r="E13" s="124"/>
      <c r="F13" s="92">
        <f>IF(inputPrYr!$E$19=0,0,ROUND($C$12*$F$37,0))</f>
        <v>0</v>
      </c>
      <c r="G13" s="92">
        <f>IF(inputPrYr!E19=0,0,ROUND($C13*$G$39,0))</f>
        <v>0</v>
      </c>
      <c r="H13" s="92">
        <f>IF(inputPrYr!E19=0,0,ROUND($C13*$H$41,0))</f>
        <v>0</v>
      </c>
      <c r="I13" s="92">
        <f>IF(inputPrYr!E19=0,0,ROUND($C13*$I$43,0))</f>
        <v>0</v>
      </c>
      <c r="J13" s="117"/>
    </row>
    <row r="14" spans="1:10" x14ac:dyDescent="0.25">
      <c r="B14" s="92" t="str">
        <f>IF(inputPrYr!$B20&gt;"  ",inputPrYr!$B20,"  ")</f>
        <v>Road</v>
      </c>
      <c r="C14" s="92">
        <f>IF(inputPrYr!E20&gt;=0,inputPrYr!E20,"  ")</f>
        <v>0</v>
      </c>
      <c r="D14" s="92">
        <f>IF(inputPrYr!E20=0,0,ROUND(C14*$D$35,0))</f>
        <v>0</v>
      </c>
      <c r="E14" s="124"/>
      <c r="F14" s="92">
        <f>IF(inputPrYr!$E$20=0,0,ROUND($C$14*$F$37,0))</f>
        <v>0</v>
      </c>
      <c r="G14" s="92">
        <f>IF(inputPrYr!E20=0,0,ROUND($C14*$G$39,0))</f>
        <v>0</v>
      </c>
      <c r="H14" s="92">
        <f>IF(inputPrYr!E20=0,0,ROUND($C14*$H$41,0))</f>
        <v>0</v>
      </c>
      <c r="I14" s="92">
        <f>IF(inputPrYr!E20=0,0,ROUND($C14*$I$43,0))</f>
        <v>0</v>
      </c>
      <c r="J14" s="117"/>
    </row>
    <row r="15" spans="1:10" x14ac:dyDescent="0.25">
      <c r="B15" s="92" t="str">
        <f>IF(inputPrYr!$B21&gt;"  ",inputPrYr!$B21,"  ")</f>
        <v xml:space="preserve">  </v>
      </c>
      <c r="C15" s="92">
        <f>IF(inputPrYr!E21&gt;=0,inputPrYr!E21,"  ")</f>
        <v>0</v>
      </c>
      <c r="D15" s="92">
        <f>IF(inputPrYr!E21=0,0,ROUND(C15*$D$35,0))</f>
        <v>0</v>
      </c>
      <c r="E15" s="124"/>
      <c r="F15" s="92">
        <f>IF(inputPrYr!$E$21=0,0,ROUND($C$15*$F$37,0))</f>
        <v>0</v>
      </c>
      <c r="G15" s="92">
        <f>IF(inputPrYr!E21=0,0,ROUND($C15*$G$39,0))</f>
        <v>0</v>
      </c>
      <c r="H15" s="92">
        <f>IF(inputPrYr!E21=0,0,ROUND($C15*$H$41,0))</f>
        <v>0</v>
      </c>
      <c r="I15" s="92">
        <f>IF(inputPrYr!E21=0,0,ROUND($C15*$I$43,0))</f>
        <v>0</v>
      </c>
      <c r="J15" s="117"/>
    </row>
    <row r="16" spans="1:10" x14ac:dyDescent="0.25">
      <c r="B16" s="92" t="str">
        <f>IF(inputPrYr!$B22&gt;"  ",inputPrYr!$B22,"  ")</f>
        <v xml:space="preserve">  </v>
      </c>
      <c r="C16" s="92">
        <f>IF(inputPrYr!E22&gt;=0,inputPrYr!E22,"  ")</f>
        <v>0</v>
      </c>
      <c r="D16" s="92">
        <f>IF(inputPrYr!E22=0,0,ROUND(C16*$D$35,0))</f>
        <v>0</v>
      </c>
      <c r="E16" s="124"/>
      <c r="F16" s="92">
        <f>IF(inputPrYr!$E$22=0,0,ROUND($C$16*$F$37,0))</f>
        <v>0</v>
      </c>
      <c r="G16" s="92">
        <f>IF(inputPrYr!E22=0,0,ROUND($C16*$G$39,0))</f>
        <v>0</v>
      </c>
      <c r="H16" s="92">
        <f>IF(inputPrYr!E22=0,0,ROUND($C16*$H$41,0))</f>
        <v>0</v>
      </c>
      <c r="I16" s="92">
        <f>IF(inputPrYr!E22=0,0,ROUND($C16*$I$43,0))</f>
        <v>0</v>
      </c>
      <c r="J16" s="117"/>
    </row>
    <row r="17" spans="2:10" x14ac:dyDescent="0.25">
      <c r="B17" s="92" t="str">
        <f>IF(inputPrYr!$B23&gt;"  ",inputPrYr!$B23,"  ")</f>
        <v xml:space="preserve">  </v>
      </c>
      <c r="C17" s="92">
        <f>IF(inputPrYr!E23&gt;=0,inputPrYr!E23,"  ")</f>
        <v>0</v>
      </c>
      <c r="D17" s="92">
        <f>IF(inputPrYr!E23=0,0,ROUND(C17*$D$35,0))</f>
        <v>0</v>
      </c>
      <c r="E17" s="124"/>
      <c r="F17" s="92">
        <f>IF(inputPrYr!$E$23=0,0,ROUND($C$17*$F$37,0))</f>
        <v>0</v>
      </c>
      <c r="G17" s="92">
        <f>IF(inputPrYr!E23=0,0,ROUND($C17*$G$39,0))</f>
        <v>0</v>
      </c>
      <c r="H17" s="92">
        <f>IF(inputPrYr!E23=0,0,ROUND($C17*$H$41,0))</f>
        <v>0</v>
      </c>
      <c r="I17" s="92">
        <f>IF(inputPrYr!E23=0,0,ROUND($C17*$I$43,0))</f>
        <v>0</v>
      </c>
      <c r="J17" s="117"/>
    </row>
    <row r="18" spans="2:10" x14ac:dyDescent="0.25">
      <c r="B18" s="92" t="str">
        <f>IF(inputPrYr!$B24&gt;"  ",inputPrYr!$B24,"  ")</f>
        <v xml:space="preserve">  </v>
      </c>
      <c r="C18" s="92">
        <f>IF(inputPrYr!E24&gt;=0,inputPrYr!E24,"  ")</f>
        <v>0</v>
      </c>
      <c r="D18" s="92">
        <f>IF(inputPrYr!E24=0,0,ROUND(C18*$D$35,0))</f>
        <v>0</v>
      </c>
      <c r="E18" s="124"/>
      <c r="F18" s="92">
        <f>IF(inputPrYr!$E$24=0,0,ROUND($C$18*$F$37,0))</f>
        <v>0</v>
      </c>
      <c r="G18" s="92">
        <f>IF(inputPrYr!E24=0,0,ROUND($C18*$G$39,0))</f>
        <v>0</v>
      </c>
      <c r="H18" s="92">
        <f>IF(inputPrYr!E24=0,0,ROUND($C18*$H$41,0))</f>
        <v>0</v>
      </c>
      <c r="I18" s="92">
        <f>IF(inputPrYr!E24=0,0,ROUND($C18*$I$43,0))</f>
        <v>0</v>
      </c>
      <c r="J18" s="117"/>
    </row>
    <row r="19" spans="2:10" x14ac:dyDescent="0.25">
      <c r="B19" s="92" t="str">
        <f>IF(inputPrYr!$B25&gt;"  ",inputPrYr!$B25,"  ")</f>
        <v xml:space="preserve">  </v>
      </c>
      <c r="C19" s="92">
        <f>IF(inputPrYr!E25&gt;=0,inputPrYr!E25,"  ")</f>
        <v>0</v>
      </c>
      <c r="D19" s="92">
        <f>IF(inputPrYr!E25=0,0,ROUND(C19*$D$35,0))</f>
        <v>0</v>
      </c>
      <c r="E19" s="124"/>
      <c r="F19" s="92">
        <f>IF(inputPrYr!$E$25=0,0,ROUND($C$19*$F$37,0))</f>
        <v>0</v>
      </c>
      <c r="G19" s="92">
        <f>IF(inputPrYr!E25=0,0,ROUND($C19*$G$39,0))</f>
        <v>0</v>
      </c>
      <c r="H19" s="92">
        <f>IF(inputPrYr!E25=0,0,ROUND($C19*$H$41,0))</f>
        <v>0</v>
      </c>
      <c r="I19" s="92">
        <f>IF(inputPrYr!E25=0,0,ROUND($C19*$I$43,0))</f>
        <v>0</v>
      </c>
      <c r="J19" s="117"/>
    </row>
    <row r="20" spans="2:10" x14ac:dyDescent="0.25">
      <c r="B20" s="92" t="str">
        <f>IF(inputPrYr!$B26&gt;"  ",inputPrYr!$B26,"  ")</f>
        <v xml:space="preserve">  </v>
      </c>
      <c r="C20" s="92">
        <f>IF(inputPrYr!E26&gt;=0,inputPrYr!E26,"  ")</f>
        <v>0</v>
      </c>
      <c r="D20" s="92">
        <f>IF(inputPrYr!E26=0,0,ROUND(C20*$D$35,0))</f>
        <v>0</v>
      </c>
      <c r="E20" s="124"/>
      <c r="F20" s="92">
        <f>IF(inputPrYr!$E$26=0,0,ROUND($C$20*$F$37,0))</f>
        <v>0</v>
      </c>
      <c r="G20" s="92">
        <f>IF(inputPrYr!E26=0,0,ROUND($C20*$G$39,0))</f>
        <v>0</v>
      </c>
      <c r="H20" s="92">
        <f>IF(inputPrYr!E26=0,0,ROUND($C20*$H$41,0))</f>
        <v>0</v>
      </c>
      <c r="I20" s="92">
        <f>IF(inputPrYr!E26=0,0,ROUND($C20*$I$43,0))</f>
        <v>0</v>
      </c>
      <c r="J20" s="117"/>
    </row>
    <row r="21" spans="2:10" x14ac:dyDescent="0.25">
      <c r="B21" s="92" t="str">
        <f>IF(inputPrYr!$B27&gt;"  ",inputPrYr!$B27,"  ")</f>
        <v xml:space="preserve">  </v>
      </c>
      <c r="C21" s="92">
        <f>IF(inputPrYr!E27&gt;=0,inputPrYr!E27,"  ")</f>
        <v>0</v>
      </c>
      <c r="D21" s="92">
        <f>IF(inputPrYr!E27=0,0,ROUND(C21*$D$35,0))</f>
        <v>0</v>
      </c>
      <c r="E21" s="124"/>
      <c r="F21" s="92">
        <f>IF(inputPrYr!$E$27=0,0,ROUND($C$21*$F$37,0))</f>
        <v>0</v>
      </c>
      <c r="G21" s="92">
        <f>IF(inputPrYr!E27=0,0,ROUND($C21*$G$39,0))</f>
        <v>0</v>
      </c>
      <c r="H21" s="92">
        <f>IF(inputPrYr!E27=0,0,ROUND($C21*$H$41,0))</f>
        <v>0</v>
      </c>
      <c r="I21" s="92">
        <f>IF(inputPrYr!E27=0,0,ROUND($C21*$I$43,0))</f>
        <v>0</v>
      </c>
      <c r="J21" s="117"/>
    </row>
    <row r="22" spans="2:10" x14ac:dyDescent="0.25">
      <c r="B22" s="92" t="str">
        <f>IF(inputPrYr!$B28&gt;"  ",inputPrYr!$B28,"  ")</f>
        <v xml:space="preserve">  </v>
      </c>
      <c r="C22" s="92">
        <f>IF(inputPrYr!E28&gt;=0,inputPrYr!E28,"  ")</f>
        <v>0</v>
      </c>
      <c r="D22" s="92">
        <f>IF(inputPrYr!E28=0,0,ROUND(C22*$D$35,0))</f>
        <v>0</v>
      </c>
      <c r="E22" s="124"/>
      <c r="F22" s="92">
        <f>IF(inputPrYr!$E$28=0,0,ROUND($C$22*$F$37,0))</f>
        <v>0</v>
      </c>
      <c r="G22" s="92">
        <f>IF(inputPrYr!E28=0,0,ROUND($C22*$G$39,0))</f>
        <v>0</v>
      </c>
      <c r="H22" s="92">
        <f>IF(inputPrYr!E28=0,0,ROUND($C22*$H$41,0))</f>
        <v>0</v>
      </c>
      <c r="I22" s="92">
        <f>IF(inputPrYr!E28=0,0,ROUND($C22*$I$43,0))</f>
        <v>0</v>
      </c>
      <c r="J22" s="117"/>
    </row>
    <row r="23" spans="2:10" ht="16.5" thickBot="1" x14ac:dyDescent="0.3">
      <c r="B23" s="103" t="s">
        <v>194</v>
      </c>
      <c r="C23" s="126">
        <f>SUM(C11:C22)</f>
        <v>0</v>
      </c>
      <c r="D23" s="126">
        <f>SUM(D11:D22)</f>
        <v>0</v>
      </c>
      <c r="E23" s="126"/>
      <c r="F23" s="126">
        <f>SUM(F11:F22)</f>
        <v>0</v>
      </c>
      <c r="G23" s="126">
        <f>SUM(G11:G22)</f>
        <v>0</v>
      </c>
      <c r="H23" s="126">
        <f>SUM(H11:H22)</f>
        <v>0</v>
      </c>
      <c r="I23" s="126">
        <f>SUM(I11:I22)</f>
        <v>0</v>
      </c>
      <c r="J23" s="117"/>
    </row>
    <row r="24" spans="2:10" ht="16.5" thickTop="1" x14ac:dyDescent="0.25">
      <c r="B24" s="73"/>
      <c r="C24" s="73"/>
      <c r="D24" s="73"/>
      <c r="E24" s="73"/>
      <c r="F24" s="73"/>
      <c r="G24" s="73"/>
      <c r="H24" s="73"/>
      <c r="I24" s="73"/>
      <c r="J24" s="73"/>
    </row>
    <row r="25" spans="2:10" x14ac:dyDescent="0.25">
      <c r="B25" s="381" t="s">
        <v>581</v>
      </c>
      <c r="C25" s="73"/>
      <c r="D25" s="128">
        <f>inputOth!E36</f>
        <v>0</v>
      </c>
      <c r="E25" s="73"/>
      <c r="F25" s="73"/>
      <c r="G25" s="73"/>
      <c r="H25" s="73"/>
      <c r="I25" s="73"/>
      <c r="J25" s="73"/>
    </row>
    <row r="26" spans="2:10" x14ac:dyDescent="0.25">
      <c r="B26" s="409"/>
      <c r="C26" s="73"/>
      <c r="D26" s="73"/>
      <c r="E26" s="73"/>
      <c r="F26" s="73"/>
      <c r="G26" s="73"/>
      <c r="H26" s="73"/>
      <c r="I26" s="73"/>
      <c r="J26" s="73"/>
    </row>
    <row r="27" spans="2:10" x14ac:dyDescent="0.25">
      <c r="B27" s="381" t="s">
        <v>582</v>
      </c>
      <c r="C27" s="73"/>
      <c r="D27" s="73"/>
      <c r="E27" s="128">
        <f>inputPrYr!E82</f>
        <v>0</v>
      </c>
      <c r="F27" s="128">
        <f>inputOth!E37</f>
        <v>0</v>
      </c>
      <c r="G27" s="73"/>
      <c r="H27" s="73"/>
      <c r="I27" s="73"/>
      <c r="J27" s="73"/>
    </row>
    <row r="28" spans="2:10" x14ac:dyDescent="0.25">
      <c r="B28" s="409"/>
      <c r="C28" s="73"/>
      <c r="D28" s="73"/>
      <c r="E28" s="73"/>
      <c r="F28" s="73"/>
      <c r="G28" s="73"/>
      <c r="H28" s="73"/>
      <c r="I28" s="73"/>
      <c r="J28" s="73"/>
    </row>
    <row r="29" spans="2:10" x14ac:dyDescent="0.25">
      <c r="B29" s="381" t="s">
        <v>583</v>
      </c>
      <c r="C29" s="73"/>
      <c r="D29" s="73"/>
      <c r="E29" s="73"/>
      <c r="F29" s="73"/>
      <c r="G29" s="128">
        <f>inputOth!E38</f>
        <v>0</v>
      </c>
      <c r="H29" s="112"/>
      <c r="I29" s="112"/>
      <c r="J29" s="73"/>
    </row>
    <row r="30" spans="2:10" x14ac:dyDescent="0.25">
      <c r="B30" s="409"/>
      <c r="C30" s="73"/>
      <c r="D30" s="73"/>
      <c r="E30" s="73"/>
      <c r="F30" s="73"/>
      <c r="G30" s="112"/>
      <c r="H30" s="112"/>
      <c r="I30" s="112"/>
      <c r="J30" s="73"/>
    </row>
    <row r="31" spans="2:10" x14ac:dyDescent="0.25">
      <c r="B31" s="409" t="s">
        <v>584</v>
      </c>
      <c r="C31" s="73"/>
      <c r="D31" s="73"/>
      <c r="E31" s="73"/>
      <c r="F31" s="73"/>
      <c r="G31" s="112"/>
      <c r="H31" s="128">
        <f>inputOth!E39</f>
        <v>0</v>
      </c>
      <c r="I31" s="112"/>
      <c r="J31" s="73"/>
    </row>
    <row r="32" spans="2:10" x14ac:dyDescent="0.25">
      <c r="B32" s="409"/>
      <c r="C32" s="73"/>
      <c r="D32" s="73"/>
      <c r="E32" s="73"/>
      <c r="F32" s="73"/>
      <c r="G32" s="112"/>
      <c r="H32" s="112"/>
      <c r="I32" s="112"/>
      <c r="J32" s="73"/>
    </row>
    <row r="33" spans="1:10" x14ac:dyDescent="0.25">
      <c r="B33" s="409" t="s">
        <v>585</v>
      </c>
      <c r="C33" s="73"/>
      <c r="D33" s="73"/>
      <c r="E33" s="73"/>
      <c r="F33" s="73"/>
      <c r="G33" s="112"/>
      <c r="H33" s="112"/>
      <c r="I33" s="128">
        <f>inputOth!E40</f>
        <v>0</v>
      </c>
      <c r="J33" s="73"/>
    </row>
    <row r="34" spans="1:10" x14ac:dyDescent="0.25">
      <c r="B34" s="73"/>
      <c r="C34" s="73"/>
      <c r="D34" s="308"/>
      <c r="E34" s="308"/>
      <c r="F34" s="308"/>
      <c r="G34" s="308"/>
      <c r="H34" s="308"/>
      <c r="I34" s="308"/>
      <c r="J34" s="73"/>
    </row>
    <row r="35" spans="1:10" x14ac:dyDescent="0.25">
      <c r="B35" s="77"/>
      <c r="C35" s="542" t="s">
        <v>586</v>
      </c>
      <c r="D35" s="535">
        <f>IF(C23=0,0,D25/C23)</f>
        <v>0</v>
      </c>
      <c r="E35" s="308"/>
      <c r="F35" s="308"/>
      <c r="G35" s="308"/>
      <c r="H35" s="308"/>
      <c r="I35" s="308"/>
      <c r="J35" s="73"/>
    </row>
    <row r="36" spans="1:10" x14ac:dyDescent="0.25">
      <c r="B36" s="73"/>
      <c r="C36" s="73"/>
      <c r="D36" s="308"/>
      <c r="E36" s="308"/>
      <c r="F36" s="308"/>
      <c r="G36" s="308"/>
      <c r="H36" s="308"/>
      <c r="I36" s="308"/>
      <c r="J36" s="73"/>
    </row>
    <row r="37" spans="1:10" x14ac:dyDescent="0.25">
      <c r="B37" s="77"/>
      <c r="C37" s="73"/>
      <c r="D37" s="542" t="s">
        <v>587</v>
      </c>
      <c r="E37" s="535">
        <f>IF(C23=0,0,E27/C23)</f>
        <v>0</v>
      </c>
      <c r="F37" s="536">
        <f>IF(C23=0,0,F27/C23)</f>
        <v>0</v>
      </c>
      <c r="G37" s="308"/>
      <c r="H37" s="308"/>
      <c r="I37" s="308"/>
      <c r="J37" s="73"/>
    </row>
    <row r="38" spans="1:10" x14ac:dyDescent="0.25">
      <c r="B38" s="73"/>
      <c r="C38" s="73"/>
      <c r="D38" s="308"/>
      <c r="E38" s="308"/>
      <c r="F38" s="308"/>
      <c r="G38" s="308"/>
      <c r="H38" s="308"/>
      <c r="I38" s="308"/>
      <c r="J38" s="73"/>
    </row>
    <row r="39" spans="1:10" x14ac:dyDescent="0.25">
      <c r="B39" s="77"/>
      <c r="C39" s="73"/>
      <c r="D39" s="308"/>
      <c r="E39" s="308"/>
      <c r="F39" s="542" t="s">
        <v>588</v>
      </c>
      <c r="G39" s="535">
        <f>IF(C23=0,0,G29/C23)</f>
        <v>0</v>
      </c>
      <c r="H39" s="534"/>
      <c r="I39" s="534"/>
      <c r="J39" s="73"/>
    </row>
    <row r="40" spans="1:10" x14ac:dyDescent="0.25">
      <c r="B40" s="77"/>
      <c r="C40" s="73"/>
      <c r="D40" s="308"/>
      <c r="E40" s="308"/>
      <c r="F40" s="308"/>
      <c r="G40" s="534"/>
      <c r="H40" s="534"/>
      <c r="I40" s="534"/>
      <c r="J40" s="73"/>
    </row>
    <row r="41" spans="1:10" x14ac:dyDescent="0.25">
      <c r="B41" s="77"/>
      <c r="C41" s="73"/>
      <c r="D41" s="308"/>
      <c r="E41" s="308"/>
      <c r="F41" s="308"/>
      <c r="G41" s="543" t="s">
        <v>589</v>
      </c>
      <c r="H41" s="535">
        <f>IF(C23=0,0,H31/C23)</f>
        <v>0</v>
      </c>
      <c r="I41" s="534"/>
      <c r="J41" s="73"/>
    </row>
    <row r="42" spans="1:10" x14ac:dyDescent="0.25">
      <c r="B42" s="77"/>
      <c r="C42" s="73"/>
      <c r="D42" s="308"/>
      <c r="E42" s="308"/>
      <c r="F42" s="308"/>
      <c r="G42" s="534"/>
      <c r="H42" s="534"/>
      <c r="I42" s="534"/>
      <c r="J42" s="73"/>
    </row>
    <row r="43" spans="1:10" x14ac:dyDescent="0.25">
      <c r="B43" s="77"/>
      <c r="C43" s="73"/>
      <c r="D43" s="308"/>
      <c r="E43" s="308"/>
      <c r="F43" s="308"/>
      <c r="G43" s="534"/>
      <c r="H43" s="544" t="s">
        <v>590</v>
      </c>
      <c r="I43" s="535">
        <f>IF(C23=0,0,I33/C23)</f>
        <v>0</v>
      </c>
      <c r="J43" s="73"/>
    </row>
    <row r="44" spans="1:10" x14ac:dyDescent="0.25">
      <c r="B44" s="73"/>
      <c r="C44" s="73"/>
      <c r="D44" s="308"/>
      <c r="E44" s="308"/>
      <c r="F44" s="308"/>
      <c r="G44" s="308"/>
      <c r="H44" s="308"/>
      <c r="I44" s="308"/>
      <c r="J44" s="73"/>
    </row>
    <row r="45" spans="1:10" x14ac:dyDescent="0.25">
      <c r="B45" s="73"/>
      <c r="C45" s="73"/>
      <c r="D45" s="73"/>
      <c r="E45" s="73"/>
      <c r="F45" s="73"/>
      <c r="G45" s="73"/>
      <c r="H45" s="73"/>
      <c r="I45" s="73"/>
      <c r="J45" s="73"/>
    </row>
    <row r="46" spans="1:10" x14ac:dyDescent="0.25">
      <c r="A46" s="107"/>
    </row>
    <row r="47" spans="1:10" x14ac:dyDescent="0.25">
      <c r="A47" s="107"/>
    </row>
    <row r="48" spans="1:10" x14ac:dyDescent="0.25">
      <c r="A48" s="107"/>
    </row>
    <row r="49" spans="1:6" x14ac:dyDescent="0.25">
      <c r="A49" s="107"/>
      <c r="B49" s="129"/>
      <c r="C49" s="129"/>
      <c r="D49" s="129"/>
      <c r="E49" s="129"/>
      <c r="F49" s="130"/>
    </row>
    <row r="50" spans="1:6" x14ac:dyDescent="0.25">
      <c r="A50" s="107"/>
    </row>
    <row r="51" spans="1:6" x14ac:dyDescent="0.25">
      <c r="A51" s="107"/>
    </row>
    <row r="52" spans="1:6" x14ac:dyDescent="0.25">
      <c r="A52" s="107"/>
    </row>
    <row r="53" spans="1:6" x14ac:dyDescent="0.25">
      <c r="A53" s="107"/>
    </row>
    <row r="54" spans="1:6" x14ac:dyDescent="0.25">
      <c r="A54" s="107"/>
    </row>
    <row r="55" spans="1:6" x14ac:dyDescent="0.25">
      <c r="A55" s="107"/>
    </row>
    <row r="56" spans="1:6" x14ac:dyDescent="0.25">
      <c r="A56" s="107"/>
    </row>
    <row r="57" spans="1:6" x14ac:dyDescent="0.25">
      <c r="A57" s="107"/>
    </row>
    <row r="58" spans="1:6" x14ac:dyDescent="0.25">
      <c r="A58" s="107"/>
    </row>
    <row r="59" spans="1:6" x14ac:dyDescent="0.25">
      <c r="A59" s="107"/>
    </row>
    <row r="60" spans="1:6" x14ac:dyDescent="0.25">
      <c r="A60" s="107"/>
    </row>
    <row r="61" spans="1:6" x14ac:dyDescent="0.25">
      <c r="A61" s="107"/>
    </row>
    <row r="62" spans="1:6" x14ac:dyDescent="0.25">
      <c r="A62" s="107"/>
    </row>
    <row r="63" spans="1:6" x14ac:dyDescent="0.25">
      <c r="A63" s="107"/>
    </row>
    <row r="64" spans="1:6" x14ac:dyDescent="0.25">
      <c r="A64" s="107"/>
    </row>
    <row r="65" spans="1:1" x14ac:dyDescent="0.25">
      <c r="A65" s="107"/>
    </row>
    <row r="66" spans="1:1" x14ac:dyDescent="0.25">
      <c r="A66" s="107"/>
    </row>
    <row r="67" spans="1:1" x14ac:dyDescent="0.25">
      <c r="A67" s="107"/>
    </row>
    <row r="68" spans="1:1" x14ac:dyDescent="0.25">
      <c r="A68" s="107"/>
    </row>
    <row r="69" spans="1:1" x14ac:dyDescent="0.25">
      <c r="A69" s="107"/>
    </row>
    <row r="70" spans="1:1" x14ac:dyDescent="0.25">
      <c r="A70" s="107"/>
    </row>
    <row r="71" spans="1:1" x14ac:dyDescent="0.25">
      <c r="A71" s="107"/>
    </row>
    <row r="72" spans="1:1" x14ac:dyDescent="0.25">
      <c r="A72" s="107"/>
    </row>
    <row r="73" spans="1:1" x14ac:dyDescent="0.25">
      <c r="A73" s="107"/>
    </row>
    <row r="74" spans="1:1" x14ac:dyDescent="0.25">
      <c r="A74" s="107"/>
    </row>
    <row r="75" spans="1:1" x14ac:dyDescent="0.25">
      <c r="A75" s="107"/>
    </row>
    <row r="76" spans="1:1" x14ac:dyDescent="0.25">
      <c r="A76" s="107"/>
    </row>
    <row r="77" spans="1:1" x14ac:dyDescent="0.25">
      <c r="A77" s="107"/>
    </row>
    <row r="78" spans="1:1" x14ac:dyDescent="0.25">
      <c r="A78" s="107"/>
    </row>
    <row r="79" spans="1:1" x14ac:dyDescent="0.25">
      <c r="A79" s="107"/>
    </row>
    <row r="80" spans="1:1" x14ac:dyDescent="0.25">
      <c r="A80" s="107"/>
    </row>
    <row r="81" spans="1:1" x14ac:dyDescent="0.25">
      <c r="A81" s="107"/>
    </row>
    <row r="82" spans="1:1" x14ac:dyDescent="0.25">
      <c r="A82" s="107"/>
    </row>
    <row r="83" spans="1:1" x14ac:dyDescent="0.25">
      <c r="A83" s="107"/>
    </row>
    <row r="84" spans="1:1" x14ac:dyDescent="0.25">
      <c r="A84" s="107"/>
    </row>
    <row r="85" spans="1:1" x14ac:dyDescent="0.25">
      <c r="A85" s="107"/>
    </row>
    <row r="86" spans="1:1" x14ac:dyDescent="0.25">
      <c r="A86" s="107"/>
    </row>
    <row r="87" spans="1:1" x14ac:dyDescent="0.25">
      <c r="A87" s="107"/>
    </row>
    <row r="88" spans="1:1" x14ac:dyDescent="0.25">
      <c r="A88" s="107"/>
    </row>
    <row r="89" spans="1:1" x14ac:dyDescent="0.25">
      <c r="A89" s="107"/>
    </row>
    <row r="90" spans="1:1" x14ac:dyDescent="0.25">
      <c r="A90" s="107"/>
    </row>
    <row r="91" spans="1:1" x14ac:dyDescent="0.25">
      <c r="A91" s="107"/>
    </row>
    <row r="92" spans="1:1" x14ac:dyDescent="0.25">
      <c r="A92" s="107"/>
    </row>
    <row r="93" spans="1:1" x14ac:dyDescent="0.25">
      <c r="A93" s="107"/>
    </row>
    <row r="94" spans="1:1" x14ac:dyDescent="0.25">
      <c r="A94" s="107"/>
    </row>
    <row r="95" spans="1:1" x14ac:dyDescent="0.25">
      <c r="A95" s="107"/>
    </row>
    <row r="96" spans="1:1" x14ac:dyDescent="0.25">
      <c r="A96" s="107"/>
    </row>
    <row r="97" spans="1:1" x14ac:dyDescent="0.25">
      <c r="A97" s="107"/>
    </row>
    <row r="98" spans="1:1" x14ac:dyDescent="0.25">
      <c r="A98" s="107"/>
    </row>
    <row r="99" spans="1:1" x14ac:dyDescent="0.25">
      <c r="A99" s="107"/>
    </row>
    <row r="100" spans="1:1" x14ac:dyDescent="0.25">
      <c r="A100" s="107"/>
    </row>
    <row r="101" spans="1:1" x14ac:dyDescent="0.25">
      <c r="A101" s="107"/>
    </row>
    <row r="102" spans="1:1" x14ac:dyDescent="0.25">
      <c r="A102" s="107"/>
    </row>
    <row r="103" spans="1:1" x14ac:dyDescent="0.25">
      <c r="A103" s="107"/>
    </row>
    <row r="104" spans="1:1" x14ac:dyDescent="0.25">
      <c r="A104" s="107"/>
    </row>
    <row r="105" spans="1:1" x14ac:dyDescent="0.25">
      <c r="A105" s="107"/>
    </row>
    <row r="106" spans="1:1" x14ac:dyDescent="0.25">
      <c r="A106" s="107"/>
    </row>
    <row r="107" spans="1:1" x14ac:dyDescent="0.25">
      <c r="A107" s="107"/>
    </row>
    <row r="108" spans="1:1" x14ac:dyDescent="0.25">
      <c r="A108" s="107"/>
    </row>
    <row r="109" spans="1:1" x14ac:dyDescent="0.25">
      <c r="A109" s="107"/>
    </row>
    <row r="110" spans="1:1" x14ac:dyDescent="0.25">
      <c r="A110" s="107"/>
    </row>
    <row r="111" spans="1:1" x14ac:dyDescent="0.25">
      <c r="A111" s="107"/>
    </row>
    <row r="112" spans="1:1" x14ac:dyDescent="0.25">
      <c r="A112" s="107"/>
    </row>
    <row r="113" spans="1:1" x14ac:dyDescent="0.25">
      <c r="A113" s="107"/>
    </row>
    <row r="114" spans="1:1" x14ac:dyDescent="0.25">
      <c r="A114" s="107"/>
    </row>
    <row r="115" spans="1:1" x14ac:dyDescent="0.25">
      <c r="A115" s="107"/>
    </row>
    <row r="116" spans="1:1" x14ac:dyDescent="0.25">
      <c r="A116" s="107"/>
    </row>
    <row r="117" spans="1:1" x14ac:dyDescent="0.25">
      <c r="A117" s="107"/>
    </row>
    <row r="118" spans="1:1" x14ac:dyDescent="0.25">
      <c r="A118" s="107"/>
    </row>
    <row r="119" spans="1:1" x14ac:dyDescent="0.25">
      <c r="A119" s="107"/>
    </row>
    <row r="120" spans="1:1" x14ac:dyDescent="0.25">
      <c r="A120" s="107"/>
    </row>
    <row r="121" spans="1:1" x14ac:dyDescent="0.25">
      <c r="A121" s="107"/>
    </row>
    <row r="122" spans="1:1" x14ac:dyDescent="0.25">
      <c r="A122" s="107"/>
    </row>
    <row r="123" spans="1:1" x14ac:dyDescent="0.25">
      <c r="A123" s="107"/>
    </row>
    <row r="124" spans="1:1" x14ac:dyDescent="0.25">
      <c r="A124" s="107"/>
    </row>
    <row r="125" spans="1:1" x14ac:dyDescent="0.25">
      <c r="A125" s="107"/>
    </row>
    <row r="126" spans="1:1" x14ac:dyDescent="0.25">
      <c r="A126" s="107"/>
    </row>
    <row r="127" spans="1:1" x14ac:dyDescent="0.25">
      <c r="A127" s="107"/>
    </row>
    <row r="128" spans="1:1" x14ac:dyDescent="0.25">
      <c r="A128" s="107"/>
    </row>
    <row r="129" spans="1:1" x14ac:dyDescent="0.25">
      <c r="A129" s="107"/>
    </row>
    <row r="130" spans="1:1" x14ac:dyDescent="0.25">
      <c r="A130" s="107"/>
    </row>
    <row r="131" spans="1:1" x14ac:dyDescent="0.25">
      <c r="A131" s="107"/>
    </row>
    <row r="132" spans="1:1" x14ac:dyDescent="0.25">
      <c r="A132" s="107"/>
    </row>
    <row r="133" spans="1:1" x14ac:dyDescent="0.25">
      <c r="A133" s="107"/>
    </row>
    <row r="134" spans="1:1" x14ac:dyDescent="0.25">
      <c r="A134" s="107"/>
    </row>
    <row r="135" spans="1:1" x14ac:dyDescent="0.25">
      <c r="A135" s="107"/>
    </row>
    <row r="136" spans="1:1" x14ac:dyDescent="0.25">
      <c r="A136" s="107"/>
    </row>
    <row r="137" spans="1:1" x14ac:dyDescent="0.25">
      <c r="A137" s="107"/>
    </row>
    <row r="138" spans="1:1" x14ac:dyDescent="0.25">
      <c r="A138" s="107"/>
    </row>
    <row r="139" spans="1:1" x14ac:dyDescent="0.25">
      <c r="A139" s="107"/>
    </row>
    <row r="140" spans="1:1" x14ac:dyDescent="0.25">
      <c r="A140" s="107"/>
    </row>
    <row r="141" spans="1:1" x14ac:dyDescent="0.25">
      <c r="A141" s="107"/>
    </row>
    <row r="142" spans="1:1" x14ac:dyDescent="0.25">
      <c r="A142" s="107"/>
    </row>
    <row r="143" spans="1:1" x14ac:dyDescent="0.25">
      <c r="A143" s="107"/>
    </row>
    <row r="144" spans="1:1" x14ac:dyDescent="0.25">
      <c r="A144" s="107"/>
    </row>
    <row r="145" spans="1:1" x14ac:dyDescent="0.25">
      <c r="A145" s="107"/>
    </row>
    <row r="146" spans="1:1" x14ac:dyDescent="0.25">
      <c r="A146" s="107"/>
    </row>
    <row r="147" spans="1:1" x14ac:dyDescent="0.25">
      <c r="A147" s="107"/>
    </row>
    <row r="148" spans="1:1" x14ac:dyDescent="0.25">
      <c r="A148" s="107"/>
    </row>
    <row r="149" spans="1:1" x14ac:dyDescent="0.25">
      <c r="A149" s="107"/>
    </row>
    <row r="150" spans="1:1" x14ac:dyDescent="0.25">
      <c r="A150" s="107"/>
    </row>
    <row r="151" spans="1:1" x14ac:dyDescent="0.25">
      <c r="A151" s="107"/>
    </row>
    <row r="152" spans="1:1" x14ac:dyDescent="0.25">
      <c r="A152" s="107"/>
    </row>
    <row r="153" spans="1:1" x14ac:dyDescent="0.25">
      <c r="A153" s="107"/>
    </row>
    <row r="154" spans="1:1" x14ac:dyDescent="0.25">
      <c r="A154" s="107"/>
    </row>
    <row r="155" spans="1:1" x14ac:dyDescent="0.25">
      <c r="A155" s="107"/>
    </row>
    <row r="156" spans="1:1" x14ac:dyDescent="0.25">
      <c r="A156" s="107"/>
    </row>
    <row r="157" spans="1:1" x14ac:dyDescent="0.25">
      <c r="A157" s="107"/>
    </row>
    <row r="158" spans="1:1" x14ac:dyDescent="0.25">
      <c r="A158" s="107"/>
    </row>
    <row r="159" spans="1:1" x14ac:dyDescent="0.25">
      <c r="A159" s="107"/>
    </row>
    <row r="160" spans="1:1" x14ac:dyDescent="0.25">
      <c r="A160" s="107"/>
    </row>
    <row r="161" spans="1:1" x14ac:dyDescent="0.25">
      <c r="A161" s="107"/>
    </row>
    <row r="162" spans="1:1" x14ac:dyDescent="0.25">
      <c r="A162" s="107"/>
    </row>
    <row r="163" spans="1:1" x14ac:dyDescent="0.25">
      <c r="A163" s="107"/>
    </row>
    <row r="164" spans="1:1" x14ac:dyDescent="0.25">
      <c r="A164" s="107"/>
    </row>
    <row r="165" spans="1:1" x14ac:dyDescent="0.25">
      <c r="A165" s="107"/>
    </row>
    <row r="166" spans="1:1" x14ac:dyDescent="0.25">
      <c r="A166" s="107"/>
    </row>
    <row r="167" spans="1:1" x14ac:dyDescent="0.25">
      <c r="A167" s="107"/>
    </row>
    <row r="168" spans="1:1" x14ac:dyDescent="0.25">
      <c r="A168" s="107"/>
    </row>
    <row r="169" spans="1:1" x14ac:dyDescent="0.25">
      <c r="A169" s="107"/>
    </row>
    <row r="170" spans="1:1" x14ac:dyDescent="0.25">
      <c r="A170" s="107"/>
    </row>
    <row r="171" spans="1:1" x14ac:dyDescent="0.25">
      <c r="A171" s="107"/>
    </row>
    <row r="172" spans="1:1" x14ac:dyDescent="0.25">
      <c r="A172" s="107"/>
    </row>
    <row r="173" spans="1:1" x14ac:dyDescent="0.25">
      <c r="A173" s="107"/>
    </row>
    <row r="174" spans="1:1" x14ac:dyDescent="0.25">
      <c r="A174" s="107"/>
    </row>
    <row r="175" spans="1:1" x14ac:dyDescent="0.25">
      <c r="A175" s="107"/>
    </row>
    <row r="176" spans="1:1" x14ac:dyDescent="0.25">
      <c r="A176" s="107"/>
    </row>
    <row r="177" spans="1:1" x14ac:dyDescent="0.25">
      <c r="A177" s="107"/>
    </row>
    <row r="178" spans="1:1" x14ac:dyDescent="0.25">
      <c r="A178" s="107"/>
    </row>
    <row r="179" spans="1:1" x14ac:dyDescent="0.25">
      <c r="A179" s="107"/>
    </row>
    <row r="180" spans="1:1" x14ac:dyDescent="0.25">
      <c r="A180" s="107"/>
    </row>
    <row r="181" spans="1:1" x14ac:dyDescent="0.25">
      <c r="A181" s="107"/>
    </row>
    <row r="182" spans="1:1" x14ac:dyDescent="0.25">
      <c r="A182" s="107"/>
    </row>
    <row r="183" spans="1:1" x14ac:dyDescent="0.25">
      <c r="A183" s="107"/>
    </row>
    <row r="184" spans="1:1" x14ac:dyDescent="0.25">
      <c r="A184" s="107"/>
    </row>
    <row r="185" spans="1:1" x14ac:dyDescent="0.25">
      <c r="A185" s="107"/>
    </row>
    <row r="186" spans="1:1" x14ac:dyDescent="0.25">
      <c r="A186" s="107"/>
    </row>
    <row r="187" spans="1:1" x14ac:dyDescent="0.25">
      <c r="A187" s="107"/>
    </row>
    <row r="188" spans="1:1" x14ac:dyDescent="0.25">
      <c r="A188" s="107"/>
    </row>
    <row r="189" spans="1:1" x14ac:dyDescent="0.25">
      <c r="A189" s="107"/>
    </row>
    <row r="190" spans="1:1" x14ac:dyDescent="0.25">
      <c r="A190" s="107"/>
    </row>
    <row r="191" spans="1:1" x14ac:dyDescent="0.25">
      <c r="A191" s="107"/>
    </row>
    <row r="192" spans="1:1" x14ac:dyDescent="0.25">
      <c r="A192" s="107"/>
    </row>
    <row r="193" spans="1:1" x14ac:dyDescent="0.25">
      <c r="A193" s="107"/>
    </row>
    <row r="194" spans="1:1" x14ac:dyDescent="0.25">
      <c r="A194" s="107"/>
    </row>
    <row r="195" spans="1:1" x14ac:dyDescent="0.25">
      <c r="A195" s="107"/>
    </row>
    <row r="196" spans="1:1" x14ac:dyDescent="0.25">
      <c r="A196" s="107"/>
    </row>
    <row r="197" spans="1:1" x14ac:dyDescent="0.25">
      <c r="A197" s="107"/>
    </row>
    <row r="198" spans="1:1" x14ac:dyDescent="0.25">
      <c r="A198" s="107"/>
    </row>
    <row r="199" spans="1:1" x14ac:dyDescent="0.25">
      <c r="A199" s="107"/>
    </row>
    <row r="200" spans="1:1" x14ac:dyDescent="0.25">
      <c r="A200" s="107"/>
    </row>
    <row r="201" spans="1:1" x14ac:dyDescent="0.25">
      <c r="A201" s="107"/>
    </row>
    <row r="202" spans="1:1" x14ac:dyDescent="0.25">
      <c r="A202" s="107"/>
    </row>
    <row r="203" spans="1:1" x14ac:dyDescent="0.25">
      <c r="A203" s="107"/>
    </row>
    <row r="204" spans="1:1" x14ac:dyDescent="0.25">
      <c r="A204" s="107"/>
    </row>
    <row r="205" spans="1:1" x14ac:dyDescent="0.25">
      <c r="A205" s="107"/>
    </row>
    <row r="206" spans="1:1" x14ac:dyDescent="0.25">
      <c r="A206" s="107"/>
    </row>
    <row r="207" spans="1:1" x14ac:dyDescent="0.25">
      <c r="A207" s="107"/>
    </row>
    <row r="208" spans="1:1" x14ac:dyDescent="0.25">
      <c r="A208" s="107"/>
    </row>
    <row r="209" spans="1:1" x14ac:dyDescent="0.25">
      <c r="A209" s="107"/>
    </row>
    <row r="210" spans="1:1" x14ac:dyDescent="0.25">
      <c r="A210" s="107"/>
    </row>
    <row r="211" spans="1:1" x14ac:dyDescent="0.25">
      <c r="A211" s="107"/>
    </row>
    <row r="212" spans="1:1" x14ac:dyDescent="0.25">
      <c r="A212" s="107"/>
    </row>
    <row r="213" spans="1:1" x14ac:dyDescent="0.25">
      <c r="A213" s="107"/>
    </row>
    <row r="214" spans="1:1" x14ac:dyDescent="0.25">
      <c r="A214" s="107"/>
    </row>
    <row r="215" spans="1:1" x14ac:dyDescent="0.25">
      <c r="A215" s="107"/>
    </row>
    <row r="216" spans="1:1" x14ac:dyDescent="0.25">
      <c r="A216" s="107"/>
    </row>
    <row r="217" spans="1:1" x14ac:dyDescent="0.25">
      <c r="A217" s="107"/>
    </row>
    <row r="218" spans="1:1" x14ac:dyDescent="0.25">
      <c r="A218" s="107"/>
    </row>
    <row r="219" spans="1:1" x14ac:dyDescent="0.25">
      <c r="A219" s="107"/>
    </row>
    <row r="220" spans="1:1" x14ac:dyDescent="0.25">
      <c r="A220" s="107"/>
    </row>
    <row r="221" spans="1:1" x14ac:dyDescent="0.25">
      <c r="A221" s="107"/>
    </row>
    <row r="222" spans="1:1" x14ac:dyDescent="0.25">
      <c r="A222" s="107"/>
    </row>
    <row r="223" spans="1:1" x14ac:dyDescent="0.25">
      <c r="A223" s="107"/>
    </row>
    <row r="224" spans="1:1" x14ac:dyDescent="0.25">
      <c r="A224" s="107"/>
    </row>
    <row r="225" spans="1:1" x14ac:dyDescent="0.25">
      <c r="A225" s="107"/>
    </row>
    <row r="226" spans="1:1" x14ac:dyDescent="0.25">
      <c r="A226" s="107"/>
    </row>
    <row r="227" spans="1:1" x14ac:dyDescent="0.25">
      <c r="A227" s="107"/>
    </row>
    <row r="228" spans="1:1" x14ac:dyDescent="0.25">
      <c r="A228" s="107"/>
    </row>
    <row r="229" spans="1:1" x14ac:dyDescent="0.25">
      <c r="A229" s="107"/>
    </row>
    <row r="230" spans="1:1" x14ac:dyDescent="0.25">
      <c r="A230" s="107"/>
    </row>
    <row r="231" spans="1:1" x14ac:dyDescent="0.25">
      <c r="A231" s="107"/>
    </row>
    <row r="232" spans="1:1" x14ac:dyDescent="0.25">
      <c r="A232" s="107"/>
    </row>
    <row r="233" spans="1:1" x14ac:dyDescent="0.25">
      <c r="A233" s="107"/>
    </row>
    <row r="234" spans="1:1" x14ac:dyDescent="0.25">
      <c r="A234" s="107"/>
    </row>
    <row r="235" spans="1:1" x14ac:dyDescent="0.25">
      <c r="A235" s="107"/>
    </row>
    <row r="236" spans="1:1" x14ac:dyDescent="0.25">
      <c r="A236" s="107"/>
    </row>
    <row r="237" spans="1:1" x14ac:dyDescent="0.25">
      <c r="A237" s="107"/>
    </row>
    <row r="238" spans="1:1" x14ac:dyDescent="0.25">
      <c r="A238" s="107"/>
    </row>
    <row r="239" spans="1:1" x14ac:dyDescent="0.25">
      <c r="A239" s="107"/>
    </row>
    <row r="240" spans="1:1" x14ac:dyDescent="0.25">
      <c r="A240" s="107"/>
    </row>
    <row r="241" spans="1:1" x14ac:dyDescent="0.25">
      <c r="A241" s="107"/>
    </row>
    <row r="242" spans="1:1" x14ac:dyDescent="0.25">
      <c r="A242" s="107"/>
    </row>
    <row r="243" spans="1:1" x14ac:dyDescent="0.25">
      <c r="A243" s="107"/>
    </row>
    <row r="244" spans="1:1" x14ac:dyDescent="0.25">
      <c r="A244" s="107"/>
    </row>
    <row r="245" spans="1:1" x14ac:dyDescent="0.25">
      <c r="A245" s="107"/>
    </row>
    <row r="246" spans="1:1" x14ac:dyDescent="0.25">
      <c r="A246" s="107"/>
    </row>
    <row r="247" spans="1:1" x14ac:dyDescent="0.25">
      <c r="A247" s="107"/>
    </row>
    <row r="248" spans="1:1" x14ac:dyDescent="0.25">
      <c r="A248" s="107"/>
    </row>
    <row r="249" spans="1:1" x14ac:dyDescent="0.25">
      <c r="A249" s="107"/>
    </row>
    <row r="250" spans="1:1" x14ac:dyDescent="0.25">
      <c r="A250" s="107"/>
    </row>
    <row r="251" spans="1:1" x14ac:dyDescent="0.25">
      <c r="A251" s="107"/>
    </row>
    <row r="252" spans="1:1" x14ac:dyDescent="0.25">
      <c r="A252" s="107"/>
    </row>
    <row r="253" spans="1:1" x14ac:dyDescent="0.25">
      <c r="A253" s="107"/>
    </row>
    <row r="254" spans="1:1" x14ac:dyDescent="0.25">
      <c r="A254" s="107"/>
    </row>
    <row r="255" spans="1:1" x14ac:dyDescent="0.25">
      <c r="A255" s="107"/>
    </row>
    <row r="256" spans="1:1" x14ac:dyDescent="0.25">
      <c r="A256" s="107"/>
    </row>
    <row r="257" spans="1:1" x14ac:dyDescent="0.25">
      <c r="A257" s="107"/>
    </row>
    <row r="258" spans="1:1" x14ac:dyDescent="0.25">
      <c r="A258" s="107"/>
    </row>
    <row r="259" spans="1:1" x14ac:dyDescent="0.25">
      <c r="A259" s="107"/>
    </row>
    <row r="260" spans="1:1" x14ac:dyDescent="0.25">
      <c r="A260" s="107"/>
    </row>
    <row r="261" spans="1:1" x14ac:dyDescent="0.25">
      <c r="A261" s="107"/>
    </row>
    <row r="262" spans="1:1" x14ac:dyDescent="0.25">
      <c r="A262" s="107"/>
    </row>
    <row r="263" spans="1:1" x14ac:dyDescent="0.25">
      <c r="A263" s="107"/>
    </row>
    <row r="264" spans="1:1" x14ac:dyDescent="0.25">
      <c r="A264" s="107"/>
    </row>
    <row r="265" spans="1:1" x14ac:dyDescent="0.25">
      <c r="A265" s="107"/>
    </row>
    <row r="266" spans="1:1" x14ac:dyDescent="0.25">
      <c r="A266" s="107"/>
    </row>
    <row r="267" spans="1:1" x14ac:dyDescent="0.25">
      <c r="A267" s="107"/>
    </row>
    <row r="268" spans="1:1" x14ac:dyDescent="0.25">
      <c r="A268" s="107"/>
    </row>
    <row r="269" spans="1:1" x14ac:dyDescent="0.25">
      <c r="A269" s="107"/>
    </row>
    <row r="270" spans="1:1" x14ac:dyDescent="0.25">
      <c r="A270" s="107"/>
    </row>
    <row r="271" spans="1:1" x14ac:dyDescent="0.25">
      <c r="A271" s="107"/>
    </row>
    <row r="272" spans="1:1" x14ac:dyDescent="0.25">
      <c r="A272" s="107"/>
    </row>
    <row r="273" spans="1:1" x14ac:dyDescent="0.25">
      <c r="A273" s="107"/>
    </row>
    <row r="274" spans="1:1" x14ac:dyDescent="0.25">
      <c r="A274" s="107"/>
    </row>
    <row r="275" spans="1:1" x14ac:dyDescent="0.25">
      <c r="A275" s="107"/>
    </row>
    <row r="276" spans="1:1" x14ac:dyDescent="0.25">
      <c r="A276" s="107"/>
    </row>
    <row r="277" spans="1:1" x14ac:dyDescent="0.25">
      <c r="A277" s="107"/>
    </row>
    <row r="278" spans="1:1" x14ac:dyDescent="0.25">
      <c r="A278" s="107"/>
    </row>
    <row r="279" spans="1:1" x14ac:dyDescent="0.25">
      <c r="A279" s="107"/>
    </row>
    <row r="280" spans="1:1" x14ac:dyDescent="0.25">
      <c r="A280" s="107"/>
    </row>
    <row r="281" spans="1:1" x14ac:dyDescent="0.25">
      <c r="A281" s="107"/>
    </row>
    <row r="282" spans="1:1" x14ac:dyDescent="0.25">
      <c r="A282" s="107"/>
    </row>
    <row r="283" spans="1:1" x14ac:dyDescent="0.25">
      <c r="A283" s="107"/>
    </row>
    <row r="284" spans="1:1" x14ac:dyDescent="0.25">
      <c r="A284" s="107"/>
    </row>
    <row r="285" spans="1:1" x14ac:dyDescent="0.25">
      <c r="A285" s="107"/>
    </row>
    <row r="286" spans="1:1" x14ac:dyDescent="0.25">
      <c r="A286" s="107"/>
    </row>
    <row r="287" spans="1:1" x14ac:dyDescent="0.25">
      <c r="A287" s="107"/>
    </row>
    <row r="288" spans="1:1" x14ac:dyDescent="0.25">
      <c r="A288" s="107"/>
    </row>
    <row r="289" spans="1:1" x14ac:dyDescent="0.25">
      <c r="A289" s="107"/>
    </row>
    <row r="290" spans="1:1" x14ac:dyDescent="0.25">
      <c r="A290" s="107"/>
    </row>
    <row r="291" spans="1:1" x14ac:dyDescent="0.25">
      <c r="A291" s="107"/>
    </row>
    <row r="292" spans="1:1" x14ac:dyDescent="0.25">
      <c r="A292" s="107"/>
    </row>
    <row r="293" spans="1:1" x14ac:dyDescent="0.25">
      <c r="A293" s="107"/>
    </row>
    <row r="294" spans="1:1" x14ac:dyDescent="0.25">
      <c r="A294" s="107"/>
    </row>
    <row r="295" spans="1:1" x14ac:dyDescent="0.25">
      <c r="A295" s="107"/>
    </row>
    <row r="296" spans="1:1" x14ac:dyDescent="0.25">
      <c r="A296" s="107"/>
    </row>
    <row r="297" spans="1:1" x14ac:dyDescent="0.25">
      <c r="A297" s="107"/>
    </row>
    <row r="298" spans="1:1" x14ac:dyDescent="0.25">
      <c r="A298" s="107"/>
    </row>
    <row r="299" spans="1:1" x14ac:dyDescent="0.25">
      <c r="A299" s="107"/>
    </row>
    <row r="300" spans="1:1" x14ac:dyDescent="0.25">
      <c r="A300" s="107"/>
    </row>
    <row r="301" spans="1:1" x14ac:dyDescent="0.25">
      <c r="A301" s="107"/>
    </row>
    <row r="302" spans="1:1" x14ac:dyDescent="0.25">
      <c r="A302" s="107"/>
    </row>
    <row r="303" spans="1:1" x14ac:dyDescent="0.25">
      <c r="A303" s="107"/>
    </row>
    <row r="304" spans="1:1" x14ac:dyDescent="0.25">
      <c r="A304" s="107"/>
    </row>
    <row r="305" spans="1:1" x14ac:dyDescent="0.25">
      <c r="A305" s="107"/>
    </row>
    <row r="306" spans="1:1" x14ac:dyDescent="0.25">
      <c r="A306" s="107"/>
    </row>
    <row r="307" spans="1:1" x14ac:dyDescent="0.25">
      <c r="A307" s="107"/>
    </row>
    <row r="308" spans="1:1" x14ac:dyDescent="0.25">
      <c r="A308" s="107"/>
    </row>
    <row r="309" spans="1:1" x14ac:dyDescent="0.25">
      <c r="A309" s="107"/>
    </row>
    <row r="310" spans="1:1" x14ac:dyDescent="0.25">
      <c r="A310" s="107"/>
    </row>
    <row r="311" spans="1:1" x14ac:dyDescent="0.25">
      <c r="A311" s="107"/>
    </row>
    <row r="312" spans="1:1" x14ac:dyDescent="0.25">
      <c r="A312" s="107"/>
    </row>
    <row r="313" spans="1:1" x14ac:dyDescent="0.25">
      <c r="A313" s="107"/>
    </row>
    <row r="314" spans="1:1" x14ac:dyDescent="0.25">
      <c r="A314" s="107"/>
    </row>
    <row r="315" spans="1:1" x14ac:dyDescent="0.25">
      <c r="A315" s="107"/>
    </row>
    <row r="316" spans="1:1" x14ac:dyDescent="0.25">
      <c r="A316" s="107"/>
    </row>
    <row r="317" spans="1:1" x14ac:dyDescent="0.25">
      <c r="A317" s="107"/>
    </row>
    <row r="318" spans="1:1" x14ac:dyDescent="0.25">
      <c r="A318" s="107"/>
    </row>
    <row r="319" spans="1:1" x14ac:dyDescent="0.25">
      <c r="A319" s="107"/>
    </row>
    <row r="320" spans="1:1" x14ac:dyDescent="0.25">
      <c r="A320" s="107"/>
    </row>
    <row r="321" spans="1:1" x14ac:dyDescent="0.25">
      <c r="A321" s="107"/>
    </row>
    <row r="322" spans="1:1" x14ac:dyDescent="0.25">
      <c r="A322" s="107"/>
    </row>
    <row r="323" spans="1:1" x14ac:dyDescent="0.25">
      <c r="A323" s="107"/>
    </row>
    <row r="324" spans="1:1" x14ac:dyDescent="0.25">
      <c r="A324" s="107"/>
    </row>
    <row r="325" spans="1:1" x14ac:dyDescent="0.25">
      <c r="A325" s="107"/>
    </row>
    <row r="326" spans="1:1" x14ac:dyDescent="0.25">
      <c r="A326" s="107"/>
    </row>
    <row r="327" spans="1:1" x14ac:dyDescent="0.25">
      <c r="A327" s="107"/>
    </row>
    <row r="328" spans="1:1" x14ac:dyDescent="0.25">
      <c r="A328" s="107"/>
    </row>
    <row r="329" spans="1:1" x14ac:dyDescent="0.25">
      <c r="A329" s="107"/>
    </row>
    <row r="330" spans="1:1" x14ac:dyDescent="0.25">
      <c r="A330" s="107"/>
    </row>
    <row r="331" spans="1:1" x14ac:dyDescent="0.25">
      <c r="A331" s="107"/>
    </row>
    <row r="332" spans="1:1" x14ac:dyDescent="0.25">
      <c r="A332" s="107"/>
    </row>
    <row r="333" spans="1:1" x14ac:dyDescent="0.25">
      <c r="A333" s="107"/>
    </row>
    <row r="334" spans="1:1" x14ac:dyDescent="0.25">
      <c r="A334" s="107"/>
    </row>
    <row r="335" spans="1:1" x14ac:dyDescent="0.25">
      <c r="A335" s="107"/>
    </row>
    <row r="336" spans="1:1" x14ac:dyDescent="0.25">
      <c r="A336" s="107"/>
    </row>
    <row r="337" spans="1:1" x14ac:dyDescent="0.25">
      <c r="A337" s="107"/>
    </row>
    <row r="338" spans="1:1" x14ac:dyDescent="0.25">
      <c r="A338" s="107"/>
    </row>
    <row r="339" spans="1:1" x14ac:dyDescent="0.25">
      <c r="A339" s="107"/>
    </row>
    <row r="340" spans="1:1" x14ac:dyDescent="0.25">
      <c r="A340" s="107"/>
    </row>
    <row r="341" spans="1:1" x14ac:dyDescent="0.25">
      <c r="A341" s="107"/>
    </row>
    <row r="342" spans="1:1" x14ac:dyDescent="0.25">
      <c r="A342" s="107"/>
    </row>
    <row r="343" spans="1:1" x14ac:dyDescent="0.25">
      <c r="A343" s="107"/>
    </row>
    <row r="344" spans="1:1" x14ac:dyDescent="0.25">
      <c r="A344" s="107"/>
    </row>
    <row r="345" spans="1:1" x14ac:dyDescent="0.25">
      <c r="A345" s="107"/>
    </row>
    <row r="346" spans="1:1" x14ac:dyDescent="0.25">
      <c r="A346" s="107"/>
    </row>
    <row r="347" spans="1:1" x14ac:dyDescent="0.25">
      <c r="A347" s="107"/>
    </row>
    <row r="348" spans="1:1" x14ac:dyDescent="0.25">
      <c r="A348" s="107"/>
    </row>
    <row r="349" spans="1:1" x14ac:dyDescent="0.25">
      <c r="A349" s="107"/>
    </row>
    <row r="350" spans="1:1" x14ac:dyDescent="0.25">
      <c r="A350" s="107"/>
    </row>
    <row r="351" spans="1:1" x14ac:dyDescent="0.25">
      <c r="A351" s="107"/>
    </row>
    <row r="352" spans="1:1" x14ac:dyDescent="0.25">
      <c r="A352" s="107"/>
    </row>
    <row r="353" spans="1:1" x14ac:dyDescent="0.25">
      <c r="A353" s="107"/>
    </row>
    <row r="354" spans="1:1" x14ac:dyDescent="0.25">
      <c r="A354" s="107"/>
    </row>
    <row r="355" spans="1:1" x14ac:dyDescent="0.25">
      <c r="A355" s="107"/>
    </row>
    <row r="356" spans="1:1" x14ac:dyDescent="0.25">
      <c r="A356" s="107"/>
    </row>
    <row r="357" spans="1:1" x14ac:dyDescent="0.25">
      <c r="A357" s="107"/>
    </row>
    <row r="358" spans="1:1" x14ac:dyDescent="0.25">
      <c r="A358" s="107"/>
    </row>
    <row r="359" spans="1:1" x14ac:dyDescent="0.25">
      <c r="A359" s="107"/>
    </row>
    <row r="360" spans="1:1" x14ac:dyDescent="0.25">
      <c r="A360" s="107"/>
    </row>
    <row r="361" spans="1:1" x14ac:dyDescent="0.25">
      <c r="A361" s="107"/>
    </row>
  </sheetData>
  <sheetProtection sheet="1"/>
  <mergeCells count="3">
    <mergeCell ref="C9:C10"/>
    <mergeCell ref="D9:I9"/>
    <mergeCell ref="A6:J6"/>
  </mergeCells>
  <phoneticPr fontId="0" type="noConversion"/>
  <pageMargins left="0.4" right="0.4" top="0.83" bottom="0.85" header="0.3" footer="0.6"/>
  <pageSetup scale="71" orientation="landscape" blackAndWhite="1" horizontalDpi="4294967292" verticalDpi="300"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F29"/>
  <sheetViews>
    <sheetView workbookViewId="0">
      <selection activeCell="E12" sqref="E12"/>
    </sheetView>
  </sheetViews>
  <sheetFormatPr defaultRowHeight="15.75" x14ac:dyDescent="0.25"/>
  <cols>
    <col min="1" max="2" width="16" style="130" customWidth="1"/>
    <col min="3" max="6" width="11.5" style="130" customWidth="1"/>
    <col min="7" max="16384" width="8.796875" style="130"/>
  </cols>
  <sheetData>
    <row r="1" spans="1:6" x14ac:dyDescent="0.25">
      <c r="A1" s="112"/>
      <c r="B1" s="73"/>
      <c r="C1" s="73"/>
      <c r="D1" s="73"/>
      <c r="E1" s="117"/>
      <c r="F1" s="73">
        <f>inputPrYr!D6</f>
        <v>2025</v>
      </c>
    </row>
    <row r="2" spans="1:6" x14ac:dyDescent="0.25">
      <c r="A2" s="112">
        <f>inputPrYr!D3</f>
        <v>0</v>
      </c>
      <c r="B2" s="112"/>
      <c r="C2" s="73"/>
      <c r="D2" s="73"/>
      <c r="E2" s="117"/>
      <c r="F2" s="73"/>
    </row>
    <row r="3" spans="1:6" x14ac:dyDescent="0.25">
      <c r="A3" s="112"/>
      <c r="B3" s="112"/>
      <c r="C3" s="73"/>
      <c r="D3" s="73"/>
      <c r="E3" s="117"/>
      <c r="F3" s="73"/>
    </row>
    <row r="4" spans="1:6" x14ac:dyDescent="0.25">
      <c r="A4" s="112"/>
      <c r="B4" s="73"/>
      <c r="C4" s="73"/>
      <c r="D4" s="73"/>
      <c r="E4" s="117"/>
      <c r="F4" s="73"/>
    </row>
    <row r="5" spans="1:6" ht="15" customHeight="1" x14ac:dyDescent="0.25">
      <c r="A5" s="724" t="s">
        <v>111</v>
      </c>
      <c r="B5" s="724"/>
      <c r="C5" s="724"/>
      <c r="D5" s="724"/>
      <c r="E5" s="724"/>
      <c r="F5" s="724"/>
    </row>
    <row r="6" spans="1:6" ht="14.25" customHeight="1" x14ac:dyDescent="0.25">
      <c r="A6" s="72"/>
      <c r="B6" s="131"/>
      <c r="C6" s="131"/>
      <c r="D6" s="131"/>
      <c r="E6" s="131"/>
      <c r="F6" s="131"/>
    </row>
    <row r="7" spans="1:6" ht="15" customHeight="1" x14ac:dyDescent="0.25">
      <c r="A7" s="132" t="s">
        <v>199</v>
      </c>
      <c r="B7" s="132" t="s">
        <v>464</v>
      </c>
      <c r="C7" s="133" t="s">
        <v>26</v>
      </c>
      <c r="D7" s="133" t="s">
        <v>112</v>
      </c>
      <c r="E7" s="132" t="s">
        <v>113</v>
      </c>
      <c r="F7" s="132" t="s">
        <v>114</v>
      </c>
    </row>
    <row r="8" spans="1:6" ht="15" customHeight="1" x14ac:dyDescent="0.25">
      <c r="A8" s="134" t="s">
        <v>465</v>
      </c>
      <c r="B8" s="134" t="s">
        <v>466</v>
      </c>
      <c r="C8" s="135" t="s">
        <v>115</v>
      </c>
      <c r="D8" s="135" t="s">
        <v>115</v>
      </c>
      <c r="E8" s="135" t="s">
        <v>115</v>
      </c>
      <c r="F8" s="135" t="s">
        <v>116</v>
      </c>
    </row>
    <row r="9" spans="1:6" s="138" customFormat="1" ht="15" customHeight="1" thickBot="1" x14ac:dyDescent="0.3">
      <c r="A9" s="136" t="s">
        <v>117</v>
      </c>
      <c r="B9" s="137" t="s">
        <v>118</v>
      </c>
      <c r="C9" s="137">
        <f>F1-2</f>
        <v>2023</v>
      </c>
      <c r="D9" s="137">
        <f>F1-1</f>
        <v>2024</v>
      </c>
      <c r="E9" s="137">
        <f>F1</f>
        <v>2025</v>
      </c>
      <c r="F9" s="137" t="s">
        <v>189</v>
      </c>
    </row>
    <row r="10" spans="1:6" ht="15" customHeight="1" thickTop="1" x14ac:dyDescent="0.25">
      <c r="A10" s="664" t="s">
        <v>922</v>
      </c>
      <c r="B10" s="664" t="s">
        <v>202</v>
      </c>
      <c r="C10" s="665">
        <f>General!C43</f>
        <v>0</v>
      </c>
      <c r="D10" s="665">
        <f>General!D43</f>
        <v>0</v>
      </c>
      <c r="E10" s="665">
        <f>General!E43</f>
        <v>0</v>
      </c>
      <c r="F10" s="664" t="str">
        <f>IF(C10+D10+E10&gt;0,"KSA 80-1406b","")</f>
        <v/>
      </c>
    </row>
    <row r="11" spans="1:6" ht="15" customHeight="1" x14ac:dyDescent="0.25">
      <c r="A11" s="663" t="s">
        <v>922</v>
      </c>
      <c r="B11" s="663" t="s">
        <v>202</v>
      </c>
      <c r="C11" s="666">
        <f>General!C45</f>
        <v>0</v>
      </c>
      <c r="D11" s="666">
        <f>General!D45</f>
        <v>0</v>
      </c>
      <c r="E11" s="666">
        <f>General!E45</f>
        <v>0</v>
      </c>
      <c r="F11" s="663" t="str">
        <f>IF(C11+D11+E11&gt;0,"KSA 80-122","")</f>
        <v/>
      </c>
    </row>
    <row r="12" spans="1:6" ht="15" customHeight="1" x14ac:dyDescent="0.25">
      <c r="A12" s="663" t="s">
        <v>193</v>
      </c>
      <c r="B12" s="663" t="s">
        <v>202</v>
      </c>
      <c r="C12" s="666">
        <f>Road!C39</f>
        <v>0</v>
      </c>
      <c r="D12" s="666">
        <f>Road!D39</f>
        <v>0</v>
      </c>
      <c r="E12" s="666">
        <f>Road!E39</f>
        <v>0</v>
      </c>
      <c r="F12" s="663" t="str">
        <f>IF(C12+D12+E12&gt;0,"KSA 68-141g","")</f>
        <v/>
      </c>
    </row>
    <row r="13" spans="1:6" ht="15" customHeight="1" x14ac:dyDescent="0.25">
      <c r="A13" s="140"/>
      <c r="B13" s="140"/>
      <c r="C13" s="141"/>
      <c r="D13" s="141"/>
      <c r="E13" s="141"/>
      <c r="F13" s="140"/>
    </row>
    <row r="14" spans="1:6" ht="15" customHeight="1" x14ac:dyDescent="0.25">
      <c r="A14" s="140"/>
      <c r="B14" s="140"/>
      <c r="C14" s="141"/>
      <c r="D14" s="141"/>
      <c r="E14" s="141"/>
      <c r="F14" s="140"/>
    </row>
    <row r="15" spans="1:6" ht="15" customHeight="1" x14ac:dyDescent="0.25">
      <c r="A15" s="140"/>
      <c r="B15" s="140"/>
      <c r="C15" s="141"/>
      <c r="D15" s="141"/>
      <c r="E15" s="141"/>
      <c r="F15" s="140"/>
    </row>
    <row r="16" spans="1:6" ht="15" customHeight="1" x14ac:dyDescent="0.25">
      <c r="A16" s="140"/>
      <c r="B16" s="142"/>
      <c r="C16" s="141"/>
      <c r="D16" s="141"/>
      <c r="E16" s="141"/>
      <c r="F16" s="140"/>
    </row>
    <row r="17" spans="1:6" ht="15" customHeight="1" x14ac:dyDescent="0.25">
      <c r="A17" s="140"/>
      <c r="B17" s="140"/>
      <c r="C17" s="141"/>
      <c r="D17" s="141"/>
      <c r="E17" s="141"/>
      <c r="F17" s="140"/>
    </row>
    <row r="18" spans="1:6" ht="15" customHeight="1" x14ac:dyDescent="0.25">
      <c r="A18" s="140"/>
      <c r="B18" s="140"/>
      <c r="C18" s="141"/>
      <c r="D18" s="141"/>
      <c r="E18" s="141"/>
      <c r="F18" s="140"/>
    </row>
    <row r="19" spans="1:6" ht="15" customHeight="1" x14ac:dyDescent="0.25">
      <c r="A19" s="140"/>
      <c r="B19" s="140"/>
      <c r="C19" s="141"/>
      <c r="D19" s="141"/>
      <c r="E19" s="141"/>
      <c r="F19" s="140"/>
    </row>
    <row r="20" spans="1:6" ht="15" customHeight="1" x14ac:dyDescent="0.25">
      <c r="A20" s="140"/>
      <c r="B20" s="140"/>
      <c r="C20" s="141"/>
      <c r="D20" s="141"/>
      <c r="E20" s="141"/>
      <c r="F20" s="140"/>
    </row>
    <row r="21" spans="1:6" ht="15" customHeight="1" x14ac:dyDescent="0.25">
      <c r="A21" s="140"/>
      <c r="B21" s="140"/>
      <c r="C21" s="141"/>
      <c r="D21" s="141"/>
      <c r="E21" s="141"/>
      <c r="F21" s="140"/>
    </row>
    <row r="22" spans="1:6" ht="15" customHeight="1" x14ac:dyDescent="0.25">
      <c r="A22" s="140"/>
      <c r="B22" s="140"/>
      <c r="C22" s="141"/>
      <c r="D22" s="141"/>
      <c r="E22" s="141"/>
      <c r="F22" s="140"/>
    </row>
    <row r="23" spans="1:6" ht="15" customHeight="1" x14ac:dyDescent="0.25">
      <c r="A23" s="140"/>
      <c r="B23" s="140"/>
      <c r="C23" s="141"/>
      <c r="D23" s="141"/>
      <c r="E23" s="141"/>
      <c r="F23" s="140"/>
    </row>
    <row r="24" spans="1:6" ht="15" customHeight="1" x14ac:dyDescent="0.25">
      <c r="A24" s="143"/>
      <c r="B24" s="144" t="s">
        <v>194</v>
      </c>
      <c r="C24" s="145">
        <f>SUM(C10:C23)</f>
        <v>0</v>
      </c>
      <c r="D24" s="145">
        <f>SUM(D10:D23)</f>
        <v>0</v>
      </c>
      <c r="E24" s="145">
        <f>SUM(E10:E23)</f>
        <v>0</v>
      </c>
      <c r="F24" s="143"/>
    </row>
    <row r="25" spans="1:6" ht="15" customHeight="1" x14ac:dyDescent="0.25">
      <c r="A25" s="143"/>
      <c r="B25" s="144" t="s">
        <v>463</v>
      </c>
      <c r="C25" s="143"/>
      <c r="D25" s="140"/>
      <c r="E25" s="140"/>
      <c r="F25" s="143"/>
    </row>
    <row r="26" spans="1:6" ht="15" customHeight="1" x14ac:dyDescent="0.25">
      <c r="A26" s="143"/>
      <c r="B26" s="90" t="s">
        <v>119</v>
      </c>
      <c r="C26" s="146">
        <f>C24</f>
        <v>0</v>
      </c>
      <c r="D26" s="146">
        <f>SUM(D24-D25)</f>
        <v>0</v>
      </c>
      <c r="E26" s="146">
        <f>SUM(E24-E25)</f>
        <v>0</v>
      </c>
      <c r="F26" s="143"/>
    </row>
    <row r="27" spans="1:6" x14ac:dyDescent="0.25">
      <c r="A27" s="143"/>
      <c r="B27" s="73"/>
      <c r="C27" s="73"/>
      <c r="D27" s="73"/>
      <c r="E27" s="73"/>
      <c r="F27" s="143"/>
    </row>
    <row r="28" spans="1:6" x14ac:dyDescent="0.25">
      <c r="A28" s="143"/>
      <c r="B28" s="73"/>
      <c r="C28" s="73"/>
      <c r="D28" s="73"/>
      <c r="E28" s="73"/>
      <c r="F28" s="143"/>
    </row>
    <row r="29" spans="1:6" x14ac:dyDescent="0.25">
      <c r="A29" s="279" t="s">
        <v>467</v>
      </c>
      <c r="B29" s="280" t="str">
        <f>CONCATENATE("Adjustments are required only if the transfer is being made in ",D9," and/or ",E9," from a non-budgeted fund.")</f>
        <v>Adjustments are required only if the transfer is being made in 2024 and/or 2025 from a non-budgeted fund.</v>
      </c>
      <c r="C29" s="73"/>
      <c r="D29" s="73"/>
      <c r="E29" s="73"/>
      <c r="F29" s="143"/>
    </row>
  </sheetData>
  <sheetProtection sheet="1" objects="1" scenarios="1"/>
  <mergeCells count="1">
    <mergeCell ref="A5:F5"/>
  </mergeCells>
  <phoneticPr fontId="9" type="noConversion"/>
  <pageMargins left="0.75" right="0.75" top="1" bottom="1" header="0.5" footer="0.5"/>
  <pageSetup scale="80" orientation="portrait" blackAndWhite="1" r:id="rId1"/>
  <headerFooter alignWithMargins="0">
    <oddHeader>&amp;RState of Kansas
Township</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5"/>
  <sheetViews>
    <sheetView zoomScaleNormal="100" workbookViewId="0">
      <selection activeCell="C80" sqref="C80"/>
    </sheetView>
  </sheetViews>
  <sheetFormatPr defaultColWidth="62.3984375" defaultRowHeight="15.75" x14ac:dyDescent="0.25"/>
  <cols>
    <col min="1" max="16384" width="62.3984375" style="104"/>
  </cols>
  <sheetData>
    <row r="1" spans="1:1" ht="18.75" x14ac:dyDescent="0.25">
      <c r="A1" s="264" t="s">
        <v>214</v>
      </c>
    </row>
    <row r="2" spans="1:1" x14ac:dyDescent="0.25">
      <c r="A2" s="107"/>
    </row>
    <row r="3" spans="1:1" ht="51" customHeight="1" x14ac:dyDescent="0.25">
      <c r="A3" s="290" t="s">
        <v>477</v>
      </c>
    </row>
    <row r="4" spans="1:1" ht="17.25" customHeight="1" x14ac:dyDescent="0.2">
      <c r="A4" s="290"/>
    </row>
    <row r="5" spans="1:1" x14ac:dyDescent="0.25">
      <c r="A5" s="107"/>
    </row>
    <row r="6" spans="1:1" ht="52.5" customHeight="1" x14ac:dyDescent="0.25">
      <c r="A6" s="259" t="s">
        <v>242</v>
      </c>
    </row>
    <row r="7" spans="1:1" x14ac:dyDescent="0.25">
      <c r="A7" s="107"/>
    </row>
    <row r="8" spans="1:1" x14ac:dyDescent="0.25">
      <c r="A8" s="107"/>
    </row>
    <row r="9" spans="1:1" ht="70.5" customHeight="1" x14ac:dyDescent="0.25">
      <c r="A9" s="259" t="s">
        <v>243</v>
      </c>
    </row>
    <row r="10" spans="1:1" x14ac:dyDescent="0.25">
      <c r="A10" s="260"/>
    </row>
    <row r="11" spans="1:1" x14ac:dyDescent="0.25">
      <c r="A11" s="260"/>
    </row>
    <row r="12" spans="1:1" ht="63" x14ac:dyDescent="0.25">
      <c r="A12" s="292" t="s">
        <v>478</v>
      </c>
    </row>
    <row r="13" spans="1:1" x14ac:dyDescent="0.25">
      <c r="A13" s="260"/>
    </row>
    <row r="14" spans="1:1" x14ac:dyDescent="0.25">
      <c r="A14" s="260"/>
    </row>
    <row r="15" spans="1:1" ht="63" x14ac:dyDescent="0.25">
      <c r="A15" s="292" t="s">
        <v>479</v>
      </c>
    </row>
    <row r="16" spans="1:1" x14ac:dyDescent="0.25">
      <c r="A16" s="260"/>
    </row>
    <row r="17" spans="1:1" x14ac:dyDescent="0.25">
      <c r="A17" s="107"/>
    </row>
    <row r="18" spans="1:1" ht="56.25" customHeight="1" x14ac:dyDescent="0.25">
      <c r="A18" s="259" t="s">
        <v>244</v>
      </c>
    </row>
    <row r="19" spans="1:1" x14ac:dyDescent="0.25">
      <c r="A19" s="260"/>
    </row>
    <row r="20" spans="1:1" x14ac:dyDescent="0.25">
      <c r="A20" s="260"/>
    </row>
    <row r="21" spans="1:1" ht="87.75" customHeight="1" x14ac:dyDescent="0.25">
      <c r="A21" s="259" t="s">
        <v>245</v>
      </c>
    </row>
    <row r="22" spans="1:1" x14ac:dyDescent="0.25">
      <c r="A22" s="260"/>
    </row>
    <row r="23" spans="1:1" x14ac:dyDescent="0.25">
      <c r="A23" s="107"/>
    </row>
    <row r="24" spans="1:1" ht="54.75" customHeight="1" x14ac:dyDescent="0.25">
      <c r="A24" s="259" t="s">
        <v>246</v>
      </c>
    </row>
    <row r="25" spans="1:1" x14ac:dyDescent="0.25">
      <c r="A25" s="107"/>
    </row>
    <row r="26" spans="1:1" ht="15.75" customHeight="1" x14ac:dyDescent="0.25">
      <c r="A26" s="107"/>
    </row>
    <row r="27" spans="1:1" ht="69" customHeight="1" x14ac:dyDescent="0.25">
      <c r="A27" s="259" t="s">
        <v>247</v>
      </c>
    </row>
    <row r="28" spans="1:1" ht="15.75" customHeight="1" x14ac:dyDescent="0.25">
      <c r="A28" s="259"/>
    </row>
    <row r="29" spans="1:1" ht="15.75" customHeight="1" x14ac:dyDescent="0.25">
      <c r="A29" s="259"/>
    </row>
    <row r="30" spans="1:1" ht="87" customHeight="1" x14ac:dyDescent="0.25">
      <c r="A30" s="259" t="s">
        <v>562</v>
      </c>
    </row>
    <row r="31" spans="1:1" x14ac:dyDescent="0.25">
      <c r="A31" s="107"/>
    </row>
    <row r="32" spans="1:1" x14ac:dyDescent="0.25">
      <c r="A32" s="261"/>
    </row>
    <row r="33" spans="1:1" ht="47.25" customHeight="1" x14ac:dyDescent="0.25">
      <c r="A33" s="262" t="s">
        <v>248</v>
      </c>
    </row>
    <row r="34" spans="1:1" x14ac:dyDescent="0.25">
      <c r="A34" s="263"/>
    </row>
    <row r="35" spans="1:1" x14ac:dyDescent="0.25">
      <c r="A35" s="261"/>
    </row>
  </sheetData>
  <sheetProtection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12" ma:contentTypeDescription="Create a new document." ma:contentTypeScope="" ma:versionID="7651c3249043c5a1de3dbca765d0b8ca">
  <xsd:schema xmlns:xsd="http://www.w3.org/2001/XMLSchema" xmlns:xs="http://www.w3.org/2001/XMLSchema" xmlns:p="http://schemas.microsoft.com/office/2006/metadata/properties" xmlns:ns2="1895758b-fcac-4748-aa0a-5720d2d7d486" xmlns:ns3="7e2d0d8f-ac74-4d4c-8884-aff3748a733a" xmlns:ns4="a9343af4-2466-41a9-9238-9dddcc3e6066" xmlns:ns5="eda53aa1-44b3-4cd7-9bce-6d7e34741e47" targetNamespace="http://schemas.microsoft.com/office/2006/metadata/properties" ma:root="true" ma:fieldsID="db0d394f9a5513f0d824e2dca6eb113c" ns2:_="" ns3:_="" ns4:_="" ns5:_="">
    <xsd:import namespace="1895758b-fcac-4748-aa0a-5720d2d7d486"/>
    <xsd:import namespace="7e2d0d8f-ac74-4d4c-8884-aff3748a733a"/>
    <xsd:import namespace="a9343af4-2466-41a9-9238-9dddcc3e6066"/>
    <xsd:import namespace="eda53aa1-44b3-4cd7-9bce-6d7e34741e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53aa1-44b3-4cd7-9bce-6d7e34741e4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2891e4-6779-4a5a-9225-82d50eb2cf56}" ma:internalName="TaxCatchAll" ma:showField="CatchAllData" ma:web="eda53aa1-44b3-4cd7-9bce-6d7e34741e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da53aa1-44b3-4cd7-9bce-6d7e34741e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A3A4DB-14C9-4EBA-AD53-16DD87922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eda53aa1-44b3-4cd7-9bce-6d7e34741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DCCB77-E7CC-41A2-8E9B-639F2737B2A9}">
  <ds:schemaRefs>
    <ds:schemaRef ds:uri="http://schemas.openxmlformats.org/package/2006/metadata/core-properties"/>
    <ds:schemaRef ds:uri="http://schemas.microsoft.com/office/2006/documentManagement/types"/>
    <ds:schemaRef ds:uri="a9343af4-2466-41a9-9238-9dddcc3e6066"/>
    <ds:schemaRef ds:uri="1895758b-fcac-4748-aa0a-5720d2d7d486"/>
    <ds:schemaRef ds:uri="http://purl.org/dc/terms/"/>
    <ds:schemaRef ds:uri="http://www.w3.org/XML/1998/namespace"/>
    <ds:schemaRef ds:uri="7e2d0d8f-ac74-4d4c-8884-aff3748a733a"/>
    <ds:schemaRef ds:uri="http://purl.org/dc/dcmitype/"/>
    <ds:schemaRef ds:uri="http://schemas.microsoft.com/office/infopath/2007/PartnerControls"/>
    <ds:schemaRef ds:uri="http://schemas.microsoft.com/office/2006/metadata/properties"/>
    <ds:schemaRef ds:uri="http://purl.org/dc/elements/1.1/"/>
    <ds:schemaRef ds:uri="eda53aa1-44b3-4cd7-9bce-6d7e34741e47"/>
  </ds:schemaRefs>
</ds:datastoreItem>
</file>

<file path=customXml/itemProps3.xml><?xml version="1.0" encoding="utf-8"?>
<ds:datastoreItem xmlns:ds="http://schemas.openxmlformats.org/officeDocument/2006/customXml" ds:itemID="{D4B3C468-118F-44BD-812B-D6138247A2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9</vt:i4>
      </vt:variant>
    </vt:vector>
  </HeadingPairs>
  <TitlesOfParts>
    <vt:vector size="45" baseType="lpstr">
      <vt:lpstr>Instructions</vt:lpstr>
      <vt:lpstr>inputPrYr</vt:lpstr>
      <vt:lpstr>inputOth</vt:lpstr>
      <vt:lpstr>inputHearing</vt:lpstr>
      <vt:lpstr>CPA Summary</vt:lpstr>
      <vt:lpstr>Cert</vt:lpstr>
      <vt:lpstr>Mvalloc</vt:lpstr>
      <vt:lpstr>Transfers</vt:lpstr>
      <vt:lpstr>Transfer Statutes</vt:lpstr>
      <vt:lpstr>Debt-LP Form</vt:lpstr>
      <vt:lpstr>Library Grant</vt:lpstr>
      <vt:lpstr>General</vt:lpstr>
      <vt:lpstr>DebtSvs-Library</vt:lpstr>
      <vt:lpstr>Road</vt:lpstr>
      <vt:lpstr>Levy Page 9</vt:lpstr>
      <vt:lpstr>Levy Page 10</vt:lpstr>
      <vt:lpstr>Levy Page 11</vt:lpstr>
      <vt:lpstr>Levy Page 12</vt:lpstr>
      <vt:lpstr>No Levy Page 13</vt:lpstr>
      <vt:lpstr>No Levy Page 14</vt:lpstr>
      <vt:lpstr>Non-Budgeted Funds</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Twp RNR Resolution</vt:lpstr>
      <vt:lpstr>Tab A</vt:lpstr>
      <vt:lpstr>Tab B</vt:lpstr>
      <vt:lpstr>Tab C</vt:lpstr>
      <vt:lpstr>Tab D</vt:lpstr>
      <vt:lpstr>Tab E</vt:lpstr>
      <vt:lpstr>Budget Tools</vt:lpstr>
      <vt:lpstr>Legend</vt:lpstr>
      <vt:lpstr>'Budget Hearing Notice'!Print_Area</vt:lpstr>
      <vt:lpstr>'Combined Rate-Bud Hearing Notic'!Print_Area</vt:lpstr>
      <vt:lpstr>'CPA Summary'!Print_Area</vt:lpstr>
      <vt:lpstr>'DebtSvs-Library'!Print_Area</vt:lpstr>
      <vt:lpstr>General!Print_Area</vt:lpstr>
      <vt:lpstr>inputPrYr!Print_Area</vt:lpstr>
      <vt:lpstr>'Library Grant'!Print_Area</vt:lpstr>
      <vt:lpstr>'RNR Hearing Notice'!Print_Area</vt:lpstr>
      <vt:lpstr>Road!Print_Area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Lindsay A. Olson [DAAR]</cp:lastModifiedBy>
  <cp:lastPrinted>2015-10-05T16:46:46Z</cp:lastPrinted>
  <dcterms:created xsi:type="dcterms:W3CDTF">1998-08-26T16:30:41Z</dcterms:created>
  <dcterms:modified xsi:type="dcterms:W3CDTF">2024-05-02T14:02:20Z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