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ttps://sokansas-my.sharepoint.com/personal/stacy_jaramillo_doa_ks_gov/Documents/Desktop/2024 Special Districts/"/>
    </mc:Choice>
  </mc:AlternateContent>
  <xr:revisionPtr revIDLastSave="50" documentId="10_ncr:100000_{1885E1B4-FA74-4145-8E21-655451C4CF9C}" xr6:coauthVersionLast="47" xr6:coauthVersionMax="47" xr10:uidLastSave="{16FCDB3E-5E5D-4CCA-8C85-76A1DA3B41CD}"/>
  <bookViews>
    <workbookView xWindow="-120" yWindow="-120" windowWidth="29040" windowHeight="15840" tabRatio="869" xr2:uid="{00000000-000D-0000-FFFF-FFFF00000000}"/>
  </bookViews>
  <sheets>
    <sheet name="instructions" sheetId="34" r:id="rId1"/>
    <sheet name="inputPrYr" sheetId="2" r:id="rId2"/>
    <sheet name="inputOth" sheetId="14" r:id="rId3"/>
    <sheet name="inputHearing" sheetId="35" r:id="rId4"/>
    <sheet name="CPA Summary" sheetId="33" r:id="rId5"/>
    <sheet name="Cert" sheetId="3" r:id="rId6"/>
    <sheet name="Mvalloc" sheetId="7" r:id="rId7"/>
    <sheet name="Transfers" sheetId="13" r:id="rId8"/>
    <sheet name="Transfer Statutes" sheetId="19" r:id="rId9"/>
    <sheet name="Debt-LP Form" sheetId="9" r:id="rId10"/>
    <sheet name="General" sheetId="4" r:id="rId11"/>
    <sheet name="Debt Service" sheetId="15" r:id="rId12"/>
    <sheet name="Levy Page 7" sheetId="5" r:id="rId13"/>
    <sheet name="No Levy Page 8" sheetId="6" r:id="rId14"/>
    <sheet name="Non-Budgeted Funds" sheetId="17" r:id="rId15"/>
    <sheet name="Non-Bud Funds Statutes" sheetId="20" r:id="rId16"/>
    <sheet name="Budget Hearing Notice" sheetId="8" r:id="rId17"/>
    <sheet name="Combined Rate-Bud Hearing Notic" sheetId="41" r:id="rId18"/>
    <sheet name="Rate Hearing Notice" sheetId="40" r:id="rId19"/>
    <sheet name="TIF CountyClerk" sheetId="18" r:id="rId20"/>
    <sheet name="NR Rebate" sheetId="16" r:id="rId21"/>
    <sheet name="SAMPLE Notice to County Clerk" sheetId="38" r:id="rId22"/>
    <sheet name="SAMPLE Roll Call to Exceed RNR" sheetId="42" r:id="rId23"/>
    <sheet name="SAMPLE Res to Exceed RNR" sheetId="39" r:id="rId24"/>
    <sheet name="Tab A" sheetId="21" r:id="rId25"/>
    <sheet name="Tab B" sheetId="22" r:id="rId26"/>
    <sheet name="Tab C" sheetId="23" r:id="rId27"/>
    <sheet name="Tab D" sheetId="24" r:id="rId28"/>
    <sheet name="Tab E" sheetId="25" r:id="rId29"/>
    <sheet name="Budget Tools" sheetId="43" r:id="rId30"/>
    <sheet name="Legend" sheetId="36" r:id="rId31"/>
  </sheets>
  <definedNames>
    <definedName name="_xlnm.Print_Area" localSheetId="16">'Budget Hearing Notice'!$A$2:$I$41</definedName>
    <definedName name="_xlnm.Print_Area" localSheetId="17">'Combined Rate-Bud Hearing Notic'!$A$2:$I$41</definedName>
    <definedName name="_xlnm.Print_Area" localSheetId="4">'CPA Summary'!$A$1:$A$40</definedName>
    <definedName name="_xlnm.Print_Area" localSheetId="11">'Debt Service'!$B$1:$E$65</definedName>
    <definedName name="_xlnm.Print_Area" localSheetId="9">'Debt-LP Form'!$A$1:$K$44</definedName>
    <definedName name="_xlnm.Print_Area" localSheetId="10">General!$B$1:$F$58</definedName>
    <definedName name="_xlnm.Print_Area" localSheetId="1">inputPrYr!$A$1:$E$46</definedName>
    <definedName name="_xlnm.Print_Area" localSheetId="0">instructions!$A$1:$A$86</definedName>
    <definedName name="_xlnm.Print_Area" localSheetId="12">'Levy Page 7'!$A$1:$E$89</definedName>
    <definedName name="_xlnm.Print_Area" localSheetId="6">Mvalloc!$A$1:$I$38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5" l="1"/>
  <c r="C80" i="5"/>
  <c r="D33" i="3" l="1"/>
  <c r="D31" i="3"/>
  <c r="D30" i="3"/>
  <c r="A10" i="40"/>
  <c r="A6" i="40"/>
  <c r="A5" i="40"/>
  <c r="H1" i="40"/>
  <c r="A42" i="41"/>
  <c r="A41" i="41"/>
  <c r="A9" i="41"/>
  <c r="A7" i="41"/>
  <c r="D36" i="41"/>
  <c r="B36" i="41"/>
  <c r="D35" i="41"/>
  <c r="B35" i="41"/>
  <c r="D34" i="41"/>
  <c r="D37" i="41" s="1"/>
  <c r="B34" i="41"/>
  <c r="B37" i="41" s="1"/>
  <c r="M33" i="41"/>
  <c r="D33" i="41"/>
  <c r="B33" i="41"/>
  <c r="F29" i="41"/>
  <c r="D29" i="41"/>
  <c r="B29" i="41"/>
  <c r="B28" i="41"/>
  <c r="H25" i="41"/>
  <c r="A23" i="41"/>
  <c r="A22" i="41"/>
  <c r="A21" i="41"/>
  <c r="E20" i="41"/>
  <c r="C20" i="41"/>
  <c r="A20" i="41"/>
  <c r="E19" i="41"/>
  <c r="C19" i="41"/>
  <c r="A19" i="41"/>
  <c r="E18" i="41"/>
  <c r="C18" i="41"/>
  <c r="E17" i="41"/>
  <c r="C17" i="41"/>
  <c r="A17" i="41"/>
  <c r="A6" i="41"/>
  <c r="A5" i="41"/>
  <c r="H1" i="41"/>
  <c r="D32" i="41" s="1"/>
  <c r="A42" i="8"/>
  <c r="A41" i="8"/>
  <c r="A9" i="8"/>
  <c r="A7" i="8"/>
  <c r="J22" i="41" l="1"/>
  <c r="J11" i="41"/>
  <c r="B14" i="41"/>
  <c r="F14" i="41"/>
  <c r="G15" i="41"/>
  <c r="J15" i="41"/>
  <c r="A11" i="41"/>
  <c r="F32" i="41"/>
  <c r="C24" i="41"/>
  <c r="J24" i="41"/>
  <c r="J17" i="41"/>
  <c r="E24" i="41"/>
  <c r="M17" i="41" s="1"/>
  <c r="M25" i="41" s="1"/>
  <c r="J32" i="41"/>
  <c r="A12" i="41"/>
  <c r="J18" i="41"/>
  <c r="J30" i="41"/>
  <c r="M13" i="41"/>
  <c r="J25" i="41"/>
  <c r="J31" i="41"/>
  <c r="M32" i="41"/>
  <c r="D14" i="41"/>
  <c r="B32" i="41"/>
  <c r="J33" i="41"/>
  <c r="D32" i="3" l="1"/>
  <c r="G36" i="3"/>
  <c r="H25" i="8" l="1"/>
  <c r="A11" i="14"/>
  <c r="A9" i="14"/>
  <c r="E8" i="16"/>
  <c r="E30" i="15" s="1"/>
  <c r="E7" i="16"/>
  <c r="E27" i="4" s="1"/>
  <c r="E25" i="7"/>
  <c r="H12" i="7" s="1"/>
  <c r="E15" i="15" s="1"/>
  <c r="E23" i="7"/>
  <c r="G14" i="7"/>
  <c r="E53" i="5" s="1"/>
  <c r="E1" i="6"/>
  <c r="C6" i="6" s="1"/>
  <c r="C38" i="6" s="1"/>
  <c r="E1" i="5"/>
  <c r="E1" i="4"/>
  <c r="E6" i="4" s="1"/>
  <c r="F29" i="8"/>
  <c r="M32" i="8" s="1"/>
  <c r="G23" i="2"/>
  <c r="D48" i="5"/>
  <c r="D63" i="5" s="1"/>
  <c r="D62" i="5" s="1"/>
  <c r="G22" i="2"/>
  <c r="D9" i="5"/>
  <c r="D24" i="5"/>
  <c r="D23" i="5" s="1"/>
  <c r="G20" i="2"/>
  <c r="D9" i="15"/>
  <c r="D33" i="15" s="1"/>
  <c r="D32" i="15" s="1"/>
  <c r="G19" i="2"/>
  <c r="D9" i="4"/>
  <c r="D30" i="4" s="1"/>
  <c r="D29" i="4" s="1"/>
  <c r="G18" i="2"/>
  <c r="C34" i="5"/>
  <c r="E9" i="18"/>
  <c r="D40" i="5"/>
  <c r="E40" i="5" s="1"/>
  <c r="D79" i="5"/>
  <c r="E79" i="5" s="1"/>
  <c r="D58" i="15"/>
  <c r="E58" i="15" s="1"/>
  <c r="D51" i="4"/>
  <c r="E51" i="4" s="1"/>
  <c r="A26" i="16"/>
  <c r="A8" i="25"/>
  <c r="A41" i="24"/>
  <c r="A46" i="24"/>
  <c r="A6" i="24"/>
  <c r="A38" i="23"/>
  <c r="A33" i="23"/>
  <c r="A19" i="23"/>
  <c r="A6" i="23"/>
  <c r="A34" i="22"/>
  <c r="A33" i="22"/>
  <c r="A6" i="22"/>
  <c r="A64" i="21"/>
  <c r="A61" i="21"/>
  <c r="A33" i="21"/>
  <c r="A28" i="21"/>
  <c r="A25" i="21"/>
  <c r="A16" i="21"/>
  <c r="A6" i="21"/>
  <c r="D16" i="16"/>
  <c r="D18" i="16" s="1"/>
  <c r="E19" i="18"/>
  <c r="E10" i="18"/>
  <c r="E24" i="18" s="1"/>
  <c r="A1" i="18"/>
  <c r="F1" i="18"/>
  <c r="B4" i="18" s="1"/>
  <c r="C14" i="7"/>
  <c r="C13" i="7"/>
  <c r="C12" i="7"/>
  <c r="C11" i="7"/>
  <c r="E24" i="2"/>
  <c r="D28" i="41" s="1"/>
  <c r="D28" i="8"/>
  <c r="D36" i="2"/>
  <c r="A45" i="2"/>
  <c r="A44" i="2"/>
  <c r="E1" i="15"/>
  <c r="E17" i="7"/>
  <c r="D11" i="7" s="1"/>
  <c r="E11" i="4" s="1"/>
  <c r="E19" i="7"/>
  <c r="E13" i="7" s="1"/>
  <c r="E12" i="5" s="1"/>
  <c r="E21" i="7"/>
  <c r="F12" i="7" s="1"/>
  <c r="E13" i="15" s="1"/>
  <c r="C24" i="5"/>
  <c r="C23" i="5" s="1"/>
  <c r="D34" i="5"/>
  <c r="D19" i="41" s="1"/>
  <c r="D9" i="16"/>
  <c r="E9" i="16"/>
  <c r="E21" i="5" s="1"/>
  <c r="C63" i="5"/>
  <c r="C64" i="5" s="1"/>
  <c r="C73" i="5"/>
  <c r="D73" i="5"/>
  <c r="D10" i="16"/>
  <c r="E10" i="16"/>
  <c r="E60" i="5" s="1"/>
  <c r="E73" i="5"/>
  <c r="F20" i="41" s="1"/>
  <c r="C33" i="15"/>
  <c r="C34" i="15" s="1"/>
  <c r="C52" i="15"/>
  <c r="D52" i="15"/>
  <c r="D8" i="16"/>
  <c r="E52" i="15"/>
  <c r="D36" i="5"/>
  <c r="C36" i="5"/>
  <c r="D75" i="5"/>
  <c r="C75" i="5"/>
  <c r="D32" i="6"/>
  <c r="C32" i="6"/>
  <c r="C64" i="6"/>
  <c r="D64" i="6"/>
  <c r="C62" i="6"/>
  <c r="B22" i="8" s="1"/>
  <c r="C50" i="6"/>
  <c r="C51" i="6"/>
  <c r="D62" i="6"/>
  <c r="E62" i="6"/>
  <c r="E27" i="3" s="1"/>
  <c r="D50" i="6"/>
  <c r="E50" i="6"/>
  <c r="E49" i="6"/>
  <c r="C30" i="6"/>
  <c r="B21" i="41" s="1"/>
  <c r="C18" i="6"/>
  <c r="C19" i="6" s="1"/>
  <c r="D30" i="6"/>
  <c r="D18" i="6"/>
  <c r="E18" i="6"/>
  <c r="E17" i="6"/>
  <c r="E30" i="6"/>
  <c r="D47" i="4"/>
  <c r="D45" i="4"/>
  <c r="D17" i="8" s="1"/>
  <c r="D54" i="15"/>
  <c r="C54" i="15"/>
  <c r="E16" i="4"/>
  <c r="C30" i="4"/>
  <c r="C31" i="4" s="1"/>
  <c r="C45" i="4"/>
  <c r="D7" i="16"/>
  <c r="C47" i="4"/>
  <c r="J28" i="17"/>
  <c r="H28" i="17"/>
  <c r="F28" i="17"/>
  <c r="A23" i="8"/>
  <c r="A28" i="3"/>
  <c r="D28" i="3"/>
  <c r="I5" i="17"/>
  <c r="G5" i="17"/>
  <c r="E5" i="17"/>
  <c r="C5" i="17"/>
  <c r="A5" i="17"/>
  <c r="D28" i="2"/>
  <c r="A28" i="2"/>
  <c r="A24" i="2"/>
  <c r="D17" i="2"/>
  <c r="E17" i="2"/>
  <c r="K1" i="17"/>
  <c r="F2" i="17" s="1"/>
  <c r="A1" i="17"/>
  <c r="K7" i="17"/>
  <c r="B17" i="17"/>
  <c r="B18" i="17" s="1"/>
  <c r="D17" i="17"/>
  <c r="F17" i="17"/>
  <c r="F18" i="17"/>
  <c r="H17" i="17"/>
  <c r="H18" i="17"/>
  <c r="J17" i="17"/>
  <c r="J18" i="17" s="1"/>
  <c r="J29" i="17" s="1"/>
  <c r="J30" i="17" s="1"/>
  <c r="B28" i="17"/>
  <c r="D28" i="17"/>
  <c r="F39" i="9"/>
  <c r="E39" i="9"/>
  <c r="D20" i="16"/>
  <c r="D22" i="16" s="1"/>
  <c r="B10" i="16"/>
  <c r="B9" i="16"/>
  <c r="B8" i="16"/>
  <c r="B7" i="16"/>
  <c r="F1" i="16"/>
  <c r="C6" i="16" s="1"/>
  <c r="A1" i="16"/>
  <c r="D11" i="16"/>
  <c r="E11" i="16"/>
  <c r="D12" i="16"/>
  <c r="E12" i="16"/>
  <c r="C13" i="16"/>
  <c r="D23" i="3"/>
  <c r="A49" i="14"/>
  <c r="A48" i="14"/>
  <c r="A47" i="14"/>
  <c r="A46" i="14"/>
  <c r="A45" i="14"/>
  <c r="A44" i="14"/>
  <c r="E1" i="14"/>
  <c r="A6" i="14" s="1"/>
  <c r="I2" i="7"/>
  <c r="B9" i="7" s="1"/>
  <c r="A23" i="14"/>
  <c r="A22" i="14"/>
  <c r="D24" i="14"/>
  <c r="E47" i="2"/>
  <c r="D47" i="2"/>
  <c r="H1" i="8"/>
  <c r="J25" i="8" s="1"/>
  <c r="A37" i="2"/>
  <c r="A15" i="2"/>
  <c r="E20" i="9"/>
  <c r="F35" i="41" s="1"/>
  <c r="E16" i="9"/>
  <c r="E12" i="9"/>
  <c r="K20" i="9"/>
  <c r="J20" i="9"/>
  <c r="I20" i="9"/>
  <c r="H20" i="9"/>
  <c r="K16" i="9"/>
  <c r="J16" i="9"/>
  <c r="I16" i="9"/>
  <c r="H16" i="9"/>
  <c r="K12" i="9"/>
  <c r="J12" i="9"/>
  <c r="I12" i="9"/>
  <c r="H12" i="9"/>
  <c r="H21" i="9"/>
  <c r="K1" i="9"/>
  <c r="E20" i="8"/>
  <c r="G70" i="5" s="1"/>
  <c r="E19" i="8"/>
  <c r="G32" i="5" s="1"/>
  <c r="E18" i="8"/>
  <c r="G50" i="15" s="1"/>
  <c r="E17" i="8"/>
  <c r="G42" i="4" s="1"/>
  <c r="C18" i="8"/>
  <c r="B39" i="2"/>
  <c r="B29" i="8"/>
  <c r="A10" i="14"/>
  <c r="A8" i="14"/>
  <c r="A7" i="14"/>
  <c r="D29" i="8"/>
  <c r="E24" i="13"/>
  <c r="E26" i="13" s="1"/>
  <c r="D24" i="13"/>
  <c r="D26" i="13"/>
  <c r="C24" i="13"/>
  <c r="C26" i="13" s="1"/>
  <c r="F1" i="13"/>
  <c r="E9" i="13" s="1"/>
  <c r="A3" i="13"/>
  <c r="A2" i="13"/>
  <c r="B12" i="7"/>
  <c r="B1" i="15"/>
  <c r="G1" i="3"/>
  <c r="A4" i="3"/>
  <c r="D36" i="8"/>
  <c r="B36" i="8"/>
  <c r="D35" i="8"/>
  <c r="D34" i="8"/>
  <c r="D33" i="8"/>
  <c r="B35" i="8"/>
  <c r="B34" i="8"/>
  <c r="B33" i="8"/>
  <c r="A2" i="14"/>
  <c r="A1" i="14"/>
  <c r="D42" i="2"/>
  <c r="D27" i="3"/>
  <c r="D26" i="3"/>
  <c r="D25" i="3"/>
  <c r="D24" i="3"/>
  <c r="C25" i="3"/>
  <c r="C24" i="3"/>
  <c r="A27" i="3"/>
  <c r="A26" i="3"/>
  <c r="A25" i="3"/>
  <c r="A24" i="3"/>
  <c r="C22" i="3"/>
  <c r="A6" i="3"/>
  <c r="H39" i="9"/>
  <c r="G39" i="9"/>
  <c r="A2" i="9"/>
  <c r="A1" i="9"/>
  <c r="B6" i="4"/>
  <c r="B2" i="4"/>
  <c r="B1" i="4"/>
  <c r="B41" i="2"/>
  <c r="B40" i="2"/>
  <c r="B38" i="2"/>
  <c r="B45" i="5"/>
  <c r="B6" i="5"/>
  <c r="B2" i="5"/>
  <c r="B1" i="5"/>
  <c r="B38" i="6"/>
  <c r="B6" i="6"/>
  <c r="B2" i="6"/>
  <c r="B1" i="6"/>
  <c r="A22" i="8"/>
  <c r="A21" i="8"/>
  <c r="A20" i="8"/>
  <c r="A19" i="8"/>
  <c r="A6" i="8"/>
  <c r="C20" i="8"/>
  <c r="C19" i="8"/>
  <c r="C17" i="8"/>
  <c r="B28" i="8"/>
  <c r="A17" i="8"/>
  <c r="A5" i="8"/>
  <c r="B14" i="7"/>
  <c r="B13" i="7"/>
  <c r="B2" i="7"/>
  <c r="B1" i="7"/>
  <c r="B11" i="7"/>
  <c r="C17" i="6"/>
  <c r="D17" i="6"/>
  <c r="D49" i="6"/>
  <c r="E20" i="18"/>
  <c r="E21" i="18"/>
  <c r="E29" i="18" s="1"/>
  <c r="G29" i="4"/>
  <c r="J54" i="5"/>
  <c r="J55" i="5"/>
  <c r="J53" i="5"/>
  <c r="J15" i="5"/>
  <c r="J34" i="15"/>
  <c r="J35" i="15"/>
  <c r="J33" i="15"/>
  <c r="J16" i="5"/>
  <c r="J17" i="5"/>
  <c r="J25" i="4"/>
  <c r="M33" i="8"/>
  <c r="J26" i="4"/>
  <c r="J27" i="4"/>
  <c r="E64" i="6"/>
  <c r="G54" i="5"/>
  <c r="G16" i="5"/>
  <c r="H13" i="7"/>
  <c r="E15" i="5" s="1"/>
  <c r="D14" i="7"/>
  <c r="E50" i="5" s="1"/>
  <c r="D13" i="7"/>
  <c r="E11" i="5" s="1"/>
  <c r="D12" i="7"/>
  <c r="E11" i="15" s="1"/>
  <c r="E34" i="5"/>
  <c r="E45" i="4"/>
  <c r="F17" i="8" s="1"/>
  <c r="D33" i="6"/>
  <c r="D19" i="8"/>
  <c r="C61" i="6"/>
  <c r="E29" i="6"/>
  <c r="E26" i="3"/>
  <c r="C49" i="6"/>
  <c r="E32" i="6"/>
  <c r="D33" i="5"/>
  <c r="C33" i="5"/>
  <c r="G26" i="5"/>
  <c r="H34" i="4"/>
  <c r="H33" i="4"/>
  <c r="C6" i="4"/>
  <c r="B42" i="4"/>
  <c r="G12" i="7"/>
  <c r="E14" i="15"/>
  <c r="G11" i="7"/>
  <c r="E14" i="4" s="1"/>
  <c r="G13" i="7"/>
  <c r="E14" i="5" s="1"/>
  <c r="E6" i="6"/>
  <c r="E38" i="6" s="1"/>
  <c r="B42" i="14" l="1"/>
  <c r="H31" i="4"/>
  <c r="H36" i="4"/>
  <c r="B32" i="6"/>
  <c r="G22" i="4"/>
  <c r="B47" i="4"/>
  <c r="B59" i="6"/>
  <c r="A16" i="16"/>
  <c r="B64" i="6"/>
  <c r="B27" i="6"/>
  <c r="B26" i="41"/>
  <c r="B26" i="8"/>
  <c r="F26" i="8"/>
  <c r="F26" i="41"/>
  <c r="D51" i="15"/>
  <c r="D18" i="41"/>
  <c r="F33" i="8"/>
  <c r="F33" i="41"/>
  <c r="F29" i="17"/>
  <c r="F30" i="17" s="1"/>
  <c r="G44" i="15"/>
  <c r="B18" i="41"/>
  <c r="A10" i="3"/>
  <c r="G33" i="3"/>
  <c r="E21" i="9"/>
  <c r="F34" i="41"/>
  <c r="H29" i="17"/>
  <c r="H30" i="17" s="1"/>
  <c r="C15" i="7"/>
  <c r="F35" i="8"/>
  <c r="K17" i="17"/>
  <c r="K30" i="17" s="1"/>
  <c r="C66" i="4"/>
  <c r="B17" i="41"/>
  <c r="D20" i="8"/>
  <c r="D20" i="41"/>
  <c r="G64" i="5"/>
  <c r="B20" i="41"/>
  <c r="D6" i="4"/>
  <c r="H44" i="4"/>
  <c r="H41" i="4"/>
  <c r="H42" i="4"/>
  <c r="H45" i="4"/>
  <c r="C29" i="6"/>
  <c r="C63" i="6"/>
  <c r="D39" i="6" s="1"/>
  <c r="D51" i="6" s="1"/>
  <c r="D63" i="6" s="1"/>
  <c r="B22" i="41"/>
  <c r="B31" i="5"/>
  <c r="G19" i="5"/>
  <c r="H24" i="5"/>
  <c r="H64" i="5"/>
  <c r="H27" i="5"/>
  <c r="H26" i="5"/>
  <c r="G12" i="5"/>
  <c r="H23" i="5"/>
  <c r="G57" i="5"/>
  <c r="H22" i="5"/>
  <c r="H21" i="5"/>
  <c r="G50" i="5"/>
  <c r="H73" i="5"/>
  <c r="H72" i="5"/>
  <c r="H35" i="5"/>
  <c r="H70" i="5"/>
  <c r="H59" i="5"/>
  <c r="H69" i="5"/>
  <c r="H61" i="5"/>
  <c r="H65" i="5"/>
  <c r="H62" i="5"/>
  <c r="H60" i="5"/>
  <c r="H34" i="5"/>
  <c r="H31" i="5"/>
  <c r="H32" i="5"/>
  <c r="D61" i="6"/>
  <c r="D22" i="41"/>
  <c r="E8" i="9"/>
  <c r="F28" i="9" s="1"/>
  <c r="D26" i="8"/>
  <c r="D26" i="41"/>
  <c r="D44" i="4"/>
  <c r="D17" i="41"/>
  <c r="D9" i="13"/>
  <c r="B29" i="13" s="1"/>
  <c r="B37" i="8"/>
  <c r="D22" i="8"/>
  <c r="F21" i="8"/>
  <c r="F21" i="41"/>
  <c r="F22" i="8"/>
  <c r="F22" i="41"/>
  <c r="F36" i="8"/>
  <c r="F36" i="41"/>
  <c r="B19" i="8"/>
  <c r="B19" i="41"/>
  <c r="D65" i="6"/>
  <c r="D37" i="8"/>
  <c r="H39" i="15"/>
  <c r="H53" i="15"/>
  <c r="H52" i="15"/>
  <c r="H50" i="15"/>
  <c r="H49" i="15"/>
  <c r="K28" i="17"/>
  <c r="D29" i="6"/>
  <c r="D21" i="41"/>
  <c r="D95" i="5"/>
  <c r="C31" i="6"/>
  <c r="E72" i="5"/>
  <c r="E77" i="5"/>
  <c r="E25" i="3"/>
  <c r="F20" i="8"/>
  <c r="F78" i="5"/>
  <c r="E75" i="5"/>
  <c r="E33" i="5"/>
  <c r="F19" i="41"/>
  <c r="F59" i="15"/>
  <c r="F18" i="41"/>
  <c r="E47" i="4"/>
  <c r="F17" i="41"/>
  <c r="E22" i="3"/>
  <c r="E14" i="7"/>
  <c r="E51" i="5" s="1"/>
  <c r="E11" i="7"/>
  <c r="E12" i="4" s="1"/>
  <c r="C33" i="6"/>
  <c r="F14" i="7"/>
  <c r="E52" i="5" s="1"/>
  <c r="E12" i="7"/>
  <c r="E12" i="15" s="1"/>
  <c r="D13" i="16"/>
  <c r="E13" i="16"/>
  <c r="G33" i="5"/>
  <c r="G43" i="4"/>
  <c r="G71" i="5"/>
  <c r="D12" i="40"/>
  <c r="G51" i="15"/>
  <c r="C25" i="5"/>
  <c r="C35" i="5" s="1"/>
  <c r="C96" i="5" s="1"/>
  <c r="D97" i="5"/>
  <c r="C95" i="5"/>
  <c r="B38" i="5" s="1"/>
  <c r="D72" i="5"/>
  <c r="F38" i="5"/>
  <c r="C74" i="5"/>
  <c r="C98" i="5" s="1"/>
  <c r="B70" i="5"/>
  <c r="C62" i="5"/>
  <c r="B36" i="5"/>
  <c r="C97" i="5"/>
  <c r="E36" i="5"/>
  <c r="D18" i="8"/>
  <c r="G30" i="15"/>
  <c r="D71" i="15"/>
  <c r="H42" i="15"/>
  <c r="G37" i="15"/>
  <c r="H41" i="15"/>
  <c r="B18" i="8"/>
  <c r="C53" i="15"/>
  <c r="C72" i="15" s="1"/>
  <c r="C51" i="15"/>
  <c r="C71" i="15"/>
  <c r="B56" i="15" s="1"/>
  <c r="C29" i="4"/>
  <c r="E49" i="4"/>
  <c r="F51" i="4"/>
  <c r="C24" i="8"/>
  <c r="E44" i="4"/>
  <c r="C46" i="4"/>
  <c r="J21" i="9"/>
  <c r="I21" i="9"/>
  <c r="K21" i="9"/>
  <c r="D6" i="6"/>
  <c r="D38" i="6" s="1"/>
  <c r="E6" i="16"/>
  <c r="D6" i="16"/>
  <c r="B4" i="16"/>
  <c r="B75" i="5"/>
  <c r="F32" i="8"/>
  <c r="D6" i="5"/>
  <c r="D45" i="5" s="1"/>
  <c r="E13" i="3"/>
  <c r="F14" i="3"/>
  <c r="J31" i="8"/>
  <c r="J15" i="8"/>
  <c r="A28" i="14"/>
  <c r="J30" i="8"/>
  <c r="E6" i="5"/>
  <c r="E45" i="5" s="1"/>
  <c r="A12" i="14"/>
  <c r="H32" i="4"/>
  <c r="B49" i="15"/>
  <c r="J24" i="8"/>
  <c r="A11" i="8"/>
  <c r="C42" i="14"/>
  <c r="J18" i="8"/>
  <c r="B14" i="8"/>
  <c r="A37" i="14"/>
  <c r="D14" i="8"/>
  <c r="J22" i="8"/>
  <c r="A18" i="14"/>
  <c r="G26" i="4"/>
  <c r="H37" i="4"/>
  <c r="E6" i="15"/>
  <c r="C9" i="13"/>
  <c r="G15" i="8"/>
  <c r="D32" i="8"/>
  <c r="J33" i="8"/>
  <c r="C9" i="7"/>
  <c r="B6" i="16"/>
  <c r="B32" i="8"/>
  <c r="A26" i="14"/>
  <c r="A41" i="14"/>
  <c r="C6" i="5"/>
  <c r="C45" i="5" s="1"/>
  <c r="J32" i="8"/>
  <c r="J17" i="8"/>
  <c r="J11" i="8"/>
  <c r="F14" i="8"/>
  <c r="C52" i="4"/>
  <c r="A12" i="8"/>
  <c r="C34" i="6"/>
  <c r="D7" i="6"/>
  <c r="D19" i="6" s="1"/>
  <c r="D31" i="6" s="1"/>
  <c r="F34" i="7"/>
  <c r="E32" i="7"/>
  <c r="G36" i="7"/>
  <c r="C28" i="7"/>
  <c r="D30" i="7"/>
  <c r="E25" i="18"/>
  <c r="E26" i="18"/>
  <c r="E30" i="18" s="1"/>
  <c r="E31" i="18" s="1"/>
  <c r="D7" i="15"/>
  <c r="D34" i="15" s="1"/>
  <c r="D53" i="15" s="1"/>
  <c r="D46" i="5"/>
  <c r="D64" i="5" s="1"/>
  <c r="D74" i="5" s="1"/>
  <c r="D7" i="4"/>
  <c r="D31" i="4" s="1"/>
  <c r="D46" i="4" s="1"/>
  <c r="C67" i="4"/>
  <c r="E33" i="15"/>
  <c r="G15" i="7"/>
  <c r="C59" i="15"/>
  <c r="E38" i="5"/>
  <c r="B54" i="15"/>
  <c r="G36" i="4"/>
  <c r="H28" i="9"/>
  <c r="F13" i="7"/>
  <c r="E13" i="5" s="1"/>
  <c r="E24" i="5" s="1"/>
  <c r="A11" i="3"/>
  <c r="E23" i="3"/>
  <c r="C32" i="15"/>
  <c r="D9" i="7"/>
  <c r="E24" i="8"/>
  <c r="F19" i="8"/>
  <c r="B21" i="8"/>
  <c r="B29" i="17"/>
  <c r="E51" i="15"/>
  <c r="D66" i="4"/>
  <c r="E56" i="15"/>
  <c r="G28" i="9"/>
  <c r="E61" i="6"/>
  <c r="C47" i="3"/>
  <c r="F34" i="8"/>
  <c r="F37" i="8" s="1"/>
  <c r="D18" i="17"/>
  <c r="C65" i="6"/>
  <c r="F11" i="7"/>
  <c r="D6" i="15"/>
  <c r="E11" i="18"/>
  <c r="M13" i="8"/>
  <c r="B17" i="8"/>
  <c r="E24" i="3"/>
  <c r="D21" i="8"/>
  <c r="C72" i="5"/>
  <c r="C44" i="4"/>
  <c r="J7" i="9"/>
  <c r="H7" i="9"/>
  <c r="G34" i="15"/>
  <c r="C6" i="15"/>
  <c r="H40" i="15"/>
  <c r="B20" i="18"/>
  <c r="B16" i="18"/>
  <c r="E54" i="15"/>
  <c r="B20" i="8"/>
  <c r="D15" i="7"/>
  <c r="B25" i="18"/>
  <c r="H11" i="7"/>
  <c r="H45" i="15"/>
  <c r="H14" i="7"/>
  <c r="E54" i="5" s="1"/>
  <c r="E63" i="5" s="1"/>
  <c r="H44" i="15"/>
  <c r="F18" i="8"/>
  <c r="B49" i="4" l="1"/>
  <c r="D7" i="5"/>
  <c r="D25" i="5" s="1"/>
  <c r="D35" i="5" s="1"/>
  <c r="D96" i="5" s="1"/>
  <c r="F37" i="41"/>
  <c r="B23" i="8"/>
  <c r="B23" i="41"/>
  <c r="D24" i="41"/>
  <c r="D27" i="41" s="1"/>
  <c r="C68" i="6"/>
  <c r="B24" i="41"/>
  <c r="B27" i="41" s="1"/>
  <c r="F24" i="41"/>
  <c r="F27" i="41" s="1"/>
  <c r="E15" i="7"/>
  <c r="G73" i="5"/>
  <c r="G35" i="5"/>
  <c r="G53" i="15"/>
  <c r="G45" i="4"/>
  <c r="F24" i="8"/>
  <c r="F27" i="8" s="1"/>
  <c r="B77" i="5"/>
  <c r="B39" i="5"/>
  <c r="B24" i="8"/>
  <c r="B27" i="8" s="1"/>
  <c r="E7" i="5"/>
  <c r="E25" i="5" s="1"/>
  <c r="E39" i="5" s="1"/>
  <c r="E41" i="5" s="1"/>
  <c r="G21" i="5"/>
  <c r="D24" i="8"/>
  <c r="D27" i="8" s="1"/>
  <c r="E29" i="3"/>
  <c r="G22" i="5"/>
  <c r="G60" i="5"/>
  <c r="G59" i="5"/>
  <c r="E46" i="5"/>
  <c r="E64" i="5" s="1"/>
  <c r="E78" i="5" s="1"/>
  <c r="E80" i="5" s="1"/>
  <c r="D98" i="5"/>
  <c r="B78" i="5" s="1"/>
  <c r="E13" i="4"/>
  <c r="E30" i="4" s="1"/>
  <c r="F15" i="7"/>
  <c r="G39" i="15"/>
  <c r="D72" i="15"/>
  <c r="B57" i="15" s="1"/>
  <c r="E7" i="15"/>
  <c r="E34" i="15" s="1"/>
  <c r="E57" i="15" s="1"/>
  <c r="E59" i="15" s="1"/>
  <c r="M17" i="8"/>
  <c r="M25" i="8" s="1"/>
  <c r="D68" i="6"/>
  <c r="E39" i="6"/>
  <c r="E51" i="6" s="1"/>
  <c r="E63" i="6" s="1"/>
  <c r="E65" i="6" s="1"/>
  <c r="D29" i="17"/>
  <c r="D30" i="17" s="1"/>
  <c r="K18" i="17"/>
  <c r="K29" i="17"/>
  <c r="B30" i="17"/>
  <c r="E7" i="4"/>
  <c r="D67" i="4"/>
  <c r="B50" i="4" s="1"/>
  <c r="G31" i="4"/>
  <c r="H15" i="7"/>
  <c r="E15" i="4"/>
  <c r="E7" i="6"/>
  <c r="E19" i="6" s="1"/>
  <c r="E31" i="6" s="1"/>
  <c r="E33" i="6" s="1"/>
  <c r="D34" i="6"/>
  <c r="G40" i="15"/>
  <c r="G25" i="3" l="1"/>
  <c r="G24" i="3"/>
  <c r="E62" i="5"/>
  <c r="G20" i="41"/>
  <c r="H20" i="41" s="1"/>
  <c r="G19" i="41"/>
  <c r="H19" i="41"/>
  <c r="E32" i="15"/>
  <c r="G18" i="41"/>
  <c r="H18" i="41" s="1"/>
  <c r="G19" i="8"/>
  <c r="H19" i="8" s="1"/>
  <c r="G31" i="5" s="1"/>
  <c r="F24" i="3"/>
  <c r="G23" i="5"/>
  <c r="E23" i="5"/>
  <c r="G32" i="4"/>
  <c r="F25" i="3"/>
  <c r="G61" i="5"/>
  <c r="K61" i="5" s="1"/>
  <c r="G20" i="8"/>
  <c r="H20" i="8" s="1"/>
  <c r="G69" i="5" s="1"/>
  <c r="E31" i="4"/>
  <c r="E50" i="4" s="1"/>
  <c r="E52" i="4" s="1"/>
  <c r="G18" i="8"/>
  <c r="H18" i="8" s="1"/>
  <c r="G49" i="15" s="1"/>
  <c r="F23" i="3"/>
  <c r="G23" i="3" s="1"/>
  <c r="G41" i="15"/>
  <c r="K41" i="15" s="1"/>
  <c r="G17" i="41" l="1"/>
  <c r="G24" i="41" s="1"/>
  <c r="M24" i="41" s="1"/>
  <c r="M26" i="41" s="1"/>
  <c r="G42" i="15"/>
  <c r="G45" i="15" s="1"/>
  <c r="G62" i="5"/>
  <c r="G65" i="5" s="1"/>
  <c r="G17" i="8"/>
  <c r="G24" i="8" s="1"/>
  <c r="M24" i="8" s="1"/>
  <c r="M26" i="8" s="1"/>
  <c r="G33" i="4"/>
  <c r="K33" i="4" s="1"/>
  <c r="F22" i="3"/>
  <c r="F29" i="3" s="1"/>
  <c r="K23" i="5"/>
  <c r="G24" i="5"/>
  <c r="G27" i="5" s="1"/>
  <c r="E29" i="4"/>
  <c r="G22" i="3" l="1"/>
  <c r="H17" i="8"/>
  <c r="G41" i="4" s="1"/>
  <c r="H17" i="41"/>
  <c r="H24" i="41" s="1"/>
  <c r="M35" i="41" s="1"/>
  <c r="J37" i="41" s="1"/>
  <c r="M20" i="41"/>
  <c r="J20" i="41" s="1"/>
  <c r="M19" i="41"/>
  <c r="J19" i="41" s="1"/>
  <c r="G34" i="4"/>
  <c r="G37" i="4" s="1"/>
  <c r="M19" i="8"/>
  <c r="J19" i="8" s="1"/>
  <c r="M20" i="8"/>
  <c r="J20" i="8" s="1"/>
  <c r="H24" i="8" l="1"/>
  <c r="G34" i="5" s="1"/>
  <c r="J37" i="5" s="1"/>
  <c r="G39" i="5" s="1"/>
  <c r="M30" i="41"/>
  <c r="G44" i="4" l="1"/>
  <c r="J47" i="4" s="1"/>
  <c r="G49" i="4" s="1"/>
  <c r="M35" i="8"/>
  <c r="J37" i="8" s="1"/>
  <c r="G72" i="5"/>
  <c r="J75" i="5" s="1"/>
  <c r="G77" i="5" s="1"/>
  <c r="M30" i="8"/>
  <c r="G52" i="15"/>
  <c r="J55" i="15" s="1"/>
  <c r="G57" i="15" s="1"/>
  <c r="G12" i="40"/>
</calcChain>
</file>

<file path=xl/sharedStrings.xml><?xml version="1.0" encoding="utf-8"?>
<sst xmlns="http://schemas.openxmlformats.org/spreadsheetml/2006/main" count="1184" uniqueCount="845">
  <si>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</si>
  <si>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</si>
  <si>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</si>
  <si>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</si>
  <si>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</si>
  <si>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</si>
  <si>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</si>
  <si>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</si>
  <si>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</si>
  <si>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</si>
  <si>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Page</t>
  </si>
  <si>
    <t>Table of Contents:</t>
  </si>
  <si>
    <t>No.</t>
  </si>
  <si>
    <t>Expenditure</t>
  </si>
  <si>
    <t>Fund</t>
  </si>
  <si>
    <t>K.S.A.</t>
  </si>
  <si>
    <t>x</t>
  </si>
  <si>
    <t>Governing Body</t>
  </si>
  <si>
    <t>County Clerk</t>
  </si>
  <si>
    <t>Amount</t>
  </si>
  <si>
    <t>Adopted Budget</t>
  </si>
  <si>
    <t>Ad Valorem Tax</t>
  </si>
  <si>
    <t>Delinquent Tax</t>
  </si>
  <si>
    <t>Motor Vehicle Tax</t>
  </si>
  <si>
    <t>Recreational Vehicle Tax</t>
  </si>
  <si>
    <t>Interest on Idle Funds</t>
  </si>
  <si>
    <t>Total Receipts</t>
  </si>
  <si>
    <t>Resources Available:</t>
  </si>
  <si>
    <t>Expenditures:</t>
  </si>
  <si>
    <t>Total Expenditures</t>
  </si>
  <si>
    <t>Tax Required</t>
  </si>
  <si>
    <t>%</t>
  </si>
  <si>
    <t>Page No.</t>
  </si>
  <si>
    <t>MVT</t>
  </si>
  <si>
    <t>RVT</t>
  </si>
  <si>
    <t>MVT Factor</t>
  </si>
  <si>
    <t>RVT Factor</t>
  </si>
  <si>
    <t>Actual</t>
  </si>
  <si>
    <t>FUND</t>
  </si>
  <si>
    <t>Expenditures</t>
  </si>
  <si>
    <t>Total Tax Levied</t>
  </si>
  <si>
    <t>Outstanding Indebtedness,</t>
  </si>
  <si>
    <t>G.O. Bonds</t>
  </si>
  <si>
    <t>Revenue Bonds</t>
  </si>
  <si>
    <t>No-Fund Warrant</t>
  </si>
  <si>
    <t xml:space="preserve">     Total</t>
  </si>
  <si>
    <t xml:space="preserve">  *Tax rates are expressed in mills.</t>
  </si>
  <si>
    <t>Date</t>
  </si>
  <si>
    <t xml:space="preserve">   Amount Due</t>
  </si>
  <si>
    <t>of</t>
  </si>
  <si>
    <t>Rate</t>
  </si>
  <si>
    <t xml:space="preserve">  Date Due</t>
  </si>
  <si>
    <t>Issue</t>
  </si>
  <si>
    <t>Issued</t>
  </si>
  <si>
    <t>Term</t>
  </si>
  <si>
    <t>Interest</t>
  </si>
  <si>
    <t>Principal</t>
  </si>
  <si>
    <t>Payments</t>
  </si>
  <si>
    <t xml:space="preserve">  Contract</t>
  </si>
  <si>
    <t>Contract</t>
  </si>
  <si>
    <t>Financed</t>
  </si>
  <si>
    <t>Due</t>
  </si>
  <si>
    <t>(Months)</t>
  </si>
  <si>
    <t>CERTIFICATE</t>
  </si>
  <si>
    <t>FUND PAGE FOR FUNDS WITH A TAX LEVY</t>
  </si>
  <si>
    <t>FUND PAGE FOR FUNDS WITH NO TAX LEVY</t>
  </si>
  <si>
    <t>NOTICE OF BUDGET HEARING</t>
  </si>
  <si>
    <t>BUDGET SUMMARY</t>
  </si>
  <si>
    <t>STATEMENT OF INDEBTEDNESS</t>
  </si>
  <si>
    <t xml:space="preserve">Total </t>
  </si>
  <si>
    <t>16/20M Veh</t>
  </si>
  <si>
    <t>16/20M Factor</t>
  </si>
  <si>
    <t>16/20M Vehicle Tax</t>
  </si>
  <si>
    <t xml:space="preserve">The governing body of </t>
  </si>
  <si>
    <t>Computation of Delinquency</t>
  </si>
  <si>
    <t>Balance On</t>
  </si>
  <si>
    <t>Unencumbered Cash Balance Jan 1</t>
  </si>
  <si>
    <t>Unencumbered Cash Balance Dec 31</t>
  </si>
  <si>
    <t>Receipts:</t>
  </si>
  <si>
    <t xml:space="preserve">Outstanding </t>
  </si>
  <si>
    <t>(Beginning Principal)</t>
  </si>
  <si>
    <t>Totals</t>
  </si>
  <si>
    <t>Lease Pur. Princ.</t>
  </si>
  <si>
    <t>County Clerk's Use Only</t>
  </si>
  <si>
    <t>Statement of Indebt. &amp; Lease/Purchase</t>
  </si>
  <si>
    <t>Schedule of Transfers</t>
  </si>
  <si>
    <t>Current</t>
  </si>
  <si>
    <t>Proposed</t>
  </si>
  <si>
    <t xml:space="preserve">  Address:</t>
  </si>
  <si>
    <t xml:space="preserve">  G.O. Bonds</t>
  </si>
  <si>
    <t xml:space="preserve">  Revenue Bonds</t>
  </si>
  <si>
    <t xml:space="preserve">  Lease Purchase Principal</t>
  </si>
  <si>
    <t xml:space="preserve">  No-Fund Warrant</t>
  </si>
  <si>
    <t xml:space="preserve">The input for the following comes directly from </t>
  </si>
  <si>
    <t>We, the undersigned, officers of</t>
  </si>
  <si>
    <t>10-113</t>
  </si>
  <si>
    <t>In Lieu of Tax (IRB)</t>
  </si>
  <si>
    <t>LAVTR</t>
  </si>
  <si>
    <t>Transfers</t>
  </si>
  <si>
    <t>Amount for</t>
  </si>
  <si>
    <t>Authorized by</t>
  </si>
  <si>
    <t>From:</t>
  </si>
  <si>
    <t>To:</t>
  </si>
  <si>
    <t xml:space="preserve"> Statute</t>
  </si>
  <si>
    <t>Adjusted Totals</t>
  </si>
  <si>
    <t xml:space="preserve">  Jan 1,</t>
  </si>
  <si>
    <t>Less: Transfers</t>
  </si>
  <si>
    <t>Net Expenditures</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</si>
  <si>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</si>
  <si>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</si>
  <si>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</si>
  <si>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</si>
  <si>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General Obligation:</t>
  </si>
  <si>
    <t>Total G.O.</t>
  </si>
  <si>
    <t>Revenue Bonds:</t>
  </si>
  <si>
    <t>Total Revenue</t>
  </si>
  <si>
    <t>Other:</t>
  </si>
  <si>
    <t>Total Other</t>
  </si>
  <si>
    <t>Attest: _________________,</t>
  </si>
  <si>
    <t>Total Tax Rates</t>
  </si>
  <si>
    <t>Rate used in this budget will be shown on all fund pages with a tax levy**</t>
  </si>
  <si>
    <t>Outstanding Indebtedness, January 1:</t>
  </si>
  <si>
    <t>TOTAL</t>
  </si>
  <si>
    <t>Funds</t>
  </si>
  <si>
    <t>Budget Authority</t>
  </si>
  <si>
    <t xml:space="preserve">expenditure amounts should reflect the amended </t>
  </si>
  <si>
    <t>expenditure amounts.</t>
  </si>
  <si>
    <t>Miscellaneous</t>
  </si>
  <si>
    <t>Neighborhood Revitalization Rebate</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</si>
  <si>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</si>
  <si>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</si>
  <si>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</si>
  <si>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</si>
  <si>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</si>
  <si>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</si>
  <si>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</si>
  <si>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</si>
  <si>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</si>
  <si>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</si>
  <si>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</si>
  <si>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</si>
  <si>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</si>
  <si>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 xml:space="preserve">Proposed Budget </t>
  </si>
  <si>
    <t xml:space="preserve">Prior Year </t>
  </si>
  <si>
    <t xml:space="preserve">Current Year </t>
  </si>
  <si>
    <t>Prior Year</t>
  </si>
  <si>
    <t>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</si>
  <si>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</si>
  <si>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</si>
  <si>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For County Clerk Use Only</t>
  </si>
  <si>
    <t>*</t>
  </si>
  <si>
    <t>Less November 1st Total Assessed Valuation TIF District:</t>
  </si>
  <si>
    <t>November 1st Total Assessed Valuation without TIF:</t>
  </si>
  <si>
    <t>Add Valuation for Base Year TIF District:</t>
  </si>
  <si>
    <t>*County Clerk enters November 1st valuation.</t>
  </si>
  <si>
    <t>** Amount linked to the Certificate Page block "County Clerk's Use Only".</t>
  </si>
  <si>
    <t>Computation Ad Valorem Tax Total TIF District</t>
  </si>
  <si>
    <t>November 1st Total Assessed Valuation for TIF District:</t>
  </si>
  <si>
    <t>Ad Valorem Tax for TIF District:</t>
  </si>
  <si>
    <t>Computation Ad Valorem Tax Base TIF District</t>
  </si>
  <si>
    <t>Valuation for Base Year TIF District:</t>
  </si>
  <si>
    <t>Ad Valorem Tax for Base Year TIF District:</t>
  </si>
  <si>
    <t>Computation Ad Valorem Tax Distribution TIF District</t>
  </si>
  <si>
    <t>Less Ad Valorem Tax for Base Year TIF District:</t>
  </si>
  <si>
    <r>
      <rPr>
        <b/>
        <sz val="12"/>
        <rFont val="Times New Roman"/>
        <family val="1"/>
      </rPr>
      <t>Total</t>
    </r>
    <r>
      <rPr>
        <sz val="12"/>
        <rFont val="Times New Roman"/>
        <family val="1"/>
      </rPr>
      <t xml:space="preserve"> Ad Valorem Distribution to TIF District:</t>
    </r>
  </si>
  <si>
    <t>***</t>
  </si>
  <si>
    <t>***Tax amount County Clerk provides to the County Treasurer for TIF District tax distributation.</t>
  </si>
  <si>
    <t>Tax Increment Funding (TIF) - Base Year Assessed Valuation</t>
  </si>
  <si>
    <t>Current Year TIF Assessed Valuation</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</si>
  <si>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</si>
  <si>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</si>
  <si>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</si>
  <si>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</si>
  <si>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</si>
  <si>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</si>
  <si>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</si>
  <si>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</si>
  <si>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</si>
  <si>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</si>
  <si>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</si>
  <si>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</si>
  <si>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</si>
  <si>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</si>
  <si>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</si>
  <si>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</si>
  <si>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</si>
  <si>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</si>
  <si>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</si>
  <si>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</si>
  <si>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</si>
  <si>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</si>
  <si>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</si>
  <si>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Valuation Factor:</t>
  </si>
  <si>
    <t>Neighborhood Revitalization Subj to Rebate:</t>
  </si>
  <si>
    <t>Neighborhood Revitalization factor:</t>
  </si>
  <si>
    <t>answering objections of taxpayers relating to the proposed use of all funds and the amount of tax to levied.</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</si>
  <si>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</si>
  <si>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</si>
  <si>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</si>
  <si>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</si>
  <si>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</si>
  <si>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</si>
  <si>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</si>
  <si>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</si>
  <si>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</si>
  <si>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</si>
  <si>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</si>
  <si>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</si>
  <si>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</si>
  <si>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</si>
  <si>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</si>
  <si>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</si>
  <si>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</si>
  <si>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</si>
  <si>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</si>
  <si>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</si>
  <si>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</si>
  <si>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</si>
  <si>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</si>
  <si>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</si>
  <si>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</si>
  <si>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</si>
  <si>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</si>
  <si>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</si>
  <si>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</si>
  <si>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</si>
  <si>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</si>
  <si>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</si>
  <si>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</si>
  <si>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</si>
  <si>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</si>
  <si>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</si>
  <si>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</si>
  <si>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</si>
  <si>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</si>
  <si>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</si>
  <si>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</si>
  <si>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</si>
  <si>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</si>
  <si>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</si>
  <si>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</si>
  <si>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</si>
  <si>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</si>
  <si>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</si>
  <si>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</si>
  <si>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</si>
  <si>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</si>
  <si>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</si>
  <si>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</si>
  <si>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</si>
  <si>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</si>
  <si>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</si>
  <si>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</si>
  <si>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</si>
  <si>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</si>
  <si>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</si>
  <si>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</si>
  <si>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</si>
  <si>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</si>
  <si>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</si>
  <si>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</si>
  <si>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</si>
  <si>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</si>
  <si>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</si>
  <si>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</si>
  <si>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</si>
  <si>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</si>
  <si>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</si>
  <si>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</si>
  <si>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</si>
  <si>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</si>
  <si>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</si>
  <si>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</si>
  <si>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</si>
  <si>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</si>
  <si>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</si>
  <si>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</si>
  <si>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</si>
  <si>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</si>
  <si>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</si>
  <si>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</si>
  <si>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</si>
  <si>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</si>
  <si>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</si>
  <si>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</si>
  <si>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</si>
  <si>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</si>
  <si>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</si>
  <si>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</si>
  <si>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</si>
  <si>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</si>
  <si>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</si>
  <si>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</si>
  <si>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</si>
  <si>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</si>
  <si>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</si>
  <si>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</si>
  <si>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</si>
  <si>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</si>
  <si>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</si>
  <si>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</si>
  <si>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</si>
  <si>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</si>
  <si>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</si>
  <si>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</si>
  <si>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</si>
  <si>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</si>
  <si>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</si>
  <si>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</si>
  <si>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</si>
  <si>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</si>
  <si>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</si>
  <si>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</si>
  <si>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</si>
  <si>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</si>
  <si>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</si>
  <si>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</si>
  <si>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</si>
  <si>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</si>
  <si>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</si>
  <si>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</si>
  <si>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</si>
  <si>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</si>
  <si>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</si>
  <si>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</si>
  <si>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</si>
  <si>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</si>
  <si>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</si>
  <si>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</si>
  <si>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</si>
  <si>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</si>
  <si>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</si>
  <si>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</si>
  <si>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</si>
  <si>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</si>
  <si>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</si>
  <si>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</si>
  <si>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</si>
  <si>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</si>
  <si>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</si>
  <si>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</si>
  <si>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</si>
  <si>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</si>
  <si>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</si>
  <si>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</si>
  <si>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</si>
  <si>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</si>
  <si>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The shifting of expenditures between funds, as described in</t>
  </si>
  <si>
    <t>the preceding paragraph, can be accomplished between any funds</t>
  </si>
  <si>
    <t>that share expenses.</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</si>
  <si>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</si>
  <si>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</si>
  <si>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</si>
  <si>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</si>
  <si>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</si>
  <si>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</si>
  <si>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</si>
  <si>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</si>
  <si>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</si>
  <si>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</si>
  <si>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</si>
  <si>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</si>
  <si>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</si>
  <si>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</si>
  <si>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</si>
  <si>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</si>
  <si>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</si>
  <si>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</si>
  <si>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</si>
  <si>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</si>
  <si>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</si>
  <si>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</si>
  <si>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</si>
  <si>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</si>
  <si>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</si>
  <si>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</si>
  <si>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</si>
  <si>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</si>
  <si>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</si>
  <si>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</si>
  <si>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</si>
  <si>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</si>
  <si>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</si>
  <si>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</si>
  <si>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</si>
  <si>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</si>
  <si>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</si>
  <si>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</si>
  <si>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</si>
  <si>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Neighborhood Revitalization Rebate table.</t>
  </si>
  <si>
    <r>
      <t>Adjustments</t>
    </r>
    <r>
      <rPr>
        <b/>
        <sz val="12"/>
        <color indexed="10"/>
        <rFont val="Times New Roman"/>
        <family val="1"/>
      </rPr>
      <t>*</t>
    </r>
  </si>
  <si>
    <t>*Note:</t>
  </si>
  <si>
    <t>Receipt</t>
  </si>
  <si>
    <t xml:space="preserve">Fund Transferred </t>
  </si>
  <si>
    <t>Fund Transferred</t>
  </si>
  <si>
    <t>November 1st Total Assessed Valuation for Special Dist:</t>
  </si>
  <si>
    <t>November 1st - Special District's Net Assessed Valuation:</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</si>
  <si>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</si>
  <si>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</si>
  <si>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</si>
  <si>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</si>
  <si>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</si>
  <si>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</si>
  <si>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</si>
  <si>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</si>
  <si>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t>In Lieu of Taxes (IRB)</t>
  </si>
  <si>
    <t>Does misc. exceed 10% Total Expenditures</t>
  </si>
  <si>
    <t>Does misc. exceed 10% of Total Receipts</t>
  </si>
  <si>
    <t>Non-Appropriated Balance</t>
  </si>
  <si>
    <t>Total Expenditure/Non-Appr Balance</t>
  </si>
  <si>
    <t>Delinquent Comp Rate:</t>
  </si>
  <si>
    <t>The estimated value of one mill would be:</t>
  </si>
  <si>
    <t>Change in Ad Valorem Tax Revenue:</t>
  </si>
  <si>
    <t>What Mill Rate Would Be Desired?</t>
  </si>
  <si>
    <t>Desired Carryover Amount:</t>
  </si>
  <si>
    <t>Estimated Mill Rate Impact:</t>
  </si>
  <si>
    <t>Type</t>
  </si>
  <si>
    <t xml:space="preserve">of </t>
  </si>
  <si>
    <t>Debt</t>
  </si>
  <si>
    <t>Purchased</t>
  </si>
  <si>
    <t>Items</t>
  </si>
  <si>
    <t xml:space="preserve">  Email:</t>
  </si>
  <si>
    <t>__________________________  ___________________________</t>
  </si>
  <si>
    <t>Allocation MVT, RVT,16/20M Vehicle Tax</t>
  </si>
  <si>
    <t>Expenditures Must Be Changed by:</t>
  </si>
  <si>
    <t xml:space="preserve">Amounts used in lieu of </t>
  </si>
  <si>
    <t>Enter special district name (may be longer than green cell):</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</si>
  <si>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</si>
  <si>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</si>
  <si>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</si>
  <si>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Enter year being budgeted (YYYY):</t>
  </si>
  <si>
    <t>How to Compute the Value of One Mill, and the Impact of Tax Dollars and Assessed Valuation on Mill Rates</t>
  </si>
  <si>
    <t>Enter county name followed by "County":</t>
  </si>
  <si>
    <t>Input Sheet for Special District TIF Budget Workbook</t>
  </si>
  <si>
    <t>Commercial Vehicle Tax Estimate</t>
  </si>
  <si>
    <t>Watercraft Tax Estimate</t>
  </si>
  <si>
    <t>Comm Veh</t>
  </si>
  <si>
    <t>Watercraft</t>
  </si>
  <si>
    <t>County Treas Motor Vehicle Estimate</t>
  </si>
  <si>
    <t>County Treas Recreational Vehicle Estimate</t>
  </si>
  <si>
    <t>County Treas 16/20M Vehicle Estimate</t>
  </si>
  <si>
    <t>County Treas Commercial Vehicle Tax Estimate</t>
  </si>
  <si>
    <t>County Treas Watercraft Tax Estimate</t>
  </si>
  <si>
    <t>Comm Veh Factor</t>
  </si>
  <si>
    <t>Watercraft Factor</t>
  </si>
  <si>
    <t xml:space="preserve">Allocation of MV, RV, 16/20M, Commercial Vehicle, and Watercraft Tax Estimates </t>
  </si>
  <si>
    <t>Commercial Vehicle Tax</t>
  </si>
  <si>
    <t>Watercraft Tax</t>
  </si>
  <si>
    <r>
      <t>K.S.A. 80-1559.  Township Fire District Reserve Fund.</t>
    </r>
    <r>
      <rPr>
        <sz val="12"/>
        <color indexed="8"/>
        <rFont val="Times New Roman"/>
        <family val="1"/>
      </rPr>
      <t xml:space="preserve">  Authorizes a township fire district to create a</t>
    </r>
    <r>
      <rPr>
        <b/>
        <sz val="12"/>
        <color indexed="8"/>
        <rFont val="Times New Roman"/>
        <family val="1"/>
      </rPr>
      <t xml:space="preserve"> </t>
    </r>
    <r>
      <rPr>
        <sz val="12"/>
        <color indexed="8"/>
        <rFont val="Times New Roman"/>
        <family val="1"/>
      </rPr>
      <t>special fire protection reserve fund to finance the acquisition of fire-fighting equipment, land, and buildings, and to transfer each year to such fund up to 25% of the money credited to the fire fund.</t>
    </r>
  </si>
  <si>
    <t>CPA Summary</t>
  </si>
  <si>
    <t>Revenue Neutral Rate</t>
  </si>
  <si>
    <t>Page No. 5</t>
  </si>
  <si>
    <t>Revenue Neutral Rate**</t>
  </si>
  <si>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</si>
  <si>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</si>
  <si>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</si>
  <si>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</si>
  <si>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</si>
  <si>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</si>
  <si>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</si>
  <si>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</si>
  <si>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</si>
  <si>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</si>
  <si>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</si>
  <si>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</si>
  <si>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</si>
  <si>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</si>
  <si>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</si>
  <si>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</si>
  <si>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</si>
  <si>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</si>
  <si>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</si>
  <si>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</si>
  <si>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</si>
  <si>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</si>
  <si>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</si>
  <si>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</si>
  <si>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</si>
  <si>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</si>
  <si>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</si>
  <si>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</si>
  <si>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</si>
  <si>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</si>
  <si>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</si>
  <si>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</si>
  <si>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</si>
  <si>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</si>
  <si>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</si>
  <si>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</si>
  <si>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</si>
  <si>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</si>
  <si>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</si>
  <si>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</si>
  <si>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</si>
  <si>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</si>
  <si>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</si>
  <si>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</si>
  <si>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</si>
  <si>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</si>
  <si>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</si>
  <si>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</si>
  <si>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</si>
  <si>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</si>
  <si>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</si>
  <si>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</si>
  <si>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</si>
  <si>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</si>
  <si>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</si>
  <si>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</si>
  <si>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</si>
  <si>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</si>
  <si>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</si>
  <si>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</si>
  <si>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</si>
  <si>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</si>
  <si>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</si>
  <si>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</si>
  <si>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</si>
  <si>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</si>
  <si>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</si>
  <si>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</si>
  <si>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</si>
  <si>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</si>
  <si>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</si>
  <si>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</si>
  <si>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</si>
  <si>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</si>
  <si>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</si>
  <si>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</si>
  <si>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</si>
  <si>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</si>
  <si>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indexed="10"/>
        <rFont val="Times New Roman"/>
        <family val="1"/>
      </rPr>
      <t xml:space="preserve">After changes are made you must protect the worksheet. </t>
    </r>
    <r>
      <rPr>
        <sz val="12"/>
        <color indexed="10"/>
        <rFont val="Times New Roman"/>
        <family val="1"/>
      </rPr>
      <t xml:space="preserve"> </t>
    </r>
    <r>
      <rPr>
        <sz val="12"/>
        <rFont val="Times New Roman"/>
        <family val="1"/>
      </rPr>
      <t xml:space="preserve">Right click on the tab, select Protect Sheet and hit OK. You do not need to enter a password. Select OK. </t>
    </r>
  </si>
  <si>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</si>
  <si>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</si>
  <si>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</si>
  <si>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Official Title:</t>
  </si>
  <si>
    <t>City Clerk, City Treasurer, Mayor</t>
  </si>
  <si>
    <t>Date:</t>
  </si>
  <si>
    <t>August 12, 2022</t>
  </si>
  <si>
    <t>Time:</t>
  </si>
  <si>
    <t>7:00 PM or 7:00 AM</t>
  </si>
  <si>
    <t>Location:</t>
  </si>
  <si>
    <t>City Hall</t>
  </si>
  <si>
    <t>Available at:</t>
  </si>
  <si>
    <t>Budget Hearing Notice Only</t>
  </si>
  <si>
    <t>Official Name:</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</si>
  <si>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</si>
  <si>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</si>
  <si>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</si>
  <si>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</si>
  <si>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</si>
  <si>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</si>
  <si>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</si>
  <si>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</si>
  <si>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The following changes were made to this workbook during February 2022</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</si>
  <si>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</si>
  <si>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</si>
  <si>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</si>
  <si>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</si>
  <si>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</si>
  <si>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</si>
  <si>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</si>
  <si>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</si>
  <si>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</si>
  <si>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</si>
  <si>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</si>
  <si>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</si>
  <si>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</si>
  <si>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</si>
  <si>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 xml:space="preserve">5. Updated Cert (Table of Contents) and page numbering. </t>
  </si>
  <si>
    <t>The following changes were made to this workbook April 2020</t>
  </si>
  <si>
    <t xml:space="preserve"> Entered 2021 for the Budget Year and 1.8% as the CPI Percentage on the InputPrYr tab.</t>
  </si>
  <si>
    <t>Updated helpful links tab</t>
  </si>
  <si>
    <t>The following changes were made to this workbook in April 2019</t>
  </si>
  <si>
    <t xml:space="preserve">1.  Updated Municipal Services' contact information on the Instruction tab  </t>
  </si>
  <si>
    <t>2.  Entered 2020 for the Budget Year and 2.5% for the CPI Percentage on the InputPrYr tab</t>
  </si>
  <si>
    <t>3.  Highlighted tabs (pages) in blue if the page is to be printed and submitted as part of the budget</t>
  </si>
  <si>
    <t>The following changes were made to this workbook in April 2018</t>
  </si>
  <si>
    <t xml:space="preserve">1.  Added the CPA Summary tab.  </t>
  </si>
  <si>
    <t>2.  Added the CPA Summary comment box on the Certification Page and all fund pages.</t>
  </si>
  <si>
    <t>3.  Renamed the Pub. Notice Option 1 tab to Notice of Vote.</t>
  </si>
  <si>
    <t>4.  Removed the Pub. Notice Option 2 and 3 tabs.</t>
  </si>
  <si>
    <t>The following changes were made to this workbook on 3/7/2017</t>
  </si>
  <si>
    <t>1.  inputPrYr tab, inserted CPI percentage, linked the percentage to the Computation tab.</t>
  </si>
  <si>
    <t>The following changes were made to this workbook on 2/25/2016</t>
  </si>
  <si>
    <t>1.  Added K.S.A. 80-1559 thumbnail to the NonBudFunds tab.</t>
  </si>
  <si>
    <t>The following changes were made to this workbook on 2/2/2016</t>
  </si>
  <si>
    <t>1.  Inserted 2015 CPI percentage on computation tab.</t>
  </si>
  <si>
    <t>The following changes were made to this workbook on 1/21/2016</t>
  </si>
  <si>
    <t>1.  On tax levy funds NR estimate shown as a negative receipt.</t>
  </si>
  <si>
    <t>The following changes were made to this workbook on 9/30/2015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</si>
  <si>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</si>
  <si>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</si>
  <si>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</si>
  <si>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</si>
  <si>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</si>
  <si>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The following changes were made to this workbook on 1/22/2015</t>
  </si>
  <si>
    <t>1.  Inserted 2014 CPI percentage on computation tab.</t>
  </si>
  <si>
    <t>2.  Corrected formula in cell d24 of library grant tab.</t>
  </si>
  <si>
    <t>The following changes were made to this workbook on 10/24/2014</t>
  </si>
  <si>
    <t>1.  Various workbook changes associated with commercial vehicle and watercraft tax estimates.</t>
  </si>
  <si>
    <t>The following changes were made to this workbook on 7/14/2014</t>
  </si>
  <si>
    <t>1.  Included the ROUND function to cell J38 in the computation tab so result will be a whole number.</t>
  </si>
  <si>
    <t>The following changes were made to this workbook on 5/22/2014</t>
  </si>
  <si>
    <t>1.  Several changes to workbook associated with 2014 HB 2047.</t>
  </si>
  <si>
    <t>The following changes were made to this workbook on 4/21/2014</t>
  </si>
  <si>
    <t>1.  "Budget Authority Amount" cell added to budget year column of all funds.</t>
  </si>
  <si>
    <t>The following changes were made to this workbook on 3/27/2013</t>
  </si>
  <si>
    <t>1.  Instruction tab narrative modification.</t>
  </si>
  <si>
    <t>The following changes were made to this workbook on 3/6/2013</t>
  </si>
  <si>
    <t>1. Correction to the total assessed valuation year formula on the certificate tab.</t>
  </si>
  <si>
    <t>The following changes were made to this workbook on 10/10/2012</t>
  </si>
  <si>
    <t>1.  Added "resolution required?  yes/no" message to area adjacent to each tax levy fund.</t>
  </si>
  <si>
    <t>The following changes were made to this workbook on 12/29/2011</t>
  </si>
  <si>
    <t>1. Instructions tab, added #2b for adjusting ad valorem taxes.</t>
  </si>
  <si>
    <t>2. Instructions tab, added #3, 3a, and 3b concerning inputoth tab.</t>
  </si>
  <si>
    <t>3. Instructions tab, changed #4 for adding name of official for Budget Summary page.</t>
  </si>
  <si>
    <t>4. Instructions tab, added #4b for new max published date on 'inputBudSum' tab.</t>
  </si>
  <si>
    <t>5. Instructions tab, changed #6a to reflect about temporary notes and no-fund warrants.</t>
  </si>
  <si>
    <t>6. Instructions tab, changed #7 to remove slider column and computations.</t>
  </si>
  <si>
    <t>7. Instructions tab, changed #13b to reflect all tax levy pages with 'Projected Carryover' table.</t>
  </si>
  <si>
    <t>8. Instructions tab, changed #13c to reflect all tax levy pages with 'Desired Carryover' and warning about delinquency rate.</t>
  </si>
  <si>
    <t>9. Instructions tab, added #13d for last year mill rate, proposed total mill rate, and last year total mill rate.</t>
  </si>
  <si>
    <t>10. Instructions tab, changed #13e added that not signing the Budget Summary page will not require to be reprinted.</t>
  </si>
  <si>
    <t>11. InputPrYr tab, added column for adjusting ad valorem taxes to reflect a better picture of actual taxes received, allow a rate to be used to compute the new amount, and links the new amounts to the appropriate fund page, if used, otherwise used the original amounts.</t>
  </si>
  <si>
    <t>12. InputOth tab, section for Computation of Delinquency, change to % from rate and provided example, link to all tax levy fund page will show as %  vs rate.</t>
  </si>
  <si>
    <t>13. InputBudSum tab, added official name and latest date for publication of Notice of Budget Hearing.</t>
  </si>
  <si>
    <t>14. Cert tab, right-justified figures versus having figures centered.</t>
  </si>
  <si>
    <t>15. Cert tab, put spaces between governing body signatures block.</t>
  </si>
  <si>
    <t>16. Mvalloc tab, removed slider column and computation for slider.</t>
  </si>
  <si>
    <t>17. All tax levy fund pages removed the link from Mvalloc tab for slider and converted cells to blank.</t>
  </si>
  <si>
    <t xml:space="preserve">18. Debt and Lpform tab added a blank new column at left side and formated 'type of debt' and 'item purchased.'  </t>
  </si>
  <si>
    <t>19. All fund pages changed the year column heading, example 'Prior Year Actual' to 'Prior Year' second line 'Actual YYYY.'</t>
  </si>
  <si>
    <t>20. Change out the 'Mill Rate Computation' tab so to agree with the website.</t>
  </si>
  <si>
    <t>21. All tax levy fund pages added 'Mill Rate Comparison' table.</t>
  </si>
  <si>
    <t>22. Certificate tab added a place for the email address of the assisted by.</t>
  </si>
  <si>
    <t>The following changes were made to this workbook on 4/19/2011</t>
  </si>
  <si>
    <t>1. Summ tab changed proposed year expenditure column to 'Budget Authority for Expenditures.'</t>
  </si>
  <si>
    <t>2. Summ tab actual total computation amended.</t>
  </si>
  <si>
    <t>The following changes were made to this workbook on 10/27/2010</t>
  </si>
  <si>
    <t>1. All pages removed the revision date.</t>
  </si>
  <si>
    <t>2. All tax levy fund pages reduced the columns and revised the bottom of pages for see tabs.</t>
  </si>
  <si>
    <t>3. Instruction tab added lines 13b (last year mill rate), 13c (desired mill rate), 11a(project carryover), 11b (Desired Carryover), 11d (project carryover Debt), and 16(protection).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</si>
  <si>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</si>
  <si>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</si>
  <si>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</si>
  <si>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</si>
  <si>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</si>
  <si>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</si>
  <si>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</si>
  <si>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</si>
  <si>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</si>
  <si>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</si>
  <si>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</si>
  <si>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</si>
  <si>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</si>
  <si>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</si>
  <si>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</si>
  <si>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</si>
  <si>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</si>
  <si>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</si>
  <si>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</si>
  <si>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23. Budget Summary tab changed proposed column heading from 'Actual' to 'Estimate.'</t>
  </si>
  <si>
    <t>The following changes were made to this workbook on 1/05/2010</t>
  </si>
  <si>
    <t>1. Instruction tab added line 8b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</si>
  <si>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</si>
  <si>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</si>
  <si>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12/28/2009</t>
  </si>
  <si>
    <t>1. Nhood tab added note for computing table.</t>
  </si>
  <si>
    <t>The following changes were made to this workbook on 12/08/2009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</si>
  <si>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</si>
  <si>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</si>
  <si>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</si>
  <si>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</si>
  <si>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The following changes were made to this workbook on 9/25/2009</t>
  </si>
  <si>
    <t>1. InputPryr tab added line a16 'If amend . . . .'</t>
  </si>
  <si>
    <t>2. InputPryr tab change Bond &amp; Interest to Debt Service.</t>
  </si>
  <si>
    <t>3. InputOth tab change Bond &amp; Interest to Debt Service.</t>
  </si>
  <si>
    <t>4. Levypage8 tab cell C31, C32, E31 added rule.</t>
  </si>
  <si>
    <t>5. Nolevypage9 tab cell C31, C32, D31 add rule.</t>
  </si>
  <si>
    <t>6. Mvalloc tab change cells C11-14 from D to E reference inputpryr tab for ad valorem tax.</t>
  </si>
  <si>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</si>
  <si>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</si>
  <si>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</si>
  <si>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</si>
  <si>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</si>
  <si>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</si>
  <si>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The following were changed to this spreadsheet on 3/19/2009</t>
  </si>
  <si>
    <t>1. Certificate page change Bond &amp; Interest to Debt Service and Adopted to Adopted.</t>
  </si>
  <si>
    <t>2. Debt Service page change the fund name from Bond &amp; Interest to Debt Service.</t>
  </si>
  <si>
    <t>3. Budget Summary change the fund name from Bond &amp; Interest to Debt Service.</t>
  </si>
  <si>
    <t>The following were changed to this spreadsheet on 2/23/2009</t>
  </si>
  <si>
    <t>1. Instruction under Submitting of Budget ….required electronic submission.</t>
  </si>
  <si>
    <t>2. Input other tab line 39 change from Budget Summary to Budget Certificate.</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</si>
  <si>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</si>
  <si>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</si>
  <si>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</si>
  <si>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</si>
  <si>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</si>
  <si>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</si>
  <si>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</si>
  <si>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</si>
  <si>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</si>
  <si>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</si>
  <si>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</si>
  <si>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</si>
  <si>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</si>
  <si>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</si>
  <si>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</si>
  <si>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</si>
  <si>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</si>
  <si>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The following were changed to this spreadsheet on 8/06/2007</t>
  </si>
  <si>
    <t>1. All dates are linked to the inputpryr page.</t>
  </si>
  <si>
    <t>2. Instruction page changed the POC, electronic submission, blue area, and transfers expended.</t>
  </si>
  <si>
    <t>3. Split the input page to inputpryr and inputoth.</t>
  </si>
  <si>
    <t>4. Moved the mil rates from prior budget to Clerk info section.</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</si>
  <si>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</si>
  <si>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</si>
  <si>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</si>
  <si>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</si>
  <si>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9. Added links from the indebtedness page to the Budget Summary page by separating bonds.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</si>
  <si>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</si>
  <si>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</si>
  <si>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</si>
  <si>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12. Added "is a resolution required" statement with either yes or no automatic shown on Certificate.</t>
  </si>
  <si>
    <t>13. moved the assisted blocks from center to left side on Certificate.</t>
  </si>
  <si>
    <t>14. Added to instructions about non-appropriated funds limit of 5%.</t>
  </si>
  <si>
    <t>15. Added warning "Exceeds 5%" on all fund pages for the non-appropriated balance.</t>
  </si>
  <si>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</si>
  <si>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</si>
  <si>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</si>
  <si>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19. Added Slider on the Vehicle Allocation table and linked to fund pages.</t>
  </si>
  <si>
    <t>20. Added to all budgeted fund pages the budget authority for the actual year, budget violation, and cash violation.</t>
  </si>
  <si>
    <t>21. Added instruction on the addition for item 20.</t>
  </si>
  <si>
    <t>22. Added 'miscellaneous' category to the receipt/expenditure for all fund pages and set error message.</t>
  </si>
  <si>
    <t>23. Added to the instruction about correct the error message for the miscellaneous.</t>
  </si>
  <si>
    <t>24. Expanded on the preparation of budget note 12 for instructions for the Notice of Budget Hearing.</t>
  </si>
  <si>
    <t>25. Added to instruction for submission that deadline for submission to clerk Aug 25.</t>
  </si>
  <si>
    <t>26. Added 'excluding oil, gas, and mobile homes' to lines 9 and 11 on Clerks budget info on tab inputoth.</t>
  </si>
  <si>
    <t>Helpful Links</t>
  </si>
  <si>
    <t>Municipal Services (Kansas Department of Administration, Accounts and Reports) – Budget forms, confirmation of payments, transfer statutes, non-budgeted fund statutes, etc.</t>
  </si>
  <si>
    <t>https://admin.ks.gov/offices/accounts-reports/local-government/municipal-services</t>
  </si>
  <si>
    <t>State Debt Setoff Program (Kansas Department of Administration, Accounts and Reports) – Passive collection tool to assist municipalities with collection of unpaid utility bills, etc.</t>
  </si>
  <si>
    <t>https://admin.ks.gov/offices/accounts-reports/state-agencies/finance/setoff-program</t>
  </si>
  <si>
    <t>League of Kansas Municipalities</t>
  </si>
  <si>
    <t>https://www.lkm.org/</t>
  </si>
  <si>
    <t>Kansas Legislature – Kansas Statutes (usually updated in January), House and Senate Bills, etc.</t>
  </si>
  <si>
    <t>http://www.kslegislature.org/li/</t>
  </si>
  <si>
    <t>Kansas Attorney General Opinions</t>
  </si>
  <si>
    <t>https://ag.ks.gov/media-center/ag-opinions</t>
  </si>
  <si>
    <t>Kansas State Treasurer</t>
  </si>
  <si>
    <t>https://www.kansasstatetreasurer.com/fin_serv.html</t>
  </si>
  <si>
    <t>Kansas Department of Revenue</t>
  </si>
  <si>
    <t>https://www.ksrevenue.gov/</t>
  </si>
  <si>
    <t>Kansas Department of Revenue – Property Valuation</t>
  </si>
  <si>
    <t>https://www.ksrevenue.gov/pvdindex.html</t>
  </si>
  <si>
    <t>Kansas Pooled Money Investment Board – Investment of Idle Funds in the Municipal Investment Pool</t>
  </si>
  <si>
    <t>https://pooledmoneyinvestmentboard.com/</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</si>
  <si>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</si>
  <si>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</si>
  <si>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</si>
  <si>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</si>
  <si>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</si>
  <si>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</si>
  <si>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</si>
  <si>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Resolution No. ______</t>
  </si>
  <si>
    <t>A RESOLUTION OF THE  __________, KANSAS TO LEVY A PROPERTY TAX RATE EXCEEDING THE REVENUE NEUTRAL RATE;</t>
  </si>
  <si>
    <r>
      <t xml:space="preserve">           </t>
    </r>
    <r>
      <rPr>
        <b/>
        <sz val="12"/>
        <rFont val="Times New Roman"/>
        <family val="1"/>
      </rPr>
      <t>WHEREAS</t>
    </r>
    <r>
      <rPr>
        <sz val="12"/>
        <rFont val="Times New Roman"/>
        <family val="1"/>
      </rPr>
      <t>, the Revenue Neutral Rate for the  __________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</si>
  <si>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City of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</si>
  <si>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</si>
  <si>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____________, having heard testimony, still finds it necessary to exceed the Revenue Neutral Rate.</t>
    </r>
  </si>
  <si>
    <t xml:space="preserve">          NOW, THEREFORE, BE IT RESOLVED BY THE GOVERNING BODY OF THE CITY OF __________:</t>
  </si>
  <si>
    <t xml:space="preserve">          The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</si>
  <si>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</si>
  <si>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Governing Body.</t>
    </r>
  </si>
  <si>
    <t xml:space="preserve">          _____________________________</t>
  </si>
  <si>
    <t xml:space="preserve">          Attested:</t>
  </si>
  <si>
    <t xml:space="preserve">          ______________________________</t>
  </si>
  <si>
    <t>NOTICE OF HEARING TO EXCEED REVENUE NEUTRAL RATE</t>
  </si>
  <si>
    <t>answering objections of taxpayers relating to revenue neutral rate and proposed tax rate, as required by KSA 79-2988.</t>
  </si>
  <si>
    <t>SUPPORTING COUNTIES</t>
  </si>
  <si>
    <t>Revenue Neutral Rate*</t>
  </si>
  <si>
    <t>Proposed Tax Rate</t>
  </si>
  <si>
    <t>Tax Rates are expressed in mills</t>
  </si>
  <si>
    <t>* Revenue Netural Rate as defined by KSA 79-2988</t>
  </si>
  <si>
    <t xml:space="preserve">Page No. </t>
  </si>
  <si>
    <r>
      <t xml:space="preserve">receipt, show the reimbursement as a negative </t>
    </r>
    <r>
      <rPr>
        <i/>
        <sz val="12"/>
        <rFont val="Times New Roman"/>
        <family val="1"/>
      </rPr>
      <t>expenditure</t>
    </r>
    <r>
      <rPr>
        <sz val="12"/>
        <rFont val="Times New Roman"/>
        <family val="1"/>
      </rPr>
      <t>.</t>
    </r>
  </si>
  <si>
    <r>
      <t>left of the 'See Tab B' as follows:  "</t>
    </r>
    <r>
      <rPr>
        <i/>
        <u/>
        <sz val="12"/>
        <rFont val="Times New Roman"/>
        <family val="1"/>
      </rPr>
      <t>10-1116 applies.</t>
    </r>
    <r>
      <rPr>
        <sz val="12"/>
        <rFont val="Times New Roman"/>
        <family val="1"/>
      </rPr>
      <t>"</t>
    </r>
  </si>
  <si>
    <r>
      <t xml:space="preserve">If the municipality financial records have </t>
    </r>
    <r>
      <rPr>
        <b/>
        <u/>
        <sz val="12"/>
        <rFont val="Times New Roman"/>
        <family val="1"/>
      </rPr>
      <t>not been</t>
    </r>
    <r>
      <rPr>
        <sz val="12"/>
        <rFont val="Times New Roman"/>
        <family val="1"/>
      </rPr>
      <t xml:space="preserve"> closed</t>
    </r>
  </si>
  <si>
    <t>Tab A</t>
  </si>
  <si>
    <t>Tab B</t>
  </si>
  <si>
    <t>Tab C</t>
  </si>
  <si>
    <t>Tab D</t>
  </si>
  <si>
    <t>Tab E</t>
  </si>
  <si>
    <t>Budget Authority for Expenditures</t>
  </si>
  <si>
    <t>Final Tax Rate (County Clerk's Use Only)</t>
  </si>
  <si>
    <t>Budget Hearing Notice</t>
  </si>
  <si>
    <t>Combined Rate - Budget Hearing Notice</t>
  </si>
  <si>
    <t>RNR Hearing Notice</t>
  </si>
  <si>
    <t xml:space="preserve">Revenue Neutral Rate </t>
  </si>
  <si>
    <t>Assisted by:</t>
  </si>
  <si>
    <t>***If leasing/renting with no intent to purchase, do not list--such transactions are not lease-purchases.</t>
  </si>
  <si>
    <t>STATEMENT OF CONDITIONAL LEASE-PURCHASE AND CERTIFICATE OF PARTICIPATION***</t>
  </si>
  <si>
    <t>Estimated Mill Rate &amp;
 Revenue Neutral Rate Comparison</t>
  </si>
  <si>
    <t>Revenue Neutral Rate (KSA 79-2988)</t>
  </si>
  <si>
    <t>Is a rate hearing/resolution required:</t>
  </si>
  <si>
    <t xml:space="preserve">Is rate hearing/resolution required to exceed Revenue Neutral Rate? </t>
  </si>
  <si>
    <t>Actual Tax Rate*</t>
  </si>
  <si>
    <t>Proposed Estimated Tax Rate*</t>
  </si>
  <si>
    <t>**Revenue Neutral Rate as defined by KSA 79-2988</t>
  </si>
  <si>
    <t>NOTICE OF HEARING TO EXCEED REVENUE NEUTRAL RATE AND BUDGET HEARING</t>
  </si>
  <si>
    <t>answering objections of taxpayers relating to the proposed use of all funds and the amount of tax to levied and the Revenue Neutral Rate.</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</si>
  <si>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</si>
  <si>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</si>
  <si>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</si>
  <si>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</si>
  <si>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</si>
  <si>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</si>
  <si>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</si>
  <si>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</si>
  <si>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</si>
  <si>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Municipal Budget Tools/Explainers for Various Situations</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</si>
  <si>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</si>
  <si>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</si>
  <si>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</si>
  <si>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</si>
  <si>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</si>
  <si>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</si>
  <si>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</si>
  <si>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</si>
  <si>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</si>
  <si>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</si>
  <si>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</si>
  <si>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</si>
  <si>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</si>
  <si>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</si>
  <si>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</si>
  <si>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</si>
  <si>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</si>
  <si>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</si>
  <si>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</si>
  <si>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 xml:space="preserve">The following changes were made to this workbook during April 2023: </t>
  </si>
  <si>
    <t>Reprogram final rate computation on Certificate page</t>
  </si>
  <si>
    <t>Created Budget Tools, removed 'helpful links' and 'mill rate computation' (those tabs are now located in 'Budget Tools'</t>
  </si>
  <si>
    <t>Added Roll Call Vote Record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</si>
</sst>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3" formatCode="_(* #,##0.00_);_(* \(#,##0.00\);_(* &quot;-&quot;??_);_(@_)"/>
    <numFmt numFmtId="164" formatCode="0.000_)"/>
    <numFmt numFmtId="165" formatCode="0_)"/>
    <numFmt numFmtId="166" formatCode="0.00000_)"/>
    <numFmt numFmtId="167" formatCode="#,##0.00000_);\(#,##0.00000\)"/>
    <numFmt numFmtId="168" formatCode="_(* #,##0_);_(* \(#,##0\);_(* &quot;-&quot;??_);_(@_)"/>
    <numFmt numFmtId="169" formatCode="m/d/yy"/>
    <numFmt numFmtId="170" formatCode="m/d"/>
    <numFmt numFmtId="171" formatCode="#,##0.000_);\(#,##0.000\)"/>
    <numFmt numFmtId="172" formatCode="0.000%"/>
    <numFmt numFmtId="173" formatCode="0.000"/>
    <numFmt numFmtId="174" formatCode="#,##0.000"/>
    <numFmt numFmtId="175" formatCode="&quot;$&quot;#,##0"/>
    <numFmt numFmtId="176" formatCode="&quot;$&quot;#,##0.00"/>
    <numFmt numFmtId="177" formatCode="0.0%"/>
  </numFmts>
  <fonts count="65" x14ac:knownFonts="1">
    <font>
      <sz val="12"/>
      <name val="Courier"/>
    </font>
    <font>
      <b/>
      <sz val="12"/>
      <name val="Courier"/>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name val="Courier"/>
      <family val="3"/>
    </font>
    <font>
      <i/>
      <sz val="12"/>
      <name val="Courier"/>
      <family val="3"/>
    </font>
    <font>
      <b/>
      <u/>
      <sz val="8"/>
      <color indexed="10"/>
      <name val="Times New Roman"/>
      <family val="1"/>
    </font>
    <font>
      <b/>
      <sz val="12"/>
      <color indexed="8"/>
      <name val="Times New Roman"/>
      <family val="1"/>
    </font>
    <font>
      <sz val="12"/>
      <color indexed="8"/>
      <name val="Times New Roman"/>
      <family val="1"/>
    </font>
    <font>
      <b/>
      <sz val="14"/>
      <name val="Times New Roman"/>
      <family val="1"/>
    </font>
    <font>
      <u/>
      <sz val="12"/>
      <color indexed="12"/>
      <name val="Courier"/>
      <family val="3"/>
    </font>
    <font>
      <sz val="12"/>
      <name val="Courier New"/>
      <family val="3"/>
    </font>
    <font>
      <sz val="12"/>
      <name val="Courier"/>
      <family val="3"/>
    </font>
    <font>
      <i/>
      <sz val="12"/>
      <color indexed="8"/>
      <name val="Times New Roman"/>
      <family val="1"/>
    </font>
    <font>
      <b/>
      <u/>
      <sz val="10"/>
      <name val="Times New Roman"/>
      <family val="1"/>
    </font>
    <font>
      <b/>
      <sz val="10"/>
      <name val="Times New Roman"/>
      <family val="1"/>
    </font>
    <font>
      <sz val="10"/>
      <color indexed="10"/>
      <name val="Times New Roman"/>
      <family val="1"/>
    </font>
    <font>
      <b/>
      <sz val="8"/>
      <color indexed="10"/>
      <name val="Times New Roman"/>
      <family val="1"/>
    </font>
    <font>
      <sz val="8"/>
      <color indexed="10"/>
      <name val="Times New Roman"/>
      <family val="1"/>
    </font>
    <font>
      <sz val="11"/>
      <color theme="1"/>
      <name val="Calibri"/>
      <family val="2"/>
      <scheme val="minor"/>
    </font>
    <font>
      <u/>
      <sz val="12"/>
      <color rgb="FFFF0000"/>
      <name val="Times New Roman"/>
      <family val="1"/>
    </font>
    <font>
      <sz val="12"/>
      <color rgb="FF000000"/>
      <name val="Times New Roman"/>
      <family val="1"/>
    </font>
    <font>
      <b/>
      <sz val="12"/>
      <color rgb="FF000000"/>
      <name val="Times New Roman"/>
      <family val="1"/>
    </font>
    <font>
      <b/>
      <sz val="12"/>
      <color rgb="FFFF0000"/>
      <name val="Times New Roman"/>
      <family val="1"/>
    </font>
    <font>
      <b/>
      <u/>
      <sz val="12"/>
      <color rgb="FFFF0000"/>
      <name val="Times New Roman"/>
      <family val="1"/>
    </font>
    <font>
      <b/>
      <sz val="13"/>
      <name val="Times New Roman"/>
      <family val="1"/>
    </font>
    <font>
      <u/>
      <vertAlign val="superscript"/>
      <sz val="12"/>
      <name val="Times New Roman"/>
      <family val="1"/>
    </font>
    <font>
      <sz val="11"/>
      <name val="Calibri"/>
      <family val="2"/>
    </font>
    <font>
      <sz val="7"/>
      <name val="Times New Roman"/>
      <family val="1"/>
    </font>
    <font>
      <b/>
      <sz val="16"/>
      <name val="Times New Roman"/>
      <family val="1"/>
    </font>
    <font>
      <b/>
      <u/>
      <sz val="16"/>
      <name val="Times New Roman"/>
      <family val="1"/>
    </font>
    <font>
      <u/>
      <sz val="12"/>
      <color indexed="12"/>
      <name val="Times New Roman"/>
      <family val="1"/>
    </font>
    <font>
      <i/>
      <u/>
      <sz val="12"/>
      <name val="Times New Roman"/>
      <family val="1"/>
    </font>
    <font>
      <sz val="12"/>
      <color rgb="FFFF0000"/>
      <name val="Times New Roman"/>
      <family val="1"/>
    </font>
    <font>
      <sz val="12"/>
      <name val="Courier"/>
    </font>
    <font>
      <b/>
      <sz val="14"/>
      <name val="Calibri"/>
      <family val="2"/>
      <scheme val="minor"/>
    </font>
    <font>
      <sz val="12"/>
      <name val="Calibri"/>
      <family val="2"/>
      <scheme val="minor"/>
    </font>
    <font>
      <u/>
      <sz val="12"/>
      <name val="Calibri"/>
      <family val="2"/>
      <scheme val="minor"/>
    </font>
    <font>
      <b/>
      <sz val="12"/>
      <name val="Calibri"/>
      <family val="2"/>
      <scheme val="minor"/>
    </font>
    <font>
      <b/>
      <sz val="20"/>
      <color rgb="FF000000"/>
      <name val="Cambria"/>
      <family val="1"/>
      <scheme val="major"/>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s>
  <fills count="22">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11"/>
        <bgColor indexed="64"/>
      </patternFill>
    </fill>
    <fill>
      <patternFill patternType="solid">
        <fgColor indexed="11"/>
      </patternFill>
    </fill>
    <fill>
      <patternFill patternType="solid">
        <fgColor indexed="13"/>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9"/>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FFFFC0"/>
        <bgColor indexed="64"/>
      </patternFill>
    </fill>
    <fill>
      <patternFill patternType="solid">
        <fgColor rgb="FF00FFFF"/>
        <bgColor indexed="64"/>
      </patternFill>
    </fill>
    <fill>
      <patternFill patternType="solid">
        <fgColor rgb="FFFF00F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81">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28"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8" fillId="0" borderId="0"/>
    <xf numFmtId="0" fontId="9" fillId="0" borderId="0"/>
    <xf numFmtId="0" fontId="9"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8" fillId="0" borderId="0"/>
    <xf numFmtId="0" fontId="9" fillId="0" borderId="0"/>
    <xf numFmtId="0" fontId="9" fillId="0" borderId="0"/>
    <xf numFmtId="0" fontId="9" fillId="0" borderId="0"/>
    <xf numFmtId="0" fontId="9" fillId="0" borderId="0"/>
    <xf numFmtId="0" fontId="9" fillId="0" borderId="0"/>
    <xf numFmtId="0" fontId="28" fillId="0" borderId="0"/>
    <xf numFmtId="0" fontId="9" fillId="0" borderId="0"/>
    <xf numFmtId="0" fontId="9" fillId="0" borderId="0"/>
    <xf numFmtId="0" fontId="9" fillId="0" borderId="0"/>
    <xf numFmtId="0" fontId="9" fillId="0" borderId="0"/>
    <xf numFmtId="0" fontId="9" fillId="0" borderId="0"/>
    <xf numFmtId="0" fontId="28"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8"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28"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8" fillId="0" borderId="0"/>
    <xf numFmtId="0" fontId="2" fillId="0" borderId="0"/>
    <xf numFmtId="0" fontId="9" fillId="0" borderId="0"/>
    <xf numFmtId="0" fontId="9" fillId="0" borderId="0"/>
    <xf numFmtId="0" fontId="2" fillId="0" borderId="0"/>
    <xf numFmtId="0" fontId="2" fillId="0" borderId="0"/>
    <xf numFmtId="0" fontId="3" fillId="0" borderId="0"/>
    <xf numFmtId="0" fontId="51" fillId="0" borderId="0"/>
  </cellStyleXfs>
  <cellXfs count="713">
    <xf numFmtId="0" fontId="0" fillId="0" borderId="0" xfId="0"/>
    <xf numFmtId="0" fontId="3" fillId="2" borderId="0" xfId="0" applyFont="1" applyFill="1" applyAlignment="1">
      <alignment vertical="center"/>
    </xf>
    <xf numFmtId="37" fontId="3" fillId="2" borderId="0" xfId="0" applyNumberFormat="1" applyFont="1" applyFill="1" applyAlignment="1">
      <alignment horizontal="right" vertical="center"/>
    </xf>
    <xf numFmtId="0" fontId="3" fillId="0" borderId="0" xfId="0" applyFont="1" applyAlignment="1" applyProtection="1">
      <alignment vertical="center"/>
      <protection locked="0"/>
    </xf>
    <xf numFmtId="0" fontId="3" fillId="2" borderId="0" xfId="0" applyFont="1" applyFill="1" applyAlignment="1">
      <alignment horizontal="right" vertical="center"/>
    </xf>
    <xf numFmtId="37" fontId="3" fillId="2" borderId="0" xfId="0" applyNumberFormat="1" applyFont="1" applyFill="1" applyAlignment="1">
      <alignment vertical="center"/>
    </xf>
    <xf numFmtId="0" fontId="3" fillId="2" borderId="0" xfId="0" applyFont="1" applyFill="1" applyAlignment="1" applyProtection="1">
      <alignment vertical="center"/>
      <protection locked="0"/>
    </xf>
    <xf numFmtId="0" fontId="3" fillId="2" borderId="0" xfId="0" applyFont="1" applyFill="1" applyAlignment="1">
      <alignment horizontal="centerContinuous"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37" fontId="3" fillId="2" borderId="3" xfId="0" applyNumberFormat="1" applyFont="1" applyFill="1" applyBorder="1" applyAlignment="1">
      <alignment vertical="center"/>
    </xf>
    <xf numFmtId="0" fontId="3" fillId="2" borderId="0" xfId="0" applyFont="1" applyFill="1" applyAlignment="1">
      <alignment horizontal="fill" vertical="center"/>
    </xf>
    <xf numFmtId="0" fontId="3" fillId="2" borderId="3" xfId="0" applyFont="1" applyFill="1" applyBorder="1" applyAlignment="1">
      <alignment horizontal="left" vertical="center"/>
    </xf>
    <xf numFmtId="0" fontId="3" fillId="2" borderId="0" xfId="0" applyFont="1" applyFill="1" applyAlignment="1">
      <alignment horizontal="left" vertical="center"/>
    </xf>
    <xf numFmtId="37" fontId="3" fillId="2" borderId="5" xfId="0" applyNumberFormat="1" applyFont="1" applyFill="1" applyBorder="1" applyAlignment="1">
      <alignment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1" fontId="3" fillId="2" borderId="2" xfId="0" applyNumberFormat="1" applyFont="1" applyFill="1" applyBorder="1" applyAlignment="1">
      <alignment horizontal="center" vertical="center"/>
    </xf>
    <xf numFmtId="0" fontId="3" fillId="0" borderId="0" xfId="0" applyFont="1" applyAlignment="1" applyProtection="1">
      <alignment horizontal="center" vertical="center"/>
      <protection locked="0"/>
    </xf>
    <xf numFmtId="0" fontId="3" fillId="4" borderId="2" xfId="0" applyFont="1" applyFill="1" applyBorder="1" applyAlignment="1" applyProtection="1">
      <alignment vertical="center"/>
      <protection locked="0"/>
    </xf>
    <xf numFmtId="168" fontId="3" fillId="4" borderId="2" xfId="1" applyNumberFormat="1" applyFont="1" applyFill="1" applyBorder="1" applyAlignment="1" applyProtection="1">
      <alignment vertical="center"/>
      <protection locked="0"/>
    </xf>
    <xf numFmtId="0" fontId="3" fillId="4" borderId="3" xfId="0" applyFont="1" applyFill="1" applyBorder="1" applyAlignment="1" applyProtection="1">
      <alignment vertical="center"/>
      <protection locked="0"/>
    </xf>
    <xf numFmtId="168" fontId="3" fillId="4" borderId="3" xfId="1" applyNumberFormat="1"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3" fillId="2" borderId="0" xfId="0" applyFont="1" applyFill="1" applyAlignment="1">
      <alignment horizontal="center" vertical="center"/>
    </xf>
    <xf numFmtId="0" fontId="4" fillId="2" borderId="3" xfId="0" applyFont="1" applyFill="1" applyBorder="1" applyAlignment="1">
      <alignment horizontal="center" vertical="center"/>
    </xf>
    <xf numFmtId="0" fontId="3" fillId="2" borderId="0" xfId="0" applyFont="1" applyFill="1" applyAlignment="1" applyProtection="1">
      <alignment horizontal="center" vertical="center"/>
      <protection locked="0"/>
    </xf>
    <xf numFmtId="0" fontId="0" fillId="0" borderId="0" xfId="0" applyAlignment="1">
      <alignment vertical="center"/>
    </xf>
    <xf numFmtId="37" fontId="4" fillId="2" borderId="3" xfId="0" applyNumberFormat="1" applyFont="1" applyFill="1" applyBorder="1" applyAlignment="1">
      <alignment horizontal="center" vertical="center"/>
    </xf>
    <xf numFmtId="0" fontId="3" fillId="2" borderId="3" xfId="0" applyFont="1" applyFill="1" applyBorder="1" applyAlignment="1">
      <alignment horizontal="right" vertical="center"/>
    </xf>
    <xf numFmtId="0" fontId="3" fillId="4" borderId="3" xfId="0" applyFont="1" applyFill="1" applyBorder="1" applyAlignment="1" applyProtection="1">
      <alignment horizontal="right" vertical="center"/>
      <protection locked="0"/>
    </xf>
    <xf numFmtId="0" fontId="4" fillId="2" borderId="0" xfId="578" applyFont="1" applyFill="1" applyAlignment="1">
      <alignment horizontal="centerContinuous" vertical="center"/>
    </xf>
    <xf numFmtId="0" fontId="3" fillId="2" borderId="0" xfId="577" applyFont="1" applyFill="1" applyAlignment="1">
      <alignment horizontal="centerContinuous" vertical="center"/>
    </xf>
    <xf numFmtId="0" fontId="3" fillId="0" borderId="0" xfId="577" applyFont="1" applyAlignment="1" applyProtection="1">
      <alignment vertical="center"/>
      <protection locked="0"/>
    </xf>
    <xf numFmtId="0" fontId="3" fillId="2" borderId="0" xfId="577" applyFont="1" applyFill="1" applyAlignment="1">
      <alignment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Continuous" vertical="center"/>
    </xf>
    <xf numFmtId="0" fontId="3" fillId="2" borderId="8" xfId="0" applyFont="1" applyFill="1" applyBorder="1" applyAlignment="1">
      <alignment horizontal="centerContinuous"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Continuous" vertical="center"/>
    </xf>
    <xf numFmtId="0" fontId="3" fillId="2" borderId="10" xfId="0" applyFont="1" applyFill="1" applyBorder="1" applyAlignment="1">
      <alignment horizontal="centerContinuous" vertical="center"/>
    </xf>
    <xf numFmtId="14" fontId="3" fillId="2" borderId="2" xfId="0" quotePrefix="1" applyNumberFormat="1" applyFont="1" applyFill="1" applyBorder="1" applyAlignment="1">
      <alignment horizontal="center" vertical="center"/>
    </xf>
    <xf numFmtId="169" fontId="3" fillId="2" borderId="3" xfId="0" applyNumberFormat="1" applyFont="1" applyFill="1" applyBorder="1" applyAlignment="1">
      <alignment horizontal="left" vertical="center"/>
    </xf>
    <xf numFmtId="170" fontId="3" fillId="2" borderId="3" xfId="0" applyNumberFormat="1" applyFont="1" applyFill="1" applyBorder="1" applyAlignment="1">
      <alignment horizontal="left" vertical="center"/>
    </xf>
    <xf numFmtId="0" fontId="3" fillId="4" borderId="3" xfId="0" applyFont="1" applyFill="1" applyBorder="1" applyAlignment="1" applyProtection="1">
      <alignment horizontal="left" vertical="center"/>
      <protection locked="0"/>
    </xf>
    <xf numFmtId="3" fontId="3" fillId="4" borderId="3" xfId="0" applyNumberFormat="1" applyFont="1" applyFill="1" applyBorder="1" applyAlignment="1" applyProtection="1">
      <alignment vertical="center"/>
      <protection locked="0"/>
    </xf>
    <xf numFmtId="170" fontId="3" fillId="4" borderId="3" xfId="0" applyNumberFormat="1" applyFont="1" applyFill="1" applyBorder="1" applyAlignment="1" applyProtection="1">
      <alignment horizontal="left" vertical="center"/>
      <protection locked="0"/>
    </xf>
    <xf numFmtId="0" fontId="3" fillId="5" borderId="3" xfId="0" applyFont="1" applyFill="1" applyBorder="1" applyAlignment="1" applyProtection="1">
      <alignment vertical="center"/>
      <protection locked="0"/>
    </xf>
    <xf numFmtId="2" fontId="3" fillId="5" borderId="3" xfId="0" applyNumberFormat="1" applyFont="1" applyFill="1" applyBorder="1" applyAlignment="1" applyProtection="1">
      <alignment vertical="center"/>
      <protection locked="0"/>
    </xf>
    <xf numFmtId="3" fontId="3" fillId="5" borderId="3" xfId="0" applyNumberFormat="1" applyFont="1" applyFill="1" applyBorder="1" applyAlignment="1" applyProtection="1">
      <alignment vertical="center"/>
      <protection locked="0"/>
    </xf>
    <xf numFmtId="170" fontId="3" fillId="5" borderId="3" xfId="0" applyNumberFormat="1" applyFont="1" applyFill="1" applyBorder="1" applyAlignment="1" applyProtection="1">
      <alignment vertical="center"/>
      <protection locked="0"/>
    </xf>
    <xf numFmtId="37" fontId="3" fillId="5" borderId="3" xfId="0" applyNumberFormat="1"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169" fontId="3" fillId="2" borderId="3" xfId="0" applyNumberFormat="1" applyFont="1" applyFill="1" applyBorder="1" applyAlignment="1" applyProtection="1">
      <alignment vertical="center"/>
      <protection locked="0"/>
    </xf>
    <xf numFmtId="2" fontId="3" fillId="2" borderId="3" xfId="0" applyNumberFormat="1" applyFont="1" applyFill="1" applyBorder="1" applyAlignment="1" applyProtection="1">
      <alignment vertical="center"/>
      <protection locked="0"/>
    </xf>
    <xf numFmtId="3" fontId="3" fillId="2" borderId="3" xfId="0" applyNumberFormat="1" applyFont="1" applyFill="1" applyBorder="1" applyAlignment="1" applyProtection="1">
      <alignment vertical="center"/>
      <protection locked="0"/>
    </xf>
    <xf numFmtId="170" fontId="3" fillId="2" borderId="3" xfId="0" applyNumberFormat="1" applyFont="1" applyFill="1" applyBorder="1" applyAlignment="1">
      <alignment vertical="center"/>
    </xf>
    <xf numFmtId="169" fontId="3" fillId="2" borderId="3" xfId="0" applyNumberFormat="1" applyFont="1" applyFill="1" applyBorder="1" applyAlignment="1">
      <alignment vertical="center"/>
    </xf>
    <xf numFmtId="2" fontId="3" fillId="2" borderId="3" xfId="0" applyNumberFormat="1" applyFont="1" applyFill="1" applyBorder="1" applyAlignment="1">
      <alignment vertical="center"/>
    </xf>
    <xf numFmtId="3" fontId="3" fillId="2" borderId="3" xfId="0" applyNumberFormat="1" applyFont="1" applyFill="1" applyBorder="1" applyAlignment="1">
      <alignment vertical="center"/>
    </xf>
    <xf numFmtId="0" fontId="3" fillId="2" borderId="3" xfId="577" applyFont="1" applyFill="1" applyBorder="1" applyAlignment="1">
      <alignment horizontal="left" vertical="center"/>
    </xf>
    <xf numFmtId="0" fontId="3" fillId="0" borderId="0" xfId="0" applyFont="1" applyAlignment="1">
      <alignment vertical="center"/>
    </xf>
    <xf numFmtId="0" fontId="3" fillId="2" borderId="0" xfId="578" applyFont="1" applyFill="1" applyAlignment="1">
      <alignment horizontal="centerContinuous" vertical="center"/>
    </xf>
    <xf numFmtId="0" fontId="3" fillId="2" borderId="0" xfId="578" applyFont="1" applyFill="1" applyAlignment="1">
      <alignment vertical="center"/>
    </xf>
    <xf numFmtId="0" fontId="3" fillId="0" borderId="0" xfId="578" applyFont="1" applyAlignment="1">
      <alignment vertical="center"/>
    </xf>
    <xf numFmtId="0" fontId="3" fillId="2" borderId="5" xfId="0" applyFont="1" applyFill="1" applyBorder="1" applyAlignment="1">
      <alignment horizontal="fill" vertical="center"/>
    </xf>
    <xf numFmtId="0" fontId="3" fillId="2" borderId="1" xfId="0" applyFont="1" applyFill="1" applyBorder="1" applyAlignment="1">
      <alignment vertical="center"/>
    </xf>
    <xf numFmtId="0" fontId="3" fillId="2" borderId="11" xfId="578" applyFont="1" applyFill="1" applyBorder="1" applyAlignment="1">
      <alignment vertical="center"/>
    </xf>
    <xf numFmtId="0" fontId="3" fillId="2" borderId="6"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center" vertical="center"/>
    </xf>
    <xf numFmtId="1" fontId="3" fillId="5" borderId="3" xfId="0" applyNumberFormat="1" applyFont="1" applyFill="1" applyBorder="1" applyAlignment="1" applyProtection="1">
      <alignment vertical="center"/>
      <protection locked="0"/>
    </xf>
    <xf numFmtId="0" fontId="3" fillId="2" borderId="12" xfId="577" applyFont="1" applyFill="1" applyBorder="1" applyAlignment="1" applyProtection="1">
      <alignment vertical="center"/>
      <protection locked="0"/>
    </xf>
    <xf numFmtId="3" fontId="4" fillId="2" borderId="3" xfId="577" applyNumberFormat="1" applyFont="1" applyFill="1" applyBorder="1" applyAlignment="1">
      <alignment vertical="center"/>
    </xf>
    <xf numFmtId="37" fontId="4" fillId="2" borderId="3" xfId="577" applyNumberFormat="1" applyFont="1" applyFill="1" applyBorder="1" applyAlignment="1">
      <alignment vertical="center"/>
    </xf>
    <xf numFmtId="0" fontId="0" fillId="2" borderId="0" xfId="0" applyFill="1" applyAlignment="1">
      <alignment vertical="center"/>
    </xf>
    <xf numFmtId="165" fontId="3" fillId="2" borderId="0" xfId="0" applyNumberFormat="1" applyFont="1" applyFill="1" applyAlignment="1">
      <alignment vertical="center"/>
    </xf>
    <xf numFmtId="0" fontId="4" fillId="2" borderId="0" xfId="0" applyFont="1" applyFill="1" applyAlignment="1">
      <alignment vertical="center"/>
    </xf>
    <xf numFmtId="165" fontId="3" fillId="2" borderId="0" xfId="0" quotePrefix="1" applyNumberFormat="1" applyFont="1" applyFill="1" applyAlignment="1">
      <alignment horizontal="right" vertical="center"/>
    </xf>
    <xf numFmtId="37" fontId="3" fillId="2" borderId="1" xfId="0" applyNumberFormat="1" applyFont="1" applyFill="1" applyBorder="1" applyAlignment="1">
      <alignment horizontal="center" vertical="center"/>
    </xf>
    <xf numFmtId="0" fontId="3" fillId="2" borderId="13" xfId="0" applyFont="1" applyFill="1" applyBorder="1" applyAlignment="1">
      <alignment horizontal="left" vertical="center"/>
    </xf>
    <xf numFmtId="3" fontId="3" fillId="5" borderId="14" xfId="0" applyNumberFormat="1" applyFont="1" applyFill="1" applyBorder="1" applyAlignment="1" applyProtection="1">
      <alignment vertical="center"/>
      <protection locked="0"/>
    </xf>
    <xf numFmtId="0" fontId="3" fillId="2" borderId="9" xfId="0" applyFont="1" applyFill="1" applyBorder="1" applyAlignment="1">
      <alignment horizontal="left" vertical="center"/>
    </xf>
    <xf numFmtId="37" fontId="3" fillId="2" borderId="13" xfId="0" applyNumberFormat="1" applyFont="1" applyFill="1" applyBorder="1" applyAlignment="1">
      <alignment vertical="center"/>
    </xf>
    <xf numFmtId="0" fontId="3" fillId="2" borderId="3" xfId="0" applyFont="1" applyFill="1" applyBorder="1" applyAlignment="1">
      <alignment horizontal="fill" vertical="center"/>
    </xf>
    <xf numFmtId="37" fontId="3" fillId="5" borderId="13" xfId="0" applyNumberFormat="1" applyFont="1" applyFill="1" applyBorder="1" applyAlignment="1" applyProtection="1">
      <alignment vertical="center"/>
      <protection locked="0"/>
    </xf>
    <xf numFmtId="0" fontId="3" fillId="4" borderId="13" xfId="0" applyFont="1" applyFill="1" applyBorder="1" applyAlignment="1" applyProtection="1">
      <alignment horizontal="left" vertical="center"/>
      <protection locked="0"/>
    </xf>
    <xf numFmtId="37" fontId="3" fillId="2" borderId="13" xfId="0" applyNumberFormat="1" applyFont="1" applyFill="1" applyBorder="1" applyAlignment="1" applyProtection="1">
      <alignment horizontal="left" vertical="center"/>
      <protection locked="0"/>
    </xf>
    <xf numFmtId="37" fontId="3" fillId="5" borderId="14" xfId="0" applyNumberFormat="1" applyFont="1" applyFill="1" applyBorder="1" applyAlignment="1" applyProtection="1">
      <alignment vertical="center"/>
      <protection locked="0"/>
    </xf>
    <xf numFmtId="3" fontId="16" fillId="6" borderId="14" xfId="0" applyNumberFormat="1" applyFont="1" applyFill="1" applyBorder="1" applyAlignment="1">
      <alignment horizontal="center" vertical="center"/>
    </xf>
    <xf numFmtId="37" fontId="4" fillId="2" borderId="13" xfId="0" applyNumberFormat="1" applyFont="1" applyFill="1" applyBorder="1" applyAlignment="1">
      <alignment horizontal="left" vertical="center"/>
    </xf>
    <xf numFmtId="3" fontId="4" fillId="3" borderId="3" xfId="0" applyNumberFormat="1"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16" fillId="0" borderId="0" xfId="0" applyFont="1" applyAlignment="1">
      <alignment vertical="center"/>
    </xf>
    <xf numFmtId="1" fontId="3" fillId="2" borderId="0" xfId="0" applyNumberFormat="1" applyFont="1" applyFill="1" applyAlignment="1">
      <alignment horizontal="right" vertical="center"/>
    </xf>
    <xf numFmtId="37" fontId="3" fillId="2" borderId="0" xfId="0" quotePrefix="1" applyNumberFormat="1" applyFont="1" applyFill="1" applyAlignment="1">
      <alignment horizontal="right" vertical="center"/>
    </xf>
    <xf numFmtId="37" fontId="3" fillId="2" borderId="0" xfId="0" applyNumberFormat="1" applyFont="1" applyFill="1" applyAlignment="1">
      <alignment horizontal="fill" vertical="center"/>
    </xf>
    <xf numFmtId="37" fontId="3" fillId="2" borderId="0" xfId="0" applyNumberFormat="1" applyFont="1" applyFill="1" applyAlignment="1">
      <alignment horizontal="left" vertical="center"/>
    </xf>
    <xf numFmtId="37" fontId="3" fillId="2" borderId="13" xfId="0" applyNumberFormat="1" applyFont="1" applyFill="1" applyBorder="1" applyAlignment="1">
      <alignment horizontal="left" vertical="center"/>
    </xf>
    <xf numFmtId="3" fontId="3" fillId="2" borderId="3" xfId="1" applyNumberFormat="1" applyFont="1" applyFill="1" applyBorder="1" applyAlignment="1" applyProtection="1">
      <alignment horizontal="right" vertical="center"/>
    </xf>
    <xf numFmtId="37" fontId="3" fillId="2" borderId="9" xfId="0" applyNumberFormat="1" applyFont="1" applyFill="1" applyBorder="1" applyAlignment="1">
      <alignment horizontal="left" vertical="center"/>
    </xf>
    <xf numFmtId="3" fontId="3" fillId="2" borderId="3" xfId="0" applyNumberFormat="1" applyFont="1" applyFill="1" applyBorder="1" applyAlignment="1">
      <alignment horizontal="fill" vertical="center"/>
    </xf>
    <xf numFmtId="3" fontId="3" fillId="5" borderId="3" xfId="0" applyNumberFormat="1" applyFont="1" applyFill="1" applyBorder="1" applyAlignment="1" applyProtection="1">
      <alignment horizontal="right" vertical="center"/>
      <protection locked="0"/>
    </xf>
    <xf numFmtId="3" fontId="3" fillId="2" borderId="3" xfId="0" applyNumberFormat="1" applyFont="1" applyFill="1" applyBorder="1" applyAlignment="1">
      <alignment horizontal="right" vertical="center"/>
    </xf>
    <xf numFmtId="0" fontId="3" fillId="5" borderId="13" xfId="0" applyFont="1" applyFill="1" applyBorder="1" applyAlignment="1" applyProtection="1">
      <alignment horizontal="left" vertical="center"/>
      <protection locked="0"/>
    </xf>
    <xf numFmtId="3" fontId="3" fillId="4" borderId="3" xfId="0" applyNumberFormat="1" applyFont="1" applyFill="1" applyBorder="1" applyAlignment="1" applyProtection="1">
      <alignment horizontal="right" vertical="center"/>
      <protection locked="0"/>
    </xf>
    <xf numFmtId="0" fontId="3" fillId="5" borderId="7" xfId="0" applyFont="1" applyFill="1" applyBorder="1" applyAlignment="1" applyProtection="1">
      <alignment horizontal="left" vertical="center"/>
      <protection locked="0"/>
    </xf>
    <xf numFmtId="0" fontId="3" fillId="5" borderId="13" xfId="0" applyFont="1" applyFill="1" applyBorder="1" applyAlignment="1" applyProtection="1">
      <alignment vertical="center"/>
      <protection locked="0"/>
    </xf>
    <xf numFmtId="3" fontId="3" fillId="3" borderId="3" xfId="0" applyNumberFormat="1" applyFont="1" applyFill="1" applyBorder="1" applyAlignment="1">
      <alignment vertical="center"/>
    </xf>
    <xf numFmtId="0" fontId="3" fillId="2" borderId="0" xfId="0" applyFont="1" applyFill="1" applyAlignment="1" applyProtection="1">
      <alignment horizontal="left" vertical="center"/>
      <protection locked="0"/>
    </xf>
    <xf numFmtId="1" fontId="3" fillId="2" borderId="1" xfId="0" applyNumberFormat="1" applyFont="1" applyFill="1" applyBorder="1" applyAlignment="1">
      <alignment horizontal="center" vertical="center"/>
    </xf>
    <xf numFmtId="3" fontId="3" fillId="2" borderId="0" xfId="0" applyNumberFormat="1" applyFont="1" applyFill="1" applyAlignment="1">
      <alignment vertical="center"/>
    </xf>
    <xf numFmtId="0" fontId="19" fillId="2" borderId="0" xfId="0" applyFont="1" applyFill="1" applyAlignment="1">
      <alignment horizontal="center" vertical="center"/>
    </xf>
    <xf numFmtId="0" fontId="3" fillId="2" borderId="5" xfId="0" applyFont="1" applyFill="1" applyBorder="1" applyAlignment="1">
      <alignment vertical="center"/>
    </xf>
    <xf numFmtId="0" fontId="20" fillId="2" borderId="1" xfId="0" applyFont="1" applyFill="1" applyBorder="1" applyAlignment="1">
      <alignment vertical="center"/>
    </xf>
    <xf numFmtId="0" fontId="20" fillId="2" borderId="14" xfId="0" applyFont="1" applyFill="1" applyBorder="1" applyAlignment="1">
      <alignment horizontal="center" vertical="center"/>
    </xf>
    <xf numFmtId="0" fontId="20" fillId="2" borderId="8" xfId="0" applyFont="1" applyFill="1" applyBorder="1" applyAlignment="1">
      <alignment vertical="center"/>
    </xf>
    <xf numFmtId="0" fontId="20"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20" fillId="2" borderId="9" xfId="0" applyFont="1" applyFill="1" applyBorder="1" applyAlignment="1">
      <alignment vertical="center"/>
    </xf>
    <xf numFmtId="3" fontId="20" fillId="4" borderId="3" xfId="0" applyNumberFormat="1" applyFont="1" applyFill="1" applyBorder="1" applyAlignment="1" applyProtection="1">
      <alignment horizontal="center" vertical="center"/>
      <protection locked="0"/>
    </xf>
    <xf numFmtId="0" fontId="20" fillId="2" borderId="5" xfId="0" applyFont="1" applyFill="1" applyBorder="1" applyAlignment="1">
      <alignment vertical="center"/>
    </xf>
    <xf numFmtId="3" fontId="20" fillId="3" borderId="3" xfId="0" applyNumberFormat="1" applyFont="1" applyFill="1" applyBorder="1" applyAlignment="1">
      <alignment horizontal="center" vertical="center"/>
    </xf>
    <xf numFmtId="0" fontId="20" fillId="2" borderId="0" xfId="0" applyFont="1" applyFill="1" applyAlignment="1">
      <alignment vertical="center"/>
    </xf>
    <xf numFmtId="3" fontId="20" fillId="2" borderId="0" xfId="0" applyNumberFormat="1" applyFont="1" applyFill="1" applyAlignment="1">
      <alignment horizontal="center" vertical="center"/>
    </xf>
    <xf numFmtId="0" fontId="20" fillId="2" borderId="0" xfId="0" applyFont="1" applyFill="1" applyAlignment="1">
      <alignment horizontal="center" vertical="center"/>
    </xf>
    <xf numFmtId="0" fontId="20" fillId="4" borderId="3" xfId="0" applyFont="1" applyFill="1" applyBorder="1" applyAlignment="1" applyProtection="1">
      <alignment vertical="center"/>
      <protection locked="0"/>
    </xf>
    <xf numFmtId="0" fontId="20" fillId="4" borderId="8" xfId="0" applyFont="1" applyFill="1" applyBorder="1" applyAlignment="1" applyProtection="1">
      <alignment vertical="center"/>
      <protection locked="0"/>
    </xf>
    <xf numFmtId="3" fontId="20" fillId="4" borderId="8" xfId="0" applyNumberFormat="1" applyFont="1" applyFill="1" applyBorder="1" applyAlignment="1" applyProtection="1">
      <alignment horizontal="center" vertical="center"/>
      <protection locked="0"/>
    </xf>
    <xf numFmtId="0" fontId="20" fillId="4" borderId="0" xfId="0" applyFont="1" applyFill="1" applyAlignment="1" applyProtection="1">
      <alignment vertical="center"/>
      <protection locked="0"/>
    </xf>
    <xf numFmtId="3" fontId="20" fillId="4" borderId="10" xfId="0" applyNumberFormat="1" applyFont="1" applyFill="1" applyBorder="1" applyAlignment="1" applyProtection="1">
      <alignment horizontal="center" vertical="center"/>
      <protection locked="0"/>
    </xf>
    <xf numFmtId="3" fontId="20" fillId="4" borderId="14" xfId="0" applyNumberFormat="1" applyFont="1" applyFill="1" applyBorder="1" applyAlignment="1" applyProtection="1">
      <alignment horizontal="center" vertical="center"/>
      <protection locked="0"/>
    </xf>
    <xf numFmtId="0" fontId="20" fillId="4" borderId="14" xfId="0" applyFont="1" applyFill="1" applyBorder="1" applyAlignment="1" applyProtection="1">
      <alignment vertical="center"/>
      <protection locked="0"/>
    </xf>
    <xf numFmtId="0" fontId="20" fillId="4" borderId="2" xfId="0" applyFont="1" applyFill="1" applyBorder="1" applyAlignment="1" applyProtection="1">
      <alignment vertical="center"/>
      <protection locked="0"/>
    </xf>
    <xf numFmtId="3" fontId="20" fillId="4" borderId="15" xfId="0" applyNumberFormat="1" applyFont="1" applyFill="1" applyBorder="1" applyAlignment="1" applyProtection="1">
      <alignment horizontal="center" vertical="center"/>
      <protection locked="0"/>
    </xf>
    <xf numFmtId="0" fontId="20" fillId="4" borderId="15" xfId="0" applyFont="1" applyFill="1" applyBorder="1" applyAlignment="1" applyProtection="1">
      <alignment vertical="center"/>
      <protection locked="0"/>
    </xf>
    <xf numFmtId="3" fontId="20" fillId="3" borderId="2" xfId="0" applyNumberFormat="1" applyFont="1" applyFill="1" applyBorder="1" applyAlignment="1">
      <alignment horizontal="center" vertical="center"/>
    </xf>
    <xf numFmtId="3" fontId="20" fillId="6" borderId="3" xfId="0" applyNumberFormat="1" applyFont="1" applyFill="1" applyBorder="1" applyAlignment="1">
      <alignment horizontal="center" vertical="center"/>
    </xf>
    <xf numFmtId="3" fontId="3" fillId="0" borderId="0" xfId="0" applyNumberFormat="1" applyFont="1" applyAlignment="1">
      <alignment vertical="center"/>
    </xf>
    <xf numFmtId="0" fontId="5" fillId="2" borderId="0" xfId="0" applyFont="1" applyFill="1" applyAlignment="1">
      <alignment horizontal="center" vertical="center"/>
    </xf>
    <xf numFmtId="37" fontId="3" fillId="2" borderId="0" xfId="0" applyNumberFormat="1" applyFont="1" applyFill="1" applyAlignment="1">
      <alignment horizontal="centerContinuous" vertical="center"/>
    </xf>
    <xf numFmtId="37" fontId="4" fillId="2" borderId="0" xfId="0" applyNumberFormat="1" applyFont="1" applyFill="1" applyAlignment="1">
      <alignment horizontal="centerContinuous" vertical="center"/>
    </xf>
    <xf numFmtId="0" fontId="3" fillId="2" borderId="13" xfId="0" applyFont="1" applyFill="1" applyBorder="1" applyAlignment="1">
      <alignment horizontal="centerContinuous" vertical="center"/>
    </xf>
    <xf numFmtId="0" fontId="3" fillId="2" borderId="14" xfId="0" applyFont="1" applyFill="1" applyBorder="1" applyAlignment="1">
      <alignment horizontal="centerContinuous" vertical="center"/>
    </xf>
    <xf numFmtId="0" fontId="3" fillId="2" borderId="3" xfId="0" applyFont="1" applyFill="1" applyBorder="1" applyAlignment="1">
      <alignment horizontal="centerContinuous" vertical="center"/>
    </xf>
    <xf numFmtId="0" fontId="3" fillId="2" borderId="16" xfId="0" applyFont="1" applyFill="1" applyBorder="1" applyAlignment="1">
      <alignment horizontal="centerContinuous" vertical="center"/>
    </xf>
    <xf numFmtId="0" fontId="3" fillId="2" borderId="5" xfId="0" applyFont="1" applyFill="1" applyBorder="1" applyAlignment="1">
      <alignment horizontal="left" vertical="center"/>
    </xf>
    <xf numFmtId="0" fontId="3" fillId="2" borderId="7" xfId="0" applyFont="1" applyFill="1" applyBorder="1" applyAlignment="1">
      <alignment vertical="center"/>
    </xf>
    <xf numFmtId="164" fontId="3" fillId="2" borderId="0" xfId="0" applyNumberFormat="1" applyFont="1" applyFill="1" applyAlignment="1">
      <alignment vertical="center"/>
    </xf>
    <xf numFmtId="164" fontId="3" fillId="2" borderId="6" xfId="0" applyNumberFormat="1" applyFont="1" applyFill="1" applyBorder="1" applyAlignment="1">
      <alignment vertical="center"/>
    </xf>
    <xf numFmtId="165" fontId="3" fillId="2" borderId="0" xfId="0" applyNumberFormat="1" applyFont="1" applyFill="1" applyAlignment="1" applyProtection="1">
      <alignment vertical="center"/>
      <protection locked="0"/>
    </xf>
    <xf numFmtId="37" fontId="3" fillId="2" borderId="0" xfId="0" applyNumberFormat="1" applyFont="1" applyFill="1" applyAlignment="1" applyProtection="1">
      <alignment vertical="center"/>
      <protection locked="0"/>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37" fontId="3" fillId="2" borderId="3" xfId="0" applyNumberFormat="1" applyFont="1" applyFill="1" applyBorder="1" applyAlignment="1">
      <alignment horizontal="left" vertical="center"/>
    </xf>
    <xf numFmtId="3" fontId="3" fillId="4" borderId="3" xfId="0" applyNumberFormat="1" applyFont="1" applyFill="1" applyBorder="1" applyAlignment="1" applyProtection="1">
      <alignment horizontal="center" vertical="center"/>
      <protection locked="0"/>
    </xf>
    <xf numFmtId="174" fontId="3" fillId="2" borderId="3"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174" fontId="3" fillId="2" borderId="4" xfId="0" applyNumberFormat="1" applyFont="1" applyFill="1" applyBorder="1" applyAlignment="1">
      <alignment horizontal="center" vertical="center"/>
    </xf>
    <xf numFmtId="3" fontId="3" fillId="2" borderId="5" xfId="0" applyNumberFormat="1" applyFont="1" applyFill="1" applyBorder="1" applyAlignment="1">
      <alignment horizontal="center" vertical="center"/>
    </xf>
    <xf numFmtId="174" fontId="3" fillId="2" borderId="5" xfId="0" applyNumberFormat="1" applyFont="1" applyFill="1" applyBorder="1" applyAlignment="1">
      <alignment horizontal="center" vertical="center"/>
    </xf>
    <xf numFmtId="174" fontId="3" fillId="2" borderId="0" xfId="0" applyNumberFormat="1" applyFont="1" applyFill="1" applyAlignment="1">
      <alignment horizontal="center" vertical="center"/>
    </xf>
    <xf numFmtId="0" fontId="0" fillId="2" borderId="0" xfId="0" applyFill="1" applyAlignment="1">
      <alignment horizontal="center" vertical="center"/>
    </xf>
    <xf numFmtId="0" fontId="3" fillId="2" borderId="5"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fill" vertical="center"/>
    </xf>
    <xf numFmtId="0" fontId="3" fillId="2" borderId="10" xfId="0" applyFont="1" applyFill="1" applyBorder="1" applyAlignment="1">
      <alignment horizontal="fill" vertical="center" wrapText="1"/>
    </xf>
    <xf numFmtId="0" fontId="3" fillId="2" borderId="10" xfId="0" applyFont="1" applyFill="1" applyBorder="1" applyAlignment="1">
      <alignment horizontal="fill" vertical="center"/>
    </xf>
    <xf numFmtId="0" fontId="3" fillId="2" borderId="13" xfId="0" applyFont="1" applyFill="1" applyBorder="1" applyAlignment="1">
      <alignment horizontal="fill" vertical="center"/>
    </xf>
    <xf numFmtId="0" fontId="3" fillId="2" borderId="15" xfId="0" applyFont="1" applyFill="1" applyBorder="1" applyAlignment="1">
      <alignment horizontal="fill" vertical="center"/>
    </xf>
    <xf numFmtId="0" fontId="12" fillId="2" borderId="13" xfId="0" applyFont="1" applyFill="1" applyBorder="1" applyAlignment="1">
      <alignment horizontal="left" vertical="center"/>
    </xf>
    <xf numFmtId="0" fontId="12" fillId="2" borderId="3" xfId="0" applyFont="1" applyFill="1" applyBorder="1" applyAlignment="1">
      <alignment horizontal="center"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6" xfId="0" applyFont="1" applyFill="1" applyBorder="1" applyAlignment="1">
      <alignment vertical="center"/>
    </xf>
    <xf numFmtId="0" fontId="3" fillId="2" borderId="12" xfId="0" applyFont="1" applyFill="1" applyBorder="1" applyAlignment="1">
      <alignment vertical="center"/>
    </xf>
    <xf numFmtId="0" fontId="4" fillId="2" borderId="13" xfId="0" applyFont="1" applyFill="1" applyBorder="1" applyAlignment="1">
      <alignment horizontal="left" vertical="center"/>
    </xf>
    <xf numFmtId="0" fontId="0" fillId="2" borderId="0" xfId="0" applyFill="1" applyAlignment="1">
      <alignment horizontal="center" vertical="center" wrapText="1"/>
    </xf>
    <xf numFmtId="0" fontId="3" fillId="0" borderId="0" xfId="0" applyFont="1" applyAlignment="1" applyProtection="1">
      <alignment horizontal="left" vertical="center"/>
      <protection locked="0"/>
    </xf>
    <xf numFmtId="3" fontId="3" fillId="2" borderId="16" xfId="0" applyNumberFormat="1" applyFont="1" applyFill="1" applyBorder="1" applyAlignment="1">
      <alignment vertical="center"/>
    </xf>
    <xf numFmtId="3" fontId="3" fillId="2" borderId="14" xfId="0" applyNumberFormat="1" applyFont="1" applyFill="1" applyBorder="1" applyAlignment="1">
      <alignment vertical="center"/>
    </xf>
    <xf numFmtId="3" fontId="3" fillId="2" borderId="3" xfId="141" applyNumberFormat="1" applyFont="1" applyFill="1" applyBorder="1" applyAlignment="1">
      <alignment horizontal="center" vertical="center"/>
    </xf>
    <xf numFmtId="3" fontId="3" fillId="4" borderId="3" xfId="141" applyNumberFormat="1" applyFont="1" applyFill="1" applyBorder="1" applyAlignment="1" applyProtection="1">
      <alignment horizontal="center" vertical="center"/>
      <protection locked="0"/>
    </xf>
    <xf numFmtId="174" fontId="3" fillId="2" borderId="3" xfId="141" applyNumberFormat="1" applyFont="1" applyFill="1" applyBorder="1" applyAlignment="1">
      <alignment horizontal="center" vertical="center"/>
    </xf>
    <xf numFmtId="3" fontId="3" fillId="2" borderId="0" xfId="141" applyNumberFormat="1" applyFont="1" applyFill="1" applyAlignment="1">
      <alignment horizontal="center" vertical="center"/>
    </xf>
    <xf numFmtId="3" fontId="3" fillId="11" borderId="3" xfId="141" applyNumberFormat="1" applyFont="1" applyFill="1" applyBorder="1" applyAlignment="1" applyProtection="1">
      <alignment horizontal="center" vertical="center"/>
      <protection locked="0"/>
    </xf>
    <xf numFmtId="37" fontId="3" fillId="2" borderId="0" xfId="141" applyNumberFormat="1" applyFont="1" applyFill="1" applyAlignment="1" applyProtection="1">
      <alignment vertical="center"/>
      <protection locked="0"/>
    </xf>
    <xf numFmtId="0" fontId="4" fillId="2" borderId="0" xfId="141" applyFont="1" applyFill="1" applyAlignment="1">
      <alignment horizontal="center" vertical="center"/>
    </xf>
    <xf numFmtId="0" fontId="3" fillId="2" borderId="0" xfId="141" applyFont="1" applyFill="1" applyAlignment="1">
      <alignment vertical="center"/>
    </xf>
    <xf numFmtId="0" fontId="3" fillId="2" borderId="0" xfId="141" applyFont="1" applyFill="1" applyAlignment="1" applyProtection="1">
      <alignment vertical="center"/>
      <protection locked="0"/>
    </xf>
    <xf numFmtId="37" fontId="3" fillId="2" borderId="0" xfId="141" applyNumberFormat="1" applyFont="1" applyFill="1" applyAlignment="1">
      <alignment vertical="center"/>
    </xf>
    <xf numFmtId="0" fontId="3" fillId="2" borderId="13" xfId="141" applyFont="1" applyFill="1" applyBorder="1" applyAlignment="1">
      <alignment horizontal="left" vertical="center"/>
    </xf>
    <xf numFmtId="0" fontId="4" fillId="2" borderId="13" xfId="141" applyFont="1" applyFill="1" applyBorder="1" applyAlignment="1">
      <alignment horizontal="left" vertical="center"/>
    </xf>
    <xf numFmtId="0" fontId="3" fillId="2" borderId="16" xfId="141" applyFont="1" applyFill="1" applyBorder="1" applyAlignment="1">
      <alignment horizontal="left" vertical="center"/>
    </xf>
    <xf numFmtId="0" fontId="3" fillId="2" borderId="14" xfId="141" applyFont="1" applyFill="1" applyBorder="1" applyAlignment="1">
      <alignment horizontal="left" vertical="center"/>
    </xf>
    <xf numFmtId="0" fontId="3" fillId="2" borderId="3" xfId="141" applyFont="1" applyFill="1" applyBorder="1" applyAlignment="1">
      <alignment vertical="center"/>
    </xf>
    <xf numFmtId="0" fontId="3" fillId="2" borderId="11" xfId="141" applyFont="1" applyFill="1" applyBorder="1" applyAlignment="1">
      <alignment vertical="center"/>
    </xf>
    <xf numFmtId="0" fontId="3" fillId="2" borderId="5" xfId="141" applyFont="1" applyFill="1" applyBorder="1" applyAlignment="1">
      <alignment horizontal="center" vertical="center" wrapText="1"/>
    </xf>
    <xf numFmtId="37" fontId="3" fillId="2" borderId="13" xfId="141" applyNumberFormat="1" applyFont="1" applyFill="1" applyBorder="1" applyAlignment="1">
      <alignment horizontal="left" vertical="center"/>
    </xf>
    <xf numFmtId="174" fontId="3" fillId="2" borderId="16" xfId="141" applyNumberFormat="1" applyFont="1" applyFill="1" applyBorder="1" applyAlignment="1">
      <alignment horizontal="center" vertical="center"/>
    </xf>
    <xf numFmtId="174" fontId="3" fillId="2" borderId="14" xfId="141" applyNumberFormat="1" applyFont="1" applyFill="1" applyBorder="1" applyAlignment="1">
      <alignment horizontal="center" vertical="center"/>
    </xf>
    <xf numFmtId="37" fontId="3" fillId="2" borderId="0" xfId="141" applyNumberFormat="1" applyFont="1" applyFill="1" applyAlignment="1">
      <alignment horizontal="left" vertical="center"/>
    </xf>
    <xf numFmtId="174" fontId="3" fillId="2" borderId="0" xfId="141" applyNumberFormat="1" applyFont="1" applyFill="1" applyAlignment="1">
      <alignment horizontal="center" vertical="center"/>
    </xf>
    <xf numFmtId="174" fontId="3" fillId="2" borderId="5" xfId="141" applyNumberFormat="1" applyFont="1" applyFill="1" applyBorder="1" applyAlignment="1">
      <alignment horizontal="center" vertical="center"/>
    </xf>
    <xf numFmtId="37" fontId="3" fillId="2" borderId="13" xfId="141" applyNumberFormat="1" applyFont="1" applyFill="1" applyBorder="1" applyAlignment="1">
      <alignment vertical="center"/>
    </xf>
    <xf numFmtId="0" fontId="3" fillId="2" borderId="0" xfId="141" applyFont="1" applyFill="1" applyAlignment="1">
      <alignment horizontal="right" vertical="center"/>
    </xf>
    <xf numFmtId="0" fontId="2" fillId="2" borderId="0" xfId="141" applyFill="1" applyAlignment="1">
      <alignment vertical="center"/>
    </xf>
    <xf numFmtId="0" fontId="2" fillId="2" borderId="0" xfId="141" applyFill="1" applyAlignment="1">
      <alignment horizontal="center" vertical="center"/>
    </xf>
    <xf numFmtId="0" fontId="3" fillId="2" borderId="0" xfId="141" applyFont="1" applyFill="1" applyAlignment="1">
      <alignment horizontal="center" vertical="center"/>
    </xf>
    <xf numFmtId="3" fontId="3" fillId="12" borderId="3" xfId="141" applyNumberFormat="1" applyFont="1" applyFill="1" applyBorder="1" applyAlignment="1">
      <alignment horizontal="center" vertical="center"/>
    </xf>
    <xf numFmtId="37" fontId="3" fillId="2" borderId="5" xfId="0" applyNumberFormat="1" applyFont="1" applyFill="1" applyBorder="1" applyAlignment="1">
      <alignment horizontal="left" vertical="center"/>
    </xf>
    <xf numFmtId="37" fontId="3" fillId="2" borderId="16" xfId="0" applyNumberFormat="1" applyFont="1" applyFill="1" applyBorder="1" applyAlignment="1">
      <alignment horizontal="left" vertical="center"/>
    </xf>
    <xf numFmtId="37" fontId="4" fillId="2" borderId="0" xfId="0" applyNumberFormat="1" applyFont="1" applyFill="1" applyAlignment="1">
      <alignment horizontal="left" vertical="center"/>
    </xf>
    <xf numFmtId="3" fontId="3" fillId="2" borderId="0" xfId="0" applyNumberFormat="1" applyFont="1" applyFill="1" applyAlignment="1" applyProtection="1">
      <alignment vertical="center"/>
      <protection locked="0"/>
    </xf>
    <xf numFmtId="0" fontId="12" fillId="2" borderId="0" xfId="0" applyFont="1" applyFill="1" applyAlignment="1">
      <alignment horizontal="center" vertical="center"/>
    </xf>
    <xf numFmtId="0" fontId="0" fillId="2" borderId="10" xfId="0" applyFill="1" applyBorder="1" applyAlignment="1">
      <alignment vertical="center"/>
    </xf>
    <xf numFmtId="0" fontId="0" fillId="2" borderId="5" xfId="0" applyFill="1" applyBorder="1" applyAlignment="1">
      <alignment vertical="center"/>
    </xf>
    <xf numFmtId="3" fontId="3" fillId="2" borderId="10" xfId="0" applyNumberFormat="1" applyFont="1" applyFill="1" applyBorder="1" applyAlignment="1">
      <alignment vertical="center"/>
    </xf>
    <xf numFmtId="37" fontId="3" fillId="7" borderId="0" xfId="0" applyNumberFormat="1" applyFont="1" applyFill="1" applyAlignment="1">
      <alignment horizontal="left" vertical="center"/>
    </xf>
    <xf numFmtId="0" fontId="3" fillId="7" borderId="0" xfId="0" applyFont="1" applyFill="1" applyAlignment="1">
      <alignment vertical="center"/>
    </xf>
    <xf numFmtId="172" fontId="3" fillId="7" borderId="0" xfId="0" applyNumberFormat="1" applyFont="1" applyFill="1" applyAlignment="1" applyProtection="1">
      <alignment vertical="center"/>
      <protection locked="0"/>
    </xf>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16" fillId="2" borderId="0" xfId="0" applyFont="1" applyFill="1" applyAlignment="1">
      <alignment vertical="center"/>
    </xf>
    <xf numFmtId="0" fontId="17" fillId="2" borderId="0" xfId="0" applyFont="1" applyFill="1" applyAlignment="1">
      <alignment vertical="center"/>
    </xf>
    <xf numFmtId="0" fontId="4" fillId="2" borderId="0" xfId="0" applyFont="1" applyFill="1" applyAlignment="1">
      <alignment horizontal="left" vertical="center"/>
    </xf>
    <xf numFmtId="0" fontId="4" fillId="5" borderId="3" xfId="0" applyFont="1" applyFill="1" applyBorder="1" applyAlignment="1" applyProtection="1">
      <alignment horizontal="center" vertical="center"/>
      <protection locked="0"/>
    </xf>
    <xf numFmtId="0" fontId="5" fillId="9" borderId="1" xfId="0" applyFont="1" applyFill="1" applyBorder="1" applyAlignment="1">
      <alignment horizontal="center" vertical="center"/>
    </xf>
    <xf numFmtId="0" fontId="3" fillId="9" borderId="2" xfId="0" applyFont="1" applyFill="1" applyBorder="1" applyAlignment="1">
      <alignment horizontal="center" vertical="center"/>
    </xf>
    <xf numFmtId="164" fontId="3" fillId="5" borderId="3" xfId="0" applyNumberFormat="1"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9" borderId="16" xfId="0" applyFont="1" applyFill="1" applyBorder="1" applyAlignment="1">
      <alignment vertical="center"/>
    </xf>
    <xf numFmtId="0" fontId="3" fillId="2" borderId="14"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3" fontId="23" fillId="6" borderId="0" xfId="0" applyNumberFormat="1" applyFont="1" applyFill="1" applyAlignment="1">
      <alignment horizontal="center" vertical="center"/>
    </xf>
    <xf numFmtId="3" fontId="23" fillId="12" borderId="0" xfId="0" applyNumberFormat="1" applyFont="1" applyFill="1" applyAlignment="1">
      <alignment horizontal="center" vertical="center"/>
    </xf>
    <xf numFmtId="0" fontId="3" fillId="2" borderId="0" xfId="121" applyFont="1" applyFill="1" applyAlignment="1">
      <alignment horizontal="centerContinuous" vertical="center"/>
    </xf>
    <xf numFmtId="37" fontId="3" fillId="2" borderId="0" xfId="121" applyNumberFormat="1" applyFont="1" applyFill="1" applyAlignment="1">
      <alignment horizontal="centerContinuous" vertical="center"/>
    </xf>
    <xf numFmtId="37" fontId="3" fillId="14" borderId="0" xfId="121" applyNumberFormat="1" applyFont="1" applyFill="1" applyAlignment="1">
      <alignment horizontal="centerContinuous" vertical="center"/>
    </xf>
    <xf numFmtId="0" fontId="3" fillId="14" borderId="0" xfId="121" applyFont="1" applyFill="1" applyAlignment="1">
      <alignment horizontal="centerContinuous" vertical="center"/>
    </xf>
    <xf numFmtId="0" fontId="14" fillId="0" borderId="0" xfId="0" applyFont="1" applyAlignment="1">
      <alignment horizontal="center"/>
    </xf>
    <xf numFmtId="0" fontId="2" fillId="0" borderId="0" xfId="0" applyFont="1"/>
    <xf numFmtId="0" fontId="21" fillId="0" borderId="0" xfId="0" applyFont="1"/>
    <xf numFmtId="0" fontId="21" fillId="0" borderId="0" xfId="0" applyFont="1" applyAlignment="1">
      <alignment horizontal="center"/>
    </xf>
    <xf numFmtId="0" fontId="3" fillId="14" borderId="0" xfId="0" applyFont="1" applyFill="1" applyAlignment="1" applyProtection="1">
      <alignment vertical="center"/>
      <protection locked="0"/>
    </xf>
    <xf numFmtId="0" fontId="3" fillId="14" borderId="0" xfId="141" applyFont="1" applyFill="1" applyAlignment="1" applyProtection="1">
      <alignment vertical="center"/>
      <protection locked="0"/>
    </xf>
    <xf numFmtId="3" fontId="3" fillId="15" borderId="3" xfId="141" applyNumberFormat="1" applyFont="1" applyFill="1" applyBorder="1" applyAlignment="1">
      <alignment horizontal="center" vertical="center"/>
    </xf>
    <xf numFmtId="3" fontId="3" fillId="16" borderId="3" xfId="141" applyNumberFormat="1" applyFont="1" applyFill="1" applyBorder="1" applyAlignment="1">
      <alignment horizontal="center" vertical="center"/>
    </xf>
    <xf numFmtId="0" fontId="3" fillId="2" borderId="0" xfId="0" applyFont="1" applyFill="1"/>
    <xf numFmtId="0" fontId="37" fillId="2" borderId="0" xfId="0" applyFont="1" applyFill="1" applyAlignment="1" applyProtection="1">
      <alignment horizontal="right" vertical="center"/>
      <protection locked="0"/>
    </xf>
    <xf numFmtId="0" fontId="6" fillId="2" borderId="0" xfId="0" applyFont="1" applyFill="1" applyAlignment="1" applyProtection="1">
      <alignment horizontal="left" vertical="center"/>
      <protection locked="0"/>
    </xf>
    <xf numFmtId="1" fontId="3" fillId="2" borderId="7" xfId="0" applyNumberFormat="1" applyFont="1" applyFill="1" applyBorder="1" applyAlignment="1">
      <alignment horizontal="center" vertical="center"/>
    </xf>
    <xf numFmtId="37" fontId="3" fillId="2" borderId="7" xfId="0" applyNumberFormat="1" applyFont="1" applyFill="1" applyBorder="1" applyAlignment="1">
      <alignment horizontal="center" vertical="center"/>
    </xf>
    <xf numFmtId="0" fontId="3" fillId="2" borderId="9" xfId="0" applyFont="1" applyFill="1" applyBorder="1" applyAlignment="1">
      <alignment horizontal="center" vertical="center"/>
    </xf>
    <xf numFmtId="3" fontId="3" fillId="5" borderId="13" xfId="0" applyNumberFormat="1" applyFont="1" applyFill="1" applyBorder="1" applyAlignment="1" applyProtection="1">
      <alignment vertical="center"/>
      <protection locked="0"/>
    </xf>
    <xf numFmtId="3" fontId="3" fillId="2" borderId="13" xfId="0" applyNumberFormat="1" applyFont="1" applyFill="1" applyBorder="1" applyAlignment="1">
      <alignment vertical="center"/>
    </xf>
    <xf numFmtId="3" fontId="16" fillId="6" borderId="13" xfId="0" applyNumberFormat="1" applyFont="1" applyFill="1" applyBorder="1" applyAlignment="1">
      <alignment horizontal="center" vertical="center"/>
    </xf>
    <xf numFmtId="3" fontId="3" fillId="2" borderId="13" xfId="0" applyNumberFormat="1" applyFont="1" applyFill="1" applyBorder="1" applyAlignment="1">
      <alignment horizontal="right" vertical="center"/>
    </xf>
    <xf numFmtId="3" fontId="3" fillId="5" borderId="13" xfId="0" applyNumberFormat="1" applyFont="1" applyFill="1" applyBorder="1" applyAlignment="1" applyProtection="1">
      <alignment horizontal="right" vertical="center"/>
      <protection locked="0"/>
    </xf>
    <xf numFmtId="3" fontId="3" fillId="2" borderId="13" xfId="1" applyNumberFormat="1" applyFont="1" applyFill="1" applyBorder="1" applyAlignment="1" applyProtection="1">
      <alignment horizontal="right" vertical="center"/>
    </xf>
    <xf numFmtId="14" fontId="3" fillId="4" borderId="3" xfId="0" applyNumberFormat="1" applyFont="1" applyFill="1" applyBorder="1" applyAlignment="1" applyProtection="1">
      <alignment horizontal="left" vertical="center"/>
      <protection locked="0"/>
    </xf>
    <xf numFmtId="14" fontId="3" fillId="5" borderId="3" xfId="0" applyNumberFormat="1" applyFont="1" applyFill="1" applyBorder="1" applyAlignment="1" applyProtection="1">
      <alignment vertical="center"/>
      <protection locked="0"/>
    </xf>
    <xf numFmtId="0" fontId="26" fillId="0" borderId="0" xfId="0" applyFont="1" applyAlignment="1">
      <alignment horizontal="center" vertical="center"/>
    </xf>
    <xf numFmtId="0" fontId="4" fillId="0" borderId="0" xfId="0" applyFont="1" applyAlignment="1">
      <alignment vertical="center" wrapText="1"/>
    </xf>
    <xf numFmtId="0" fontId="38" fillId="0" borderId="0" xfId="0" applyFont="1" applyAlignment="1">
      <alignment vertical="center"/>
    </xf>
    <xf numFmtId="0" fontId="39" fillId="0" borderId="0" xfId="0" applyFont="1" applyAlignment="1">
      <alignment wrapText="1"/>
    </xf>
    <xf numFmtId="0" fontId="38" fillId="0" borderId="0" xfId="0" applyFont="1" applyAlignment="1">
      <alignment vertical="center" wrapText="1"/>
    </xf>
    <xf numFmtId="0" fontId="4" fillId="0" borderId="0" xfId="0" applyFont="1" applyAlignment="1">
      <alignment wrapText="1"/>
    </xf>
    <xf numFmtId="0" fontId="39" fillId="0" borderId="0" xfId="0" applyFont="1" applyAlignment="1">
      <alignment vertical="center" wrapText="1"/>
    </xf>
    <xf numFmtId="0" fontId="40" fillId="2" borderId="0" xfId="0" applyFont="1" applyFill="1" applyAlignment="1">
      <alignment horizontal="center" vertical="center"/>
    </xf>
    <xf numFmtId="3" fontId="16" fillId="6" borderId="3" xfId="0" applyNumberFormat="1" applyFont="1" applyFill="1" applyBorder="1" applyAlignment="1">
      <alignment horizontal="center" vertical="center"/>
    </xf>
    <xf numFmtId="37" fontId="4" fillId="2" borderId="0" xfId="0" applyNumberFormat="1" applyFont="1" applyFill="1" applyAlignment="1">
      <alignment vertical="center"/>
    </xf>
    <xf numFmtId="0" fontId="18" fillId="2" borderId="0" xfId="0" applyFont="1" applyFill="1" applyAlignment="1">
      <alignment horizontal="center" vertical="center"/>
    </xf>
    <xf numFmtId="174" fontId="3" fillId="11" borderId="15" xfId="0" applyNumberFormat="1" applyFont="1" applyFill="1" applyBorder="1" applyAlignment="1" applyProtection="1">
      <alignment horizontal="center"/>
      <protection locked="0"/>
    </xf>
    <xf numFmtId="0" fontId="3" fillId="0" borderId="0" xfId="0" applyFont="1"/>
    <xf numFmtId="0" fontId="3" fillId="12" borderId="5" xfId="0" applyFont="1" applyFill="1" applyBorder="1"/>
    <xf numFmtId="0" fontId="3" fillId="12" borderId="9" xfId="0" applyFont="1" applyFill="1" applyBorder="1"/>
    <xf numFmtId="175" fontId="3" fillId="14" borderId="10" xfId="0" applyNumberFormat="1" applyFont="1" applyFill="1" applyBorder="1" applyAlignment="1">
      <alignment horizontal="center"/>
    </xf>
    <xf numFmtId="175" fontId="3" fillId="12" borderId="10" xfId="0" applyNumberFormat="1" applyFont="1" applyFill="1" applyBorder="1" applyAlignment="1">
      <alignment horizontal="center" vertical="center"/>
    </xf>
    <xf numFmtId="0" fontId="3" fillId="12" borderId="5" xfId="0" applyFont="1" applyFill="1" applyBorder="1" applyAlignment="1">
      <alignment vertical="center"/>
    </xf>
    <xf numFmtId="0" fontId="3" fillId="12" borderId="9" xfId="0" applyFont="1" applyFill="1" applyBorder="1" applyAlignment="1">
      <alignment vertical="center"/>
    </xf>
    <xf numFmtId="175" fontId="3" fillId="12" borderId="15" xfId="0" applyNumberFormat="1" applyFont="1" applyFill="1" applyBorder="1" applyAlignment="1">
      <alignment horizontal="center"/>
    </xf>
    <xf numFmtId="0" fontId="3" fillId="12" borderId="0" xfId="0" applyFont="1" applyFill="1"/>
    <xf numFmtId="0" fontId="3" fillId="12" borderId="11" xfId="0" applyFont="1" applyFill="1" applyBorder="1"/>
    <xf numFmtId="173" fontId="3" fillId="14" borderId="15" xfId="0" applyNumberFormat="1" applyFont="1" applyFill="1" applyBorder="1" applyAlignment="1">
      <alignment horizontal="center"/>
    </xf>
    <xf numFmtId="0" fontId="3" fillId="14" borderId="15" xfId="0" applyFont="1" applyFill="1" applyBorder="1"/>
    <xf numFmtId="0" fontId="3" fillId="14" borderId="11" xfId="0" applyFont="1" applyFill="1" applyBorder="1"/>
    <xf numFmtId="175" fontId="3" fillId="12" borderId="10" xfId="0" applyNumberFormat="1" applyFont="1" applyFill="1" applyBorder="1" applyAlignment="1">
      <alignment horizontal="center"/>
    </xf>
    <xf numFmtId="0" fontId="3" fillId="14" borderId="5" xfId="0" applyFont="1" applyFill="1" applyBorder="1"/>
    <xf numFmtId="0" fontId="3" fillId="14" borderId="9" xfId="0" applyFont="1" applyFill="1" applyBorder="1"/>
    <xf numFmtId="175" fontId="3" fillId="14" borderId="15" xfId="0" applyNumberFormat="1" applyFont="1" applyFill="1" applyBorder="1" applyAlignment="1">
      <alignment horizontal="center"/>
    </xf>
    <xf numFmtId="0" fontId="3" fillId="14" borderId="0" xfId="0" applyFont="1" applyFill="1"/>
    <xf numFmtId="0" fontId="7" fillId="14" borderId="11" xfId="0" applyFont="1" applyFill="1" applyBorder="1"/>
    <xf numFmtId="3" fontId="3" fillId="11" borderId="3" xfId="0" applyNumberFormat="1" applyFont="1" applyFill="1" applyBorder="1" applyAlignment="1" applyProtection="1">
      <alignment horizontal="right" vertical="center"/>
      <protection locked="0"/>
    </xf>
    <xf numFmtId="0" fontId="3" fillId="11" borderId="13" xfId="0" applyFont="1" applyFill="1" applyBorder="1" applyAlignment="1" applyProtection="1">
      <alignment horizontal="left" vertical="center"/>
      <protection locked="0"/>
    </xf>
    <xf numFmtId="174" fontId="3" fillId="2" borderId="3" xfId="0" applyNumberFormat="1" applyFont="1" applyFill="1" applyBorder="1" applyAlignment="1">
      <alignment vertical="center"/>
    </xf>
    <xf numFmtId="0" fontId="3" fillId="2" borderId="0" xfId="69" applyFont="1" applyFill="1" applyAlignment="1">
      <alignment horizontal="right" vertical="center"/>
    </xf>
    <xf numFmtId="37" fontId="3" fillId="2" borderId="0" xfId="31" applyNumberFormat="1" applyFont="1" applyFill="1" applyAlignment="1">
      <alignment horizontal="right" vertical="center"/>
    </xf>
    <xf numFmtId="0" fontId="41" fillId="2" borderId="0" xfId="31" applyFont="1" applyFill="1" applyAlignment="1">
      <alignment horizontal="center" vertical="center"/>
    </xf>
    <xf numFmtId="0" fontId="3" fillId="2" borderId="3" xfId="577" applyFont="1" applyFill="1" applyBorder="1" applyAlignment="1">
      <alignment vertical="center"/>
    </xf>
    <xf numFmtId="3" fontId="3" fillId="2" borderId="3" xfId="577" applyNumberFormat="1" applyFont="1" applyFill="1" applyBorder="1" applyAlignment="1">
      <alignment vertical="center"/>
    </xf>
    <xf numFmtId="0" fontId="3" fillId="2" borderId="0" xfId="577" applyFont="1" applyFill="1" applyAlignment="1" applyProtection="1">
      <alignment horizontal="left" vertical="center"/>
      <protection locked="0"/>
    </xf>
    <xf numFmtId="3" fontId="4" fillId="2" borderId="3" xfId="577" applyNumberFormat="1" applyFont="1" applyFill="1" applyBorder="1" applyAlignment="1" applyProtection="1">
      <alignment horizontal="center" vertical="center"/>
      <protection locked="0"/>
    </xf>
    <xf numFmtId="0" fontId="3" fillId="2" borderId="0" xfId="0" applyFont="1" applyFill="1" applyAlignment="1" applyProtection="1">
      <alignment horizontal="fill" vertical="center"/>
      <protection locked="0"/>
    </xf>
    <xf numFmtId="37" fontId="3" fillId="2" borderId="10" xfId="0" applyNumberFormat="1" applyFont="1" applyFill="1" applyBorder="1" applyAlignment="1">
      <alignment horizontal="fill" vertical="center"/>
    </xf>
    <xf numFmtId="3" fontId="3" fillId="2" borderId="2" xfId="0" applyNumberFormat="1" applyFont="1" applyFill="1" applyBorder="1" applyAlignment="1">
      <alignment horizontal="right" vertical="center"/>
    </xf>
    <xf numFmtId="164" fontId="3" fillId="2" borderId="3" xfId="0" applyNumberFormat="1" applyFont="1" applyFill="1" applyBorder="1" applyAlignment="1">
      <alignment horizontal="right" vertical="center"/>
    </xf>
    <xf numFmtId="37" fontId="3" fillId="2" borderId="3" xfId="0"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37" fontId="3" fillId="2" borderId="1" xfId="0" applyNumberFormat="1" applyFont="1" applyFill="1" applyBorder="1" applyAlignment="1">
      <alignment horizontal="right" vertical="center"/>
    </xf>
    <xf numFmtId="164" fontId="3" fillId="2" borderId="1" xfId="0" applyNumberFormat="1" applyFont="1" applyFill="1" applyBorder="1" applyAlignment="1">
      <alignment horizontal="right" vertical="center"/>
    </xf>
    <xf numFmtId="177" fontId="3" fillId="5" borderId="3" xfId="0" applyNumberFormat="1" applyFont="1" applyFill="1" applyBorder="1" applyAlignment="1" applyProtection="1">
      <alignment vertical="center"/>
      <protection locked="0"/>
    </xf>
    <xf numFmtId="49" fontId="3" fillId="5" borderId="3" xfId="0" applyNumberFormat="1" applyFont="1" applyFill="1" applyBorder="1" applyAlignment="1" applyProtection="1">
      <alignment horizontal="center" vertical="center"/>
      <protection locked="0"/>
    </xf>
    <xf numFmtId="177" fontId="3" fillId="2" borderId="0" xfId="31" applyNumberFormat="1" applyFont="1" applyFill="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175" fontId="32" fillId="0" borderId="0" xfId="0" applyNumberFormat="1" applyFont="1" applyAlignment="1">
      <alignment horizontal="center" vertical="center"/>
    </xf>
    <xf numFmtId="0" fontId="32" fillId="0" borderId="0" xfId="0" applyFont="1" applyAlignment="1">
      <alignment vertical="center"/>
    </xf>
    <xf numFmtId="0" fontId="31" fillId="0" borderId="0" xfId="0" applyFont="1" applyAlignment="1">
      <alignment horizontal="center" vertical="center"/>
    </xf>
    <xf numFmtId="0" fontId="7" fillId="2" borderId="11" xfId="0" applyFont="1" applyFill="1" applyBorder="1" applyAlignment="1">
      <alignment vertical="center"/>
    </xf>
    <xf numFmtId="0" fontId="7" fillId="2" borderId="0" xfId="0" applyFont="1" applyFill="1" applyAlignment="1">
      <alignment vertical="center"/>
    </xf>
    <xf numFmtId="175" fontId="7" fillId="2" borderId="15" xfId="0" applyNumberFormat="1" applyFont="1" applyFill="1" applyBorder="1" applyAlignment="1">
      <alignment horizontal="center" vertical="center"/>
    </xf>
    <xf numFmtId="0" fontId="7" fillId="2" borderId="11" xfId="0" applyFont="1" applyFill="1" applyBorder="1" applyAlignment="1">
      <alignment horizontal="left" vertical="center"/>
    </xf>
    <xf numFmtId="175" fontId="7" fillId="4" borderId="3" xfId="0" applyNumberFormat="1" applyFont="1" applyFill="1" applyBorder="1" applyAlignment="1" applyProtection="1">
      <alignment horizontal="center" vertical="center"/>
      <protection locked="0"/>
    </xf>
    <xf numFmtId="0" fontId="32" fillId="2" borderId="14" xfId="0" applyFont="1" applyFill="1" applyBorder="1" applyAlignment="1">
      <alignment horizontal="center" vertical="center"/>
    </xf>
    <xf numFmtId="0" fontId="32" fillId="6" borderId="11" xfId="0" applyFont="1" applyFill="1" applyBorder="1" applyAlignment="1">
      <alignment vertical="center"/>
    </xf>
    <xf numFmtId="0" fontId="3" fillId="6" borderId="0" xfId="0" applyFont="1" applyFill="1" applyAlignment="1">
      <alignment vertical="center"/>
    </xf>
    <xf numFmtId="0" fontId="7" fillId="6" borderId="0" xfId="0" applyFont="1" applyFill="1" applyAlignment="1">
      <alignment vertical="center"/>
    </xf>
    <xf numFmtId="175" fontId="32" fillId="6" borderId="14" xfId="0" applyNumberFormat="1" applyFont="1" applyFill="1" applyBorder="1" applyAlignment="1">
      <alignment horizontal="center" vertical="center"/>
    </xf>
    <xf numFmtId="37" fontId="7" fillId="2" borderId="9" xfId="0" applyNumberFormat="1" applyFont="1" applyFill="1" applyBorder="1" applyAlignment="1">
      <alignment horizontal="left" vertical="center"/>
    </xf>
    <xf numFmtId="0" fontId="15" fillId="2" borderId="5" xfId="0" applyFont="1" applyFill="1" applyBorder="1" applyAlignment="1">
      <alignment horizontal="left" vertical="center"/>
    </xf>
    <xf numFmtId="175" fontId="32" fillId="6" borderId="10"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xf>
    <xf numFmtId="0" fontId="3" fillId="2" borderId="15" xfId="0" applyFont="1" applyFill="1" applyBorder="1" applyAlignment="1">
      <alignment vertical="center"/>
    </xf>
    <xf numFmtId="175" fontId="7" fillId="2" borderId="11" xfId="0" applyNumberFormat="1" applyFont="1" applyFill="1" applyBorder="1" applyAlignment="1">
      <alignment horizontal="center" vertical="center"/>
    </xf>
    <xf numFmtId="0" fontId="7" fillId="2" borderId="0" xfId="0" applyFont="1" applyFill="1" applyAlignment="1">
      <alignment horizontal="left" vertical="center"/>
    </xf>
    <xf numFmtId="0" fontId="7" fillId="2" borderId="15" xfId="0" applyFont="1" applyFill="1" applyBorder="1" applyAlignment="1">
      <alignment vertical="center"/>
    </xf>
    <xf numFmtId="175" fontId="7" fillId="2" borderId="9" xfId="0" applyNumberFormat="1" applyFont="1" applyFill="1" applyBorder="1" applyAlignment="1">
      <alignment horizontal="center" vertical="center"/>
    </xf>
    <xf numFmtId="175" fontId="7" fillId="2" borderId="11" xfId="0" applyNumberFormat="1" applyFont="1" applyFill="1" applyBorder="1" applyAlignment="1">
      <alignment vertical="center"/>
    </xf>
    <xf numFmtId="175" fontId="32" fillId="6" borderId="9" xfId="0" applyNumberFormat="1" applyFont="1" applyFill="1" applyBorder="1" applyAlignment="1">
      <alignment horizontal="center" vertical="center"/>
    </xf>
    <xf numFmtId="0" fontId="32" fillId="6" borderId="5" xfId="0" applyFont="1" applyFill="1" applyBorder="1" applyAlignment="1">
      <alignment vertical="center"/>
    </xf>
    <xf numFmtId="0" fontId="7" fillId="6" borderId="10" xfId="0" applyFont="1" applyFill="1" applyBorder="1" applyAlignment="1">
      <alignment vertical="center"/>
    </xf>
    <xf numFmtId="0" fontId="3" fillId="6" borderId="10" xfId="0" applyFont="1" applyFill="1" applyBorder="1" applyAlignment="1">
      <alignment vertical="center"/>
    </xf>
    <xf numFmtId="174" fontId="7" fillId="0" borderId="0" xfId="0" applyNumberFormat="1" applyFont="1" applyAlignment="1">
      <alignment horizontal="center" vertical="center"/>
    </xf>
    <xf numFmtId="0" fontId="33" fillId="0" borderId="0" xfId="0" applyFont="1" applyProtection="1">
      <protection locked="0"/>
    </xf>
    <xf numFmtId="0" fontId="34" fillId="0" borderId="0" xfId="0" applyFont="1" applyAlignment="1">
      <alignment vertical="center"/>
    </xf>
    <xf numFmtId="0" fontId="3" fillId="0" borderId="0" xfId="0" applyFont="1" applyProtection="1">
      <protection locked="0"/>
    </xf>
    <xf numFmtId="174" fontId="32" fillId="2" borderId="14" xfId="0" applyNumberFormat="1" applyFont="1" applyFill="1" applyBorder="1" applyAlignment="1">
      <alignment horizontal="center" vertical="center"/>
    </xf>
    <xf numFmtId="37" fontId="3" fillId="2" borderId="15" xfId="0" applyNumberFormat="1" applyFont="1" applyFill="1" applyBorder="1" applyAlignment="1">
      <alignment horizontal="right" vertical="center"/>
    </xf>
    <xf numFmtId="0" fontId="35" fillId="0" borderId="0" xfId="0" applyFont="1" applyAlignment="1">
      <alignment vertical="center"/>
    </xf>
    <xf numFmtId="175" fontId="7" fillId="6" borderId="9" xfId="0" applyNumberFormat="1" applyFont="1" applyFill="1" applyBorder="1" applyAlignment="1">
      <alignment horizontal="center" vertical="center"/>
    </xf>
    <xf numFmtId="0" fontId="7" fillId="6" borderId="5" xfId="0" applyFont="1" applyFill="1" applyBorder="1" applyAlignment="1">
      <alignment vertical="center"/>
    </xf>
    <xf numFmtId="37" fontId="3" fillId="6" borderId="10" xfId="0" applyNumberFormat="1" applyFont="1" applyFill="1" applyBorder="1" applyAlignment="1">
      <alignment horizontal="right" vertical="center"/>
    </xf>
    <xf numFmtId="0" fontId="3" fillId="2" borderId="15" xfId="0" applyFont="1" applyFill="1" applyBorder="1" applyProtection="1">
      <protection locked="0"/>
    </xf>
    <xf numFmtId="0" fontId="33" fillId="0" borderId="0" xfId="0" applyFont="1" applyAlignment="1">
      <alignment vertical="center"/>
    </xf>
    <xf numFmtId="0" fontId="3" fillId="2" borderId="15" xfId="0" applyFont="1" applyFill="1" applyBorder="1" applyAlignment="1" applyProtection="1">
      <alignment vertical="center"/>
      <protection locked="0"/>
    </xf>
    <xf numFmtId="0" fontId="3" fillId="6" borderId="10" xfId="0" applyFont="1" applyFill="1" applyBorder="1" applyProtection="1">
      <protection locked="0"/>
    </xf>
    <xf numFmtId="175" fontId="20" fillId="2" borderId="11" xfId="0" applyNumberFormat="1" applyFont="1" applyFill="1" applyBorder="1" applyAlignment="1">
      <alignment horizontal="center" vertical="center"/>
    </xf>
    <xf numFmtId="175" fontId="20" fillId="2" borderId="11" xfId="0" applyNumberFormat="1" applyFont="1" applyFill="1" applyBorder="1" applyAlignment="1">
      <alignment vertical="center"/>
    </xf>
    <xf numFmtId="175" fontId="20" fillId="2" borderId="9" xfId="0" applyNumberFormat="1" applyFont="1" applyFill="1" applyBorder="1" applyAlignment="1">
      <alignment horizontal="center" vertical="center"/>
    </xf>
    <xf numFmtId="175" fontId="20" fillId="6" borderId="9" xfId="0" applyNumberFormat="1" applyFont="1" applyFill="1" applyBorder="1" applyAlignment="1">
      <alignment horizontal="center" vertical="center"/>
    </xf>
    <xf numFmtId="0" fontId="20" fillId="6" borderId="5" xfId="0" applyFont="1" applyFill="1" applyBorder="1" applyAlignment="1">
      <alignment vertical="center"/>
    </xf>
    <xf numFmtId="10" fontId="3" fillId="5" borderId="3" xfId="0" applyNumberFormat="1" applyFont="1" applyFill="1" applyBorder="1" applyAlignment="1" applyProtection="1">
      <alignment vertical="center"/>
      <protection locked="0"/>
    </xf>
    <xf numFmtId="0" fontId="3" fillId="5" borderId="3" xfId="0" applyFont="1" applyFill="1" applyBorder="1" applyAlignment="1" applyProtection="1">
      <alignment horizontal="left" vertical="center"/>
      <protection locked="0"/>
    </xf>
    <xf numFmtId="37" fontId="3" fillId="4" borderId="3" xfId="0" applyNumberFormat="1" applyFont="1" applyFill="1" applyBorder="1" applyAlignment="1" applyProtection="1">
      <alignment vertical="center"/>
      <protection locked="0"/>
    </xf>
    <xf numFmtId="37" fontId="3" fillId="11" borderId="2" xfId="0" applyNumberFormat="1" applyFont="1" applyFill="1" applyBorder="1" applyAlignment="1" applyProtection="1">
      <alignment vertical="center"/>
      <protection locked="0"/>
    </xf>
    <xf numFmtId="173" fontId="3" fillId="4" borderId="3" xfId="0" applyNumberFormat="1" applyFont="1" applyFill="1" applyBorder="1" applyAlignment="1" applyProtection="1">
      <alignment vertical="center"/>
      <protection locked="0"/>
    </xf>
    <xf numFmtId="0" fontId="3" fillId="0" borderId="0" xfId="0" applyFont="1" applyAlignment="1">
      <alignment horizontal="right" vertical="center"/>
    </xf>
    <xf numFmtId="3" fontId="13" fillId="2" borderId="12" xfId="0" applyNumberFormat="1" applyFont="1" applyFill="1" applyBorder="1" applyAlignment="1">
      <alignment horizontal="center" vertical="center"/>
    </xf>
    <xf numFmtId="0" fontId="3" fillId="14" borderId="0" xfId="33" applyFont="1" applyFill="1" applyAlignment="1">
      <alignment vertical="center"/>
    </xf>
    <xf numFmtId="37" fontId="3" fillId="9" borderId="7" xfId="0" applyNumberFormat="1" applyFont="1" applyFill="1" applyBorder="1" applyAlignment="1">
      <alignment horizontal="left" vertical="center"/>
    </xf>
    <xf numFmtId="37" fontId="3" fillId="9" borderId="9" xfId="0" applyNumberFormat="1" applyFont="1" applyFill="1" applyBorder="1" applyAlignment="1">
      <alignment horizontal="left" vertical="center"/>
    </xf>
    <xf numFmtId="0" fontId="3" fillId="9" borderId="10" xfId="0" applyFont="1" applyFill="1" applyBorder="1" applyAlignment="1">
      <alignment vertical="center"/>
    </xf>
    <xf numFmtId="0" fontId="3" fillId="9" borderId="7" xfId="0" applyFont="1" applyFill="1" applyBorder="1" applyAlignment="1">
      <alignment vertical="center"/>
    </xf>
    <xf numFmtId="0" fontId="3" fillId="9" borderId="9" xfId="0" applyFont="1" applyFill="1" applyBorder="1" applyAlignment="1">
      <alignment vertical="center"/>
    </xf>
    <xf numFmtId="0" fontId="3" fillId="9" borderId="13" xfId="0" applyFont="1" applyFill="1" applyBorder="1" applyAlignment="1">
      <alignment vertical="center"/>
    </xf>
    <xf numFmtId="0" fontId="3" fillId="9" borderId="14" xfId="0" applyFont="1" applyFill="1" applyBorder="1" applyAlignment="1">
      <alignment vertical="center"/>
    </xf>
    <xf numFmtId="0" fontId="4" fillId="8" borderId="13" xfId="0" applyFont="1" applyFill="1" applyBorder="1" applyAlignment="1">
      <alignment horizontal="left" vertical="center"/>
    </xf>
    <xf numFmtId="0" fontId="3" fillId="8" borderId="16" xfId="0" applyFont="1" applyFill="1" applyBorder="1" applyAlignment="1">
      <alignment vertical="center"/>
    </xf>
    <xf numFmtId="0" fontId="3" fillId="8" borderId="14" xfId="0" applyFont="1" applyFill="1" applyBorder="1" applyAlignment="1">
      <alignment vertical="center"/>
    </xf>
    <xf numFmtId="37" fontId="4" fillId="9" borderId="13" xfId="0" applyNumberFormat="1" applyFont="1" applyFill="1" applyBorder="1" applyAlignment="1">
      <alignment horizontal="left" vertical="center"/>
    </xf>
    <xf numFmtId="3" fontId="3" fillId="9" borderId="14" xfId="0" applyNumberFormat="1" applyFont="1" applyFill="1" applyBorder="1" applyAlignment="1">
      <alignment vertical="center"/>
    </xf>
    <xf numFmtId="0" fontId="3" fillId="4" borderId="0" xfId="0" applyFont="1" applyFill="1" applyAlignment="1" applyProtection="1">
      <alignment horizontal="center" vertical="center"/>
      <protection locked="0"/>
    </xf>
    <xf numFmtId="165" fontId="3" fillId="11" borderId="0" xfId="0" applyNumberFormat="1" applyFont="1" applyFill="1" applyAlignment="1" applyProtection="1">
      <alignment horizontal="center" vertical="center"/>
      <protection locked="0"/>
    </xf>
    <xf numFmtId="0" fontId="3" fillId="2" borderId="2" xfId="0" applyFont="1" applyFill="1" applyBorder="1" applyAlignment="1">
      <alignment vertical="center"/>
    </xf>
    <xf numFmtId="0" fontId="3" fillId="15" borderId="10" xfId="0" applyFont="1" applyFill="1" applyBorder="1" applyAlignment="1">
      <alignment vertical="center"/>
    </xf>
    <xf numFmtId="37" fontId="4" fillId="15" borderId="9" xfId="0" applyNumberFormat="1" applyFont="1" applyFill="1" applyBorder="1" applyAlignment="1">
      <alignment horizontal="left" vertical="center"/>
    </xf>
    <xf numFmtId="0" fontId="3" fillId="15" borderId="15" xfId="0" applyFont="1" applyFill="1" applyBorder="1" applyAlignment="1">
      <alignment vertical="center"/>
    </xf>
    <xf numFmtId="37" fontId="4" fillId="15" borderId="11" xfId="0" applyNumberFormat="1" applyFont="1" applyFill="1" applyBorder="1" applyAlignment="1">
      <alignment horizontal="left" vertical="center"/>
    </xf>
    <xf numFmtId="0" fontId="3" fillId="9" borderId="8" xfId="0" applyFont="1" applyFill="1" applyBorder="1" applyAlignment="1">
      <alignment vertical="center"/>
    </xf>
    <xf numFmtId="0" fontId="4" fillId="9" borderId="7" xfId="0" applyFont="1" applyFill="1" applyBorder="1" applyAlignment="1">
      <alignment vertical="center"/>
    </xf>
    <xf numFmtId="176" fontId="3" fillId="12" borderId="10" xfId="0" applyNumberFormat="1" applyFont="1" applyFill="1" applyBorder="1" applyAlignment="1">
      <alignment horizontal="center"/>
    </xf>
    <xf numFmtId="37" fontId="4" fillId="2" borderId="0" xfId="0" applyNumberFormat="1" applyFont="1" applyFill="1" applyAlignment="1">
      <alignment horizontal="center" vertical="center"/>
    </xf>
    <xf numFmtId="167" fontId="3" fillId="14" borderId="0" xfId="0" applyNumberFormat="1" applyFont="1" applyFill="1" applyAlignment="1">
      <alignment vertical="center"/>
    </xf>
    <xf numFmtId="167" fontId="3" fillId="14" borderId="5" xfId="0" applyNumberFormat="1" applyFont="1" applyFill="1" applyBorder="1" applyAlignment="1">
      <alignment vertical="center"/>
    </xf>
    <xf numFmtId="166" fontId="3" fillId="14" borderId="0" xfId="0" applyNumberFormat="1" applyFont="1" applyFill="1" applyAlignment="1">
      <alignment vertical="center"/>
    </xf>
    <xf numFmtId="0" fontId="3" fillId="14" borderId="0" xfId="0" applyFont="1" applyFill="1" applyAlignment="1">
      <alignment horizontal="left" vertical="center"/>
    </xf>
    <xf numFmtId="166" fontId="3" fillId="14" borderId="5" xfId="0" applyNumberFormat="1" applyFont="1" applyFill="1" applyBorder="1" applyAlignment="1">
      <alignment vertical="center"/>
    </xf>
    <xf numFmtId="0" fontId="3" fillId="14" borderId="0" xfId="0" applyFont="1" applyFill="1" applyAlignment="1">
      <alignment horizontal="right" vertical="center"/>
    </xf>
    <xf numFmtId="0" fontId="3" fillId="14" borderId="0" xfId="0" applyFont="1" applyFill="1" applyAlignment="1">
      <alignment vertical="center"/>
    </xf>
    <xf numFmtId="37" fontId="3" fillId="2" borderId="2" xfId="33" applyNumberFormat="1" applyFont="1" applyFill="1" applyBorder="1" applyAlignment="1">
      <alignment horizontal="center" vertical="center"/>
    </xf>
    <xf numFmtId="37" fontId="3" fillId="2" borderId="0" xfId="33" applyNumberFormat="1" applyFont="1" applyFill="1" applyAlignment="1">
      <alignment horizontal="left" vertical="center"/>
    </xf>
    <xf numFmtId="167" fontId="3" fillId="14" borderId="0" xfId="33" applyNumberFormat="1" applyFont="1" applyFill="1" applyAlignment="1">
      <alignment vertical="center"/>
    </xf>
    <xf numFmtId="0" fontId="3" fillId="2" borderId="0" xfId="33" applyFont="1" applyFill="1" applyAlignment="1" applyProtection="1">
      <alignment vertical="center"/>
      <protection locked="0"/>
    </xf>
    <xf numFmtId="0" fontId="8" fillId="10" borderId="0" xfId="0" applyFont="1" applyFill="1" applyAlignment="1">
      <alignment horizontal="right" vertical="center" textRotation="180"/>
    </xf>
    <xf numFmtId="0" fontId="3" fillId="2" borderId="0" xfId="0" applyFont="1" applyFill="1" applyAlignment="1">
      <alignment horizontal="left" vertical="top"/>
    </xf>
    <xf numFmtId="0" fontId="3" fillId="2" borderId="12" xfId="0" applyFont="1" applyFill="1" applyBorder="1" applyAlignment="1">
      <alignment horizontal="left" vertical="top"/>
    </xf>
    <xf numFmtId="0" fontId="3" fillId="2" borderId="8" xfId="0" applyFont="1" applyFill="1" applyBorder="1" applyAlignment="1">
      <alignment horizontal="left" vertical="top"/>
    </xf>
    <xf numFmtId="0" fontId="3" fillId="2" borderId="11" xfId="0" applyFont="1" applyFill="1" applyBorder="1" applyAlignment="1">
      <alignment horizontal="left" vertical="top"/>
    </xf>
    <xf numFmtId="0" fontId="3" fillId="2" borderId="15" xfId="0" applyFont="1" applyFill="1" applyBorder="1" applyAlignment="1">
      <alignment horizontal="left" vertical="top"/>
    </xf>
    <xf numFmtId="0" fontId="3" fillId="2" borderId="9" xfId="0" applyFont="1" applyFill="1" applyBorder="1" applyAlignment="1">
      <alignment horizontal="left" vertical="top"/>
    </xf>
    <xf numFmtId="0" fontId="3" fillId="2" borderId="5" xfId="0" applyFont="1" applyFill="1" applyBorder="1" applyAlignment="1">
      <alignment horizontal="left" vertical="top"/>
    </xf>
    <xf numFmtId="0" fontId="3" fillId="2" borderId="10" xfId="0" applyFont="1" applyFill="1" applyBorder="1" applyAlignment="1">
      <alignment horizontal="left" vertical="top"/>
    </xf>
    <xf numFmtId="0" fontId="4" fillId="2" borderId="7" xfId="0" applyFont="1" applyFill="1" applyBorder="1" applyAlignment="1">
      <alignment horizontal="left" vertical="top"/>
    </xf>
    <xf numFmtId="0" fontId="18" fillId="2" borderId="12" xfId="0" applyFont="1" applyFill="1" applyBorder="1" applyAlignment="1">
      <alignment horizontal="left" vertical="top"/>
    </xf>
    <xf numFmtId="3" fontId="13" fillId="2" borderId="8" xfId="0" applyNumberFormat="1" applyFont="1" applyFill="1" applyBorder="1" applyAlignment="1">
      <alignment horizontal="left" vertical="top"/>
    </xf>
    <xf numFmtId="0" fontId="18" fillId="2" borderId="0" xfId="0" applyFont="1" applyFill="1" applyAlignment="1">
      <alignment horizontal="left" vertical="top"/>
    </xf>
    <xf numFmtId="3" fontId="13" fillId="2" borderId="15" xfId="0" applyNumberFormat="1" applyFont="1" applyFill="1" applyBorder="1" applyAlignment="1">
      <alignment horizontal="left" vertical="top"/>
    </xf>
    <xf numFmtId="0" fontId="18" fillId="2" borderId="5" xfId="0" applyFont="1" applyFill="1" applyBorder="1" applyAlignment="1">
      <alignment horizontal="left" vertical="top"/>
    </xf>
    <xf numFmtId="0" fontId="3" fillId="2" borderId="0" xfId="141" applyFont="1" applyFill="1" applyAlignment="1">
      <alignment horizontal="left" vertical="top"/>
    </xf>
    <xf numFmtId="3" fontId="3" fillId="2" borderId="12" xfId="141" applyNumberFormat="1" applyFont="1" applyFill="1" applyBorder="1" applyAlignment="1">
      <alignment horizontal="left" vertical="top"/>
    </xf>
    <xf numFmtId="0" fontId="3" fillId="2" borderId="12" xfId="141" applyFont="1" applyFill="1" applyBorder="1" applyAlignment="1">
      <alignment horizontal="left" vertical="top"/>
    </xf>
    <xf numFmtId="0" fontId="3" fillId="2" borderId="8" xfId="141" applyFont="1" applyFill="1" applyBorder="1" applyAlignment="1" applyProtection="1">
      <alignment horizontal="left" vertical="top"/>
      <protection locked="0"/>
    </xf>
    <xf numFmtId="0" fontId="3" fillId="2" borderId="11" xfId="141" applyFont="1" applyFill="1" applyBorder="1" applyAlignment="1">
      <alignment horizontal="left" vertical="top"/>
    </xf>
    <xf numFmtId="0" fontId="3" fillId="2" borderId="15" xfId="141" applyFont="1" applyFill="1" applyBorder="1" applyAlignment="1" applyProtection="1">
      <alignment horizontal="left" vertical="top"/>
      <protection locked="0"/>
    </xf>
    <xf numFmtId="0" fontId="3" fillId="2" borderId="9" xfId="141" applyFont="1" applyFill="1" applyBorder="1" applyAlignment="1">
      <alignment horizontal="left" vertical="top"/>
    </xf>
    <xf numFmtId="0" fontId="3" fillId="2" borderId="5" xfId="141" applyFont="1" applyFill="1" applyBorder="1" applyAlignment="1">
      <alignment horizontal="left" vertical="top"/>
    </xf>
    <xf numFmtId="174" fontId="3" fillId="2" borderId="5" xfId="141" applyNumberFormat="1" applyFont="1" applyFill="1" applyBorder="1" applyAlignment="1">
      <alignment horizontal="left" vertical="top"/>
    </xf>
    <xf numFmtId="0" fontId="3" fillId="2" borderId="10" xfId="141" applyFont="1" applyFill="1" applyBorder="1" applyAlignment="1" applyProtection="1">
      <alignment horizontal="left" vertical="top"/>
      <protection locked="0"/>
    </xf>
    <xf numFmtId="0" fontId="3" fillId="0" borderId="0" xfId="0" applyFont="1" applyAlignment="1">
      <alignment vertical="center" wrapText="1"/>
    </xf>
    <xf numFmtId="171" fontId="3" fillId="11" borderId="3" xfId="0" applyNumberFormat="1" applyFont="1" applyFill="1" applyBorder="1" applyAlignment="1" applyProtection="1">
      <alignment vertical="center"/>
      <protection locked="0"/>
    </xf>
    <xf numFmtId="0" fontId="3" fillId="2" borderId="4" xfId="0" applyFont="1" applyFill="1" applyBorder="1" applyAlignment="1">
      <alignment horizontal="left" vertical="center"/>
    </xf>
    <xf numFmtId="0" fontId="19" fillId="2" borderId="0" xfId="0" applyFont="1" applyFill="1" applyAlignment="1" applyProtection="1">
      <alignment vertical="center"/>
      <protection locked="0"/>
    </xf>
    <xf numFmtId="0" fontId="26" fillId="0" borderId="0" xfId="0" applyFont="1" applyAlignment="1">
      <alignment horizontal="center" vertical="center" wrapText="1"/>
    </xf>
    <xf numFmtId="0" fontId="42" fillId="0" borderId="0" xfId="0" applyFont="1" applyAlignment="1">
      <alignment horizontal="center" vertical="center" wrapText="1"/>
    </xf>
    <xf numFmtId="0" fontId="40" fillId="0" borderId="0" xfId="0" applyFont="1" applyAlignment="1">
      <alignment vertical="center" wrapText="1"/>
    </xf>
    <xf numFmtId="0" fontId="4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indent="2"/>
    </xf>
    <xf numFmtId="0" fontId="3" fillId="0" borderId="0" xfId="0" applyFont="1" applyAlignment="1">
      <alignment horizontal="left" vertical="center" wrapText="1"/>
    </xf>
    <xf numFmtId="0" fontId="3" fillId="0" borderId="0" xfId="0" applyFont="1" applyAlignment="1">
      <alignment horizontal="left" vertical="center" indent="2"/>
    </xf>
    <xf numFmtId="0" fontId="45" fillId="0" borderId="0" xfId="0" applyFont="1" applyAlignment="1">
      <alignment horizontal="left" vertical="center" wrapText="1" indent="4"/>
    </xf>
    <xf numFmtId="0" fontId="12" fillId="0" borderId="0" xfId="0" applyFont="1" applyAlignment="1">
      <alignment vertical="center" wrapText="1"/>
    </xf>
    <xf numFmtId="0" fontId="3" fillId="0" borderId="0" xfId="538" applyFont="1" applyAlignment="1">
      <alignment horizontal="left" vertical="center"/>
    </xf>
    <xf numFmtId="0" fontId="47" fillId="19" borderId="0" xfId="538" applyFont="1" applyFill="1" applyAlignment="1">
      <alignment wrapText="1"/>
    </xf>
    <xf numFmtId="0" fontId="3" fillId="0" borderId="0" xfId="0" applyFont="1" applyAlignment="1">
      <alignment horizontal="right"/>
    </xf>
    <xf numFmtId="49" fontId="3" fillId="0" borderId="0" xfId="538" applyNumberFormat="1" applyFont="1" applyAlignment="1" applyProtection="1">
      <alignment horizontal="left" vertical="center"/>
      <protection locked="0"/>
    </xf>
    <xf numFmtId="0" fontId="0" fillId="0" borderId="0" xfId="0" applyAlignment="1">
      <alignment horizontal="left"/>
    </xf>
    <xf numFmtId="0" fontId="9" fillId="0" borderId="0" xfId="538" applyAlignment="1">
      <alignment horizontal="right"/>
    </xf>
    <xf numFmtId="0" fontId="9" fillId="0" borderId="0" xfId="538" applyAlignment="1">
      <alignment horizontal="left"/>
    </xf>
    <xf numFmtId="0" fontId="9" fillId="0" borderId="0" xfId="538"/>
    <xf numFmtId="0" fontId="3" fillId="0" borderId="0" xfId="538" applyFont="1" applyAlignment="1">
      <alignment horizontal="right" vertical="center"/>
    </xf>
    <xf numFmtId="0" fontId="19" fillId="0" borderId="0" xfId="538" applyFont="1" applyAlignment="1">
      <alignment horizontal="left" vertical="center"/>
    </xf>
    <xf numFmtId="0" fontId="5" fillId="0" borderId="0" xfId="0" applyFont="1" applyAlignment="1">
      <alignment vertical="center" wrapText="1"/>
    </xf>
    <xf numFmtId="0" fontId="5" fillId="0" borderId="0" xfId="0" applyFont="1" applyAlignment="1">
      <alignment vertical="center"/>
    </xf>
    <xf numFmtId="0" fontId="5" fillId="0" borderId="0" xfId="33" applyFont="1"/>
    <xf numFmtId="0" fontId="3" fillId="0" borderId="0" xfId="33" applyFont="1" applyAlignment="1">
      <alignment horizontal="left"/>
    </xf>
    <xf numFmtId="0" fontId="3" fillId="0" borderId="0" xfId="33" applyFont="1"/>
    <xf numFmtId="0" fontId="5" fillId="0" borderId="0" xfId="110" applyFont="1" applyAlignment="1">
      <alignment vertical="center"/>
    </xf>
    <xf numFmtId="0" fontId="3" fillId="0" borderId="0" xfId="33" applyFont="1" applyAlignment="1">
      <alignment vertical="center"/>
    </xf>
    <xf numFmtId="0" fontId="3" fillId="0" borderId="0" xfId="33" applyFont="1" applyAlignment="1">
      <alignment horizontal="left" vertical="center"/>
    </xf>
    <xf numFmtId="0" fontId="3" fillId="0" borderId="0" xfId="110" applyFont="1" applyAlignment="1">
      <alignment vertical="center"/>
    </xf>
    <xf numFmtId="0" fontId="3" fillId="0" borderId="0" xfId="69" applyFont="1" applyAlignment="1">
      <alignment vertical="center"/>
    </xf>
    <xf numFmtId="0" fontId="3" fillId="0" borderId="0" xfId="69" applyFont="1" applyAlignment="1">
      <alignment vertical="center" wrapText="1"/>
    </xf>
    <xf numFmtId="0" fontId="5" fillId="0" borderId="0" xfId="109" applyFont="1" applyAlignment="1">
      <alignment vertical="center"/>
    </xf>
    <xf numFmtId="0" fontId="3" fillId="0" borderId="0" xfId="116" applyFont="1" applyAlignment="1">
      <alignment vertical="center"/>
    </xf>
    <xf numFmtId="0" fontId="48" fillId="0" borderId="0" xfId="18" applyFont="1" applyAlignment="1" applyProtection="1"/>
    <xf numFmtId="0" fontId="3" fillId="0" borderId="5" xfId="0" applyFont="1" applyBorder="1"/>
    <xf numFmtId="0" fontId="3" fillId="0" borderId="0" xfId="0" applyFont="1" applyAlignment="1">
      <alignment horizontal="left" wrapText="1"/>
    </xf>
    <xf numFmtId="173" fontId="3" fillId="2" borderId="3" xfId="0" applyNumberFormat="1" applyFont="1" applyFill="1" applyBorder="1" applyAlignment="1">
      <alignment horizontal="centerContinuous" vertical="center"/>
    </xf>
    <xf numFmtId="173" fontId="3" fillId="2" borderId="3" xfId="0" applyNumberFormat="1" applyFont="1" applyFill="1" applyBorder="1" applyAlignment="1">
      <alignment horizontal="center" vertical="center"/>
    </xf>
    <xf numFmtId="49" fontId="3" fillId="2" borderId="0" xfId="0" applyNumberFormat="1" applyFont="1" applyFill="1" applyAlignment="1" applyProtection="1">
      <alignment horizontal="left" vertical="center"/>
      <protection locked="0"/>
    </xf>
    <xf numFmtId="0" fontId="12" fillId="0" borderId="0" xfId="0" applyFont="1" applyAlignment="1">
      <alignment horizontal="center"/>
    </xf>
    <xf numFmtId="0" fontId="3" fillId="0" borderId="0" xfId="0" quotePrefix="1" applyFont="1"/>
    <xf numFmtId="0" fontId="4" fillId="0" borderId="0" xfId="0" applyFont="1"/>
    <xf numFmtId="0" fontId="3" fillId="0" borderId="0" xfId="226" applyFont="1"/>
    <xf numFmtId="0" fontId="46" fillId="0" borderId="0" xfId="0" applyFont="1" applyAlignment="1">
      <alignment horizontal="center"/>
    </xf>
    <xf numFmtId="3" fontId="3" fillId="2" borderId="4" xfId="0" applyNumberFormat="1" applyFont="1" applyFill="1" applyBorder="1" applyAlignment="1">
      <alignment vertical="center"/>
    </xf>
    <xf numFmtId="171" fontId="3" fillId="2" borderId="3" xfId="0" applyNumberFormat="1" applyFont="1" applyFill="1" applyBorder="1" applyAlignment="1">
      <alignment vertical="center"/>
    </xf>
    <xf numFmtId="165" fontId="3" fillId="2" borderId="13" xfId="0" applyNumberFormat="1" applyFont="1" applyFill="1" applyBorder="1" applyAlignment="1">
      <alignment horizontal="center" vertical="center"/>
    </xf>
    <xf numFmtId="0" fontId="3" fillId="14" borderId="7" xfId="33" applyFont="1" applyFill="1" applyBorder="1" applyAlignment="1">
      <alignment horizontal="left" vertical="center" shrinkToFit="1"/>
    </xf>
    <xf numFmtId="0" fontId="7" fillId="8" borderId="3" xfId="0"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vertical="center"/>
    </xf>
    <xf numFmtId="165" fontId="3" fillId="2" borderId="3" xfId="0" applyNumberFormat="1" applyFont="1" applyFill="1" applyBorder="1" applyAlignment="1">
      <alignment horizontal="center" vertical="center"/>
    </xf>
    <xf numFmtId="0" fontId="3" fillId="14" borderId="0" xfId="33" applyFont="1" applyFill="1" applyAlignment="1">
      <alignment horizontal="left" vertical="center" shrinkToFit="1"/>
    </xf>
    <xf numFmtId="0" fontId="0" fillId="2" borderId="12" xfId="0" applyFill="1" applyBorder="1" applyAlignment="1">
      <alignment vertical="center"/>
    </xf>
    <xf numFmtId="0" fontId="0" fillId="2" borderId="8" xfId="0" applyFill="1" applyBorder="1" applyAlignment="1">
      <alignment vertical="center"/>
    </xf>
    <xf numFmtId="165" fontId="3" fillId="2" borderId="1" xfId="0" applyNumberFormat="1" applyFont="1" applyFill="1" applyBorder="1" applyAlignment="1">
      <alignment horizontal="center" vertical="center"/>
    </xf>
    <xf numFmtId="165" fontId="3" fillId="2" borderId="12" xfId="0" applyNumberFormat="1" applyFont="1" applyFill="1" applyBorder="1" applyAlignment="1">
      <alignment horizontal="center" vertical="center"/>
    </xf>
    <xf numFmtId="0" fontId="3" fillId="2" borderId="0" xfId="0" applyFont="1" applyFill="1" applyAlignment="1">
      <alignment horizontal="center" vertical="center" shrinkToFit="1"/>
    </xf>
    <xf numFmtId="165" fontId="3" fillId="2" borderId="0" xfId="0" applyNumberFormat="1" applyFont="1" applyFill="1" applyAlignment="1">
      <alignment horizontal="center" vertical="center"/>
    </xf>
    <xf numFmtId="37" fontId="3" fillId="2" borderId="4" xfId="0" applyNumberFormat="1" applyFont="1" applyFill="1" applyBorder="1" applyAlignment="1">
      <alignment vertical="center"/>
    </xf>
    <xf numFmtId="0" fontId="3" fillId="2" borderId="0" xfId="577" applyFont="1" applyFill="1" applyAlignment="1" applyProtection="1">
      <alignment vertical="center"/>
      <protection locked="0"/>
    </xf>
    <xf numFmtId="3" fontId="4" fillId="2" borderId="0" xfId="577" applyNumberFormat="1" applyFont="1" applyFill="1" applyAlignment="1" applyProtection="1">
      <alignment horizontal="center" vertical="center"/>
      <protection locked="0"/>
    </xf>
    <xf numFmtId="3" fontId="4" fillId="2" borderId="0" xfId="577" applyNumberFormat="1" applyFont="1" applyFill="1" applyAlignment="1">
      <alignment vertical="center"/>
    </xf>
    <xf numFmtId="37" fontId="4" fillId="2" borderId="0" xfId="577" applyNumberFormat="1" applyFont="1" applyFill="1" applyAlignment="1">
      <alignment vertical="center"/>
    </xf>
    <xf numFmtId="3" fontId="4" fillId="2" borderId="3" xfId="0" applyNumberFormat="1" applyFont="1" applyFill="1" applyBorder="1" applyAlignment="1">
      <alignment vertical="center"/>
    </xf>
    <xf numFmtId="174" fontId="7" fillId="12" borderId="9" xfId="0" applyNumberFormat="1" applyFont="1" applyFill="1" applyBorder="1" applyAlignment="1">
      <alignment horizontal="center" vertical="center"/>
    </xf>
    <xf numFmtId="0" fontId="7" fillId="14" borderId="0" xfId="0" applyFont="1" applyFill="1" applyAlignment="1">
      <alignment horizontal="left" vertical="center"/>
    </xf>
    <xf numFmtId="0" fontId="31" fillId="14" borderId="0" xfId="0" applyFont="1" applyFill="1" applyAlignment="1">
      <alignment horizontal="center" vertical="center"/>
    </xf>
    <xf numFmtId="0" fontId="0" fillId="14" borderId="15" xfId="0" applyFill="1" applyBorder="1" applyAlignment="1">
      <alignment vertical="center"/>
    </xf>
    <xf numFmtId="174" fontId="7" fillId="14" borderId="9" xfId="0" applyNumberFormat="1" applyFont="1" applyFill="1" applyBorder="1" applyAlignment="1">
      <alignment horizontal="center" vertical="center"/>
    </xf>
    <xf numFmtId="174" fontId="32" fillId="14" borderId="9" xfId="0" applyNumberFormat="1" applyFont="1" applyFill="1" applyBorder="1" applyAlignment="1">
      <alignment horizontal="center" vertical="center"/>
    </xf>
    <xf numFmtId="0" fontId="32" fillId="14" borderId="0" xfId="0" applyFont="1" applyFill="1" applyAlignment="1">
      <alignment horizontal="left" vertical="center"/>
    </xf>
    <xf numFmtId="174" fontId="7" fillId="14" borderId="13" xfId="0" applyNumberFormat="1" applyFont="1" applyFill="1" applyBorder="1" applyAlignment="1">
      <alignment horizontal="center" vertical="center"/>
    </xf>
    <xf numFmtId="0" fontId="3" fillId="14" borderId="11" xfId="0" applyFont="1" applyFill="1" applyBorder="1" applyAlignment="1">
      <alignment vertical="center"/>
    </xf>
    <xf numFmtId="0" fontId="3" fillId="14" borderId="15" xfId="0" applyFont="1" applyFill="1" applyBorder="1" applyAlignment="1">
      <alignment vertical="center"/>
    </xf>
    <xf numFmtId="3" fontId="4" fillId="2" borderId="3" xfId="0" applyNumberFormat="1" applyFont="1" applyFill="1" applyBorder="1" applyAlignment="1">
      <alignment horizontal="right" vertical="center"/>
    </xf>
    <xf numFmtId="0" fontId="3" fillId="6" borderId="5" xfId="0" applyFont="1" applyFill="1" applyBorder="1" applyAlignment="1">
      <alignment vertical="center"/>
    </xf>
    <xf numFmtId="174" fontId="19" fillId="2" borderId="2" xfId="0" applyNumberFormat="1" applyFont="1" applyFill="1" applyBorder="1" applyAlignment="1">
      <alignment vertical="center"/>
    </xf>
    <xf numFmtId="174" fontId="3" fillId="2" borderId="4" xfId="0" applyNumberFormat="1" applyFont="1" applyFill="1" applyBorder="1" applyAlignment="1">
      <alignment vertical="center"/>
    </xf>
    <xf numFmtId="0" fontId="3" fillId="2" borderId="7" xfId="33" applyFont="1" applyFill="1" applyBorder="1" applyAlignment="1">
      <alignment vertical="center" wrapText="1"/>
    </xf>
    <xf numFmtId="0" fontId="2" fillId="0" borderId="8" xfId="33" applyBorder="1" applyAlignment="1">
      <alignment vertical="center" wrapText="1"/>
    </xf>
    <xf numFmtId="0" fontId="2" fillId="0" borderId="11" xfId="33" applyBorder="1" applyAlignment="1">
      <alignment vertical="center" wrapText="1"/>
    </xf>
    <xf numFmtId="0" fontId="2" fillId="0" borderId="15" xfId="33" applyBorder="1" applyAlignment="1">
      <alignment vertical="center" wrapText="1"/>
    </xf>
    <xf numFmtId="0" fontId="2" fillId="0" borderId="9" xfId="33" applyBorder="1" applyAlignment="1">
      <alignment vertical="center" wrapText="1"/>
    </xf>
    <xf numFmtId="0" fontId="2" fillId="0" borderId="10" xfId="33" applyBorder="1" applyAlignment="1">
      <alignment vertical="center" wrapText="1"/>
    </xf>
    <xf numFmtId="37" fontId="3" fillId="9" borderId="1" xfId="0" applyNumberFormat="1" applyFont="1" applyFill="1" applyBorder="1" applyAlignment="1">
      <alignment horizontal="center" vertical="center" wrapText="1"/>
    </xf>
    <xf numFmtId="0" fontId="0" fillId="9" borderId="2" xfId="0" applyFill="1" applyBorder="1" applyAlignment="1">
      <alignment vertical="center" wrapText="1"/>
    </xf>
    <xf numFmtId="37" fontId="13" fillId="2" borderId="0" xfId="0" applyNumberFormat="1" applyFont="1" applyFill="1" applyAlignment="1">
      <alignment horizontal="center" vertical="center"/>
    </xf>
    <xf numFmtId="0" fontId="14" fillId="0" borderId="0" xfId="0" applyFont="1" applyAlignment="1">
      <alignment horizontal="center" vertical="center"/>
    </xf>
    <xf numFmtId="0" fontId="12" fillId="2" borderId="0" xfId="0" applyFont="1" applyFill="1" applyAlignment="1">
      <alignment horizontal="center" vertical="center"/>
    </xf>
    <xf numFmtId="0" fontId="1" fillId="0" borderId="0" xfId="0" applyFont="1" applyAlignment="1">
      <alignment horizontal="center" vertical="center"/>
    </xf>
    <xf numFmtId="0" fontId="3" fillId="9" borderId="1" xfId="0" applyFont="1" applyFill="1" applyBorder="1" applyAlignment="1">
      <alignment horizontal="center" vertical="center" wrapText="1"/>
    </xf>
    <xf numFmtId="0" fontId="3" fillId="9" borderId="2" xfId="0" applyFont="1" applyFill="1" applyBorder="1" applyAlignment="1">
      <alignment horizontal="center" vertical="center" wrapText="1"/>
    </xf>
    <xf numFmtId="37" fontId="4" fillId="2" borderId="0" xfId="33" applyNumberFormat="1" applyFont="1" applyFill="1" applyAlignment="1">
      <alignment vertical="center" wrapText="1"/>
    </xf>
    <xf numFmtId="37" fontId="12" fillId="2" borderId="0" xfId="0" applyNumberFormat="1" applyFont="1" applyFill="1" applyAlignment="1">
      <alignment horizontal="center" vertical="center"/>
    </xf>
    <xf numFmtId="0" fontId="0" fillId="0" borderId="0" xfId="0" applyAlignment="1">
      <alignment horizontal="center" vertical="center"/>
    </xf>
    <xf numFmtId="0" fontId="4"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6" fillId="2" borderId="0" xfId="0" applyFont="1" applyFill="1" applyAlignment="1">
      <alignment vertical="center"/>
    </xf>
    <xf numFmtId="0" fontId="17" fillId="0" borderId="0" xfId="0" applyFont="1" applyAlignment="1">
      <alignment vertical="center"/>
    </xf>
    <xf numFmtId="0" fontId="46" fillId="18" borderId="0" xfId="0" applyFont="1" applyFill="1" applyAlignment="1">
      <alignment horizontal="center" vertical="center"/>
    </xf>
    <xf numFmtId="0" fontId="47" fillId="18" borderId="0" xfId="538" applyFont="1" applyFill="1" applyAlignment="1">
      <alignment horizontal="center" vertical="center" wrapText="1"/>
    </xf>
    <xf numFmtId="0" fontId="3" fillId="0" borderId="0" xfId="538" applyFont="1" applyAlignment="1">
      <alignment horizontal="center" vertical="center" wrapText="1"/>
    </xf>
    <xf numFmtId="49" fontId="3" fillId="4" borderId="13" xfId="538" applyNumberFormat="1" applyFont="1" applyFill="1" applyBorder="1" applyAlignment="1" applyProtection="1">
      <alignment horizontal="left" vertical="center"/>
      <protection locked="0"/>
    </xf>
    <xf numFmtId="49" fontId="3" fillId="4" borderId="16" xfId="538" applyNumberFormat="1" applyFont="1" applyFill="1" applyBorder="1" applyAlignment="1" applyProtection="1">
      <alignment horizontal="left" vertical="center"/>
      <protection locked="0"/>
    </xf>
    <xf numFmtId="49" fontId="3" fillId="4" borderId="14" xfId="538" applyNumberFormat="1" applyFont="1" applyFill="1" applyBorder="1" applyAlignment="1" applyProtection="1">
      <alignment horizontal="left" vertical="center"/>
      <protection locked="0"/>
    </xf>
    <xf numFmtId="0" fontId="19" fillId="0" borderId="0" xfId="0" applyFont="1" applyAlignment="1">
      <alignment horizontal="center" vertical="top" wrapText="1"/>
    </xf>
    <xf numFmtId="0" fontId="3" fillId="4" borderId="13" xfId="538" applyFont="1" applyFill="1" applyBorder="1" applyAlignment="1" applyProtection="1">
      <alignment horizontal="left" vertical="center"/>
      <protection locked="0"/>
    </xf>
    <xf numFmtId="0" fontId="3" fillId="4" borderId="16" xfId="538" applyFont="1" applyFill="1" applyBorder="1" applyAlignment="1" applyProtection="1">
      <alignment horizontal="left" vertical="center"/>
      <protection locked="0"/>
    </xf>
    <xf numFmtId="0" fontId="3" fillId="4" borderId="14" xfId="538" applyFont="1" applyFill="1" applyBorder="1" applyAlignment="1" applyProtection="1">
      <alignment horizontal="left" vertical="center"/>
      <protection locked="0"/>
    </xf>
    <xf numFmtId="0" fontId="4" fillId="17" borderId="0" xfId="0" applyFont="1" applyFill="1" applyAlignment="1">
      <alignment horizontal="left" vertical="top" wrapText="1"/>
    </xf>
    <xf numFmtId="0" fontId="3" fillId="11" borderId="5" xfId="0" applyFont="1" applyFill="1" applyBorder="1" applyAlignment="1" applyProtection="1">
      <alignment vertical="center"/>
      <protection locked="0"/>
    </xf>
    <xf numFmtId="0" fontId="0" fillId="11" borderId="5" xfId="0" applyFill="1" applyBorder="1" applyAlignment="1" applyProtection="1">
      <alignment vertical="center"/>
      <protection locked="0"/>
    </xf>
    <xf numFmtId="0" fontId="3" fillId="11" borderId="16" xfId="0" applyFont="1" applyFill="1" applyBorder="1" applyAlignment="1" applyProtection="1">
      <alignment vertical="center"/>
      <protection locked="0"/>
    </xf>
    <xf numFmtId="0" fontId="0" fillId="11" borderId="16" xfId="0" applyFill="1" applyBorder="1" applyAlignment="1" applyProtection="1">
      <alignment vertical="center"/>
      <protection locked="0"/>
    </xf>
    <xf numFmtId="0" fontId="3" fillId="2" borderId="0" xfId="0" applyFont="1" applyFill="1" applyAlignment="1">
      <alignment horizontal="center" vertical="center"/>
    </xf>
    <xf numFmtId="0" fontId="7" fillId="2" borderId="0" xfId="0" applyFont="1" applyFill="1" applyAlignment="1">
      <alignment horizontal="center" vertical="center" wrapText="1"/>
    </xf>
    <xf numFmtId="0" fontId="0" fillId="2" borderId="0" xfId="0" applyFill="1" applyAlignment="1">
      <alignment horizontal="center" vertical="center" wrapText="1"/>
    </xf>
    <xf numFmtId="0" fontId="4" fillId="2" borderId="0" xfId="0" applyFont="1" applyFill="1" applyAlignment="1">
      <alignment horizontal="center" vertical="center"/>
    </xf>
    <xf numFmtId="37" fontId="3" fillId="2" borderId="0" xfId="0" applyNumberFormat="1" applyFont="1" applyFill="1" applyAlignment="1">
      <alignment horizontal="center" vertical="center"/>
    </xf>
    <xf numFmtId="0" fontId="3" fillId="2" borderId="13" xfId="0" applyFont="1" applyFill="1" applyBorder="1" applyAlignment="1">
      <alignment horizontal="center" vertical="center"/>
    </xf>
    <xf numFmtId="0" fontId="0" fillId="0" borderId="16" xfId="0" applyBorder="1" applyAlignment="1">
      <alignment vertical="center"/>
    </xf>
    <xf numFmtId="0" fontId="0" fillId="0" borderId="14" xfId="0" applyBorder="1" applyAlignment="1">
      <alignment vertical="center"/>
    </xf>
    <xf numFmtId="0" fontId="3" fillId="11" borderId="16" xfId="0" applyFont="1" applyFill="1" applyBorder="1" applyAlignment="1" applyProtection="1">
      <alignment horizontal="left" vertical="center"/>
      <protection locked="0"/>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0" fillId="0" borderId="2" xfId="0" applyBorder="1" applyAlignment="1">
      <alignment horizontal="center" vertical="center" wrapText="1"/>
    </xf>
    <xf numFmtId="0" fontId="3" fillId="4" borderId="5"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 fillId="4" borderId="16" xfId="0" applyFont="1" applyFill="1" applyBorder="1" applyAlignment="1" applyProtection="1">
      <alignment horizontal="center" vertical="center"/>
      <protection locked="0"/>
    </xf>
    <xf numFmtId="0" fontId="3" fillId="2" borderId="7" xfId="0" applyFont="1" applyFill="1" applyBorder="1" applyAlignment="1">
      <alignment horizontal="center" vertical="center" wrapText="1"/>
    </xf>
    <xf numFmtId="37" fontId="3" fillId="2" borderId="1" xfId="0" applyNumberFormat="1" applyFont="1" applyFill="1"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xf>
    <xf numFmtId="37" fontId="4" fillId="2" borderId="0" xfId="33" applyNumberFormat="1" applyFont="1" applyFill="1" applyAlignment="1">
      <alignment horizontal="center" vertical="center"/>
    </xf>
    <xf numFmtId="0" fontId="4" fillId="2" borderId="0" xfId="578" applyFont="1" applyFill="1" applyAlignment="1">
      <alignment horizontal="center" vertical="center"/>
    </xf>
    <xf numFmtId="0" fontId="3" fillId="13" borderId="0" xfId="577" applyFont="1" applyFill="1" applyAlignment="1" applyProtection="1">
      <alignment horizontal="center" vertical="center"/>
      <protection locked="0"/>
    </xf>
    <xf numFmtId="0" fontId="31" fillId="2" borderId="7" xfId="0" applyFont="1" applyFill="1" applyBorder="1" applyAlignment="1">
      <alignment horizontal="center" vertical="center"/>
    </xf>
    <xf numFmtId="0" fontId="0" fillId="0" borderId="12" xfId="0" applyBorder="1" applyAlignment="1">
      <alignment vertical="center"/>
    </xf>
    <xf numFmtId="0" fontId="0" fillId="0" borderId="8" xfId="0" applyBorder="1" applyAlignment="1">
      <alignment vertical="center"/>
    </xf>
    <xf numFmtId="3" fontId="3" fillId="2" borderId="12" xfId="69" applyNumberFormat="1" applyFont="1" applyFill="1" applyBorder="1" applyAlignment="1">
      <alignment horizontal="right" vertical="center"/>
    </xf>
    <xf numFmtId="0" fontId="2" fillId="0" borderId="8" xfId="69" applyBorder="1" applyAlignment="1">
      <alignment horizontal="right" vertical="center"/>
    </xf>
    <xf numFmtId="0" fontId="3" fillId="2" borderId="0" xfId="69" applyFont="1" applyFill="1" applyAlignment="1">
      <alignment horizontal="right" vertical="center"/>
    </xf>
    <xf numFmtId="0" fontId="3" fillId="0" borderId="15" xfId="69" applyFont="1" applyBorder="1" applyAlignment="1">
      <alignment horizontal="right" vertical="center"/>
    </xf>
    <xf numFmtId="0" fontId="3" fillId="2" borderId="0" xfId="16" applyNumberFormat="1" applyFont="1" applyFill="1" applyBorder="1" applyAlignment="1" applyProtection="1">
      <alignment horizontal="right" vertical="center"/>
    </xf>
    <xf numFmtId="0" fontId="3" fillId="0" borderId="0" xfId="16" applyFont="1" applyAlignment="1" applyProtection="1">
      <alignment horizontal="right" vertical="center"/>
    </xf>
    <xf numFmtId="174" fontId="31" fillId="14" borderId="7" xfId="0" applyNumberFormat="1" applyFont="1" applyFill="1" applyBorder="1" applyAlignment="1">
      <alignment horizontal="center" wrapText="1"/>
    </xf>
    <xf numFmtId="174" fontId="31" fillId="14" borderId="12" xfId="0" applyNumberFormat="1" applyFont="1" applyFill="1" applyBorder="1" applyAlignment="1">
      <alignment horizontal="center" wrapText="1"/>
    </xf>
    <xf numFmtId="174" fontId="31" fillId="14" borderId="8" xfId="0" applyNumberFormat="1" applyFont="1" applyFill="1" applyBorder="1" applyAlignment="1">
      <alignment horizontal="center" wrapText="1"/>
    </xf>
    <xf numFmtId="174" fontId="31" fillId="14" borderId="11" xfId="0" applyNumberFormat="1" applyFont="1" applyFill="1" applyBorder="1" applyAlignment="1">
      <alignment horizontal="center" wrapText="1"/>
    </xf>
    <xf numFmtId="174" fontId="31" fillId="14" borderId="0" xfId="0" applyNumberFormat="1" applyFont="1" applyFill="1" applyAlignment="1">
      <alignment horizontal="center" wrapText="1"/>
    </xf>
    <xf numFmtId="174" fontId="31" fillId="14" borderId="15" xfId="0" applyNumberFormat="1" applyFont="1" applyFill="1" applyBorder="1" applyAlignment="1">
      <alignment horizontal="center" wrapText="1"/>
    </xf>
    <xf numFmtId="0" fontId="3" fillId="14" borderId="11" xfId="0" applyFont="1" applyFill="1" applyBorder="1" applyAlignment="1">
      <alignment horizontal="center" vertical="center" wrapText="1"/>
    </xf>
    <xf numFmtId="0" fontId="3" fillId="14" borderId="0" xfId="0" applyFont="1" applyFill="1" applyAlignment="1">
      <alignment horizontal="center" vertical="center" wrapText="1"/>
    </xf>
    <xf numFmtId="0" fontId="3" fillId="14" borderId="9" xfId="0" applyFont="1" applyFill="1" applyBorder="1" applyAlignment="1">
      <alignment horizontal="center" vertical="center" wrapText="1"/>
    </xf>
    <xf numFmtId="0" fontId="3" fillId="14" borderId="5" xfId="0" applyFont="1" applyFill="1" applyBorder="1" applyAlignment="1">
      <alignment horizontal="center" vertical="center" wrapText="1"/>
    </xf>
    <xf numFmtId="49" fontId="8" fillId="14" borderId="15" xfId="0" applyNumberFormat="1" applyFont="1" applyFill="1" applyBorder="1" applyAlignment="1">
      <alignment horizontal="center" vertical="center"/>
    </xf>
    <xf numFmtId="49" fontId="8" fillId="14" borderId="10" xfId="0" applyNumberFormat="1" applyFont="1" applyFill="1" applyBorder="1" applyAlignment="1">
      <alignment horizontal="center" vertical="center"/>
    </xf>
    <xf numFmtId="0" fontId="50" fillId="0" borderId="12" xfId="0" applyFont="1" applyBorder="1" applyAlignment="1" applyProtection="1">
      <alignment horizontal="center" vertical="center" wrapText="1"/>
      <protection locked="0"/>
    </xf>
    <xf numFmtId="0" fontId="50" fillId="0" borderId="0" xfId="0" applyFont="1" applyAlignment="1" applyProtection="1">
      <alignment horizontal="center" vertical="center" wrapText="1"/>
      <protection locked="0"/>
    </xf>
    <xf numFmtId="174" fontId="31" fillId="0" borderId="0" xfId="0" applyNumberFormat="1" applyFont="1" applyAlignment="1">
      <alignment horizontal="center"/>
    </xf>
    <xf numFmtId="0" fontId="0" fillId="0" borderId="12" xfId="0" applyBorder="1" applyAlignment="1">
      <alignment horizontal="center" vertical="center"/>
    </xf>
    <xf numFmtId="0" fontId="0" fillId="0" borderId="8" xfId="0" applyBorder="1"/>
    <xf numFmtId="0" fontId="15" fillId="0" borderId="12" xfId="0" applyFont="1" applyBorder="1" applyAlignment="1">
      <alignment horizontal="center" vertical="center"/>
    </xf>
    <xf numFmtId="0" fontId="3" fillId="7" borderId="0" xfId="0" applyFont="1" applyFill="1" applyAlignment="1">
      <alignment horizontal="righ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49" fontId="3" fillId="2" borderId="12" xfId="0" applyNumberFormat="1" applyFont="1" applyFill="1" applyBorder="1" applyAlignment="1" applyProtection="1">
      <alignment horizontal="center" vertical="center"/>
      <protection locked="0"/>
    </xf>
    <xf numFmtId="37" fontId="3" fillId="14" borderId="0" xfId="121" applyNumberFormat="1" applyFont="1" applyFill="1" applyAlignment="1">
      <alignment horizontal="center" vertical="center"/>
    </xf>
    <xf numFmtId="0" fontId="12" fillId="14" borderId="7" xfId="0" applyFont="1" applyFill="1"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12" fillId="14" borderId="12" xfId="0" applyFont="1" applyFill="1" applyBorder="1" applyAlignment="1">
      <alignment horizontal="center"/>
    </xf>
    <xf numFmtId="0" fontId="12" fillId="14" borderId="8" xfId="0" applyFont="1" applyFill="1" applyBorder="1" applyAlignment="1">
      <alignment horizontal="center"/>
    </xf>
    <xf numFmtId="49" fontId="3" fillId="2" borderId="5" xfId="0" applyNumberFormat="1" applyFont="1" applyFill="1" applyBorder="1" applyAlignment="1" applyProtection="1">
      <alignment horizontal="center" vertical="center"/>
      <protection locked="0"/>
    </xf>
    <xf numFmtId="0" fontId="19" fillId="2" borderId="2" xfId="0" applyFont="1" applyFill="1" applyBorder="1" applyAlignment="1">
      <alignment horizontal="right" vertical="center"/>
    </xf>
    <xf numFmtId="0" fontId="4" fillId="14" borderId="7" xfId="0" applyFont="1" applyFill="1" applyBorder="1" applyAlignment="1">
      <alignment horizontal="center" wrapText="1"/>
    </xf>
    <xf numFmtId="0" fontId="12" fillId="14" borderId="12" xfId="0" applyFont="1" applyFill="1" applyBorder="1" applyAlignment="1">
      <alignment horizontal="center" wrapText="1"/>
    </xf>
    <xf numFmtId="0" fontId="12" fillId="14" borderId="9" xfId="0" applyFont="1" applyFill="1" applyBorder="1" applyAlignment="1">
      <alignment horizontal="center" wrapText="1"/>
    </xf>
    <xf numFmtId="0" fontId="12" fillId="14" borderId="5" xfId="0" applyFont="1" applyFill="1" applyBorder="1" applyAlignment="1">
      <alignment horizontal="center" wrapText="1"/>
    </xf>
    <xf numFmtId="0" fontId="46" fillId="14" borderId="8" xfId="0" applyFont="1" applyFill="1" applyBorder="1" applyAlignment="1">
      <alignment horizontal="center" vertical="center" wrapText="1"/>
    </xf>
    <xf numFmtId="0" fontId="47" fillId="14" borderId="10" xfId="0" applyFont="1" applyFill="1" applyBorder="1" applyAlignment="1">
      <alignment horizontal="center" vertical="center" wrapText="1"/>
    </xf>
    <xf numFmtId="37" fontId="4" fillId="2" borderId="0" xfId="0" applyNumberFormat="1" applyFont="1" applyFill="1" applyAlignment="1">
      <alignment horizontal="center" vertical="center"/>
    </xf>
    <xf numFmtId="0" fontId="0" fillId="0" borderId="0" xfId="0" applyAlignment="1">
      <alignment vertical="center"/>
    </xf>
    <xf numFmtId="0" fontId="3" fillId="2" borderId="1" xfId="0" applyFont="1" applyFill="1" applyBorder="1" applyAlignment="1">
      <alignment horizontal="center" vertical="center" wrapText="1" shrinkToFit="1"/>
    </xf>
    <xf numFmtId="0" fontId="2" fillId="0" borderId="2" xfId="0" applyFont="1" applyBorder="1" applyAlignment="1">
      <alignment horizontal="center" vertical="center" wrapText="1" shrinkToFit="1"/>
    </xf>
    <xf numFmtId="0" fontId="5" fillId="2" borderId="0" xfId="0" applyFont="1" applyFill="1" applyAlignment="1">
      <alignment horizontal="center" vertical="center"/>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xf>
    <xf numFmtId="49" fontId="3" fillId="2" borderId="0" xfId="0" applyNumberFormat="1" applyFont="1" applyFill="1" applyAlignment="1" applyProtection="1">
      <alignment horizontal="left" vertical="center"/>
      <protection locked="0"/>
    </xf>
    <xf numFmtId="0" fontId="4" fillId="2" borderId="0" xfId="141" applyFont="1" applyFill="1" applyAlignment="1">
      <alignment horizontal="center" vertical="center"/>
    </xf>
    <xf numFmtId="0" fontId="2" fillId="0" borderId="0" xfId="141" applyAlignment="1">
      <alignment vertical="center"/>
    </xf>
    <xf numFmtId="0" fontId="4" fillId="2" borderId="7" xfId="141" applyFont="1" applyFill="1" applyBorder="1" applyAlignment="1">
      <alignment horizontal="left" vertical="top"/>
    </xf>
    <xf numFmtId="0" fontId="21" fillId="0" borderId="12" xfId="141" applyFont="1" applyBorder="1" applyAlignment="1">
      <alignment horizontal="left" vertical="top"/>
    </xf>
    <xf numFmtId="0" fontId="4" fillId="2" borderId="12" xfId="141" applyFont="1" applyFill="1" applyBorder="1" applyAlignment="1">
      <alignment horizontal="left" vertical="top"/>
    </xf>
    <xf numFmtId="0" fontId="3" fillId="2" borderId="5" xfId="141" applyFont="1" applyFill="1" applyBorder="1" applyAlignment="1">
      <alignment horizontal="left" vertical="top"/>
    </xf>
    <xf numFmtId="0" fontId="3" fillId="2" borderId="0" xfId="141" applyFont="1" applyFill="1" applyAlignment="1">
      <alignment horizontal="right" vertical="center"/>
    </xf>
    <xf numFmtId="0" fontId="2" fillId="0" borderId="0" xfId="141" applyAlignment="1">
      <alignment horizontal="right" vertical="center"/>
    </xf>
    <xf numFmtId="0" fontId="3" fillId="2" borderId="13" xfId="141" applyFont="1" applyFill="1" applyBorder="1" applyAlignment="1">
      <alignment horizontal="left" vertical="center"/>
    </xf>
    <xf numFmtId="0" fontId="2" fillId="0" borderId="16" xfId="141" applyBorder="1" applyAlignment="1">
      <alignment horizontal="left" vertical="center"/>
    </xf>
    <xf numFmtId="0" fontId="2" fillId="0" borderId="14" xfId="141" applyBorder="1" applyAlignment="1">
      <alignment horizontal="left" vertical="center"/>
    </xf>
    <xf numFmtId="0" fontId="3" fillId="2" borderId="13" xfId="141" applyFont="1" applyFill="1" applyBorder="1" applyAlignment="1">
      <alignment vertical="center"/>
    </xf>
    <xf numFmtId="0" fontId="2" fillId="0" borderId="16" xfId="141" applyBorder="1" applyAlignment="1">
      <alignment vertical="center"/>
    </xf>
    <xf numFmtId="0" fontId="2" fillId="0" borderId="14" xfId="141" applyBorder="1" applyAlignment="1">
      <alignment vertical="center"/>
    </xf>
    <xf numFmtId="0" fontId="4" fillId="2" borderId="17" xfId="141" applyFont="1" applyFill="1" applyBorder="1" applyAlignment="1">
      <alignment horizontal="center" vertical="center"/>
    </xf>
    <xf numFmtId="0" fontId="4" fillId="2" borderId="18" xfId="141" applyFont="1" applyFill="1" applyBorder="1" applyAlignment="1">
      <alignment horizontal="center" vertical="center"/>
    </xf>
    <xf numFmtId="0" fontId="4" fillId="2" borderId="19" xfId="141" applyFont="1" applyFill="1" applyBorder="1" applyAlignment="1">
      <alignment horizontal="center" vertical="center"/>
    </xf>
    <xf numFmtId="37" fontId="4" fillId="2" borderId="17" xfId="141" applyNumberFormat="1" applyFont="1" applyFill="1" applyBorder="1" applyAlignment="1">
      <alignment horizontal="center" vertical="center"/>
    </xf>
    <xf numFmtId="0" fontId="21" fillId="0" borderId="18" xfId="141" applyFont="1" applyBorder="1" applyAlignment="1">
      <alignment horizontal="center" vertical="center"/>
    </xf>
    <xf numFmtId="0" fontId="21" fillId="0" borderId="19" xfId="141" applyFont="1" applyBorder="1" applyAlignment="1">
      <alignment horizontal="center" vertical="center"/>
    </xf>
    <xf numFmtId="37" fontId="4" fillId="2" borderId="13" xfId="141" applyNumberFormat="1" applyFont="1" applyFill="1" applyBorder="1" applyAlignment="1">
      <alignment horizontal="center" vertical="center"/>
    </xf>
    <xf numFmtId="0" fontId="21" fillId="0" borderId="16" xfId="141" applyFont="1" applyBorder="1" applyAlignment="1">
      <alignment horizontal="center" vertical="center"/>
    </xf>
    <xf numFmtId="0" fontId="21" fillId="0" borderId="14" xfId="141" applyFont="1" applyBorder="1" applyAlignment="1">
      <alignment horizontal="center" vertical="center"/>
    </xf>
    <xf numFmtId="0" fontId="19" fillId="2" borderId="0" xfId="141" applyFont="1" applyFill="1" applyAlignment="1">
      <alignment horizontal="center" vertical="center"/>
    </xf>
    <xf numFmtId="0" fontId="22" fillId="0" borderId="0" xfId="141" applyFont="1" applyAlignment="1">
      <alignment horizontal="center" vertical="center"/>
    </xf>
    <xf numFmtId="0" fontId="22" fillId="0" borderId="0" xfId="141" applyFont="1" applyAlignment="1">
      <alignment vertical="center"/>
    </xf>
    <xf numFmtId="0" fontId="3" fillId="2" borderId="0" xfId="0" applyFont="1" applyFill="1" applyAlignment="1">
      <alignment horizontal="right" vertical="center"/>
    </xf>
    <xf numFmtId="0" fontId="0" fillId="0" borderId="0" xfId="0" applyAlignment="1">
      <alignment horizontal="right" vertical="center"/>
    </xf>
    <xf numFmtId="0" fontId="3" fillId="14" borderId="0" xfId="0" applyFont="1" applyFill="1" applyAlignment="1">
      <alignment horizontal="right" vertical="center"/>
    </xf>
    <xf numFmtId="0" fontId="3" fillId="0" borderId="0" xfId="0" applyFont="1" applyAlignment="1">
      <alignment horizontal="left" wrapText="1"/>
    </xf>
    <xf numFmtId="0" fontId="3" fillId="0" borderId="0" xfId="0" applyFont="1" applyAlignment="1">
      <alignment horizontal="center"/>
    </xf>
    <xf numFmtId="0" fontId="4" fillId="0" borderId="0" xfId="0" applyFont="1" applyAlignment="1">
      <alignment wrapText="1"/>
    </xf>
    <xf numFmtId="0" fontId="3" fillId="0" borderId="0" xfId="0" applyFont="1" applyAlignment="1">
      <alignment wrapText="1"/>
    </xf>
    <xf numFmtId="0" fontId="12" fillId="0" borderId="0" xfId="0" applyFont="1" applyAlignment="1">
      <alignment horizontal="center"/>
    </xf>
    <xf numFmtId="0" fontId="4" fillId="0" borderId="0" xfId="0" applyFont="1" applyAlignment="1">
      <alignment horizontal="left" wrapText="1"/>
    </xf>
    <xf numFmtId="41" fontId="3" fillId="4" borderId="1" xfId="1" applyNumberFormat="1" applyFont="1" applyFill="1" applyBorder="1" applyAlignment="1" applyProtection="1">
      <alignment horizontal="center" vertical="center"/>
      <protection locked="0"/>
    </xf>
    <xf numFmtId="41" fontId="3" fillId="4" borderId="2" xfId="1" applyNumberFormat="1" applyFont="1" applyFill="1" applyBorder="1" applyAlignment="1" applyProtection="1">
      <alignment horizontal="center" vertical="center"/>
      <protection locked="0"/>
    </xf>
    <xf numFmtId="0" fontId="52" fillId="0" borderId="0" xfId="579" applyFont="1" applyAlignment="1">
      <alignment horizontal="center"/>
    </xf>
    <xf numFmtId="0" fontId="53" fillId="0" borderId="0" xfId="579" applyFont="1"/>
    <xf numFmtId="0" fontId="53" fillId="0" borderId="0" xfId="579" applyFont="1" applyAlignment="1">
      <alignment horizontal="left" wrapText="1"/>
    </xf>
    <xf numFmtId="0" fontId="53" fillId="0" borderId="0" xfId="579" applyFont="1" applyAlignment="1">
      <alignment horizontal="center" wrapText="1"/>
    </xf>
    <xf numFmtId="0" fontId="53" fillId="0" borderId="0" xfId="579" applyFont="1" applyAlignment="1">
      <alignment horizontal="center"/>
    </xf>
    <xf numFmtId="0" fontId="53" fillId="0" borderId="0" xfId="579" applyFont="1" applyAlignment="1">
      <alignment horizontal="center"/>
    </xf>
    <xf numFmtId="0" fontId="52" fillId="20" borderId="13" xfId="579" applyFont="1" applyFill="1" applyBorder="1" applyAlignment="1">
      <alignment horizontal="center" vertical="center"/>
    </xf>
    <xf numFmtId="0" fontId="52" fillId="20" borderId="16" xfId="579" applyFont="1" applyFill="1" applyBorder="1" applyAlignment="1">
      <alignment horizontal="center" vertical="center"/>
    </xf>
    <xf numFmtId="0" fontId="52" fillId="20" borderId="14" xfId="579" applyFont="1" applyFill="1" applyBorder="1" applyAlignment="1">
      <alignment horizontal="center" vertical="center"/>
    </xf>
    <xf numFmtId="0" fontId="52" fillId="20" borderId="3" xfId="579" applyFont="1" applyFill="1" applyBorder="1" applyAlignment="1">
      <alignment horizontal="center" vertical="center"/>
    </xf>
    <xf numFmtId="0" fontId="53" fillId="0" borderId="13" xfId="579" applyFont="1" applyBorder="1" applyAlignment="1">
      <alignment horizontal="center"/>
    </xf>
    <xf numFmtId="0" fontId="53" fillId="0" borderId="16" xfId="579" applyFont="1" applyBorder="1" applyAlignment="1">
      <alignment horizontal="center"/>
    </xf>
    <xf numFmtId="0" fontId="53" fillId="0" borderId="14" xfId="579" applyFont="1" applyBorder="1" applyAlignment="1">
      <alignment horizontal="center"/>
    </xf>
    <xf numFmtId="0" fontId="53" fillId="0" borderId="3" xfId="579" applyFont="1" applyBorder="1" applyAlignment="1">
      <alignment horizontal="center"/>
    </xf>
    <xf numFmtId="0" fontId="53" fillId="0" borderId="3" xfId="579" applyFont="1" applyBorder="1" applyAlignment="1">
      <alignment horizontal="center"/>
    </xf>
    <xf numFmtId="0" fontId="53" fillId="0" borderId="4" xfId="579" applyFont="1" applyBorder="1" applyAlignment="1">
      <alignment horizontal="center"/>
    </xf>
    <xf numFmtId="0" fontId="53" fillId="0" borderId="4" xfId="579" applyFont="1" applyBorder="1" applyAlignment="1">
      <alignment horizontal="center"/>
    </xf>
    <xf numFmtId="0" fontId="55" fillId="0" borderId="2" xfId="579" applyFont="1" applyBorder="1" applyAlignment="1">
      <alignment horizontal="center" vertical="center"/>
    </xf>
    <xf numFmtId="0" fontId="55" fillId="0" borderId="2" xfId="579" applyFont="1" applyBorder="1" applyAlignment="1">
      <alignment horizontal="center" vertical="center"/>
    </xf>
    <xf numFmtId="0" fontId="53" fillId="0" borderId="0" xfId="579" applyFont="1" applyAlignment="1">
      <alignment horizontal="right" wrapText="1"/>
    </xf>
    <xf numFmtId="0" fontId="53" fillId="0" borderId="0" xfId="579" applyFont="1" applyAlignment="1">
      <alignment wrapText="1"/>
    </xf>
    <xf numFmtId="0" fontId="53" fillId="0" borderId="5" xfId="579" applyFont="1" applyBorder="1" applyAlignment="1">
      <alignment horizontal="center" wrapText="1"/>
    </xf>
    <xf numFmtId="0" fontId="56" fillId="0" borderId="0" xfId="580" applyFont="1" applyAlignment="1">
      <alignment horizontal="center"/>
    </xf>
    <xf numFmtId="0" fontId="51" fillId="0" borderId="0" xfId="580"/>
    <xf numFmtId="0" fontId="57" fillId="0" borderId="0" xfId="580" applyFont="1"/>
    <xf numFmtId="0" fontId="58" fillId="0" borderId="0" xfId="580" applyFont="1"/>
    <xf numFmtId="0" fontId="59" fillId="0" borderId="0" xfId="580" applyFont="1" applyAlignment="1">
      <alignment horizontal="left" vertical="center" readingOrder="1"/>
    </xf>
    <xf numFmtId="0" fontId="60" fillId="0" borderId="0" xfId="580" applyFont="1" applyAlignment="1">
      <alignment horizontal="left" vertical="center" indent="2" readingOrder="1"/>
    </xf>
    <xf numFmtId="0" fontId="60" fillId="0" borderId="5" xfId="580" applyFont="1" applyBorder="1" applyAlignment="1">
      <alignment horizontal="center" vertical="center" readingOrder="1"/>
    </xf>
    <xf numFmtId="0" fontId="61" fillId="0" borderId="0" xfId="580" applyFont="1" applyAlignment="1">
      <alignment horizontal="left" vertical="center" readingOrder="1"/>
    </xf>
    <xf numFmtId="0" fontId="51" fillId="21" borderId="0" xfId="580" applyFill="1"/>
    <xf numFmtId="0" fontId="59" fillId="21" borderId="0" xfId="580" applyFont="1" applyFill="1" applyAlignment="1">
      <alignment horizontal="left" vertical="center" readingOrder="1"/>
    </xf>
    <xf numFmtId="0" fontId="63" fillId="0" borderId="0" xfId="580" applyFont="1" applyAlignment="1">
      <alignment horizontal="center" wrapText="1"/>
    </xf>
    <xf numFmtId="0" fontId="63" fillId="0" borderId="0" xfId="580" applyFont="1" applyAlignment="1">
      <alignment wrapText="1"/>
    </xf>
    <xf numFmtId="0" fontId="1" fillId="0" borderId="0" xfId="580" applyFont="1"/>
    <xf numFmtId="0" fontId="64" fillId="0" borderId="0" xfId="580" applyFont="1" applyAlignment="1">
      <alignment horizontal="left"/>
    </xf>
    <xf numFmtId="0" fontId="53" fillId="0" borderId="0" xfId="580" applyFont="1"/>
    <xf numFmtId="0" fontId="3" fillId="0" borderId="0" xfId="580" applyFont="1"/>
    <xf numFmtId="0" fontId="3" fillId="0" borderId="0" xfId="580" applyFont="1" applyAlignment="1">
      <alignment horizontal="left" wrapText="1"/>
    </xf>
    <xf numFmtId="0" fontId="3" fillId="0" borderId="0" xfId="580" applyFont="1" applyAlignment="1">
      <alignment wrapText="1"/>
    </xf>
    <xf numFmtId="0" fontId="5" fillId="0" borderId="0" xfId="0" applyFont="1"/>
  </cellXfs>
  <cellStyles count="581">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17" xfId="6" xr:uid="{00000000-0005-0000-0000-000005000000}"/>
    <cellStyle name="Comma 2 2" xfId="7" xr:uid="{00000000-0005-0000-0000-000006000000}"/>
    <cellStyle name="Comma 3 2" xfId="8" xr:uid="{00000000-0005-0000-0000-000007000000}"/>
    <cellStyle name="Comma 3 3" xfId="9" xr:uid="{00000000-0005-0000-0000-000008000000}"/>
    <cellStyle name="Comma 4 2" xfId="10" xr:uid="{00000000-0005-0000-0000-000009000000}"/>
    <cellStyle name="Comma 6" xfId="11" xr:uid="{00000000-0005-0000-0000-00000A000000}"/>
    <cellStyle name="Comma 6 2" xfId="12" xr:uid="{00000000-0005-0000-0000-00000B000000}"/>
    <cellStyle name="Comma 7" xfId="13" xr:uid="{00000000-0005-0000-0000-00000C000000}"/>
    <cellStyle name="Comma 7 2" xfId="14" xr:uid="{00000000-0005-0000-0000-00000D000000}"/>
    <cellStyle name="Comma 7 3" xfId="15" xr:uid="{00000000-0005-0000-0000-00000E000000}"/>
    <cellStyle name="Hyperlink" xfId="16" builtinId="8"/>
    <cellStyle name="Hyperlink 16" xfId="17" xr:uid="{00000000-0005-0000-0000-000010000000}"/>
    <cellStyle name="Hyperlink 2 2" xfId="18" xr:uid="{00000000-0005-0000-0000-000011000000}"/>
    <cellStyle name="Hyperlink 2 3" xfId="19" xr:uid="{00000000-0005-0000-0000-000012000000}"/>
    <cellStyle name="Hyperlink 3" xfId="20" xr:uid="{00000000-0005-0000-0000-000013000000}"/>
    <cellStyle name="Hyperlink 3 2" xfId="21" xr:uid="{00000000-0005-0000-0000-000014000000}"/>
    <cellStyle name="Hyperlink 3 3" xfId="22" xr:uid="{00000000-0005-0000-0000-000015000000}"/>
    <cellStyle name="Hyperlink 3 4" xfId="23" xr:uid="{00000000-0005-0000-0000-000016000000}"/>
    <cellStyle name="Hyperlink 4" xfId="24" xr:uid="{00000000-0005-0000-0000-000017000000}"/>
    <cellStyle name="Hyperlink 4 2" xfId="25" xr:uid="{00000000-0005-0000-0000-000018000000}"/>
    <cellStyle name="Hyperlink 7" xfId="26" xr:uid="{00000000-0005-0000-0000-000019000000}"/>
    <cellStyle name="Hyperlink 7 2" xfId="27" xr:uid="{00000000-0005-0000-0000-00001A000000}"/>
    <cellStyle name="Hyperlink 7 3" xfId="28" xr:uid="{00000000-0005-0000-0000-00001B000000}"/>
    <cellStyle name="Hyperlink 8" xfId="29" xr:uid="{00000000-0005-0000-0000-00001C000000}"/>
    <cellStyle name="Hyperlink 8 2" xfId="30" xr:uid="{00000000-0005-0000-0000-00001D000000}"/>
    <cellStyle name="Normal" xfId="0" builtinId="0"/>
    <cellStyle name="Normal 10 2" xfId="31" xr:uid="{00000000-0005-0000-0000-00001F000000}"/>
    <cellStyle name="Normal 10 2 2" xfId="32" xr:uid="{00000000-0005-0000-0000-000020000000}"/>
    <cellStyle name="Normal 10 2 2 2" xfId="33" xr:uid="{00000000-0005-0000-0000-000021000000}"/>
    <cellStyle name="Normal 10 2 2 3" xfId="34" xr:uid="{00000000-0005-0000-0000-000022000000}"/>
    <cellStyle name="Normal 10 2 3" xfId="35" xr:uid="{00000000-0005-0000-0000-000023000000}"/>
    <cellStyle name="Normal 10 3" xfId="36" xr:uid="{00000000-0005-0000-0000-000024000000}"/>
    <cellStyle name="Normal 10 3 2" xfId="37" xr:uid="{00000000-0005-0000-0000-000025000000}"/>
    <cellStyle name="Normal 10 3 3" xfId="38" xr:uid="{00000000-0005-0000-0000-000026000000}"/>
    <cellStyle name="Normal 10 4" xfId="39" xr:uid="{00000000-0005-0000-0000-000027000000}"/>
    <cellStyle name="Normal 10 4 2" xfId="40" xr:uid="{00000000-0005-0000-0000-000028000000}"/>
    <cellStyle name="Normal 10 4 3" xfId="41" xr:uid="{00000000-0005-0000-0000-000029000000}"/>
    <cellStyle name="Normal 10 5" xfId="42" xr:uid="{00000000-0005-0000-0000-00002A000000}"/>
    <cellStyle name="Normal 10 5 2" xfId="43" xr:uid="{00000000-0005-0000-0000-00002B000000}"/>
    <cellStyle name="Normal 10 5 3" xfId="44" xr:uid="{00000000-0005-0000-0000-00002C000000}"/>
    <cellStyle name="Normal 10 6" xfId="45" xr:uid="{00000000-0005-0000-0000-00002D000000}"/>
    <cellStyle name="Normal 10 6 2" xfId="46" xr:uid="{00000000-0005-0000-0000-00002E000000}"/>
    <cellStyle name="Normal 10 6 3" xfId="47" xr:uid="{00000000-0005-0000-0000-00002F000000}"/>
    <cellStyle name="Normal 10 7" xfId="48" xr:uid="{00000000-0005-0000-0000-000030000000}"/>
    <cellStyle name="Normal 10 7 2" xfId="49" xr:uid="{00000000-0005-0000-0000-000031000000}"/>
    <cellStyle name="Normal 10 7 3" xfId="50" xr:uid="{00000000-0005-0000-0000-000032000000}"/>
    <cellStyle name="Normal 10 8" xfId="51" xr:uid="{00000000-0005-0000-0000-000033000000}"/>
    <cellStyle name="Normal 11 2" xfId="52" xr:uid="{00000000-0005-0000-0000-000034000000}"/>
    <cellStyle name="Normal 11 2 2" xfId="53" xr:uid="{00000000-0005-0000-0000-000035000000}"/>
    <cellStyle name="Normal 11 2 3" xfId="54" xr:uid="{00000000-0005-0000-0000-000036000000}"/>
    <cellStyle name="Normal 11 3" xfId="55" xr:uid="{00000000-0005-0000-0000-000037000000}"/>
    <cellStyle name="Normal 11 4" xfId="56" xr:uid="{00000000-0005-0000-0000-000038000000}"/>
    <cellStyle name="Normal 11 5" xfId="57" xr:uid="{00000000-0005-0000-0000-000039000000}"/>
    <cellStyle name="Normal 11 5 2" xfId="58" xr:uid="{00000000-0005-0000-0000-00003A000000}"/>
    <cellStyle name="Normal 11 5 3" xfId="59" xr:uid="{00000000-0005-0000-0000-00003B000000}"/>
    <cellStyle name="Normal 11 6" xfId="60" xr:uid="{00000000-0005-0000-0000-00003C000000}"/>
    <cellStyle name="Normal 11 6 2" xfId="61" xr:uid="{00000000-0005-0000-0000-00003D000000}"/>
    <cellStyle name="Normal 11 7" xfId="62" xr:uid="{00000000-0005-0000-0000-00003E000000}"/>
    <cellStyle name="Normal 12 10" xfId="63" xr:uid="{00000000-0005-0000-0000-00003F000000}"/>
    <cellStyle name="Normal 12 11" xfId="64" xr:uid="{00000000-0005-0000-0000-000040000000}"/>
    <cellStyle name="Normal 12 12" xfId="65" xr:uid="{00000000-0005-0000-0000-000041000000}"/>
    <cellStyle name="Normal 12 13" xfId="66" xr:uid="{00000000-0005-0000-0000-000042000000}"/>
    <cellStyle name="Normal 12 14" xfId="67" xr:uid="{00000000-0005-0000-0000-000043000000}"/>
    <cellStyle name="Normal 12 15" xfId="68" xr:uid="{00000000-0005-0000-0000-000044000000}"/>
    <cellStyle name="Normal 12 2" xfId="69" xr:uid="{00000000-0005-0000-0000-000045000000}"/>
    <cellStyle name="Normal 12 2 2" xfId="70" xr:uid="{00000000-0005-0000-0000-000046000000}"/>
    <cellStyle name="Normal 12 3" xfId="71" xr:uid="{00000000-0005-0000-0000-000047000000}"/>
    <cellStyle name="Normal 12 4" xfId="72" xr:uid="{00000000-0005-0000-0000-000048000000}"/>
    <cellStyle name="Normal 12 5" xfId="73" xr:uid="{00000000-0005-0000-0000-000049000000}"/>
    <cellStyle name="Normal 12 6" xfId="74" xr:uid="{00000000-0005-0000-0000-00004A000000}"/>
    <cellStyle name="Normal 12 7" xfId="75" xr:uid="{00000000-0005-0000-0000-00004B000000}"/>
    <cellStyle name="Normal 12 8" xfId="76" xr:uid="{00000000-0005-0000-0000-00004C000000}"/>
    <cellStyle name="Normal 12 9" xfId="77" xr:uid="{00000000-0005-0000-0000-00004D000000}"/>
    <cellStyle name="Normal 13" xfId="78" xr:uid="{00000000-0005-0000-0000-00004E000000}"/>
    <cellStyle name="Normal 13 10" xfId="79" xr:uid="{00000000-0005-0000-0000-00004F000000}"/>
    <cellStyle name="Normal 13 11" xfId="80" xr:uid="{00000000-0005-0000-0000-000050000000}"/>
    <cellStyle name="Normal 13 12" xfId="81" xr:uid="{00000000-0005-0000-0000-000051000000}"/>
    <cellStyle name="Normal 13 13" xfId="82" xr:uid="{00000000-0005-0000-0000-000052000000}"/>
    <cellStyle name="Normal 13 13 2" xfId="83" xr:uid="{00000000-0005-0000-0000-000053000000}"/>
    <cellStyle name="Normal 13 2" xfId="84" xr:uid="{00000000-0005-0000-0000-000054000000}"/>
    <cellStyle name="Normal 13 2 2" xfId="85" xr:uid="{00000000-0005-0000-0000-000055000000}"/>
    <cellStyle name="Normal 13 3" xfId="86" xr:uid="{00000000-0005-0000-0000-000056000000}"/>
    <cellStyle name="Normal 13 4" xfId="87" xr:uid="{00000000-0005-0000-0000-000057000000}"/>
    <cellStyle name="Normal 13 5" xfId="88" xr:uid="{00000000-0005-0000-0000-000058000000}"/>
    <cellStyle name="Normal 13 6" xfId="89" xr:uid="{00000000-0005-0000-0000-000059000000}"/>
    <cellStyle name="Normal 13 7" xfId="90" xr:uid="{00000000-0005-0000-0000-00005A000000}"/>
    <cellStyle name="Normal 13 8" xfId="91" xr:uid="{00000000-0005-0000-0000-00005B000000}"/>
    <cellStyle name="Normal 13 9" xfId="92" xr:uid="{00000000-0005-0000-0000-00005C000000}"/>
    <cellStyle name="Normal 14" xfId="93" xr:uid="{00000000-0005-0000-0000-00005D000000}"/>
    <cellStyle name="Normal 14 2" xfId="94" xr:uid="{00000000-0005-0000-0000-00005E000000}"/>
    <cellStyle name="Normal 14 3" xfId="95" xr:uid="{00000000-0005-0000-0000-00005F000000}"/>
    <cellStyle name="Normal 14 4" xfId="96" xr:uid="{00000000-0005-0000-0000-000060000000}"/>
    <cellStyle name="Normal 14 5" xfId="97" xr:uid="{00000000-0005-0000-0000-000061000000}"/>
    <cellStyle name="Normal 14 5 2" xfId="98" xr:uid="{00000000-0005-0000-0000-000062000000}"/>
    <cellStyle name="Normal 14 6" xfId="99" xr:uid="{00000000-0005-0000-0000-000063000000}"/>
    <cellStyle name="Normal 14 7" xfId="100" xr:uid="{00000000-0005-0000-0000-000064000000}"/>
    <cellStyle name="Normal 14 7 2" xfId="101" xr:uid="{00000000-0005-0000-0000-000065000000}"/>
    <cellStyle name="Normal 14 7 3" xfId="102" xr:uid="{00000000-0005-0000-0000-000066000000}"/>
    <cellStyle name="Normal 15" xfId="103" xr:uid="{00000000-0005-0000-0000-000067000000}"/>
    <cellStyle name="Normal 15 2" xfId="104" xr:uid="{00000000-0005-0000-0000-000068000000}"/>
    <cellStyle name="Normal 15 3" xfId="105" xr:uid="{00000000-0005-0000-0000-000069000000}"/>
    <cellStyle name="Normal 15 4" xfId="106" xr:uid="{00000000-0005-0000-0000-00006A000000}"/>
    <cellStyle name="Normal 15 5" xfId="107" xr:uid="{00000000-0005-0000-0000-00006B000000}"/>
    <cellStyle name="Normal 15 5 2" xfId="108" xr:uid="{00000000-0005-0000-0000-00006C000000}"/>
    <cellStyle name="Normal 16" xfId="109" xr:uid="{00000000-0005-0000-0000-00006D000000}"/>
    <cellStyle name="Normal 16 2" xfId="110" xr:uid="{00000000-0005-0000-0000-00006E000000}"/>
    <cellStyle name="Normal 16 3" xfId="111" xr:uid="{00000000-0005-0000-0000-00006F000000}"/>
    <cellStyle name="Normal 16 4" xfId="112" xr:uid="{00000000-0005-0000-0000-000070000000}"/>
    <cellStyle name="Normal 16 5" xfId="113" xr:uid="{00000000-0005-0000-0000-000071000000}"/>
    <cellStyle name="Normal 16 5 2" xfId="114" xr:uid="{00000000-0005-0000-0000-000072000000}"/>
    <cellStyle name="Normal 17" xfId="115" xr:uid="{00000000-0005-0000-0000-000073000000}"/>
    <cellStyle name="Normal 17 2" xfId="116" xr:uid="{00000000-0005-0000-0000-000074000000}"/>
    <cellStyle name="Normal 17 3" xfId="117" xr:uid="{00000000-0005-0000-0000-000075000000}"/>
    <cellStyle name="Normal 17 4" xfId="118" xr:uid="{00000000-0005-0000-0000-000076000000}"/>
    <cellStyle name="Normal 17 5" xfId="119" xr:uid="{00000000-0005-0000-0000-000077000000}"/>
    <cellStyle name="Normal 17 5 2" xfId="120" xr:uid="{00000000-0005-0000-0000-000078000000}"/>
    <cellStyle name="Normal 18" xfId="121" xr:uid="{00000000-0005-0000-0000-000079000000}"/>
    <cellStyle name="Normal 18 2" xfId="122" xr:uid="{00000000-0005-0000-0000-00007A000000}"/>
    <cellStyle name="Normal 18 2 2" xfId="123" xr:uid="{00000000-0005-0000-0000-00007B000000}"/>
    <cellStyle name="Normal 18 2 3" xfId="124" xr:uid="{00000000-0005-0000-0000-00007C000000}"/>
    <cellStyle name="Normal 18 3" xfId="125" xr:uid="{00000000-0005-0000-0000-00007D000000}"/>
    <cellStyle name="Normal 18 4" xfId="126" xr:uid="{00000000-0005-0000-0000-00007E000000}"/>
    <cellStyle name="Normal 18 5" xfId="127" xr:uid="{00000000-0005-0000-0000-00007F000000}"/>
    <cellStyle name="Normal 18 6" xfId="128" xr:uid="{00000000-0005-0000-0000-000080000000}"/>
    <cellStyle name="Normal 18 7" xfId="129" xr:uid="{00000000-0005-0000-0000-000081000000}"/>
    <cellStyle name="Normal 18 8" xfId="130" xr:uid="{00000000-0005-0000-0000-000082000000}"/>
    <cellStyle name="Normal 18 9" xfId="131" xr:uid="{00000000-0005-0000-0000-000083000000}"/>
    <cellStyle name="Normal 19 2" xfId="132" xr:uid="{00000000-0005-0000-0000-000084000000}"/>
    <cellStyle name="Normal 19 2 2" xfId="133" xr:uid="{00000000-0005-0000-0000-000085000000}"/>
    <cellStyle name="Normal 19 2 3" xfId="134" xr:uid="{00000000-0005-0000-0000-000086000000}"/>
    <cellStyle name="Normal 19 3" xfId="135" xr:uid="{00000000-0005-0000-0000-000087000000}"/>
    <cellStyle name="Normal 19 4" xfId="136" xr:uid="{00000000-0005-0000-0000-000088000000}"/>
    <cellStyle name="Normal 19 5" xfId="137" xr:uid="{00000000-0005-0000-0000-000089000000}"/>
    <cellStyle name="Normal 19 6" xfId="138" xr:uid="{00000000-0005-0000-0000-00008A000000}"/>
    <cellStyle name="Normal 19 7" xfId="139" xr:uid="{00000000-0005-0000-0000-00008B000000}"/>
    <cellStyle name="Normal 19 8" xfId="140" xr:uid="{00000000-0005-0000-0000-00008C000000}"/>
    <cellStyle name="Normal 2" xfId="141" xr:uid="{00000000-0005-0000-0000-00008D000000}"/>
    <cellStyle name="Normal 2 10" xfId="142" xr:uid="{00000000-0005-0000-0000-00008E000000}"/>
    <cellStyle name="Normal 2 10 10" xfId="143" xr:uid="{00000000-0005-0000-0000-00008F000000}"/>
    <cellStyle name="Normal 2 10 11" xfId="144" xr:uid="{00000000-0005-0000-0000-000090000000}"/>
    <cellStyle name="Normal 2 10 11 2" xfId="145" xr:uid="{00000000-0005-0000-0000-000091000000}"/>
    <cellStyle name="Normal 2 10 11 2 2" xfId="146" xr:uid="{00000000-0005-0000-0000-000092000000}"/>
    <cellStyle name="Normal 2 10 11 2 2 2" xfId="147" xr:uid="{00000000-0005-0000-0000-000093000000}"/>
    <cellStyle name="Normal 2 10 11 2 2 3" xfId="148" xr:uid="{00000000-0005-0000-0000-000094000000}"/>
    <cellStyle name="Normal 2 10 11 3" xfId="149" xr:uid="{00000000-0005-0000-0000-000095000000}"/>
    <cellStyle name="Normal 2 10 11 4" xfId="150" xr:uid="{00000000-0005-0000-0000-000096000000}"/>
    <cellStyle name="Normal 2 10 11 5" xfId="151" xr:uid="{00000000-0005-0000-0000-000097000000}"/>
    <cellStyle name="Normal 2 10 12" xfId="152" xr:uid="{00000000-0005-0000-0000-000098000000}"/>
    <cellStyle name="Normal 2 10 2" xfId="153" xr:uid="{00000000-0005-0000-0000-000099000000}"/>
    <cellStyle name="Normal 2 10 2 2" xfId="154" xr:uid="{00000000-0005-0000-0000-00009A000000}"/>
    <cellStyle name="Normal 2 10 3" xfId="155" xr:uid="{00000000-0005-0000-0000-00009B000000}"/>
    <cellStyle name="Normal 2 10 3 2" xfId="156" xr:uid="{00000000-0005-0000-0000-00009C000000}"/>
    <cellStyle name="Normal 2 10 4" xfId="157" xr:uid="{00000000-0005-0000-0000-00009D000000}"/>
    <cellStyle name="Normal 2 10 4 2" xfId="158" xr:uid="{00000000-0005-0000-0000-00009E000000}"/>
    <cellStyle name="Normal 2 10 5" xfId="159" xr:uid="{00000000-0005-0000-0000-00009F000000}"/>
    <cellStyle name="Normal 2 10 5 2" xfId="160" xr:uid="{00000000-0005-0000-0000-0000A0000000}"/>
    <cellStyle name="Normal 2 10 6" xfId="161" xr:uid="{00000000-0005-0000-0000-0000A1000000}"/>
    <cellStyle name="Normal 2 10 6 2" xfId="162" xr:uid="{00000000-0005-0000-0000-0000A2000000}"/>
    <cellStyle name="Normal 2 10 7" xfId="163" xr:uid="{00000000-0005-0000-0000-0000A3000000}"/>
    <cellStyle name="Normal 2 10 7 2" xfId="164" xr:uid="{00000000-0005-0000-0000-0000A4000000}"/>
    <cellStyle name="Normal 2 10 8" xfId="165" xr:uid="{00000000-0005-0000-0000-0000A5000000}"/>
    <cellStyle name="Normal 2 10 8 2" xfId="166" xr:uid="{00000000-0005-0000-0000-0000A6000000}"/>
    <cellStyle name="Normal 2 10 9" xfId="167" xr:uid="{00000000-0005-0000-0000-0000A7000000}"/>
    <cellStyle name="Normal 2 11" xfId="168" xr:uid="{00000000-0005-0000-0000-0000A8000000}"/>
    <cellStyle name="Normal 2 11 10" xfId="169" xr:uid="{00000000-0005-0000-0000-0000A9000000}"/>
    <cellStyle name="Normal 2 11 11" xfId="170" xr:uid="{00000000-0005-0000-0000-0000AA000000}"/>
    <cellStyle name="Normal 2 11 2" xfId="171" xr:uid="{00000000-0005-0000-0000-0000AB000000}"/>
    <cellStyle name="Normal 2 11 2 2" xfId="172" xr:uid="{00000000-0005-0000-0000-0000AC000000}"/>
    <cellStyle name="Normal 2 11 3" xfId="173" xr:uid="{00000000-0005-0000-0000-0000AD000000}"/>
    <cellStyle name="Normal 2 11 3 2" xfId="174" xr:uid="{00000000-0005-0000-0000-0000AE000000}"/>
    <cellStyle name="Normal 2 11 4" xfId="175" xr:uid="{00000000-0005-0000-0000-0000AF000000}"/>
    <cellStyle name="Normal 2 11 4 2" xfId="176" xr:uid="{00000000-0005-0000-0000-0000B0000000}"/>
    <cellStyle name="Normal 2 11 5" xfId="177" xr:uid="{00000000-0005-0000-0000-0000B1000000}"/>
    <cellStyle name="Normal 2 11 5 2" xfId="178" xr:uid="{00000000-0005-0000-0000-0000B2000000}"/>
    <cellStyle name="Normal 2 11 6" xfId="179" xr:uid="{00000000-0005-0000-0000-0000B3000000}"/>
    <cellStyle name="Normal 2 11 6 2" xfId="180" xr:uid="{00000000-0005-0000-0000-0000B4000000}"/>
    <cellStyle name="Normal 2 11 7" xfId="181" xr:uid="{00000000-0005-0000-0000-0000B5000000}"/>
    <cellStyle name="Normal 2 11 7 2" xfId="182" xr:uid="{00000000-0005-0000-0000-0000B6000000}"/>
    <cellStyle name="Normal 2 11 8" xfId="183" xr:uid="{00000000-0005-0000-0000-0000B7000000}"/>
    <cellStyle name="Normal 2 11 8 2" xfId="184" xr:uid="{00000000-0005-0000-0000-0000B8000000}"/>
    <cellStyle name="Normal 2 11 9" xfId="185" xr:uid="{00000000-0005-0000-0000-0000B9000000}"/>
    <cellStyle name="Normal 2 12" xfId="186" xr:uid="{00000000-0005-0000-0000-0000BA000000}"/>
    <cellStyle name="Normal 2 13" xfId="187" xr:uid="{00000000-0005-0000-0000-0000BB000000}"/>
    <cellStyle name="Normal 2 14" xfId="188" xr:uid="{00000000-0005-0000-0000-0000BC000000}"/>
    <cellStyle name="Normal 2 15" xfId="189" xr:uid="{00000000-0005-0000-0000-0000BD000000}"/>
    <cellStyle name="Normal 2 16" xfId="190" xr:uid="{00000000-0005-0000-0000-0000BE000000}"/>
    <cellStyle name="Normal 2 17" xfId="191" xr:uid="{00000000-0005-0000-0000-0000BF000000}"/>
    <cellStyle name="Normal 2 17 2" xfId="192" xr:uid="{00000000-0005-0000-0000-0000C0000000}"/>
    <cellStyle name="Normal 2 17 3" xfId="193" xr:uid="{00000000-0005-0000-0000-0000C1000000}"/>
    <cellStyle name="Normal 2 18" xfId="194" xr:uid="{00000000-0005-0000-0000-0000C2000000}"/>
    <cellStyle name="Normal 2 19" xfId="195" xr:uid="{00000000-0005-0000-0000-0000C3000000}"/>
    <cellStyle name="Normal 2 2" xfId="196" xr:uid="{00000000-0005-0000-0000-0000C4000000}"/>
    <cellStyle name="Normal 2 2 10" xfId="197" xr:uid="{00000000-0005-0000-0000-0000C5000000}"/>
    <cellStyle name="Normal 2 2 10 2" xfId="198" xr:uid="{00000000-0005-0000-0000-0000C6000000}"/>
    <cellStyle name="Normal 2 2 11" xfId="199" xr:uid="{00000000-0005-0000-0000-0000C7000000}"/>
    <cellStyle name="Normal 2 2 11 2" xfId="200" xr:uid="{00000000-0005-0000-0000-0000C8000000}"/>
    <cellStyle name="Normal 2 2 12" xfId="201" xr:uid="{00000000-0005-0000-0000-0000C9000000}"/>
    <cellStyle name="Normal 2 2 12 2" xfId="202" xr:uid="{00000000-0005-0000-0000-0000CA000000}"/>
    <cellStyle name="Normal 2 2 12 2 2" xfId="203" xr:uid="{00000000-0005-0000-0000-0000CB000000}"/>
    <cellStyle name="Normal 2 2 12 2 3" xfId="204" xr:uid="{00000000-0005-0000-0000-0000CC000000}"/>
    <cellStyle name="Normal 2 2 12 2 4" xfId="205" xr:uid="{00000000-0005-0000-0000-0000CD000000}"/>
    <cellStyle name="Normal 2 2 12 3" xfId="206" xr:uid="{00000000-0005-0000-0000-0000CE000000}"/>
    <cellStyle name="Normal 2 2 12 4" xfId="207" xr:uid="{00000000-0005-0000-0000-0000CF000000}"/>
    <cellStyle name="Normal 2 2 13" xfId="208" xr:uid="{00000000-0005-0000-0000-0000D0000000}"/>
    <cellStyle name="Normal 2 2 13 2" xfId="209" xr:uid="{00000000-0005-0000-0000-0000D1000000}"/>
    <cellStyle name="Normal 2 2 13 2 2" xfId="210" xr:uid="{00000000-0005-0000-0000-0000D2000000}"/>
    <cellStyle name="Normal 2 2 13 2 3" xfId="211" xr:uid="{00000000-0005-0000-0000-0000D3000000}"/>
    <cellStyle name="Normal 2 2 13 2 4" xfId="212" xr:uid="{00000000-0005-0000-0000-0000D4000000}"/>
    <cellStyle name="Normal 2 2 13 3" xfId="213" xr:uid="{00000000-0005-0000-0000-0000D5000000}"/>
    <cellStyle name="Normal 2 2 13 4" xfId="214" xr:uid="{00000000-0005-0000-0000-0000D6000000}"/>
    <cellStyle name="Normal 2 2 14" xfId="215" xr:uid="{00000000-0005-0000-0000-0000D7000000}"/>
    <cellStyle name="Normal 2 2 14 2" xfId="216" xr:uid="{00000000-0005-0000-0000-0000D8000000}"/>
    <cellStyle name="Normal 2 2 15" xfId="217" xr:uid="{00000000-0005-0000-0000-0000D9000000}"/>
    <cellStyle name="Normal 2 2 15 2" xfId="218" xr:uid="{00000000-0005-0000-0000-0000DA000000}"/>
    <cellStyle name="Normal 2 2 16" xfId="219" xr:uid="{00000000-0005-0000-0000-0000DB000000}"/>
    <cellStyle name="Normal 2 2 16 2" xfId="220" xr:uid="{00000000-0005-0000-0000-0000DC000000}"/>
    <cellStyle name="Normal 2 2 16 3" xfId="221" xr:uid="{00000000-0005-0000-0000-0000DD000000}"/>
    <cellStyle name="Normal 2 2 17" xfId="222" xr:uid="{00000000-0005-0000-0000-0000DE000000}"/>
    <cellStyle name="Normal 2 2 18" xfId="223" xr:uid="{00000000-0005-0000-0000-0000DF000000}"/>
    <cellStyle name="Normal 2 2 19" xfId="224" xr:uid="{00000000-0005-0000-0000-0000E0000000}"/>
    <cellStyle name="Normal 2 2 2" xfId="225" xr:uid="{00000000-0005-0000-0000-0000E1000000}"/>
    <cellStyle name="Normal 2 2 2 2" xfId="226" xr:uid="{00000000-0005-0000-0000-0000E2000000}"/>
    <cellStyle name="Normal 2 2 2 2 2" xfId="227" xr:uid="{00000000-0005-0000-0000-0000E3000000}"/>
    <cellStyle name="Normal 2 2 2 2 3" xfId="228" xr:uid="{00000000-0005-0000-0000-0000E4000000}"/>
    <cellStyle name="Normal 2 2 2 2 3 2" xfId="229" xr:uid="{00000000-0005-0000-0000-0000E5000000}"/>
    <cellStyle name="Normal 2 2 2 2 3 3" xfId="230" xr:uid="{00000000-0005-0000-0000-0000E6000000}"/>
    <cellStyle name="Normal 2 2 2 3" xfId="231" xr:uid="{00000000-0005-0000-0000-0000E7000000}"/>
    <cellStyle name="Normal 2 2 2 3 2" xfId="232" xr:uid="{00000000-0005-0000-0000-0000E8000000}"/>
    <cellStyle name="Normal 2 2 2 3 3" xfId="233" xr:uid="{00000000-0005-0000-0000-0000E9000000}"/>
    <cellStyle name="Normal 2 2 2 3 4" xfId="234" xr:uid="{00000000-0005-0000-0000-0000EA000000}"/>
    <cellStyle name="Normal 2 2 2 4" xfId="235" xr:uid="{00000000-0005-0000-0000-0000EB000000}"/>
    <cellStyle name="Normal 2 2 2 4 2" xfId="236" xr:uid="{00000000-0005-0000-0000-0000EC000000}"/>
    <cellStyle name="Normal 2 2 2 5" xfId="237" xr:uid="{00000000-0005-0000-0000-0000ED000000}"/>
    <cellStyle name="Normal 2 2 2 5 2" xfId="238" xr:uid="{00000000-0005-0000-0000-0000EE000000}"/>
    <cellStyle name="Normal 2 2 2 5 2 2" xfId="239" xr:uid="{00000000-0005-0000-0000-0000EF000000}"/>
    <cellStyle name="Normal 2 2 2 5 3" xfId="240" xr:uid="{00000000-0005-0000-0000-0000F0000000}"/>
    <cellStyle name="Normal 2 2 2 5 4" xfId="241" xr:uid="{00000000-0005-0000-0000-0000F1000000}"/>
    <cellStyle name="Normal 2 2 2 6" xfId="242" xr:uid="{00000000-0005-0000-0000-0000F2000000}"/>
    <cellStyle name="Normal 2 2 2 6 2" xfId="243" xr:uid="{00000000-0005-0000-0000-0000F3000000}"/>
    <cellStyle name="Normal 2 2 2 7" xfId="244" xr:uid="{00000000-0005-0000-0000-0000F4000000}"/>
    <cellStyle name="Normal 2 2 2 7 2" xfId="245" xr:uid="{00000000-0005-0000-0000-0000F5000000}"/>
    <cellStyle name="Normal 2 2 2 7 3" xfId="246" xr:uid="{00000000-0005-0000-0000-0000F6000000}"/>
    <cellStyle name="Normal 2 2 2 8" xfId="247" xr:uid="{00000000-0005-0000-0000-0000F7000000}"/>
    <cellStyle name="Normal 2 2 20" xfId="248" xr:uid="{00000000-0005-0000-0000-0000F8000000}"/>
    <cellStyle name="Normal 2 2 21" xfId="249" xr:uid="{00000000-0005-0000-0000-0000F9000000}"/>
    <cellStyle name="Normal 2 2 22" xfId="250" xr:uid="{00000000-0005-0000-0000-0000FA000000}"/>
    <cellStyle name="Normal 2 2 3" xfId="251" xr:uid="{00000000-0005-0000-0000-0000FB000000}"/>
    <cellStyle name="Normal 2 2 3 2" xfId="252" xr:uid="{00000000-0005-0000-0000-0000FC000000}"/>
    <cellStyle name="Normal 2 2 4" xfId="253" xr:uid="{00000000-0005-0000-0000-0000FD000000}"/>
    <cellStyle name="Normal 2 2 4 2" xfId="254" xr:uid="{00000000-0005-0000-0000-0000FE000000}"/>
    <cellStyle name="Normal 2 2 5" xfId="255" xr:uid="{00000000-0005-0000-0000-0000FF000000}"/>
    <cellStyle name="Normal 2 2 5 2" xfId="256" xr:uid="{00000000-0005-0000-0000-000000010000}"/>
    <cellStyle name="Normal 2 2 6" xfId="257" xr:uid="{00000000-0005-0000-0000-000001010000}"/>
    <cellStyle name="Normal 2 2 6 2" xfId="258" xr:uid="{00000000-0005-0000-0000-000002010000}"/>
    <cellStyle name="Normal 2 2 7" xfId="259" xr:uid="{00000000-0005-0000-0000-000003010000}"/>
    <cellStyle name="Normal 2 2 7 2" xfId="260" xr:uid="{00000000-0005-0000-0000-000004010000}"/>
    <cellStyle name="Normal 2 2 8" xfId="261" xr:uid="{00000000-0005-0000-0000-000005010000}"/>
    <cellStyle name="Normal 2 2 8 2" xfId="262" xr:uid="{00000000-0005-0000-0000-000006010000}"/>
    <cellStyle name="Normal 2 2 9" xfId="263" xr:uid="{00000000-0005-0000-0000-000007010000}"/>
    <cellStyle name="Normal 2 2 9 2" xfId="264" xr:uid="{00000000-0005-0000-0000-000008010000}"/>
    <cellStyle name="Normal 2 20" xfId="579" xr:uid="{F31B6A46-B223-451F-936A-483FFBA755AF}"/>
    <cellStyle name="Normal 2 3" xfId="265" xr:uid="{00000000-0005-0000-0000-000009010000}"/>
    <cellStyle name="Normal 2 3 10" xfId="266" xr:uid="{00000000-0005-0000-0000-00000A010000}"/>
    <cellStyle name="Normal 2 3 11" xfId="267" xr:uid="{00000000-0005-0000-0000-00000B010000}"/>
    <cellStyle name="Normal 2 3 12" xfId="268" xr:uid="{00000000-0005-0000-0000-00000C010000}"/>
    <cellStyle name="Normal 2 3 13" xfId="269" xr:uid="{00000000-0005-0000-0000-00000D010000}"/>
    <cellStyle name="Normal 2 3 14" xfId="270" xr:uid="{00000000-0005-0000-0000-00000E010000}"/>
    <cellStyle name="Normal 2 3 15" xfId="271" xr:uid="{00000000-0005-0000-0000-00000F010000}"/>
    <cellStyle name="Normal 2 3 2" xfId="272" xr:uid="{00000000-0005-0000-0000-000010010000}"/>
    <cellStyle name="Normal 2 3 2 2" xfId="273" xr:uid="{00000000-0005-0000-0000-000011010000}"/>
    <cellStyle name="Normal 2 3 2 2 2" xfId="274" xr:uid="{00000000-0005-0000-0000-000012010000}"/>
    <cellStyle name="Normal 2 3 2 2 3" xfId="275" xr:uid="{00000000-0005-0000-0000-000013010000}"/>
    <cellStyle name="Normal 2 3 2 3" xfId="276" xr:uid="{00000000-0005-0000-0000-000014010000}"/>
    <cellStyle name="Normal 2 3 2 4" xfId="277" xr:uid="{00000000-0005-0000-0000-000015010000}"/>
    <cellStyle name="Normal 2 3 2 5" xfId="278" xr:uid="{00000000-0005-0000-0000-000016010000}"/>
    <cellStyle name="Normal 2 3 3" xfId="279" xr:uid="{00000000-0005-0000-0000-000017010000}"/>
    <cellStyle name="Normal 2 3 3 2" xfId="280" xr:uid="{00000000-0005-0000-0000-000018010000}"/>
    <cellStyle name="Normal 2 3 3 3" xfId="281" xr:uid="{00000000-0005-0000-0000-000019010000}"/>
    <cellStyle name="Normal 2 3 4" xfId="282" xr:uid="{00000000-0005-0000-0000-00001A010000}"/>
    <cellStyle name="Normal 2 3 5" xfId="283" xr:uid="{00000000-0005-0000-0000-00001B010000}"/>
    <cellStyle name="Normal 2 3 6" xfId="284" xr:uid="{00000000-0005-0000-0000-00001C010000}"/>
    <cellStyle name="Normal 2 3 7" xfId="285" xr:uid="{00000000-0005-0000-0000-00001D010000}"/>
    <cellStyle name="Normal 2 3 8" xfId="286" xr:uid="{00000000-0005-0000-0000-00001E010000}"/>
    <cellStyle name="Normal 2 3 9" xfId="287" xr:uid="{00000000-0005-0000-0000-00001F010000}"/>
    <cellStyle name="Normal 2 4" xfId="288" xr:uid="{00000000-0005-0000-0000-000020010000}"/>
    <cellStyle name="Normal 2 4 10" xfId="289" xr:uid="{00000000-0005-0000-0000-000021010000}"/>
    <cellStyle name="Normal 2 4 11" xfId="290" xr:uid="{00000000-0005-0000-0000-000022010000}"/>
    <cellStyle name="Normal 2 4 12" xfId="291" xr:uid="{00000000-0005-0000-0000-000023010000}"/>
    <cellStyle name="Normal 2 4 12 2" xfId="292" xr:uid="{00000000-0005-0000-0000-000024010000}"/>
    <cellStyle name="Normal 2 4 12 3" xfId="293" xr:uid="{00000000-0005-0000-0000-000025010000}"/>
    <cellStyle name="Normal 2 4 13" xfId="294" xr:uid="{00000000-0005-0000-0000-000026010000}"/>
    <cellStyle name="Normal 2 4 13 2" xfId="295" xr:uid="{00000000-0005-0000-0000-000027010000}"/>
    <cellStyle name="Normal 2 4 13 3" xfId="296" xr:uid="{00000000-0005-0000-0000-000028010000}"/>
    <cellStyle name="Normal 2 4 14" xfId="297" xr:uid="{00000000-0005-0000-0000-000029010000}"/>
    <cellStyle name="Normal 2 4 15" xfId="298" xr:uid="{00000000-0005-0000-0000-00002A010000}"/>
    <cellStyle name="Normal 2 4 16" xfId="299" xr:uid="{00000000-0005-0000-0000-00002B010000}"/>
    <cellStyle name="Normal 2 4 2" xfId="300" xr:uid="{00000000-0005-0000-0000-00002C010000}"/>
    <cellStyle name="Normal 2 4 2 2" xfId="301" xr:uid="{00000000-0005-0000-0000-00002D010000}"/>
    <cellStyle name="Normal 2 4 2 2 2" xfId="302" xr:uid="{00000000-0005-0000-0000-00002E010000}"/>
    <cellStyle name="Normal 2 4 2 2 3" xfId="303" xr:uid="{00000000-0005-0000-0000-00002F010000}"/>
    <cellStyle name="Normal 2 4 2 2 3 2" xfId="304" xr:uid="{00000000-0005-0000-0000-000030010000}"/>
    <cellStyle name="Normal 2 4 2 2 4" xfId="305" xr:uid="{00000000-0005-0000-0000-000031010000}"/>
    <cellStyle name="Normal 2 4 2 2 5" xfId="306" xr:uid="{00000000-0005-0000-0000-000032010000}"/>
    <cellStyle name="Normal 2 4 2 3" xfId="307" xr:uid="{00000000-0005-0000-0000-000033010000}"/>
    <cellStyle name="Normal 2 4 2 4" xfId="308" xr:uid="{00000000-0005-0000-0000-000034010000}"/>
    <cellStyle name="Normal 2 4 2 5" xfId="309" xr:uid="{00000000-0005-0000-0000-000035010000}"/>
    <cellStyle name="Normal 2 4 2 6" xfId="310" xr:uid="{00000000-0005-0000-0000-000036010000}"/>
    <cellStyle name="Normal 2 4 2 7" xfId="311" xr:uid="{00000000-0005-0000-0000-000037010000}"/>
    <cellStyle name="Normal 2 4 3" xfId="312" xr:uid="{00000000-0005-0000-0000-000038010000}"/>
    <cellStyle name="Normal 2 4 3 2" xfId="313" xr:uid="{00000000-0005-0000-0000-000039010000}"/>
    <cellStyle name="Normal 2 4 3 3" xfId="314" xr:uid="{00000000-0005-0000-0000-00003A010000}"/>
    <cellStyle name="Normal 2 4 4" xfId="315" xr:uid="{00000000-0005-0000-0000-00003B010000}"/>
    <cellStyle name="Normal 2 4 5" xfId="316" xr:uid="{00000000-0005-0000-0000-00003C010000}"/>
    <cellStyle name="Normal 2 4 6" xfId="317" xr:uid="{00000000-0005-0000-0000-00003D010000}"/>
    <cellStyle name="Normal 2 4 7" xfId="318" xr:uid="{00000000-0005-0000-0000-00003E010000}"/>
    <cellStyle name="Normal 2 4 8" xfId="319" xr:uid="{00000000-0005-0000-0000-00003F010000}"/>
    <cellStyle name="Normal 2 4 9" xfId="320" xr:uid="{00000000-0005-0000-0000-000040010000}"/>
    <cellStyle name="Normal 2 5" xfId="321" xr:uid="{00000000-0005-0000-0000-000041010000}"/>
    <cellStyle name="Normal 2 5 10" xfId="322" xr:uid="{00000000-0005-0000-0000-000042010000}"/>
    <cellStyle name="Normal 2 5 11" xfId="323" xr:uid="{00000000-0005-0000-0000-000043010000}"/>
    <cellStyle name="Normal 2 5 12" xfId="324" xr:uid="{00000000-0005-0000-0000-000044010000}"/>
    <cellStyle name="Normal 2 5 12 2" xfId="325" xr:uid="{00000000-0005-0000-0000-000045010000}"/>
    <cellStyle name="Normal 2 5 12 3" xfId="326" xr:uid="{00000000-0005-0000-0000-000046010000}"/>
    <cellStyle name="Normal 2 5 2" xfId="327" xr:uid="{00000000-0005-0000-0000-000047010000}"/>
    <cellStyle name="Normal 2 5 2 2" xfId="328" xr:uid="{00000000-0005-0000-0000-000048010000}"/>
    <cellStyle name="Normal 2 5 3" xfId="329" xr:uid="{00000000-0005-0000-0000-000049010000}"/>
    <cellStyle name="Normal 2 5 3 2" xfId="330" xr:uid="{00000000-0005-0000-0000-00004A010000}"/>
    <cellStyle name="Normal 2 5 4" xfId="331" xr:uid="{00000000-0005-0000-0000-00004B010000}"/>
    <cellStyle name="Normal 2 5 5" xfId="332" xr:uid="{00000000-0005-0000-0000-00004C010000}"/>
    <cellStyle name="Normal 2 5 6" xfId="333" xr:uid="{00000000-0005-0000-0000-00004D010000}"/>
    <cellStyle name="Normal 2 5 7" xfId="334" xr:uid="{00000000-0005-0000-0000-00004E010000}"/>
    <cellStyle name="Normal 2 5 8" xfId="335" xr:uid="{00000000-0005-0000-0000-00004F010000}"/>
    <cellStyle name="Normal 2 5 9" xfId="336" xr:uid="{00000000-0005-0000-0000-000050010000}"/>
    <cellStyle name="Normal 2 6" xfId="337" xr:uid="{00000000-0005-0000-0000-000051010000}"/>
    <cellStyle name="Normal 2 6 10" xfId="338" xr:uid="{00000000-0005-0000-0000-000052010000}"/>
    <cellStyle name="Normal 2 6 11" xfId="339" xr:uid="{00000000-0005-0000-0000-000053010000}"/>
    <cellStyle name="Normal 2 6 12" xfId="340" xr:uid="{00000000-0005-0000-0000-000054010000}"/>
    <cellStyle name="Normal 2 6 12 2" xfId="341" xr:uid="{00000000-0005-0000-0000-000055010000}"/>
    <cellStyle name="Normal 2 6 13" xfId="342" xr:uid="{00000000-0005-0000-0000-000056010000}"/>
    <cellStyle name="Normal 2 6 2" xfId="343" xr:uid="{00000000-0005-0000-0000-000057010000}"/>
    <cellStyle name="Normal 2 6 2 2" xfId="344" xr:uid="{00000000-0005-0000-0000-000058010000}"/>
    <cellStyle name="Normal 2 6 3" xfId="345" xr:uid="{00000000-0005-0000-0000-000059010000}"/>
    <cellStyle name="Normal 2 6 3 2" xfId="346" xr:uid="{00000000-0005-0000-0000-00005A010000}"/>
    <cellStyle name="Normal 2 6 4" xfId="347" xr:uid="{00000000-0005-0000-0000-00005B010000}"/>
    <cellStyle name="Normal 2 6 5" xfId="348" xr:uid="{00000000-0005-0000-0000-00005C010000}"/>
    <cellStyle name="Normal 2 6 6" xfId="349" xr:uid="{00000000-0005-0000-0000-00005D010000}"/>
    <cellStyle name="Normal 2 6 7" xfId="350" xr:uid="{00000000-0005-0000-0000-00005E010000}"/>
    <cellStyle name="Normal 2 6 8" xfId="351" xr:uid="{00000000-0005-0000-0000-00005F010000}"/>
    <cellStyle name="Normal 2 6 9" xfId="352" xr:uid="{00000000-0005-0000-0000-000060010000}"/>
    <cellStyle name="Normal 2 7" xfId="353" xr:uid="{00000000-0005-0000-0000-000061010000}"/>
    <cellStyle name="Normal 2 7 10" xfId="354" xr:uid="{00000000-0005-0000-0000-000062010000}"/>
    <cellStyle name="Normal 2 7 11" xfId="355" xr:uid="{00000000-0005-0000-0000-000063010000}"/>
    <cellStyle name="Normal 2 7 2" xfId="356" xr:uid="{00000000-0005-0000-0000-000064010000}"/>
    <cellStyle name="Normal 2 7 2 2" xfId="357" xr:uid="{00000000-0005-0000-0000-000065010000}"/>
    <cellStyle name="Normal 2 7 2 3" xfId="358" xr:uid="{00000000-0005-0000-0000-000066010000}"/>
    <cellStyle name="Normal 2 7 3" xfId="359" xr:uid="{00000000-0005-0000-0000-000067010000}"/>
    <cellStyle name="Normal 2 7 3 2" xfId="360" xr:uid="{00000000-0005-0000-0000-000068010000}"/>
    <cellStyle name="Normal 2 7 4" xfId="361" xr:uid="{00000000-0005-0000-0000-000069010000}"/>
    <cellStyle name="Normal 2 7 4 2" xfId="362" xr:uid="{00000000-0005-0000-0000-00006A010000}"/>
    <cellStyle name="Normal 2 7 5" xfId="363" xr:uid="{00000000-0005-0000-0000-00006B010000}"/>
    <cellStyle name="Normal 2 7 5 2" xfId="364" xr:uid="{00000000-0005-0000-0000-00006C010000}"/>
    <cellStyle name="Normal 2 7 6" xfId="365" xr:uid="{00000000-0005-0000-0000-00006D010000}"/>
    <cellStyle name="Normal 2 7 6 2" xfId="366" xr:uid="{00000000-0005-0000-0000-00006E010000}"/>
    <cellStyle name="Normal 2 7 7" xfId="367" xr:uid="{00000000-0005-0000-0000-00006F010000}"/>
    <cellStyle name="Normal 2 7 7 2" xfId="368" xr:uid="{00000000-0005-0000-0000-000070010000}"/>
    <cellStyle name="Normal 2 7 8" xfId="369" xr:uid="{00000000-0005-0000-0000-000071010000}"/>
    <cellStyle name="Normal 2 7 8 2" xfId="370" xr:uid="{00000000-0005-0000-0000-000072010000}"/>
    <cellStyle name="Normal 2 7 9" xfId="371" xr:uid="{00000000-0005-0000-0000-000073010000}"/>
    <cellStyle name="Normal 2 8" xfId="372" xr:uid="{00000000-0005-0000-0000-000074010000}"/>
    <cellStyle name="Normal 2 8 10" xfId="373" xr:uid="{00000000-0005-0000-0000-000075010000}"/>
    <cellStyle name="Normal 2 8 11" xfId="374" xr:uid="{00000000-0005-0000-0000-000076010000}"/>
    <cellStyle name="Normal 2 8 2" xfId="375" xr:uid="{00000000-0005-0000-0000-000077010000}"/>
    <cellStyle name="Normal 2 8 2 2" xfId="376" xr:uid="{00000000-0005-0000-0000-000078010000}"/>
    <cellStyle name="Normal 2 8 3" xfId="377" xr:uid="{00000000-0005-0000-0000-000079010000}"/>
    <cellStyle name="Normal 2 8 3 2" xfId="378" xr:uid="{00000000-0005-0000-0000-00007A010000}"/>
    <cellStyle name="Normal 2 8 4" xfId="379" xr:uid="{00000000-0005-0000-0000-00007B010000}"/>
    <cellStyle name="Normal 2 8 4 2" xfId="380" xr:uid="{00000000-0005-0000-0000-00007C010000}"/>
    <cellStyle name="Normal 2 8 5" xfId="381" xr:uid="{00000000-0005-0000-0000-00007D010000}"/>
    <cellStyle name="Normal 2 8 5 2" xfId="382" xr:uid="{00000000-0005-0000-0000-00007E010000}"/>
    <cellStyle name="Normal 2 8 6" xfId="383" xr:uid="{00000000-0005-0000-0000-00007F010000}"/>
    <cellStyle name="Normal 2 8 6 2" xfId="384" xr:uid="{00000000-0005-0000-0000-000080010000}"/>
    <cellStyle name="Normal 2 8 7" xfId="385" xr:uid="{00000000-0005-0000-0000-000081010000}"/>
    <cellStyle name="Normal 2 8 7 2" xfId="386" xr:uid="{00000000-0005-0000-0000-000082010000}"/>
    <cellStyle name="Normal 2 8 8" xfId="387" xr:uid="{00000000-0005-0000-0000-000083010000}"/>
    <cellStyle name="Normal 2 8 8 2" xfId="388" xr:uid="{00000000-0005-0000-0000-000084010000}"/>
    <cellStyle name="Normal 2 8 9" xfId="389" xr:uid="{00000000-0005-0000-0000-000085010000}"/>
    <cellStyle name="Normal 2 9" xfId="390" xr:uid="{00000000-0005-0000-0000-000086010000}"/>
    <cellStyle name="Normal 2 9 10" xfId="391" xr:uid="{00000000-0005-0000-0000-000087010000}"/>
    <cellStyle name="Normal 2 9 11" xfId="392" xr:uid="{00000000-0005-0000-0000-000088010000}"/>
    <cellStyle name="Normal 2 9 2" xfId="393" xr:uid="{00000000-0005-0000-0000-000089010000}"/>
    <cellStyle name="Normal 2 9 2 2" xfId="394" xr:uid="{00000000-0005-0000-0000-00008A010000}"/>
    <cellStyle name="Normal 2 9 3" xfId="395" xr:uid="{00000000-0005-0000-0000-00008B010000}"/>
    <cellStyle name="Normal 2 9 3 2" xfId="396" xr:uid="{00000000-0005-0000-0000-00008C010000}"/>
    <cellStyle name="Normal 2 9 4" xfId="397" xr:uid="{00000000-0005-0000-0000-00008D010000}"/>
    <cellStyle name="Normal 2 9 4 2" xfId="398" xr:uid="{00000000-0005-0000-0000-00008E010000}"/>
    <cellStyle name="Normal 2 9 5" xfId="399" xr:uid="{00000000-0005-0000-0000-00008F010000}"/>
    <cellStyle name="Normal 2 9 5 2" xfId="400" xr:uid="{00000000-0005-0000-0000-000090010000}"/>
    <cellStyle name="Normal 2 9 6" xfId="401" xr:uid="{00000000-0005-0000-0000-000091010000}"/>
    <cellStyle name="Normal 2 9 6 2" xfId="402" xr:uid="{00000000-0005-0000-0000-000092010000}"/>
    <cellStyle name="Normal 2 9 7" xfId="403" xr:uid="{00000000-0005-0000-0000-000093010000}"/>
    <cellStyle name="Normal 2 9 7 2" xfId="404" xr:uid="{00000000-0005-0000-0000-000094010000}"/>
    <cellStyle name="Normal 2 9 8" xfId="405" xr:uid="{00000000-0005-0000-0000-000095010000}"/>
    <cellStyle name="Normal 2 9 8 2" xfId="406" xr:uid="{00000000-0005-0000-0000-000096010000}"/>
    <cellStyle name="Normal 2 9 9" xfId="407" xr:uid="{00000000-0005-0000-0000-000097010000}"/>
    <cellStyle name="Normal 20" xfId="408" xr:uid="{00000000-0005-0000-0000-000098010000}"/>
    <cellStyle name="Normal 20 2" xfId="409" xr:uid="{00000000-0005-0000-0000-000099010000}"/>
    <cellStyle name="Normal 20 3" xfId="410" xr:uid="{00000000-0005-0000-0000-00009A010000}"/>
    <cellStyle name="Normal 21" xfId="411" xr:uid="{00000000-0005-0000-0000-00009B010000}"/>
    <cellStyle name="Normal 21 2" xfId="412" xr:uid="{00000000-0005-0000-0000-00009C010000}"/>
    <cellStyle name="Normal 21 2 2" xfId="413" xr:uid="{00000000-0005-0000-0000-00009D010000}"/>
    <cellStyle name="Normal 21 2 3" xfId="414" xr:uid="{00000000-0005-0000-0000-00009E010000}"/>
    <cellStyle name="Normal 21 3" xfId="415" xr:uid="{00000000-0005-0000-0000-00009F010000}"/>
    <cellStyle name="Normal 21 4" xfId="416" xr:uid="{00000000-0005-0000-0000-0000A0010000}"/>
    <cellStyle name="Normal 21 5" xfId="417" xr:uid="{00000000-0005-0000-0000-0000A1010000}"/>
    <cellStyle name="Normal 22" xfId="418" xr:uid="{00000000-0005-0000-0000-0000A2010000}"/>
    <cellStyle name="Normal 22 2" xfId="419" xr:uid="{00000000-0005-0000-0000-0000A3010000}"/>
    <cellStyle name="Normal 22 3" xfId="420" xr:uid="{00000000-0005-0000-0000-0000A4010000}"/>
    <cellStyle name="Normal 23" xfId="421" xr:uid="{00000000-0005-0000-0000-0000A5010000}"/>
    <cellStyle name="Normal 23 2" xfId="422" xr:uid="{00000000-0005-0000-0000-0000A6010000}"/>
    <cellStyle name="Normal 23 3" xfId="423" xr:uid="{00000000-0005-0000-0000-0000A7010000}"/>
    <cellStyle name="Normal 24" xfId="424" xr:uid="{00000000-0005-0000-0000-0000A8010000}"/>
    <cellStyle name="Normal 24 2" xfId="425" xr:uid="{00000000-0005-0000-0000-0000A9010000}"/>
    <cellStyle name="Normal 24 3" xfId="426" xr:uid="{00000000-0005-0000-0000-0000AA010000}"/>
    <cellStyle name="Normal 25" xfId="427" xr:uid="{00000000-0005-0000-0000-0000AB010000}"/>
    <cellStyle name="Normal 25 2" xfId="428" xr:uid="{00000000-0005-0000-0000-0000AC010000}"/>
    <cellStyle name="Normal 25 3" xfId="429" xr:uid="{00000000-0005-0000-0000-0000AD010000}"/>
    <cellStyle name="Normal 26" xfId="430" xr:uid="{00000000-0005-0000-0000-0000AE010000}"/>
    <cellStyle name="Normal 27" xfId="431" xr:uid="{00000000-0005-0000-0000-0000AF010000}"/>
    <cellStyle name="Normal 27 2" xfId="432" xr:uid="{00000000-0005-0000-0000-0000B0010000}"/>
    <cellStyle name="Normal 29" xfId="580" xr:uid="{3FA43005-2504-46B9-94FF-DD7D56719013}"/>
    <cellStyle name="Normal 3" xfId="433" xr:uid="{00000000-0005-0000-0000-0000B1010000}"/>
    <cellStyle name="Normal 3 10" xfId="434" xr:uid="{00000000-0005-0000-0000-0000B2010000}"/>
    <cellStyle name="Normal 3 10 2" xfId="435" xr:uid="{00000000-0005-0000-0000-0000B3010000}"/>
    <cellStyle name="Normal 3 10 3" xfId="436" xr:uid="{00000000-0005-0000-0000-0000B4010000}"/>
    <cellStyle name="Normal 3 11" xfId="437" xr:uid="{00000000-0005-0000-0000-0000B5010000}"/>
    <cellStyle name="Normal 3 12" xfId="438" xr:uid="{00000000-0005-0000-0000-0000B6010000}"/>
    <cellStyle name="Normal 3 13" xfId="439" xr:uid="{00000000-0005-0000-0000-0000B7010000}"/>
    <cellStyle name="Normal 3 14" xfId="440" xr:uid="{00000000-0005-0000-0000-0000B8010000}"/>
    <cellStyle name="Normal 3 15" xfId="441" xr:uid="{00000000-0005-0000-0000-0000B9010000}"/>
    <cellStyle name="Normal 3 2" xfId="442" xr:uid="{00000000-0005-0000-0000-0000BA010000}"/>
    <cellStyle name="Normal 3 2 2" xfId="443" xr:uid="{00000000-0005-0000-0000-0000BB010000}"/>
    <cellStyle name="Normal 3 2 2 2" xfId="444" xr:uid="{00000000-0005-0000-0000-0000BC010000}"/>
    <cellStyle name="Normal 3 2 2 3" xfId="445" xr:uid="{00000000-0005-0000-0000-0000BD010000}"/>
    <cellStyle name="Normal 3 2 3" xfId="446" xr:uid="{00000000-0005-0000-0000-0000BE010000}"/>
    <cellStyle name="Normal 3 2 4" xfId="447" xr:uid="{00000000-0005-0000-0000-0000BF010000}"/>
    <cellStyle name="Normal 3 2 5" xfId="448" xr:uid="{00000000-0005-0000-0000-0000C0010000}"/>
    <cellStyle name="Normal 3 3" xfId="449" xr:uid="{00000000-0005-0000-0000-0000C1010000}"/>
    <cellStyle name="Normal 3 3 2" xfId="450" xr:uid="{00000000-0005-0000-0000-0000C2010000}"/>
    <cellStyle name="Normal 3 3 2 2" xfId="451" xr:uid="{00000000-0005-0000-0000-0000C3010000}"/>
    <cellStyle name="Normal 3 3 2 3" xfId="452" xr:uid="{00000000-0005-0000-0000-0000C4010000}"/>
    <cellStyle name="Normal 3 3 3" xfId="453" xr:uid="{00000000-0005-0000-0000-0000C5010000}"/>
    <cellStyle name="Normal 3 3 4" xfId="454" xr:uid="{00000000-0005-0000-0000-0000C6010000}"/>
    <cellStyle name="Normal 3 4" xfId="455" xr:uid="{00000000-0005-0000-0000-0000C7010000}"/>
    <cellStyle name="Normal 3 5" xfId="456" xr:uid="{00000000-0005-0000-0000-0000C8010000}"/>
    <cellStyle name="Normal 3 6" xfId="457" xr:uid="{00000000-0005-0000-0000-0000C9010000}"/>
    <cellStyle name="Normal 3 7" xfId="458" xr:uid="{00000000-0005-0000-0000-0000CA010000}"/>
    <cellStyle name="Normal 3 7 2" xfId="459" xr:uid="{00000000-0005-0000-0000-0000CB010000}"/>
    <cellStyle name="Normal 3 7 3" xfId="460" xr:uid="{00000000-0005-0000-0000-0000CC010000}"/>
    <cellStyle name="Normal 3 7 3 2" xfId="461" xr:uid="{00000000-0005-0000-0000-0000CD010000}"/>
    <cellStyle name="Normal 3 7 4" xfId="462" xr:uid="{00000000-0005-0000-0000-0000CE010000}"/>
    <cellStyle name="Normal 3 7 5" xfId="463" xr:uid="{00000000-0005-0000-0000-0000CF010000}"/>
    <cellStyle name="Normal 3 8" xfId="464" xr:uid="{00000000-0005-0000-0000-0000D0010000}"/>
    <cellStyle name="Normal 3 8 2" xfId="465" xr:uid="{00000000-0005-0000-0000-0000D1010000}"/>
    <cellStyle name="Normal 3 8 3" xfId="466" xr:uid="{00000000-0005-0000-0000-0000D2010000}"/>
    <cellStyle name="Normal 3 8 3 2" xfId="467" xr:uid="{00000000-0005-0000-0000-0000D3010000}"/>
    <cellStyle name="Normal 3 8 4" xfId="468" xr:uid="{00000000-0005-0000-0000-0000D4010000}"/>
    <cellStyle name="Normal 3 8 5" xfId="469" xr:uid="{00000000-0005-0000-0000-0000D5010000}"/>
    <cellStyle name="Normal 3 9" xfId="470" xr:uid="{00000000-0005-0000-0000-0000D6010000}"/>
    <cellStyle name="Normal 3 9 2" xfId="471" xr:uid="{00000000-0005-0000-0000-0000D7010000}"/>
    <cellStyle name="Normal 3 9 3" xfId="472" xr:uid="{00000000-0005-0000-0000-0000D8010000}"/>
    <cellStyle name="Normal 3 9 3 2" xfId="473" xr:uid="{00000000-0005-0000-0000-0000D9010000}"/>
    <cellStyle name="Normal 3 9 4" xfId="474" xr:uid="{00000000-0005-0000-0000-0000DA010000}"/>
    <cellStyle name="Normal 3 9 5" xfId="475" xr:uid="{00000000-0005-0000-0000-0000DB010000}"/>
    <cellStyle name="Normal 4" xfId="476" xr:uid="{00000000-0005-0000-0000-0000DC010000}"/>
    <cellStyle name="Normal 4 10" xfId="477" xr:uid="{00000000-0005-0000-0000-0000DD010000}"/>
    <cellStyle name="Normal 4 11" xfId="478" xr:uid="{00000000-0005-0000-0000-0000DE010000}"/>
    <cellStyle name="Normal 4 12" xfId="479" xr:uid="{00000000-0005-0000-0000-0000DF010000}"/>
    <cellStyle name="Normal 4 13" xfId="480" xr:uid="{00000000-0005-0000-0000-0000E0010000}"/>
    <cellStyle name="Normal 4 2" xfId="481" xr:uid="{00000000-0005-0000-0000-0000E1010000}"/>
    <cellStyle name="Normal 4 2 2" xfId="482" xr:uid="{00000000-0005-0000-0000-0000E2010000}"/>
    <cellStyle name="Normal 4 2 2 2" xfId="483" xr:uid="{00000000-0005-0000-0000-0000E3010000}"/>
    <cellStyle name="Normal 4 2 2 3" xfId="484" xr:uid="{00000000-0005-0000-0000-0000E4010000}"/>
    <cellStyle name="Normal 4 2 2 3 2" xfId="485" xr:uid="{00000000-0005-0000-0000-0000E5010000}"/>
    <cellStyle name="Normal 4 2 2 3 3" xfId="486" xr:uid="{00000000-0005-0000-0000-0000E6010000}"/>
    <cellStyle name="Normal 4 2 2 4" xfId="487" xr:uid="{00000000-0005-0000-0000-0000E7010000}"/>
    <cellStyle name="Normal 4 2 2 5" xfId="488" xr:uid="{00000000-0005-0000-0000-0000E8010000}"/>
    <cellStyle name="Normal 4 2 3" xfId="489" xr:uid="{00000000-0005-0000-0000-0000E9010000}"/>
    <cellStyle name="Normal 4 2 4" xfId="490" xr:uid="{00000000-0005-0000-0000-0000EA010000}"/>
    <cellStyle name="Normal 4 2 5" xfId="491" xr:uid="{00000000-0005-0000-0000-0000EB010000}"/>
    <cellStyle name="Normal 4 2 6" xfId="492" xr:uid="{00000000-0005-0000-0000-0000EC010000}"/>
    <cellStyle name="Normal 4 2 7" xfId="493" xr:uid="{00000000-0005-0000-0000-0000ED010000}"/>
    <cellStyle name="Normal 4 3" xfId="494" xr:uid="{00000000-0005-0000-0000-0000EE010000}"/>
    <cellStyle name="Normal 4 3 2" xfId="495" xr:uid="{00000000-0005-0000-0000-0000EF010000}"/>
    <cellStyle name="Normal 4 3 3" xfId="496" xr:uid="{00000000-0005-0000-0000-0000F0010000}"/>
    <cellStyle name="Normal 4 4" xfId="497" xr:uid="{00000000-0005-0000-0000-0000F1010000}"/>
    <cellStyle name="Normal 4 5" xfId="498" xr:uid="{00000000-0005-0000-0000-0000F2010000}"/>
    <cellStyle name="Normal 4 5 2" xfId="499" xr:uid="{00000000-0005-0000-0000-0000F3010000}"/>
    <cellStyle name="Normal 4 5 3" xfId="500" xr:uid="{00000000-0005-0000-0000-0000F4010000}"/>
    <cellStyle name="Normal 4 6" xfId="501" xr:uid="{00000000-0005-0000-0000-0000F5010000}"/>
    <cellStyle name="Normal 4 6 2" xfId="502" xr:uid="{00000000-0005-0000-0000-0000F6010000}"/>
    <cellStyle name="Normal 4 6 3" xfId="503" xr:uid="{00000000-0005-0000-0000-0000F7010000}"/>
    <cellStyle name="Normal 4 7" xfId="504" xr:uid="{00000000-0005-0000-0000-0000F8010000}"/>
    <cellStyle name="Normal 4 8" xfId="505" xr:uid="{00000000-0005-0000-0000-0000F9010000}"/>
    <cellStyle name="Normal 4 9" xfId="506" xr:uid="{00000000-0005-0000-0000-0000FA010000}"/>
    <cellStyle name="Normal 5 10" xfId="507" xr:uid="{00000000-0005-0000-0000-0000FB010000}"/>
    <cellStyle name="Normal 5 11" xfId="508" xr:uid="{00000000-0005-0000-0000-0000FC010000}"/>
    <cellStyle name="Normal 5 2" xfId="509" xr:uid="{00000000-0005-0000-0000-0000FD010000}"/>
    <cellStyle name="Normal 5 2 2" xfId="510" xr:uid="{00000000-0005-0000-0000-0000FE010000}"/>
    <cellStyle name="Normal 5 2 3" xfId="511" xr:uid="{00000000-0005-0000-0000-0000FF010000}"/>
    <cellStyle name="Normal 5 2 4" xfId="512" xr:uid="{00000000-0005-0000-0000-000000020000}"/>
    <cellStyle name="Normal 5 2 5" xfId="513" xr:uid="{00000000-0005-0000-0000-000001020000}"/>
    <cellStyle name="Normal 5 3" xfId="514" xr:uid="{00000000-0005-0000-0000-000002020000}"/>
    <cellStyle name="Normal 5 3 2" xfId="515" xr:uid="{00000000-0005-0000-0000-000003020000}"/>
    <cellStyle name="Normal 5 3 3" xfId="516" xr:uid="{00000000-0005-0000-0000-000004020000}"/>
    <cellStyle name="Normal 5 3 3 2" xfId="517" xr:uid="{00000000-0005-0000-0000-000005020000}"/>
    <cellStyle name="Normal 5 3 4" xfId="518" xr:uid="{00000000-0005-0000-0000-000006020000}"/>
    <cellStyle name="Normal 5 3 5" xfId="519" xr:uid="{00000000-0005-0000-0000-000007020000}"/>
    <cellStyle name="Normal 5 4" xfId="520" xr:uid="{00000000-0005-0000-0000-000008020000}"/>
    <cellStyle name="Normal 5 4 2" xfId="521" xr:uid="{00000000-0005-0000-0000-000009020000}"/>
    <cellStyle name="Normal 5 4 3" xfId="522" xr:uid="{00000000-0005-0000-0000-00000A020000}"/>
    <cellStyle name="Normal 5 4 4" xfId="523" xr:uid="{00000000-0005-0000-0000-00000B020000}"/>
    <cellStyle name="Normal 5 4 5" xfId="524" xr:uid="{00000000-0005-0000-0000-00000C020000}"/>
    <cellStyle name="Normal 5 5" xfId="525" xr:uid="{00000000-0005-0000-0000-00000D020000}"/>
    <cellStyle name="Normal 5 5 2" xfId="526" xr:uid="{00000000-0005-0000-0000-00000E020000}"/>
    <cellStyle name="Normal 5 5 3" xfId="527" xr:uid="{00000000-0005-0000-0000-00000F020000}"/>
    <cellStyle name="Normal 5 6" xfId="528" xr:uid="{00000000-0005-0000-0000-000010020000}"/>
    <cellStyle name="Normal 5 6 2" xfId="529" xr:uid="{00000000-0005-0000-0000-000011020000}"/>
    <cellStyle name="Normal 5 7" xfId="530" xr:uid="{00000000-0005-0000-0000-000012020000}"/>
    <cellStyle name="Normal 5 8" xfId="531" xr:uid="{00000000-0005-0000-0000-000013020000}"/>
    <cellStyle name="Normal 5 9" xfId="532" xr:uid="{00000000-0005-0000-0000-000014020000}"/>
    <cellStyle name="Normal 6 2" xfId="533" xr:uid="{00000000-0005-0000-0000-000015020000}"/>
    <cellStyle name="Normal 6 3" xfId="534" xr:uid="{00000000-0005-0000-0000-000016020000}"/>
    <cellStyle name="Normal 6 4" xfId="535" xr:uid="{00000000-0005-0000-0000-000017020000}"/>
    <cellStyle name="Normal 6 5" xfId="536" xr:uid="{00000000-0005-0000-0000-000018020000}"/>
    <cellStyle name="Normal 7 2" xfId="537" xr:uid="{00000000-0005-0000-0000-000019020000}"/>
    <cellStyle name="Normal 7 2 2" xfId="538" xr:uid="{00000000-0005-0000-0000-00001A020000}"/>
    <cellStyle name="Normal 7 2 2 2" xfId="539" xr:uid="{00000000-0005-0000-0000-00001B020000}"/>
    <cellStyle name="Normal 7 2 2 3" xfId="540" xr:uid="{00000000-0005-0000-0000-00001C020000}"/>
    <cellStyle name="Normal 7 2 3" xfId="541" xr:uid="{00000000-0005-0000-0000-00001D020000}"/>
    <cellStyle name="Normal 7 2 4" xfId="542" xr:uid="{00000000-0005-0000-0000-00001E020000}"/>
    <cellStyle name="Normal 7 2 4 2" xfId="543" xr:uid="{00000000-0005-0000-0000-00001F020000}"/>
    <cellStyle name="Normal 7 2 4 3" xfId="544" xr:uid="{00000000-0005-0000-0000-000020020000}"/>
    <cellStyle name="Normal 7 2 5" xfId="545" xr:uid="{00000000-0005-0000-0000-000021020000}"/>
    <cellStyle name="Normal 7 2 5 2" xfId="546" xr:uid="{00000000-0005-0000-0000-000022020000}"/>
    <cellStyle name="Normal 7 2 6" xfId="547" xr:uid="{00000000-0005-0000-0000-000023020000}"/>
    <cellStyle name="Normal 7 3" xfId="548" xr:uid="{00000000-0005-0000-0000-000024020000}"/>
    <cellStyle name="Normal 7 4" xfId="549" xr:uid="{00000000-0005-0000-0000-000025020000}"/>
    <cellStyle name="Normal 7 4 2" xfId="550" xr:uid="{00000000-0005-0000-0000-000026020000}"/>
    <cellStyle name="Normal 7 4 3" xfId="551" xr:uid="{00000000-0005-0000-0000-000027020000}"/>
    <cellStyle name="Normal 7 5" xfId="552" xr:uid="{00000000-0005-0000-0000-000028020000}"/>
    <cellStyle name="Normal 7 5 2" xfId="553" xr:uid="{00000000-0005-0000-0000-000029020000}"/>
    <cellStyle name="Normal 7 5 2 2" xfId="554" xr:uid="{00000000-0005-0000-0000-00002A020000}"/>
    <cellStyle name="Normal 7 5 3" xfId="555" xr:uid="{00000000-0005-0000-0000-00002B020000}"/>
    <cellStyle name="Normal 7 5 4" xfId="556" xr:uid="{00000000-0005-0000-0000-00002C020000}"/>
    <cellStyle name="Normal 7 5 5" xfId="557" xr:uid="{00000000-0005-0000-0000-00002D020000}"/>
    <cellStyle name="Normal 7 6" xfId="558" xr:uid="{00000000-0005-0000-0000-00002E020000}"/>
    <cellStyle name="Normal 7 7" xfId="559" xr:uid="{00000000-0005-0000-0000-00002F020000}"/>
    <cellStyle name="Normal 7 8" xfId="560" xr:uid="{00000000-0005-0000-0000-000030020000}"/>
    <cellStyle name="Normal 8 2" xfId="561" xr:uid="{00000000-0005-0000-0000-000031020000}"/>
    <cellStyle name="Normal 8 3" xfId="562" xr:uid="{00000000-0005-0000-0000-000032020000}"/>
    <cellStyle name="Normal 8 4" xfId="563" xr:uid="{00000000-0005-0000-0000-000033020000}"/>
    <cellStyle name="Normal 8 5" xfId="564" xr:uid="{00000000-0005-0000-0000-000034020000}"/>
    <cellStyle name="Normal 9 2" xfId="565" xr:uid="{00000000-0005-0000-0000-000035020000}"/>
    <cellStyle name="Normal 9 2 2" xfId="566" xr:uid="{00000000-0005-0000-0000-000036020000}"/>
    <cellStyle name="Normal 9 2 3" xfId="567" xr:uid="{00000000-0005-0000-0000-000037020000}"/>
    <cellStyle name="Normal 9 3" xfId="568" xr:uid="{00000000-0005-0000-0000-000038020000}"/>
    <cellStyle name="Normal 9 4" xfId="569" xr:uid="{00000000-0005-0000-0000-000039020000}"/>
    <cellStyle name="Normal 9 5" xfId="570" xr:uid="{00000000-0005-0000-0000-00003A020000}"/>
    <cellStyle name="Normal 9 5 2" xfId="571" xr:uid="{00000000-0005-0000-0000-00003B020000}"/>
    <cellStyle name="Normal 9 5 3" xfId="572" xr:uid="{00000000-0005-0000-0000-00003C020000}"/>
    <cellStyle name="Normal 9 6" xfId="573" xr:uid="{00000000-0005-0000-0000-00003D020000}"/>
    <cellStyle name="Normal 9 6 2" xfId="574" xr:uid="{00000000-0005-0000-0000-00003E020000}"/>
    <cellStyle name="Normal 9 6 3" xfId="575" xr:uid="{00000000-0005-0000-0000-00003F020000}"/>
    <cellStyle name="Normal 9 7" xfId="576" xr:uid="{00000000-0005-0000-0000-000040020000}"/>
    <cellStyle name="Normal_debt" xfId="577" xr:uid="{00000000-0005-0000-0000-000041020000}"/>
    <cellStyle name="Normal_lpform" xfId="578" xr:uid="{00000000-0005-0000-0000-000042020000}"/>
  </cellStyles>
  <dxfs count="50">
    <dxf>
      <font>
        <b/>
        <i val="0"/>
        <strike val="0"/>
      </font>
      <fill>
        <patternFill>
          <bgColor rgb="FFFF0000"/>
        </patternFill>
      </fill>
    </dxf>
    <dxf>
      <font>
        <b/>
        <i val="0"/>
        <strike val="0"/>
      </font>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38100</xdr:rowOff>
    </xdr:from>
    <xdr:to>
      <xdr:col>1</xdr:col>
      <xdr:colOff>209550</xdr:colOff>
      <xdr:row>18</xdr:row>
      <xdr:rowOff>190500</xdr:rowOff>
    </xdr:to>
    <xdr:sp macro="" textlink="">
      <xdr:nvSpPr>
        <xdr:cNvPr id="2" name="Text Box 2">
          <a:extLst>
            <a:ext uri="{FF2B5EF4-FFF2-40B4-BE49-F238E27FC236}">
              <a16:creationId xmlns:a16="http://schemas.microsoft.com/office/drawing/2014/main" id="{0D4C2494-B63F-4AF3-A7D8-BE19830EC986}"/>
            </a:ext>
          </a:extLst>
        </xdr:cNvPr>
        <xdr:cNvSpPr txBox="1"/>
      </xdr:nvSpPr>
      <xdr:spPr>
        <a:xfrm>
          <a:off x="104775" y="5705475"/>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47625</xdr:rowOff>
    </xdr:from>
    <xdr:to>
      <xdr:col>1</xdr:col>
      <xdr:colOff>209550</xdr:colOff>
      <xdr:row>20</xdr:row>
      <xdr:rowOff>200025</xdr:rowOff>
    </xdr:to>
    <xdr:sp macro="" textlink="">
      <xdr:nvSpPr>
        <xdr:cNvPr id="3" name="Text Box 5">
          <a:extLst>
            <a:ext uri="{FF2B5EF4-FFF2-40B4-BE49-F238E27FC236}">
              <a16:creationId xmlns:a16="http://schemas.microsoft.com/office/drawing/2014/main" id="{898A9769-1D91-43DA-9206-A8FBE60F011C}"/>
            </a:ext>
          </a:extLst>
        </xdr:cNvPr>
        <xdr:cNvSpPr txBox="1">
          <a:spLocks noChangeArrowheads="1"/>
        </xdr:cNvSpPr>
      </xdr:nvSpPr>
      <xdr:spPr bwMode="auto">
        <a:xfrm>
          <a:off x="104775" y="6076950"/>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28575</xdr:rowOff>
    </xdr:from>
    <xdr:to>
      <xdr:col>1</xdr:col>
      <xdr:colOff>209550</xdr:colOff>
      <xdr:row>22</xdr:row>
      <xdr:rowOff>180975</xdr:rowOff>
    </xdr:to>
    <xdr:sp macro="" textlink="">
      <xdr:nvSpPr>
        <xdr:cNvPr id="4" name="Text Box 6">
          <a:extLst>
            <a:ext uri="{FF2B5EF4-FFF2-40B4-BE49-F238E27FC236}">
              <a16:creationId xmlns:a16="http://schemas.microsoft.com/office/drawing/2014/main" id="{DA1D0B4C-2ED3-4CF7-8B0F-471ABEF7B311}"/>
            </a:ext>
          </a:extLst>
        </xdr:cNvPr>
        <xdr:cNvSpPr txBox="1"/>
      </xdr:nvSpPr>
      <xdr:spPr>
        <a:xfrm>
          <a:off x="104775" y="7077075"/>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28575</xdr:rowOff>
    </xdr:from>
    <xdr:to>
      <xdr:col>1</xdr:col>
      <xdr:colOff>209550</xdr:colOff>
      <xdr:row>24</xdr:row>
      <xdr:rowOff>180975</xdr:rowOff>
    </xdr:to>
    <xdr:sp macro="" textlink="">
      <xdr:nvSpPr>
        <xdr:cNvPr id="5" name="Text Box 7">
          <a:extLst>
            <a:ext uri="{FF2B5EF4-FFF2-40B4-BE49-F238E27FC236}">
              <a16:creationId xmlns:a16="http://schemas.microsoft.com/office/drawing/2014/main" id="{0CAD235B-0308-456B-A95E-9DB8F2C68D60}"/>
            </a:ext>
          </a:extLst>
        </xdr:cNvPr>
        <xdr:cNvSpPr txBox="1"/>
      </xdr:nvSpPr>
      <xdr:spPr>
        <a:xfrm>
          <a:off x="104775" y="7439025"/>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C1DC6569-056F-4EF2-AA4E-9D87D7F79E5C}"/>
            </a:ext>
          </a:extLst>
        </xdr:cNvPr>
        <xdr:cNvPicPr>
          <a:picLocks noChangeAspect="1"/>
        </xdr:cNvPicPr>
      </xdr:nvPicPr>
      <xdr:blipFill>
        <a:blip xmlns:r="http://schemas.openxmlformats.org/officeDocument/2006/relationships" r:embed="rId1"/>
        <a:stretch>
          <a:fillRect/>
        </a:stretch>
      </xdr:blipFill>
      <xdr:spPr>
        <a:xfrm>
          <a:off x="180975" y="3249326"/>
          <a:ext cx="5038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B3575B71-AF8F-4B99-AF8D-1CE241C6E2FA}"/>
            </a:ext>
          </a:extLst>
        </xdr:cNvPr>
        <xdr:cNvPicPr>
          <a:picLocks noChangeAspect="1"/>
        </xdr:cNvPicPr>
      </xdr:nvPicPr>
      <xdr:blipFill>
        <a:blip xmlns:r="http://schemas.openxmlformats.org/officeDocument/2006/relationships" r:embed="rId2"/>
        <a:stretch>
          <a:fillRect/>
        </a:stretch>
      </xdr:blipFill>
      <xdr:spPr>
        <a:xfrm>
          <a:off x="5238750" y="3648075"/>
          <a:ext cx="55587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DBE1681B-4BE7-4C01-BA72-89984986342B}"/>
            </a:ext>
          </a:extLst>
        </xdr:cNvPr>
        <xdr:cNvPicPr>
          <a:picLocks noChangeAspect="1"/>
        </xdr:cNvPicPr>
      </xdr:nvPicPr>
      <xdr:blipFill>
        <a:blip xmlns:r="http://schemas.openxmlformats.org/officeDocument/2006/relationships" r:embed="rId3"/>
        <a:stretch>
          <a:fillRect/>
        </a:stretch>
      </xdr:blipFill>
      <xdr:spPr>
        <a:xfrm>
          <a:off x="123826" y="8703229"/>
          <a:ext cx="48387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61ED0387-1DE4-4FFF-B2CD-DB66FB8F4D3C}"/>
            </a:ext>
          </a:extLst>
        </xdr:cNvPr>
        <xdr:cNvPicPr>
          <a:picLocks noChangeAspect="1"/>
        </xdr:cNvPicPr>
      </xdr:nvPicPr>
      <xdr:blipFill>
        <a:blip xmlns:r="http://schemas.openxmlformats.org/officeDocument/2006/relationships" r:embed="rId4"/>
        <a:stretch>
          <a:fillRect/>
        </a:stretch>
      </xdr:blipFill>
      <xdr:spPr>
        <a:xfrm>
          <a:off x="5219701" y="8559886"/>
          <a:ext cx="54673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6220EB95-3E3B-4C3E-B954-FD19BD6FDE44}"/>
            </a:ext>
          </a:extLst>
        </xdr:cNvPr>
        <xdr:cNvPicPr>
          <a:picLocks noChangeAspect="1"/>
        </xdr:cNvPicPr>
      </xdr:nvPicPr>
      <xdr:blipFill>
        <a:blip xmlns:r="http://schemas.openxmlformats.org/officeDocument/2006/relationships" r:embed="rId5"/>
        <a:stretch>
          <a:fillRect/>
        </a:stretch>
      </xdr:blipFill>
      <xdr:spPr>
        <a:xfrm>
          <a:off x="304799" y="16295682"/>
          <a:ext cx="63722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E6FAC28F-AAEC-4DA1-B719-7A945E9103D6}"/>
            </a:ext>
          </a:extLst>
        </xdr:cNvPr>
        <xdr:cNvPicPr>
          <a:picLocks noChangeAspect="1"/>
        </xdr:cNvPicPr>
      </xdr:nvPicPr>
      <xdr:blipFill>
        <a:blip xmlns:r="http://schemas.openxmlformats.org/officeDocument/2006/relationships" r:embed="rId6"/>
        <a:stretch>
          <a:fillRect/>
        </a:stretch>
      </xdr:blipFill>
      <xdr:spPr>
        <a:xfrm>
          <a:off x="304800" y="12152869"/>
          <a:ext cx="63817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2B9F5293-8158-4C64-806A-EF0A9AB154FC}"/>
            </a:ext>
          </a:extLst>
        </xdr:cNvPr>
        <xdr:cNvPicPr>
          <a:picLocks noChangeAspect="1"/>
        </xdr:cNvPicPr>
      </xdr:nvPicPr>
      <xdr:blipFill>
        <a:blip xmlns:r="http://schemas.openxmlformats.org/officeDocument/2006/relationships" r:embed="rId7"/>
        <a:stretch>
          <a:fillRect/>
        </a:stretch>
      </xdr:blipFill>
      <xdr:spPr>
        <a:xfrm>
          <a:off x="295275" y="20906755"/>
          <a:ext cx="63817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D2F1D4E7-1BA1-4F63-8A3E-F7B9445D41B6}"/>
            </a:ext>
          </a:extLst>
        </xdr:cNvPr>
        <xdr:cNvPicPr>
          <a:picLocks noChangeAspect="1"/>
        </xdr:cNvPicPr>
      </xdr:nvPicPr>
      <xdr:blipFill>
        <a:blip xmlns:r="http://schemas.openxmlformats.org/officeDocument/2006/relationships" r:embed="rId8"/>
        <a:stretch>
          <a:fillRect/>
        </a:stretch>
      </xdr:blipFill>
      <xdr:spPr>
        <a:xfrm>
          <a:off x="285749" y="26990920"/>
          <a:ext cx="63722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D2EADDC8-3A7D-40E8-BC06-C5EAEB0F1B89}"/>
            </a:ext>
          </a:extLst>
        </xdr:cNvPr>
        <xdr:cNvPicPr>
          <a:picLocks noChangeAspect="1"/>
        </xdr:cNvPicPr>
      </xdr:nvPicPr>
      <xdr:blipFill>
        <a:blip xmlns:r="http://schemas.openxmlformats.org/officeDocument/2006/relationships" r:embed="rId9"/>
        <a:stretch>
          <a:fillRect/>
        </a:stretch>
      </xdr:blipFill>
      <xdr:spPr>
        <a:xfrm>
          <a:off x="295275" y="34874583"/>
          <a:ext cx="6372225" cy="57774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9.bin"/><Relationship Id="rId1" Type="http://schemas.openxmlformats.org/officeDocument/2006/relationships/hyperlink" Target="https://pooledmoneyinvestmentboard.co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4E7D2-E67C-44B4-B46B-1DA6FB75D7C4}">
  <sheetPr codeName="Sheet1">
    <tabColor rgb="FFC00000"/>
  </sheetPr>
  <dimension ref="B1:B109"/>
  <sheetViews>
    <sheetView tabSelected="1" zoomScaleNormal="75" workbookViewId="0">
      <selection activeCell="C1" sqref="C1"/>
    </sheetView>
  </sheetViews>
  <sheetFormatPr defaultRowHeight="15.75" x14ac:dyDescent="0.2"/>
  <cols>
    <col min="1" max="1" width="1.21875" style="66" customWidth="1"/>
    <col min="2" max="2" width="84.6640625" style="437" customWidth="1"/>
    <col min="3" max="16384" width="8.88671875" style="66"/>
  </cols>
  <sheetData>
    <row r="1" spans="2:2" ht="39" customHeight="1" x14ac:dyDescent="0.2">
      <c r="B1" s="441" t="s">
        <v>453</v>
      </c>
    </row>
    <row r="2" spans="2:2" ht="12.95" customHeight="1" x14ac:dyDescent="0.2"/>
    <row r="3" spans="2:2" ht="34.5" customHeight="1" x14ac:dyDescent="0.2">
      <c r="B3" s="437" t="s">
        <v>454</v>
      </c>
    </row>
    <row r="4" spans="2:2" ht="12.95" customHeight="1" x14ac:dyDescent="0.2"/>
    <row r="5" spans="2:2" ht="66" customHeight="1" x14ac:dyDescent="0.2">
      <c r="B5" s="437" t="s">
        <v>455</v>
      </c>
    </row>
    <row r="6" spans="2:2" ht="14.45" customHeight="1" x14ac:dyDescent="0.2"/>
    <row r="7" spans="2:2" ht="25.5" customHeight="1" x14ac:dyDescent="0.2">
      <c r="B7" s="442" t="s">
        <v>456</v>
      </c>
    </row>
    <row r="8" spans="2:2" ht="12.95" customHeight="1" x14ac:dyDescent="0.2"/>
    <row r="9" spans="2:2" ht="50.25" x14ac:dyDescent="0.2">
      <c r="B9" s="437" t="s">
        <v>457</v>
      </c>
    </row>
    <row r="10" spans="2:2" ht="12.95" customHeight="1" x14ac:dyDescent="0.2"/>
    <row r="11" spans="2:2" ht="31.5" x14ac:dyDescent="0.2">
      <c r="B11" s="437" t="s">
        <v>458</v>
      </c>
    </row>
    <row r="12" spans="2:2" ht="15" customHeight="1" x14ac:dyDescent="0.2"/>
    <row r="13" spans="2:2" ht="25.5" customHeight="1" x14ac:dyDescent="0.2">
      <c r="B13" s="442" t="s">
        <v>459</v>
      </c>
    </row>
    <row r="14" spans="2:2" ht="12.95" customHeight="1" x14ac:dyDescent="0.2"/>
    <row r="15" spans="2:2" ht="39.75" customHeight="1" x14ac:dyDescent="0.2">
      <c r="B15" s="437" t="s">
        <v>460</v>
      </c>
    </row>
    <row r="16" spans="2:2" ht="12.95" customHeight="1" x14ac:dyDescent="0.2"/>
    <row r="17" spans="2:2" x14ac:dyDescent="0.2">
      <c r="B17" s="443" t="s">
        <v>461</v>
      </c>
    </row>
    <row r="18" spans="2:2" ht="12.95" customHeight="1" x14ac:dyDescent="0.2">
      <c r="B18" s="443"/>
    </row>
    <row r="19" spans="2:2" x14ac:dyDescent="0.2">
      <c r="B19" s="437" t="s">
        <v>462</v>
      </c>
    </row>
    <row r="20" spans="2:2" ht="12.95" customHeight="1" x14ac:dyDescent="0.2"/>
    <row r="21" spans="2:2" ht="67.5" customHeight="1" x14ac:dyDescent="0.2">
      <c r="B21" s="437" t="s">
        <v>463</v>
      </c>
    </row>
    <row r="22" spans="2:2" ht="12.95" customHeight="1" x14ac:dyDescent="0.2">
      <c r="B22" s="444"/>
    </row>
    <row r="23" spans="2:2" ht="15.75" customHeight="1" x14ac:dyDescent="0.2">
      <c r="B23" s="437" t="s">
        <v>464</v>
      </c>
    </row>
    <row r="24" spans="2:2" ht="12.95" customHeight="1" x14ac:dyDescent="0.2">
      <c r="B24" s="444"/>
    </row>
    <row r="25" spans="2:2" ht="15.75" customHeight="1" x14ac:dyDescent="0.2">
      <c r="B25" s="437" t="s">
        <v>465</v>
      </c>
    </row>
    <row r="26" spans="2:2" ht="12.95" customHeight="1" x14ac:dyDescent="0.2"/>
    <row r="27" spans="2:2" ht="49.5" customHeight="1" x14ac:dyDescent="0.2">
      <c r="B27" s="437" t="s">
        <v>466</v>
      </c>
    </row>
    <row r="28" spans="2:2" ht="12.95" customHeight="1" x14ac:dyDescent="0.2"/>
    <row r="29" spans="2:2" ht="25.5" customHeight="1" x14ac:dyDescent="0.2">
      <c r="B29" s="442" t="s">
        <v>467</v>
      </c>
    </row>
    <row r="30" spans="2:2" ht="12.95" customHeight="1" x14ac:dyDescent="0.2">
      <c r="B30" s="445"/>
    </row>
    <row r="31" spans="2:2" ht="50.25" customHeight="1" x14ac:dyDescent="0.2">
      <c r="B31" s="437" t="s">
        <v>468</v>
      </c>
    </row>
    <row r="32" spans="2:2" ht="12.95" customHeight="1" x14ac:dyDescent="0.2"/>
    <row r="33" spans="2:2" ht="49.5" customHeight="1" x14ac:dyDescent="0.2">
      <c r="B33" s="271" t="s">
        <v>469</v>
      </c>
    </row>
    <row r="34" spans="2:2" ht="39.75" customHeight="1" x14ac:dyDescent="0.2">
      <c r="B34" s="446" t="s">
        <v>470</v>
      </c>
    </row>
    <row r="35" spans="2:2" ht="60.75" customHeight="1" x14ac:dyDescent="0.2">
      <c r="B35" s="446" t="s">
        <v>471</v>
      </c>
    </row>
    <row r="36" spans="2:2" ht="61.5" customHeight="1" x14ac:dyDescent="0.2">
      <c r="B36" s="446" t="s">
        <v>472</v>
      </c>
    </row>
    <row r="37" spans="2:2" ht="41.25" customHeight="1" x14ac:dyDescent="0.2">
      <c r="B37" s="446" t="s">
        <v>473</v>
      </c>
    </row>
    <row r="38" spans="2:2" ht="12.95" customHeight="1" x14ac:dyDescent="0.2"/>
    <row r="39" spans="2:2" ht="52.5" customHeight="1" x14ac:dyDescent="0.2">
      <c r="B39" s="271" t="s">
        <v>474</v>
      </c>
    </row>
    <row r="40" spans="2:2" ht="27.75" customHeight="1" x14ac:dyDescent="0.2">
      <c r="B40" s="446" t="s">
        <v>475</v>
      </c>
    </row>
    <row r="41" spans="2:2" ht="57" customHeight="1" x14ac:dyDescent="0.2">
      <c r="B41" s="446" t="s">
        <v>476</v>
      </c>
    </row>
    <row r="42" spans="2:2" ht="105" customHeight="1" x14ac:dyDescent="0.2">
      <c r="B42" s="446" t="s">
        <v>477</v>
      </c>
    </row>
    <row r="43" spans="2:2" s="437" customFormat="1" ht="12.95" customHeight="1" x14ac:dyDescent="0.2"/>
    <row r="44" spans="2:2" ht="47.25" x14ac:dyDescent="0.2">
      <c r="B44" s="271" t="s">
        <v>478</v>
      </c>
    </row>
    <row r="45" spans="2:2" ht="66.75" customHeight="1" x14ac:dyDescent="0.2">
      <c r="B45" s="271" t="s">
        <v>479</v>
      </c>
    </row>
    <row r="46" spans="2:2" ht="72.75" customHeight="1" x14ac:dyDescent="0.2">
      <c r="B46" s="446" t="s">
        <v>480</v>
      </c>
    </row>
    <row r="47" spans="2:2" ht="108" customHeight="1" x14ac:dyDescent="0.2">
      <c r="B47" s="446" t="s">
        <v>481</v>
      </c>
    </row>
    <row r="48" spans="2:2" ht="95.25" customHeight="1" x14ac:dyDescent="0.2">
      <c r="B48" s="446" t="s">
        <v>482</v>
      </c>
    </row>
    <row r="49" spans="2:2" ht="12.95" customHeight="1" x14ac:dyDescent="0.2"/>
    <row r="50" spans="2:2" ht="47.25" x14ac:dyDescent="0.2">
      <c r="B50" s="271" t="s">
        <v>483</v>
      </c>
    </row>
    <row r="51" spans="2:2" ht="38.25" customHeight="1" x14ac:dyDescent="0.2">
      <c r="B51" s="446" t="s">
        <v>484</v>
      </c>
    </row>
    <row r="52" spans="2:2" ht="34.5" customHeight="1" x14ac:dyDescent="0.2">
      <c r="B52" s="446" t="s">
        <v>485</v>
      </c>
    </row>
    <row r="53" spans="2:2" ht="12.95" customHeight="1" x14ac:dyDescent="0.2"/>
    <row r="54" spans="2:2" ht="71.25" customHeight="1" x14ac:dyDescent="0.2">
      <c r="B54" s="271" t="s">
        <v>486</v>
      </c>
    </row>
    <row r="55" spans="2:2" ht="21.75" customHeight="1" x14ac:dyDescent="0.2">
      <c r="B55" s="446" t="s">
        <v>487</v>
      </c>
    </row>
    <row r="56" spans="2:2" ht="12.95" customHeight="1" x14ac:dyDescent="0.2">
      <c r="B56" s="447"/>
    </row>
    <row r="57" spans="2:2" ht="57.75" customHeight="1" x14ac:dyDescent="0.2">
      <c r="B57" s="271" t="s">
        <v>488</v>
      </c>
    </row>
    <row r="58" spans="2:2" ht="41.25" customHeight="1" x14ac:dyDescent="0.2">
      <c r="B58" s="446" t="s">
        <v>489</v>
      </c>
    </row>
    <row r="59" spans="2:2" ht="72" customHeight="1" x14ac:dyDescent="0.2">
      <c r="B59" s="446" t="s">
        <v>490</v>
      </c>
    </row>
    <row r="60" spans="2:2" ht="27" customHeight="1" x14ac:dyDescent="0.2">
      <c r="B60" s="446" t="s">
        <v>491</v>
      </c>
    </row>
    <row r="61" spans="2:2" ht="44.25" customHeight="1" x14ac:dyDescent="0.2">
      <c r="B61" s="446" t="s">
        <v>492</v>
      </c>
    </row>
    <row r="62" spans="2:2" ht="12.95" customHeight="1" x14ac:dyDescent="0.2"/>
    <row r="63" spans="2:2" ht="38.25" customHeight="1" x14ac:dyDescent="0.2">
      <c r="B63" s="271" t="s">
        <v>493</v>
      </c>
    </row>
    <row r="64" spans="2:2" s="448" customFormat="1" ht="30.75" customHeight="1" x14ac:dyDescent="0.2">
      <c r="B64" s="446" t="s">
        <v>494</v>
      </c>
    </row>
    <row r="65" spans="2:2" ht="12.95" customHeight="1" x14ac:dyDescent="0.2"/>
    <row r="66" spans="2:2" ht="52.5" customHeight="1" x14ac:dyDescent="0.2">
      <c r="B66" s="271" t="s">
        <v>495</v>
      </c>
    </row>
    <row r="67" spans="2:2" s="448" customFormat="1" ht="39.75" customHeight="1" x14ac:dyDescent="0.2">
      <c r="B67" s="446" t="s">
        <v>496</v>
      </c>
    </row>
    <row r="68" spans="2:2" ht="12.95" customHeight="1" x14ac:dyDescent="0.2"/>
    <row r="69" spans="2:2" ht="68.25" customHeight="1" x14ac:dyDescent="0.2">
      <c r="B69" s="271" t="s">
        <v>497</v>
      </c>
    </row>
    <row r="70" spans="2:2" ht="57" customHeight="1" x14ac:dyDescent="0.2">
      <c r="B70" s="446" t="s">
        <v>498</v>
      </c>
    </row>
    <row r="71" spans="2:2" ht="44.25" customHeight="1" x14ac:dyDescent="0.2">
      <c r="B71" s="446" t="s">
        <v>499</v>
      </c>
    </row>
    <row r="72" spans="2:2" ht="12.95" customHeight="1" x14ac:dyDescent="0.2"/>
    <row r="73" spans="2:2" ht="78.75" x14ac:dyDescent="0.2">
      <c r="B73" s="271" t="s">
        <v>500</v>
      </c>
    </row>
    <row r="74" spans="2:2" ht="72.75" customHeight="1" x14ac:dyDescent="0.2">
      <c r="B74" s="446" t="s">
        <v>501</v>
      </c>
    </row>
    <row r="75" spans="2:2" ht="90" customHeight="1" x14ac:dyDescent="0.2">
      <c r="B75" s="446" t="s">
        <v>502</v>
      </c>
    </row>
    <row r="76" spans="2:2" ht="70.5" customHeight="1" x14ac:dyDescent="0.2">
      <c r="B76" s="446" t="s">
        <v>503</v>
      </c>
    </row>
    <row r="77" spans="2:2" ht="87" customHeight="1" x14ac:dyDescent="0.2">
      <c r="B77" s="446" t="s">
        <v>504</v>
      </c>
    </row>
    <row r="78" spans="2:2" ht="110.25" x14ac:dyDescent="0.2">
      <c r="B78" s="446" t="s">
        <v>505</v>
      </c>
    </row>
    <row r="79" spans="2:2" ht="55.5" customHeight="1" x14ac:dyDescent="0.2">
      <c r="B79" s="446" t="s">
        <v>506</v>
      </c>
    </row>
    <row r="80" spans="2:2" ht="96.75" customHeight="1" x14ac:dyDescent="0.2">
      <c r="B80" s="446" t="s">
        <v>507</v>
      </c>
    </row>
    <row r="81" spans="2:2" ht="111.75" customHeight="1" x14ac:dyDescent="0.2">
      <c r="B81" s="446" t="s">
        <v>508</v>
      </c>
    </row>
    <row r="82" spans="2:2" ht="123.75" customHeight="1" x14ac:dyDescent="0.2">
      <c r="B82" s="446" t="s">
        <v>509</v>
      </c>
    </row>
    <row r="83" spans="2:2" ht="26.25" customHeight="1" x14ac:dyDescent="0.2">
      <c r="B83" s="446" t="s">
        <v>510</v>
      </c>
    </row>
    <row r="84" spans="2:2" ht="57.75" customHeight="1" x14ac:dyDescent="0.2">
      <c r="B84" s="446" t="s">
        <v>511</v>
      </c>
    </row>
    <row r="85" spans="2:2" ht="57.75" customHeight="1" x14ac:dyDescent="0.2">
      <c r="B85" s="446" t="s">
        <v>512</v>
      </c>
    </row>
    <row r="86" spans="2:2" ht="91.5" customHeight="1" x14ac:dyDescent="0.2">
      <c r="B86" s="446" t="s">
        <v>513</v>
      </c>
    </row>
    <row r="87" spans="2:2" ht="75" customHeight="1" x14ac:dyDescent="0.2">
      <c r="B87" s="446" t="s">
        <v>514</v>
      </c>
    </row>
    <row r="88" spans="2:2" ht="69" customHeight="1" x14ac:dyDescent="0.2">
      <c r="B88" s="446" t="s">
        <v>515</v>
      </c>
    </row>
    <row r="89" spans="2:2" ht="39" customHeight="1" x14ac:dyDescent="0.2">
      <c r="B89" s="446" t="s">
        <v>516</v>
      </c>
    </row>
    <row r="90" spans="2:2" ht="12.95" customHeight="1" x14ac:dyDescent="0.2"/>
    <row r="91" spans="2:2" ht="63" x14ac:dyDescent="0.2">
      <c r="B91" s="271" t="s">
        <v>517</v>
      </c>
    </row>
    <row r="92" spans="2:2" ht="75.75" customHeight="1" x14ac:dyDescent="0.2">
      <c r="B92" s="446" t="s">
        <v>518</v>
      </c>
    </row>
    <row r="93" spans="2:2" ht="23.25" customHeight="1" x14ac:dyDescent="0.2">
      <c r="B93" s="446" t="s">
        <v>519</v>
      </c>
    </row>
    <row r="94" spans="2:2" ht="27" customHeight="1" x14ac:dyDescent="0.2">
      <c r="B94" s="446" t="s">
        <v>520</v>
      </c>
    </row>
    <row r="95" spans="2:2" ht="42" customHeight="1" x14ac:dyDescent="0.2">
      <c r="B95" s="449" t="s">
        <v>521</v>
      </c>
    </row>
    <row r="96" spans="2:2" ht="108" customHeight="1" x14ac:dyDescent="0.2">
      <c r="B96" s="449" t="s">
        <v>522</v>
      </c>
    </row>
    <row r="97" spans="2:2" ht="88.5" customHeight="1" x14ac:dyDescent="0.2">
      <c r="B97" s="449" t="s">
        <v>523</v>
      </c>
    </row>
    <row r="98" spans="2:2" ht="98.25" customHeight="1" x14ac:dyDescent="0.2">
      <c r="B98" s="446" t="s">
        <v>524</v>
      </c>
    </row>
    <row r="99" spans="2:2" ht="68.25" customHeight="1" x14ac:dyDescent="0.2">
      <c r="B99" s="446" t="s">
        <v>525</v>
      </c>
    </row>
    <row r="100" spans="2:2" ht="12.95" customHeight="1" x14ac:dyDescent="0.2"/>
    <row r="101" spans="2:2" ht="94.5" x14ac:dyDescent="0.2">
      <c r="B101" s="271" t="s">
        <v>526</v>
      </c>
    </row>
    <row r="102" spans="2:2" ht="78.75" x14ac:dyDescent="0.2">
      <c r="B102" s="450" t="s">
        <v>527</v>
      </c>
    </row>
    <row r="103" spans="2:2" ht="63" x14ac:dyDescent="0.2">
      <c r="B103" s="446" t="s">
        <v>528</v>
      </c>
    </row>
    <row r="104" spans="2:2" ht="39.75" customHeight="1" x14ac:dyDescent="0.2">
      <c r="B104" s="446" t="s">
        <v>529</v>
      </c>
    </row>
    <row r="105" spans="2:2" ht="12.95" customHeight="1" x14ac:dyDescent="0.2">
      <c r="B105" s="66"/>
    </row>
    <row r="106" spans="2:2" ht="47.25" x14ac:dyDescent="0.2">
      <c r="B106" s="271" t="s">
        <v>530</v>
      </c>
    </row>
    <row r="107" spans="2:2" ht="12.95" customHeight="1" x14ac:dyDescent="0.2">
      <c r="B107" s="66"/>
    </row>
    <row r="108" spans="2:2" ht="47.25" x14ac:dyDescent="0.2">
      <c r="B108" s="271" t="s">
        <v>531</v>
      </c>
    </row>
    <row r="109" spans="2:2" x14ac:dyDescent="0.2">
      <c r="B109" s="66"/>
    </row>
  </sheetData>
  <sheetProtection sheet="1" objects="1" scenarios="1"/>
  <pageMargins left="0.5" right="0.5" top="0.5" bottom="0.5" header="0.5" footer="0.5"/>
  <pageSetup orientation="portrait" blackAndWhite="1" horizontalDpi="4294967292" r:id="rId1"/>
  <headerFooter alignWithMargins="0"/>
  <rowBreaks count="1" manualBreakCount="1">
    <brk id="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B0F0"/>
    <pageSetUpPr fitToPage="1"/>
  </sheetPr>
  <dimension ref="A1:X42"/>
  <sheetViews>
    <sheetView zoomScale="80" zoomScaleNormal="80" workbookViewId="0">
      <selection activeCell="L2" sqref="L2"/>
    </sheetView>
  </sheetViews>
  <sheetFormatPr defaultRowHeight="15.75" x14ac:dyDescent="0.2"/>
  <cols>
    <col min="1" max="1" width="20.77734375" style="3" customWidth="1"/>
    <col min="2" max="2" width="9.77734375" style="3" customWidth="1"/>
    <col min="3" max="3" width="10.77734375" style="3" customWidth="1"/>
    <col min="4" max="4" width="12.88671875" style="3" customWidth="1"/>
    <col min="5" max="5" width="16.21875" style="3" customWidth="1"/>
    <col min="6" max="11" width="9.77734375" style="3" customWidth="1"/>
    <col min="12" max="16384" width="8.88671875" style="3"/>
  </cols>
  <sheetData>
    <row r="1" spans="1:11" x14ac:dyDescent="0.2">
      <c r="A1" s="1">
        <f>inputPrYr!$D$3</f>
        <v>0</v>
      </c>
      <c r="B1" s="1"/>
      <c r="C1" s="1"/>
      <c r="D1" s="1"/>
      <c r="E1" s="1"/>
      <c r="F1" s="1"/>
      <c r="G1" s="1"/>
      <c r="H1" s="1"/>
      <c r="I1" s="1"/>
      <c r="J1" s="1"/>
      <c r="K1" s="4">
        <f>inputPrYr!D6</f>
        <v>2024</v>
      </c>
    </row>
    <row r="2" spans="1:11" x14ac:dyDescent="0.2">
      <c r="A2" s="1">
        <f>inputPrYr!$D$4</f>
        <v>0</v>
      </c>
      <c r="B2" s="1"/>
      <c r="C2" s="1"/>
      <c r="D2" s="1"/>
      <c r="E2" s="1"/>
      <c r="F2" s="1"/>
      <c r="G2" s="1"/>
      <c r="H2" s="1"/>
      <c r="I2" s="1"/>
      <c r="J2" s="1"/>
      <c r="K2" s="4"/>
    </row>
    <row r="3" spans="1:11" x14ac:dyDescent="0.2">
      <c r="A3" s="1"/>
      <c r="B3" s="1"/>
      <c r="C3" s="1"/>
      <c r="D3" s="1"/>
      <c r="E3" s="1"/>
      <c r="F3" s="1"/>
      <c r="G3" s="1"/>
      <c r="H3" s="1"/>
      <c r="I3" s="1"/>
      <c r="J3" s="1"/>
      <c r="K3" s="4"/>
    </row>
    <row r="4" spans="1:11" s="38" customFormat="1" x14ac:dyDescent="0.2">
      <c r="A4" s="36" t="s">
        <v>68</v>
      </c>
      <c r="B4" s="37"/>
      <c r="C4" s="37"/>
      <c r="D4" s="7"/>
      <c r="E4" s="37"/>
      <c r="F4" s="37"/>
      <c r="G4" s="37"/>
      <c r="H4" s="37"/>
      <c r="I4" s="37"/>
      <c r="J4" s="37"/>
      <c r="K4" s="37"/>
    </row>
    <row r="5" spans="1:11" s="38" customFormat="1" x14ac:dyDescent="0.2">
      <c r="A5" s="39"/>
      <c r="B5" s="39"/>
      <c r="C5" s="39"/>
      <c r="D5" s="39"/>
      <c r="E5" s="39"/>
      <c r="F5" s="39"/>
      <c r="G5" s="39"/>
      <c r="H5" s="39"/>
      <c r="I5" s="39"/>
      <c r="J5" s="39"/>
      <c r="K5" s="39"/>
    </row>
    <row r="6" spans="1:11" s="38" customFormat="1" x14ac:dyDescent="0.2">
      <c r="A6" s="40" t="s">
        <v>416</v>
      </c>
      <c r="B6" s="40" t="s">
        <v>47</v>
      </c>
      <c r="C6" s="40" t="s">
        <v>55</v>
      </c>
      <c r="D6" s="40"/>
      <c r="E6" s="40" t="s">
        <v>19</v>
      </c>
      <c r="F6" s="41"/>
      <c r="G6" s="42"/>
      <c r="H6" s="41" t="s">
        <v>48</v>
      </c>
      <c r="I6" s="42"/>
      <c r="J6" s="41" t="s">
        <v>48</v>
      </c>
      <c r="K6" s="42"/>
    </row>
    <row r="7" spans="1:11" s="38" customFormat="1" x14ac:dyDescent="0.2">
      <c r="A7" s="43" t="s">
        <v>417</v>
      </c>
      <c r="B7" s="43" t="s">
        <v>49</v>
      </c>
      <c r="C7" s="43" t="s">
        <v>50</v>
      </c>
      <c r="D7" s="43" t="s">
        <v>19</v>
      </c>
      <c r="E7" s="43" t="s">
        <v>79</v>
      </c>
      <c r="F7" s="44" t="s">
        <v>51</v>
      </c>
      <c r="G7" s="45"/>
      <c r="H7" s="44">
        <f>K1-1</f>
        <v>2023</v>
      </c>
      <c r="I7" s="45"/>
      <c r="J7" s="44">
        <f>K1</f>
        <v>2024</v>
      </c>
      <c r="K7" s="45"/>
    </row>
    <row r="8" spans="1:11" s="38" customFormat="1" x14ac:dyDescent="0.2">
      <c r="A8" s="9" t="s">
        <v>418</v>
      </c>
      <c r="B8" s="9" t="s">
        <v>52</v>
      </c>
      <c r="C8" s="9" t="s">
        <v>31</v>
      </c>
      <c r="D8" s="9" t="s">
        <v>53</v>
      </c>
      <c r="E8" s="46" t="str">
        <f>CONCATENATE("Jan 1, ",K1-1,"")</f>
        <v>Jan 1, 2023</v>
      </c>
      <c r="F8" s="10" t="s">
        <v>55</v>
      </c>
      <c r="G8" s="10" t="s">
        <v>56</v>
      </c>
      <c r="H8" s="10" t="s">
        <v>55</v>
      </c>
      <c r="I8" s="10" t="s">
        <v>56</v>
      </c>
      <c r="J8" s="10" t="s">
        <v>55</v>
      </c>
      <c r="K8" s="10" t="s">
        <v>56</v>
      </c>
    </row>
    <row r="9" spans="1:11" s="38" customFormat="1" x14ac:dyDescent="0.2">
      <c r="A9" s="14" t="s">
        <v>112</v>
      </c>
      <c r="B9" s="47"/>
      <c r="C9" s="14"/>
      <c r="D9" s="14"/>
      <c r="E9" s="14"/>
      <c r="F9" s="48"/>
      <c r="G9" s="48"/>
      <c r="H9" s="14"/>
      <c r="I9" s="14"/>
      <c r="J9" s="14"/>
      <c r="K9" s="14"/>
    </row>
    <row r="10" spans="1:11" s="38" customFormat="1" x14ac:dyDescent="0.2">
      <c r="A10" s="49"/>
      <c r="B10" s="268"/>
      <c r="C10" s="49"/>
      <c r="D10" s="49"/>
      <c r="E10" s="50"/>
      <c r="F10" s="51"/>
      <c r="G10" s="51"/>
      <c r="H10" s="49"/>
      <c r="I10" s="49"/>
      <c r="J10" s="49"/>
      <c r="K10" s="49"/>
    </row>
    <row r="11" spans="1:11" s="38" customFormat="1" x14ac:dyDescent="0.2">
      <c r="A11" s="52"/>
      <c r="B11" s="269"/>
      <c r="C11" s="53"/>
      <c r="D11" s="54"/>
      <c r="E11" s="54"/>
      <c r="F11" s="55"/>
      <c r="G11" s="55"/>
      <c r="H11" s="56"/>
      <c r="I11" s="56"/>
      <c r="J11" s="56"/>
      <c r="K11" s="56"/>
    </row>
    <row r="12" spans="1:11" s="38" customFormat="1" x14ac:dyDescent="0.2">
      <c r="A12" s="57" t="s">
        <v>113</v>
      </c>
      <c r="B12" s="58"/>
      <c r="C12" s="59"/>
      <c r="D12" s="60"/>
      <c r="E12" s="308">
        <f>SUM(E10:E11)</f>
        <v>0</v>
      </c>
      <c r="F12" s="61"/>
      <c r="G12" s="61"/>
      <c r="H12" s="308">
        <f>SUM(H10:H11)</f>
        <v>0</v>
      </c>
      <c r="I12" s="308">
        <f>SUM(I10:I11)</f>
        <v>0</v>
      </c>
      <c r="J12" s="308">
        <f>SUM(J10:J11)</f>
        <v>0</v>
      </c>
      <c r="K12" s="308">
        <f>SUM(K10:K11)</f>
        <v>0</v>
      </c>
    </row>
    <row r="13" spans="1:11" s="38" customFormat="1" x14ac:dyDescent="0.2">
      <c r="A13" s="57" t="s">
        <v>114</v>
      </c>
      <c r="B13" s="58"/>
      <c r="C13" s="59"/>
      <c r="D13" s="60"/>
      <c r="E13" s="12"/>
      <c r="F13" s="61"/>
      <c r="G13" s="61"/>
      <c r="H13" s="12"/>
      <c r="I13" s="12"/>
      <c r="J13" s="12"/>
      <c r="K13" s="12"/>
    </row>
    <row r="14" spans="1:11" s="38" customFormat="1" x14ac:dyDescent="0.2">
      <c r="A14" s="52"/>
      <c r="B14" s="269"/>
      <c r="C14" s="53"/>
      <c r="D14" s="54"/>
      <c r="E14" s="56"/>
      <c r="F14" s="55"/>
      <c r="G14" s="55"/>
      <c r="H14" s="56"/>
      <c r="I14" s="56"/>
      <c r="J14" s="56"/>
      <c r="K14" s="56"/>
    </row>
    <row r="15" spans="1:11" s="38" customFormat="1" x14ac:dyDescent="0.2">
      <c r="A15" s="52"/>
      <c r="B15" s="269"/>
      <c r="C15" s="53"/>
      <c r="D15" s="54"/>
      <c r="E15" s="56"/>
      <c r="F15" s="55"/>
      <c r="G15" s="55"/>
      <c r="H15" s="56"/>
      <c r="I15" s="56"/>
      <c r="J15" s="56"/>
      <c r="K15" s="56"/>
    </row>
    <row r="16" spans="1:11" s="38" customFormat="1" x14ac:dyDescent="0.2">
      <c r="A16" s="57" t="s">
        <v>115</v>
      </c>
      <c r="B16" s="58"/>
      <c r="C16" s="59"/>
      <c r="D16" s="60"/>
      <c r="E16" s="12">
        <f>SUM(E14:E15)</f>
        <v>0</v>
      </c>
      <c r="F16" s="61"/>
      <c r="G16" s="61"/>
      <c r="H16" s="308">
        <f>SUM(H14:H15)</f>
        <v>0</v>
      </c>
      <c r="I16" s="308">
        <f>SUM(I14:I15)</f>
        <v>0</v>
      </c>
      <c r="J16" s="308">
        <f>SUM(J14:J15)</f>
        <v>0</v>
      </c>
      <c r="K16" s="308">
        <f>SUM(K14:K15)</f>
        <v>0</v>
      </c>
    </row>
    <row r="17" spans="1:24" s="38" customFormat="1" x14ac:dyDescent="0.2">
      <c r="A17" s="57" t="s">
        <v>116</v>
      </c>
      <c r="B17" s="58"/>
      <c r="C17" s="59"/>
      <c r="D17" s="60"/>
      <c r="E17" s="12"/>
      <c r="F17" s="61"/>
      <c r="G17" s="61"/>
      <c r="H17" s="12"/>
      <c r="I17" s="12"/>
      <c r="J17" s="12"/>
      <c r="K17" s="12"/>
    </row>
    <row r="18" spans="1:24" s="38" customFormat="1" x14ac:dyDescent="0.2">
      <c r="A18" s="52"/>
      <c r="B18" s="269"/>
      <c r="C18" s="53"/>
      <c r="D18" s="54"/>
      <c r="E18" s="56"/>
      <c r="F18" s="55"/>
      <c r="G18" s="55"/>
      <c r="H18" s="56"/>
      <c r="I18" s="56"/>
      <c r="J18" s="56"/>
      <c r="K18" s="56"/>
    </row>
    <row r="19" spans="1:24" s="38" customFormat="1" x14ac:dyDescent="0.2">
      <c r="A19" s="52"/>
      <c r="B19" s="269"/>
      <c r="C19" s="53"/>
      <c r="D19" s="54"/>
      <c r="E19" s="56"/>
      <c r="F19" s="55"/>
      <c r="G19" s="55"/>
      <c r="H19" s="56"/>
      <c r="I19" s="56"/>
      <c r="J19" s="56"/>
      <c r="K19" s="56"/>
    </row>
    <row r="20" spans="1:24" s="38" customFormat="1" x14ac:dyDescent="0.2">
      <c r="A20" s="11" t="s">
        <v>117</v>
      </c>
      <c r="B20" s="62"/>
      <c r="C20" s="63"/>
      <c r="D20" s="64"/>
      <c r="E20" s="308">
        <f>SUM(E18:E19)</f>
        <v>0</v>
      </c>
      <c r="F20" s="61"/>
      <c r="G20" s="61"/>
      <c r="H20" s="308">
        <f>SUM(H18:H19)</f>
        <v>0</v>
      </c>
      <c r="I20" s="308">
        <f>SUM(I18:I19)</f>
        <v>0</v>
      </c>
      <c r="J20" s="308">
        <f>SUM(J18:J19)</f>
        <v>0</v>
      </c>
      <c r="K20" s="308">
        <f>SUM(K18:K19)</f>
        <v>0</v>
      </c>
    </row>
    <row r="21" spans="1:24" s="38" customFormat="1" x14ac:dyDescent="0.2">
      <c r="A21" s="65" t="s">
        <v>69</v>
      </c>
      <c r="B21" s="307"/>
      <c r="C21" s="307"/>
      <c r="D21" s="308"/>
      <c r="E21" s="78">
        <f>SUM(E12+E16+E20)</f>
        <v>0</v>
      </c>
      <c r="F21" s="307"/>
      <c r="G21" s="307"/>
      <c r="H21" s="78">
        <f>SUM(H12+H16+H20)</f>
        <v>0</v>
      </c>
      <c r="I21" s="78">
        <f>SUM(I12+I16+I20)</f>
        <v>0</v>
      </c>
      <c r="J21" s="78">
        <f>SUM(J12+J16+J20)</f>
        <v>0</v>
      </c>
      <c r="K21" s="78">
        <f>SUM(K12+K16+K20)</f>
        <v>0</v>
      </c>
    </row>
    <row r="22" spans="1:24" s="38" customFormat="1" x14ac:dyDescent="0.2">
      <c r="A22" s="1"/>
      <c r="B22" s="1"/>
      <c r="C22" s="1"/>
      <c r="D22" s="1"/>
      <c r="E22" s="1"/>
      <c r="F22" s="1"/>
      <c r="G22" s="1"/>
      <c r="H22" s="1"/>
      <c r="I22" s="1"/>
      <c r="J22" s="1"/>
      <c r="K22" s="1"/>
      <c r="L22" s="66"/>
      <c r="M22" s="66"/>
      <c r="N22" s="66"/>
      <c r="O22" s="66"/>
      <c r="P22" s="66"/>
      <c r="Q22" s="66"/>
      <c r="R22" s="66"/>
      <c r="S22" s="66"/>
      <c r="T22" s="66"/>
      <c r="U22" s="66"/>
      <c r="V22" s="66"/>
      <c r="W22" s="66"/>
      <c r="X22" s="66"/>
    </row>
    <row r="23" spans="1:24" s="69" customFormat="1" x14ac:dyDescent="0.2">
      <c r="A23" s="579" t="s">
        <v>802</v>
      </c>
      <c r="B23" s="536"/>
      <c r="C23" s="536"/>
      <c r="D23" s="536"/>
      <c r="E23" s="536"/>
      <c r="F23" s="536"/>
      <c r="G23" s="536"/>
      <c r="H23" s="536"/>
      <c r="I23" s="67"/>
      <c r="J23" s="67"/>
      <c r="K23" s="68"/>
    </row>
    <row r="24" spans="1:24" s="69" customFormat="1" x14ac:dyDescent="0.2">
      <c r="A24" s="1"/>
      <c r="B24" s="70"/>
      <c r="C24" s="70"/>
      <c r="D24" s="70"/>
      <c r="E24" s="70"/>
      <c r="F24" s="70"/>
      <c r="G24" s="70"/>
      <c r="H24" s="70"/>
      <c r="I24" s="13"/>
      <c r="J24" s="13"/>
      <c r="K24" s="68"/>
    </row>
    <row r="25" spans="1:24" s="69" customFormat="1" x14ac:dyDescent="0.2">
      <c r="A25" s="71"/>
      <c r="B25" s="71"/>
      <c r="C25" s="40" t="s">
        <v>54</v>
      </c>
      <c r="D25" s="71"/>
      <c r="E25" s="40" t="s">
        <v>5</v>
      </c>
      <c r="F25" s="71"/>
      <c r="G25" s="71"/>
      <c r="H25" s="71"/>
      <c r="I25" s="72"/>
      <c r="J25" s="68"/>
      <c r="K25" s="68"/>
    </row>
    <row r="26" spans="1:24" s="69" customFormat="1" x14ac:dyDescent="0.2">
      <c r="A26" s="73"/>
      <c r="B26" s="43"/>
      <c r="C26" s="43" t="s">
        <v>49</v>
      </c>
      <c r="D26" s="43" t="s">
        <v>55</v>
      </c>
      <c r="E26" s="43" t="s">
        <v>19</v>
      </c>
      <c r="F26" s="43" t="s">
        <v>56</v>
      </c>
      <c r="G26" s="43" t="s">
        <v>57</v>
      </c>
      <c r="H26" s="43" t="s">
        <v>57</v>
      </c>
      <c r="I26" s="68"/>
      <c r="J26" s="68"/>
      <c r="K26" s="68"/>
    </row>
    <row r="27" spans="1:24" s="69" customFormat="1" x14ac:dyDescent="0.2">
      <c r="A27" s="43" t="s">
        <v>420</v>
      </c>
      <c r="B27" s="43" t="s">
        <v>58</v>
      </c>
      <c r="C27" s="43" t="s">
        <v>59</v>
      </c>
      <c r="D27" s="43" t="s">
        <v>50</v>
      </c>
      <c r="E27" s="43" t="s">
        <v>60</v>
      </c>
      <c r="F27" s="43" t="s">
        <v>75</v>
      </c>
      <c r="G27" s="43" t="s">
        <v>61</v>
      </c>
      <c r="H27" s="43" t="s">
        <v>61</v>
      </c>
      <c r="I27" s="68"/>
      <c r="J27" s="68"/>
      <c r="K27" s="68"/>
    </row>
    <row r="28" spans="1:24" s="69" customFormat="1" x14ac:dyDescent="0.2">
      <c r="A28" s="9" t="s">
        <v>419</v>
      </c>
      <c r="B28" s="9" t="s">
        <v>47</v>
      </c>
      <c r="C28" s="75" t="s">
        <v>62</v>
      </c>
      <c r="D28" s="9" t="s">
        <v>31</v>
      </c>
      <c r="E28" s="75" t="s">
        <v>80</v>
      </c>
      <c r="F28" s="46" t="str">
        <f>E8</f>
        <v>Jan 1, 2023</v>
      </c>
      <c r="G28" s="9">
        <f>K1-1</f>
        <v>2023</v>
      </c>
      <c r="H28" s="9">
        <f>K1</f>
        <v>2024</v>
      </c>
      <c r="I28" s="68"/>
      <c r="J28" s="68"/>
      <c r="K28" s="68"/>
    </row>
    <row r="29" spans="1:24" s="69" customFormat="1" x14ac:dyDescent="0.2">
      <c r="A29" s="52"/>
      <c r="B29" s="269"/>
      <c r="C29" s="76"/>
      <c r="D29" s="53"/>
      <c r="E29" s="54"/>
      <c r="F29" s="54"/>
      <c r="G29" s="54"/>
      <c r="H29" s="54"/>
      <c r="I29" s="68"/>
      <c r="J29" s="68"/>
      <c r="K29" s="68"/>
    </row>
    <row r="30" spans="1:24" s="69" customFormat="1" x14ac:dyDescent="0.2">
      <c r="A30" s="52"/>
      <c r="B30" s="269"/>
      <c r="C30" s="76"/>
      <c r="D30" s="53"/>
      <c r="E30" s="54"/>
      <c r="F30" s="54"/>
      <c r="G30" s="54"/>
      <c r="H30" s="54"/>
      <c r="I30" s="68"/>
      <c r="J30" s="68"/>
      <c r="K30" s="68"/>
    </row>
    <row r="31" spans="1:24" s="69" customFormat="1" x14ac:dyDescent="0.2">
      <c r="A31" s="52"/>
      <c r="B31" s="269"/>
      <c r="C31" s="76"/>
      <c r="D31" s="53"/>
      <c r="E31" s="54"/>
      <c r="F31" s="54"/>
      <c r="G31" s="54"/>
      <c r="H31" s="54"/>
      <c r="I31" s="68"/>
      <c r="J31" s="68"/>
      <c r="K31" s="68"/>
    </row>
    <row r="32" spans="1:24" s="69" customFormat="1" x14ac:dyDescent="0.2">
      <c r="A32" s="52"/>
      <c r="B32" s="269"/>
      <c r="C32" s="76"/>
      <c r="D32" s="53"/>
      <c r="E32" s="54"/>
      <c r="F32" s="54"/>
      <c r="G32" s="54"/>
      <c r="H32" s="54"/>
      <c r="I32" s="68"/>
      <c r="J32" s="68"/>
      <c r="K32" s="68"/>
    </row>
    <row r="33" spans="1:11" s="69" customFormat="1" x14ac:dyDescent="0.2">
      <c r="A33" s="52"/>
      <c r="B33" s="269"/>
      <c r="C33" s="76"/>
      <c r="D33" s="53"/>
      <c r="E33" s="54"/>
      <c r="F33" s="54"/>
      <c r="G33" s="54"/>
      <c r="H33" s="54"/>
      <c r="I33" s="68"/>
      <c r="J33" s="68"/>
      <c r="K33" s="68"/>
    </row>
    <row r="34" spans="1:11" s="69" customFormat="1" x14ac:dyDescent="0.2">
      <c r="A34" s="52"/>
      <c r="B34" s="269"/>
      <c r="C34" s="76"/>
      <c r="D34" s="53"/>
      <c r="E34" s="54"/>
      <c r="F34" s="54"/>
      <c r="G34" s="54"/>
      <c r="H34" s="54"/>
      <c r="I34" s="68"/>
      <c r="J34" s="68"/>
      <c r="K34" s="68"/>
    </row>
    <row r="35" spans="1:11" s="69" customFormat="1" x14ac:dyDescent="0.2">
      <c r="A35" s="52"/>
      <c r="B35" s="269"/>
      <c r="C35" s="76"/>
      <c r="D35" s="53"/>
      <c r="E35" s="54"/>
      <c r="F35" s="54"/>
      <c r="G35" s="54"/>
      <c r="H35" s="54"/>
      <c r="I35" s="68"/>
      <c r="J35" s="68"/>
      <c r="K35" s="68"/>
    </row>
    <row r="36" spans="1:11" s="69" customFormat="1" x14ac:dyDescent="0.2">
      <c r="A36" s="52"/>
      <c r="B36" s="269"/>
      <c r="C36" s="76"/>
      <c r="D36" s="53"/>
      <c r="E36" s="54"/>
      <c r="F36" s="54"/>
      <c r="G36" s="54"/>
      <c r="H36" s="54"/>
      <c r="I36" s="68"/>
      <c r="J36" s="68"/>
      <c r="K36" s="68"/>
    </row>
    <row r="37" spans="1:11" s="69" customFormat="1" x14ac:dyDescent="0.2">
      <c r="A37" s="52"/>
      <c r="B37" s="269"/>
      <c r="C37" s="76"/>
      <c r="D37" s="53"/>
      <c r="E37" s="54"/>
      <c r="F37" s="54"/>
      <c r="G37" s="54"/>
      <c r="H37" s="54"/>
      <c r="I37" s="68"/>
      <c r="J37" s="68"/>
      <c r="K37" s="68"/>
    </row>
    <row r="38" spans="1:11" s="69" customFormat="1" x14ac:dyDescent="0.2">
      <c r="A38" s="52"/>
      <c r="B38" s="269"/>
      <c r="C38" s="76"/>
      <c r="D38" s="53"/>
      <c r="E38" s="54"/>
      <c r="F38" s="54"/>
      <c r="G38" s="54"/>
      <c r="H38" s="54"/>
      <c r="I38" s="68"/>
      <c r="J38" s="68"/>
      <c r="K38" s="68"/>
    </row>
    <row r="39" spans="1:11" s="38" customFormat="1" x14ac:dyDescent="0.2">
      <c r="A39" s="309"/>
      <c r="B39" s="77"/>
      <c r="C39" s="77"/>
      <c r="D39" s="310" t="s">
        <v>5</v>
      </c>
      <c r="E39" s="78">
        <f>SUM(E29:E38)</f>
        <v>0</v>
      </c>
      <c r="F39" s="79">
        <f>SUM(F29:F38)</f>
        <v>0</v>
      </c>
      <c r="G39" s="79">
        <f>SUM(G29:G38)</f>
        <v>0</v>
      </c>
      <c r="H39" s="79">
        <f>SUM(H29:H38)</f>
        <v>0</v>
      </c>
      <c r="I39" s="39"/>
      <c r="J39" s="39"/>
      <c r="K39" s="80"/>
    </row>
    <row r="40" spans="1:11" s="38" customFormat="1" x14ac:dyDescent="0.2">
      <c r="A40" s="309"/>
      <c r="B40" s="501"/>
      <c r="C40" s="501"/>
      <c r="D40" s="502"/>
      <c r="E40" s="503"/>
      <c r="F40" s="504"/>
      <c r="G40" s="504"/>
      <c r="H40" s="504"/>
      <c r="I40" s="39"/>
      <c r="J40" s="39"/>
      <c r="K40" s="80"/>
    </row>
    <row r="41" spans="1:11" x14ac:dyDescent="0.2">
      <c r="A41" s="580" t="s">
        <v>801</v>
      </c>
      <c r="B41" s="580"/>
      <c r="C41" s="580"/>
      <c r="D41" s="580"/>
      <c r="E41" s="580"/>
      <c r="F41" s="580"/>
      <c r="G41" s="580"/>
      <c r="H41" s="580"/>
      <c r="I41" s="1"/>
      <c r="J41" s="1"/>
      <c r="K41" s="1"/>
    </row>
    <row r="42" spans="1:11" x14ac:dyDescent="0.2">
      <c r="A42" s="6"/>
      <c r="B42" s="6"/>
      <c r="C42" s="6"/>
      <c r="D42" s="6"/>
      <c r="E42" s="6"/>
      <c r="F42" s="6"/>
      <c r="G42" s="6"/>
      <c r="H42" s="6"/>
      <c r="I42" s="1"/>
      <c r="J42" s="1"/>
      <c r="K42" s="1"/>
    </row>
  </sheetData>
  <sheetProtection sheet="1" objects="1" scenarios="1"/>
  <mergeCells count="2">
    <mergeCell ref="A23:H23"/>
    <mergeCell ref="A41:H41"/>
  </mergeCells>
  <phoneticPr fontId="0" type="noConversion"/>
  <pageMargins left="0.5" right="0.5" top="1" bottom="0.5" header="0.5" footer="0.5"/>
  <pageSetup scale="74" orientation="landscape" blackAndWhite="1" horizontalDpi="120" verticalDpi="144" r:id="rId1"/>
  <headerFooter alignWithMargins="0">
    <oddHeader xml:space="preserve">&amp;RState of Kansas
Special District
</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B0F0"/>
    <pageSetUpPr fitToPage="1"/>
  </sheetPr>
  <dimension ref="B1:K67"/>
  <sheetViews>
    <sheetView workbookViewId="0">
      <selection activeCell="C43" sqref="C43:E43"/>
    </sheetView>
  </sheetViews>
  <sheetFormatPr defaultRowHeight="15.75" x14ac:dyDescent="0.2"/>
  <cols>
    <col min="1" max="1" width="2.44140625" style="66" customWidth="1"/>
    <col min="2" max="2" width="31.109375" style="66" customWidth="1"/>
    <col min="3" max="5" width="15.77734375" style="66" customWidth="1"/>
    <col min="6" max="6" width="7.44140625" style="66" customWidth="1"/>
    <col min="7" max="7" width="10.21875" style="66" customWidth="1"/>
    <col min="8" max="8" width="8.88671875" style="66"/>
    <col min="9" max="9" width="5.88671875" style="66" customWidth="1"/>
    <col min="10" max="10" width="10" style="66" customWidth="1"/>
    <col min="11" max="16384" width="8.88671875" style="66"/>
  </cols>
  <sheetData>
    <row r="1" spans="2:6" x14ac:dyDescent="0.2">
      <c r="B1" s="1">
        <f>inputPrYr!D3</f>
        <v>0</v>
      </c>
      <c r="C1" s="81"/>
      <c r="D1" s="1"/>
      <c r="E1" s="4">
        <f>inputPrYr!D6</f>
        <v>2024</v>
      </c>
    </row>
    <row r="2" spans="2:6" x14ac:dyDescent="0.2">
      <c r="B2" s="1">
        <f>inputPrYr!D4</f>
        <v>0</v>
      </c>
      <c r="C2" s="81"/>
      <c r="D2" s="1"/>
      <c r="E2" s="4"/>
    </row>
    <row r="3" spans="2:6" x14ac:dyDescent="0.2">
      <c r="B3" s="82" t="s">
        <v>64</v>
      </c>
      <c r="C3" s="81"/>
      <c r="D3" s="1"/>
      <c r="E3" s="83"/>
      <c r="F3" s="375"/>
    </row>
    <row r="4" spans="2:6" x14ac:dyDescent="0.2">
      <c r="B4" s="1"/>
      <c r="C4" s="13"/>
      <c r="D4" s="13"/>
      <c r="E4" s="13"/>
    </row>
    <row r="5" spans="2:6" x14ac:dyDescent="0.2">
      <c r="B5" s="15" t="s">
        <v>20</v>
      </c>
      <c r="C5" s="259" t="s">
        <v>145</v>
      </c>
      <c r="D5" s="260" t="s">
        <v>144</v>
      </c>
      <c r="E5" s="84" t="s">
        <v>142</v>
      </c>
    </row>
    <row r="6" spans="2:6" x14ac:dyDescent="0.2">
      <c r="B6" s="82" t="str">
        <f>inputPrYr!B19</f>
        <v>General</v>
      </c>
      <c r="C6" s="261" t="str">
        <f>CONCATENATE("Actual for ",E1-2,"")</f>
        <v>Actual for 2022</v>
      </c>
      <c r="D6" s="261" t="str">
        <f>CONCATENATE("Estimate for ",E1-1,"")</f>
        <v>Estimate for 2023</v>
      </c>
      <c r="E6" s="9" t="str">
        <f>CONCATENATE("Year for ",E1,"")</f>
        <v>Year for 2024</v>
      </c>
    </row>
    <row r="7" spans="2:6" x14ac:dyDescent="0.2">
      <c r="B7" s="85" t="s">
        <v>76</v>
      </c>
      <c r="C7" s="262"/>
      <c r="D7" s="263">
        <f>C46</f>
        <v>0</v>
      </c>
      <c r="E7" s="64">
        <f>D46</f>
        <v>0</v>
      </c>
    </row>
    <row r="8" spans="2:6" x14ac:dyDescent="0.2">
      <c r="B8" s="87" t="s">
        <v>78</v>
      </c>
      <c r="C8" s="88"/>
      <c r="D8" s="88"/>
      <c r="E8" s="12"/>
    </row>
    <row r="9" spans="2:6" x14ac:dyDescent="0.2">
      <c r="B9" s="85" t="s">
        <v>21</v>
      </c>
      <c r="C9" s="262"/>
      <c r="D9" s="263">
        <f>IF(inputPrYr!H18&gt;0,inputPrYr!G19,inputPrYr!E19)</f>
        <v>0</v>
      </c>
      <c r="E9" s="89" t="s">
        <v>16</v>
      </c>
    </row>
    <row r="10" spans="2:6" x14ac:dyDescent="0.2">
      <c r="B10" s="85" t="s">
        <v>22</v>
      </c>
      <c r="C10" s="262"/>
      <c r="D10" s="262"/>
      <c r="E10" s="56"/>
    </row>
    <row r="11" spans="2:6" x14ac:dyDescent="0.2">
      <c r="B11" s="85" t="s">
        <v>23</v>
      </c>
      <c r="C11" s="262"/>
      <c r="D11" s="262"/>
      <c r="E11" s="64">
        <f>Mvalloc!D11</f>
        <v>0</v>
      </c>
    </row>
    <row r="12" spans="2:6" x14ac:dyDescent="0.2">
      <c r="B12" s="85" t="s">
        <v>24</v>
      </c>
      <c r="C12" s="262"/>
      <c r="D12" s="262"/>
      <c r="E12" s="64">
        <f>Mvalloc!E11</f>
        <v>0</v>
      </c>
    </row>
    <row r="13" spans="2:6" x14ac:dyDescent="0.2">
      <c r="B13" s="88" t="s">
        <v>72</v>
      </c>
      <c r="C13" s="262"/>
      <c r="D13" s="262"/>
      <c r="E13" s="64">
        <f>Mvalloc!F11</f>
        <v>0</v>
      </c>
    </row>
    <row r="14" spans="2:6" x14ac:dyDescent="0.2">
      <c r="B14" s="85" t="s">
        <v>446</v>
      </c>
      <c r="C14" s="262"/>
      <c r="D14" s="262"/>
      <c r="E14" s="64">
        <f>Mvalloc!G11</f>
        <v>0</v>
      </c>
    </row>
    <row r="15" spans="2:6" x14ac:dyDescent="0.2">
      <c r="B15" s="85" t="s">
        <v>447</v>
      </c>
      <c r="C15" s="262"/>
      <c r="D15" s="262"/>
      <c r="E15" s="64">
        <f>Mvalloc!H11</f>
        <v>0</v>
      </c>
    </row>
    <row r="16" spans="2:6" x14ac:dyDescent="0.2">
      <c r="B16" s="88" t="s">
        <v>97</v>
      </c>
      <c r="C16" s="262"/>
      <c r="D16" s="262"/>
      <c r="E16" s="64">
        <f>inputOth!E34</f>
        <v>0</v>
      </c>
    </row>
    <row r="17" spans="2:11" x14ac:dyDescent="0.2">
      <c r="B17" s="90"/>
      <c r="C17" s="262"/>
      <c r="D17" s="262"/>
      <c r="E17" s="56"/>
    </row>
    <row r="18" spans="2:11" x14ac:dyDescent="0.2">
      <c r="B18" s="90"/>
      <c r="C18" s="262"/>
      <c r="D18" s="262"/>
      <c r="E18" s="56"/>
    </row>
    <row r="19" spans="2:11" x14ac:dyDescent="0.2">
      <c r="B19" s="90"/>
      <c r="C19" s="262"/>
      <c r="D19" s="262"/>
      <c r="E19" s="56"/>
    </row>
    <row r="20" spans="2:11" x14ac:dyDescent="0.2">
      <c r="B20" s="90"/>
      <c r="C20" s="262"/>
      <c r="D20" s="262"/>
      <c r="E20" s="56"/>
    </row>
    <row r="21" spans="2:11" x14ac:dyDescent="0.2">
      <c r="B21" s="90"/>
      <c r="C21" s="262"/>
      <c r="D21" s="262"/>
      <c r="E21" s="56"/>
    </row>
    <row r="22" spans="2:11" x14ac:dyDescent="0.2">
      <c r="B22" s="90"/>
      <c r="C22" s="262"/>
      <c r="D22" s="262"/>
      <c r="E22" s="56"/>
      <c r="G22" s="581" t="str">
        <f>CONCATENATE("Desired Carryover Into ",E1+1,"")</f>
        <v>Desired Carryover Into 2025</v>
      </c>
      <c r="H22" s="582"/>
      <c r="I22" s="582"/>
      <c r="J22" s="583"/>
      <c r="K22" s="3"/>
    </row>
    <row r="23" spans="2:11" x14ac:dyDescent="0.2">
      <c r="B23" s="90"/>
      <c r="C23" s="262"/>
      <c r="D23" s="262"/>
      <c r="E23" s="56"/>
      <c r="G23" s="327"/>
      <c r="H23" s="1"/>
      <c r="I23" s="328"/>
      <c r="J23" s="329"/>
      <c r="K23" s="3"/>
    </row>
    <row r="24" spans="2:11" x14ac:dyDescent="0.2">
      <c r="B24" s="90"/>
      <c r="C24" s="262"/>
      <c r="D24" s="262"/>
      <c r="E24" s="56"/>
      <c r="G24" s="330" t="s">
        <v>414</v>
      </c>
      <c r="H24" s="328"/>
      <c r="I24" s="328"/>
      <c r="J24" s="331">
        <v>0</v>
      </c>
      <c r="K24" s="3"/>
    </row>
    <row r="25" spans="2:11" x14ac:dyDescent="0.2">
      <c r="B25" s="90" t="s">
        <v>405</v>
      </c>
      <c r="C25" s="262"/>
      <c r="D25" s="262"/>
      <c r="E25" s="56"/>
      <c r="G25" s="327" t="s">
        <v>415</v>
      </c>
      <c r="H25" s="1"/>
      <c r="I25" s="1"/>
      <c r="J25" s="332" t="str">
        <f>IF(J24=0,"",ROUND((J24+E52-G37)/'Budget Hearing Notice'!F29*1000,3)-G42)</f>
        <v/>
      </c>
      <c r="K25" s="3"/>
    </row>
    <row r="26" spans="2:11" x14ac:dyDescent="0.2">
      <c r="B26" s="91" t="s">
        <v>25</v>
      </c>
      <c r="C26" s="262"/>
      <c r="D26" s="262"/>
      <c r="E26" s="56"/>
      <c r="G26" s="333" t="str">
        <f>CONCATENATE("",E1," Tot Exp/Non-Appr Must Be:")</f>
        <v>2024 Tot Exp/Non-Appr Must Be:</v>
      </c>
      <c r="H26" s="334"/>
      <c r="I26" s="335"/>
      <c r="J26" s="336">
        <f>IF(J24&gt;0,IF(E49&lt;E21,IF(J24=G37,E49,((J24-G37)*(1-D51))+E21),E49+(J24-G37)),0)</f>
        <v>0</v>
      </c>
      <c r="K26" s="3"/>
    </row>
    <row r="27" spans="2:11" x14ac:dyDescent="0.2">
      <c r="B27" s="97" t="s">
        <v>128</v>
      </c>
      <c r="C27" s="262"/>
      <c r="D27" s="262"/>
      <c r="E27" s="64">
        <f>'NR Rebate'!E7*-1</f>
        <v>0</v>
      </c>
      <c r="G27" s="337" t="s">
        <v>424</v>
      </c>
      <c r="H27" s="338"/>
      <c r="I27" s="338"/>
      <c r="J27" s="339">
        <f>IF(J24&gt;0,J26-E49,0)</f>
        <v>0</v>
      </c>
      <c r="K27" s="3"/>
    </row>
    <row r="28" spans="2:11" x14ac:dyDescent="0.2">
      <c r="B28" s="92" t="s">
        <v>127</v>
      </c>
      <c r="C28" s="90"/>
      <c r="D28" s="90"/>
      <c r="E28" s="56"/>
      <c r="G28" s="3"/>
      <c r="H28" s="3"/>
      <c r="I28" s="3"/>
      <c r="J28" s="3"/>
      <c r="K28" s="3"/>
    </row>
    <row r="29" spans="2:11" x14ac:dyDescent="0.2">
      <c r="B29" s="92" t="s">
        <v>407</v>
      </c>
      <c r="C29" s="264" t="str">
        <f>IF(C30*0.1&lt;C28,"Exceed 10% Rule","")</f>
        <v/>
      </c>
      <c r="D29" s="264" t="str">
        <f>IF(D30*0.1&lt;D28,"Exceed 10% Rule","")</f>
        <v/>
      </c>
      <c r="E29" s="278" t="str">
        <f>IF(E30*0.1+E52&lt;E28,"Exceed 10% Rule","")</f>
        <v/>
      </c>
      <c r="G29" s="581" t="str">
        <f>CONCATENATE("Projected Carryover Into ",F3+1,"")</f>
        <v>Projected Carryover Into 1</v>
      </c>
      <c r="H29" s="582"/>
      <c r="I29" s="582"/>
      <c r="J29" s="583"/>
      <c r="K29" s="3"/>
    </row>
    <row r="30" spans="2:11" x14ac:dyDescent="0.2">
      <c r="B30" s="95" t="s">
        <v>26</v>
      </c>
      <c r="C30" s="505">
        <f>SUM(C9:C28)</f>
        <v>0</v>
      </c>
      <c r="D30" s="505">
        <f>SUM(D9:D28)</f>
        <v>0</v>
      </c>
      <c r="E30" s="505">
        <f>SUM(E9:E28)</f>
        <v>0</v>
      </c>
      <c r="G30" s="340"/>
      <c r="H30" s="1"/>
      <c r="I30" s="1"/>
      <c r="J30" s="341"/>
      <c r="K30" s="3"/>
    </row>
    <row r="31" spans="2:11" x14ac:dyDescent="0.2">
      <c r="B31" s="95" t="s">
        <v>27</v>
      </c>
      <c r="C31" s="505">
        <f>C7+C30</f>
        <v>0</v>
      </c>
      <c r="D31" s="505">
        <f>D7+D30</f>
        <v>0</v>
      </c>
      <c r="E31" s="505">
        <f>E7+E30</f>
        <v>0</v>
      </c>
      <c r="G31" s="342">
        <f>D46</f>
        <v>0</v>
      </c>
      <c r="H31" s="343" t="str">
        <f>CONCATENATE("",E1-1," Ending Cash Balance (est.)")</f>
        <v>2023 Ending Cash Balance (est.)</v>
      </c>
      <c r="I31" s="344"/>
      <c r="J31" s="341"/>
      <c r="K31" s="3"/>
    </row>
    <row r="32" spans="2:11" x14ac:dyDescent="0.2">
      <c r="B32" s="85" t="s">
        <v>28</v>
      </c>
      <c r="C32" s="97"/>
      <c r="D32" s="97"/>
      <c r="E32" s="11"/>
      <c r="G32" s="342">
        <f>E30</f>
        <v>0</v>
      </c>
      <c r="H32" s="328" t="str">
        <f>CONCATENATE("",E1," Non-AV Receipts (est.)")</f>
        <v>2024 Non-AV Receipts (est.)</v>
      </c>
      <c r="I32" s="344"/>
      <c r="J32" s="341"/>
      <c r="K32" s="3"/>
    </row>
    <row r="33" spans="2:11" x14ac:dyDescent="0.2">
      <c r="B33" s="90"/>
      <c r="C33" s="262"/>
      <c r="D33" s="262"/>
      <c r="E33" s="54"/>
      <c r="G33" s="345">
        <f>IF(E51&gt;0,E50,E52)</f>
        <v>0</v>
      </c>
      <c r="H33" s="328" t="str">
        <f>CONCATENATE("",E1," Ad Valorem Tax (est.)")</f>
        <v>2024 Ad Valorem Tax (est.)</v>
      </c>
      <c r="I33" s="328"/>
      <c r="J33" s="341"/>
      <c r="K33" s="352" t="str">
        <f>IF(G33=E52,"","Note: Does not include Delinquent Taxes")</f>
        <v/>
      </c>
    </row>
    <row r="34" spans="2:11" x14ac:dyDescent="0.2">
      <c r="B34" s="90"/>
      <c r="C34" s="262"/>
      <c r="D34" s="262"/>
      <c r="E34" s="54"/>
      <c r="G34" s="342">
        <f>SUM(G31:G33)</f>
        <v>0</v>
      </c>
      <c r="H34" s="328" t="str">
        <f>CONCATENATE("Total ",E1," Resources Available")</f>
        <v>Total 2024 Resources Available</v>
      </c>
      <c r="I34" s="344"/>
      <c r="J34" s="341"/>
      <c r="K34" s="3"/>
    </row>
    <row r="35" spans="2:11" x14ac:dyDescent="0.2">
      <c r="B35" s="90"/>
      <c r="C35" s="262"/>
      <c r="D35" s="262"/>
      <c r="E35" s="54"/>
      <c r="G35" s="346"/>
      <c r="H35" s="328"/>
      <c r="I35" s="328"/>
      <c r="J35" s="341"/>
      <c r="K35" s="3"/>
    </row>
    <row r="36" spans="2:11" x14ac:dyDescent="0.2">
      <c r="B36" s="90"/>
      <c r="C36" s="262"/>
      <c r="D36" s="262"/>
      <c r="E36" s="54"/>
      <c r="G36" s="345">
        <f>ROUND(C45*0.05+C45,0)</f>
        <v>0</v>
      </c>
      <c r="H36" s="328" t="str">
        <f>CONCATENATE("Less ",E1-2," Expenditures + 5%")</f>
        <v>Less 2022 Expenditures + 5%</v>
      </c>
      <c r="I36" s="344"/>
      <c r="J36" s="341"/>
      <c r="K36" s="3"/>
    </row>
    <row r="37" spans="2:11" x14ac:dyDescent="0.2">
      <c r="B37" s="90"/>
      <c r="C37" s="262"/>
      <c r="D37" s="262"/>
      <c r="E37" s="54"/>
      <c r="G37" s="347">
        <f>G34-G36</f>
        <v>0</v>
      </c>
      <c r="H37" s="348" t="str">
        <f>CONCATENATE("Projected ",E1+1," Carryover (est.)")</f>
        <v>Projected 2025 Carryover (est.)</v>
      </c>
      <c r="I37" s="349"/>
      <c r="J37" s="350"/>
      <c r="K37" s="3"/>
    </row>
    <row r="38" spans="2:11" x14ac:dyDescent="0.2">
      <c r="B38" s="90"/>
      <c r="C38" s="262"/>
      <c r="D38" s="262"/>
      <c r="E38" s="54"/>
      <c r="G38" s="3"/>
      <c r="H38" s="3"/>
      <c r="I38" s="3"/>
      <c r="J38" s="3"/>
      <c r="K38" s="3"/>
    </row>
    <row r="39" spans="2:11" x14ac:dyDescent="0.2">
      <c r="B39" s="90"/>
      <c r="C39" s="262"/>
      <c r="D39" s="262"/>
      <c r="E39" s="54"/>
      <c r="F39" s="3"/>
      <c r="G39" s="590" t="s">
        <v>803</v>
      </c>
      <c r="H39" s="591"/>
      <c r="I39" s="591"/>
      <c r="J39" s="592"/>
      <c r="K39" s="3"/>
    </row>
    <row r="40" spans="2:11" x14ac:dyDescent="0.2">
      <c r="B40" s="90"/>
      <c r="C40" s="262"/>
      <c r="D40" s="262"/>
      <c r="E40" s="54"/>
      <c r="F40" s="3"/>
      <c r="G40" s="593"/>
      <c r="H40" s="594"/>
      <c r="I40" s="594"/>
      <c r="J40" s="595"/>
      <c r="K40" s="3"/>
    </row>
    <row r="41" spans="2:11" x14ac:dyDescent="0.2">
      <c r="B41" s="90"/>
      <c r="C41" s="262"/>
      <c r="D41" s="262"/>
      <c r="E41" s="54"/>
      <c r="F41" s="3"/>
      <c r="G41" s="506" t="str">
        <f>'Budget Hearing Notice'!H17</f>
        <v xml:space="preserve"> </v>
      </c>
      <c r="H41" s="507" t="str">
        <f>CONCATENATE("",E1," Estimated Fund Mill Rate")</f>
        <v>2024 Estimated Fund Mill Rate</v>
      </c>
      <c r="I41" s="508"/>
      <c r="J41" s="509"/>
      <c r="K41" s="3"/>
    </row>
    <row r="42" spans="2:11" x14ac:dyDescent="0.2">
      <c r="B42" s="97" t="str">
        <f>CONCATENATE("Cash Forward (",E1," column)")</f>
        <v>Cash Forward (2024 column)</v>
      </c>
      <c r="C42" s="262"/>
      <c r="D42" s="262"/>
      <c r="E42" s="54"/>
      <c r="F42" s="3"/>
      <c r="G42" s="510" t="str">
        <f>'Budget Hearing Notice'!E17</f>
        <v xml:space="preserve">  </v>
      </c>
      <c r="H42" s="507" t="str">
        <f>CONCATENATE("",E1-1," Fund Mill Rate")</f>
        <v>2023 Fund Mill Rate</v>
      </c>
      <c r="I42" s="508"/>
      <c r="J42" s="509"/>
      <c r="K42" s="3"/>
    </row>
    <row r="43" spans="2:11" x14ac:dyDescent="0.2">
      <c r="B43" s="97" t="s">
        <v>127</v>
      </c>
      <c r="C43" s="262"/>
      <c r="D43" s="262"/>
      <c r="E43" s="54"/>
      <c r="F43" s="3"/>
      <c r="G43" s="511">
        <f>'Budget Hearing Notice'!H25</f>
        <v>0</v>
      </c>
      <c r="H43" s="512" t="s">
        <v>804</v>
      </c>
      <c r="I43" s="508"/>
      <c r="J43" s="509"/>
      <c r="K43" s="3"/>
    </row>
    <row r="44" spans="2:11" x14ac:dyDescent="0.2">
      <c r="B44" s="97" t="s">
        <v>406</v>
      </c>
      <c r="C44" s="264" t="str">
        <f>IF(C45*0.1&lt;C43,"Exceed 10% Rule","")</f>
        <v/>
      </c>
      <c r="D44" s="264" t="str">
        <f>IF(D45*0.1&lt;D43,"Exceed 10% Rule","")</f>
        <v/>
      </c>
      <c r="E44" s="278" t="str">
        <f>IF(E45*0.1&lt;E43,"Exceed 10% Rule","")</f>
        <v/>
      </c>
      <c r="F44" s="3"/>
      <c r="G44" s="506">
        <f>'Budget Hearing Notice'!H24</f>
        <v>0</v>
      </c>
      <c r="H44" s="507" t="str">
        <f>CONCATENATE(E1," Estimated Total Mill Rate")</f>
        <v>2024 Estimated Total Mill Rate</v>
      </c>
      <c r="I44" s="508"/>
      <c r="J44" s="509"/>
      <c r="K44" s="3"/>
    </row>
    <row r="45" spans="2:11" x14ac:dyDescent="0.2">
      <c r="B45" s="95" t="s">
        <v>29</v>
      </c>
      <c r="C45" s="505">
        <f>SUM(C33:C43)</f>
        <v>0</v>
      </c>
      <c r="D45" s="505">
        <f>SUM(D33:D43)</f>
        <v>0</v>
      </c>
      <c r="E45" s="505">
        <f>SUM(E33:E43)</f>
        <v>0</v>
      </c>
      <c r="F45" s="3"/>
      <c r="G45" s="513">
        <f>'Budget Hearing Notice'!E24</f>
        <v>0</v>
      </c>
      <c r="H45" s="507" t="str">
        <f>CONCATENATE(E1-1," Total Mill Rate")</f>
        <v>2023 Total Mill Rate</v>
      </c>
      <c r="I45" s="508"/>
      <c r="J45" s="509"/>
    </row>
    <row r="46" spans="2:11" x14ac:dyDescent="0.2">
      <c r="B46" s="85" t="s">
        <v>77</v>
      </c>
      <c r="C46" s="64">
        <f>C31-C45</f>
        <v>0</v>
      </c>
      <c r="D46" s="64">
        <f>D31-D45</f>
        <v>0</v>
      </c>
      <c r="E46" s="89" t="s">
        <v>16</v>
      </c>
      <c r="F46" s="3"/>
      <c r="G46" s="514"/>
      <c r="H46" s="407"/>
      <c r="I46" s="407"/>
      <c r="J46" s="515"/>
    </row>
    <row r="47" spans="2:11" x14ac:dyDescent="0.2">
      <c r="B47" s="15" t="str">
        <f>CONCATENATE("",E1-2,"/",E1-1,"/",E1," Budget Authority Amount:")</f>
        <v>2022/2023/2024 Budget Authority Amount:</v>
      </c>
      <c r="C47" s="109">
        <f>inputOth!B44</f>
        <v>0</v>
      </c>
      <c r="D47" s="109">
        <f>inputPrYr!D19</f>
        <v>0</v>
      </c>
      <c r="E47" s="64">
        <f>E45</f>
        <v>0</v>
      </c>
      <c r="F47" s="3"/>
      <c r="G47" s="596" t="s">
        <v>805</v>
      </c>
      <c r="H47" s="597"/>
      <c r="I47" s="597"/>
      <c r="J47" s="600" t="str">
        <f>IF(G44&gt;G43, "Yes", "No")</f>
        <v>No</v>
      </c>
    </row>
    <row r="48" spans="2:11" ht="15.75" customHeight="1" x14ac:dyDescent="0.2">
      <c r="B48" s="4"/>
      <c r="C48" s="584" t="s">
        <v>408</v>
      </c>
      <c r="D48" s="585"/>
      <c r="E48" s="56"/>
      <c r="F48" s="3"/>
      <c r="G48" s="598"/>
      <c r="H48" s="599"/>
      <c r="I48" s="599"/>
      <c r="J48" s="601"/>
    </row>
    <row r="49" spans="2:10" x14ac:dyDescent="0.2">
      <c r="B49" s="277" t="str">
        <f>CONCATENATE(C66,"     ",D66)</f>
        <v xml:space="preserve">     </v>
      </c>
      <c r="C49" s="586" t="s">
        <v>409</v>
      </c>
      <c r="D49" s="587"/>
      <c r="E49" s="64">
        <f>E45+E48</f>
        <v>0</v>
      </c>
      <c r="F49" s="3"/>
      <c r="G49" s="602" t="str">
        <f>IF(J47="Yes", "Follow procedure prescribed by KSA 79-2988 to exceed the Revenue Neutral Rate.", " ")</f>
        <v xml:space="preserve"> </v>
      </c>
      <c r="H49" s="602"/>
      <c r="I49" s="602"/>
      <c r="J49" s="602"/>
    </row>
    <row r="50" spans="2:10" x14ac:dyDescent="0.2">
      <c r="B50" s="277" t="str">
        <f>CONCATENATE(C67,"     ",D67)</f>
        <v xml:space="preserve">     </v>
      </c>
      <c r="C50" s="306"/>
      <c r="D50" s="305" t="s">
        <v>30</v>
      </c>
      <c r="E50" s="64">
        <f>IF(E49-E31&gt;0,E49-E31,0)</f>
        <v>0</v>
      </c>
      <c r="F50" s="99"/>
      <c r="G50" s="603"/>
      <c r="H50" s="603"/>
      <c r="I50" s="603"/>
      <c r="J50" s="603"/>
    </row>
    <row r="51" spans="2:10" x14ac:dyDescent="0.2">
      <c r="B51" s="2"/>
      <c r="C51" s="304" t="s">
        <v>410</v>
      </c>
      <c r="D51" s="321">
        <f>inputOth!$E$38</f>
        <v>0</v>
      </c>
      <c r="E51" s="64">
        <f>ROUND(IF(D51&gt;0,(E50*D51),0),0)</f>
        <v>0</v>
      </c>
      <c r="F51" s="353" t="str">
        <f>IF(E45/0.95-E45&lt;E48,"Exceeds 5%","")</f>
        <v/>
      </c>
      <c r="G51" s="603"/>
      <c r="H51" s="603"/>
      <c r="I51" s="603"/>
      <c r="J51" s="603"/>
    </row>
    <row r="52" spans="2:10" x14ac:dyDescent="0.2">
      <c r="B52" s="1"/>
      <c r="C52" s="588" t="str">
        <f>CONCATENATE("Amount of  ",$E$1-1," Ad Valorem Tax")</f>
        <v>Amount of  2023 Ad Valorem Tax</v>
      </c>
      <c r="D52" s="589"/>
      <c r="E52" s="64">
        <f>E50+E51</f>
        <v>0</v>
      </c>
      <c r="F52" s="3"/>
      <c r="G52" s="324"/>
      <c r="H52" s="325"/>
      <c r="I52" s="323"/>
    </row>
    <row r="53" spans="2:10" x14ac:dyDescent="0.2">
      <c r="B53" s="1"/>
      <c r="C53" s="1"/>
      <c r="D53" s="1"/>
      <c r="E53" s="1"/>
      <c r="F53" s="3"/>
      <c r="G53" s="3"/>
      <c r="H53" s="3"/>
      <c r="I53" s="3"/>
      <c r="J53" s="3"/>
    </row>
    <row r="54" spans="2:10" x14ac:dyDescent="0.2">
      <c r="B54" s="421" t="s">
        <v>449</v>
      </c>
      <c r="C54" s="414"/>
      <c r="D54" s="414"/>
      <c r="E54" s="415"/>
      <c r="F54" s="3"/>
      <c r="G54" s="604"/>
      <c r="H54" s="604"/>
      <c r="I54" s="604"/>
      <c r="J54" s="604"/>
    </row>
    <row r="55" spans="2:10" x14ac:dyDescent="0.2">
      <c r="B55" s="416"/>
      <c r="C55" s="413"/>
      <c r="D55" s="413"/>
      <c r="E55" s="417"/>
      <c r="F55" s="3"/>
      <c r="G55" s="351"/>
      <c r="H55" s="322"/>
      <c r="I55" s="326"/>
      <c r="J55" s="32"/>
    </row>
    <row r="56" spans="2:10" ht="15.75" customHeight="1" x14ac:dyDescent="0.2">
      <c r="B56" s="418"/>
      <c r="C56" s="419"/>
      <c r="D56" s="419"/>
      <c r="E56" s="420"/>
      <c r="F56" s="3"/>
      <c r="G56" s="351"/>
      <c r="H56" s="322"/>
      <c r="I56" s="326"/>
      <c r="J56" s="32"/>
    </row>
    <row r="57" spans="2:10" ht="15.75" customHeight="1" x14ac:dyDescent="0.2">
      <c r="B57" s="1"/>
      <c r="C57" s="1"/>
      <c r="D57" s="1"/>
      <c r="E57" s="1"/>
      <c r="F57" s="3"/>
      <c r="G57" s="351"/>
      <c r="H57" s="322"/>
      <c r="I57" s="326"/>
      <c r="J57" s="32"/>
    </row>
    <row r="58" spans="2:10" x14ac:dyDescent="0.2">
      <c r="B58" s="4"/>
      <c r="C58" s="1" t="s">
        <v>451</v>
      </c>
      <c r="D58" s="1"/>
      <c r="E58" s="1"/>
      <c r="F58" s="3"/>
      <c r="G58" s="351"/>
      <c r="H58" s="322"/>
      <c r="I58" s="326"/>
      <c r="J58" s="32"/>
    </row>
    <row r="59" spans="2:10" x14ac:dyDescent="0.2">
      <c r="F59" s="32"/>
      <c r="G59" s="351"/>
      <c r="H59" s="322"/>
      <c r="I59" s="326"/>
      <c r="J59" s="32"/>
    </row>
    <row r="60" spans="2:10" x14ac:dyDescent="0.2">
      <c r="B60" s="32"/>
      <c r="F60" s="3"/>
    </row>
    <row r="61" spans="2:10" x14ac:dyDescent="0.2">
      <c r="F61" s="3"/>
    </row>
    <row r="66" spans="3:4" hidden="1" x14ac:dyDescent="0.2">
      <c r="C66" s="66" t="str">
        <f>IF(C45&gt;C47,"See Tab A","")</f>
        <v/>
      </c>
      <c r="D66" s="66" t="str">
        <f>IF(D45&gt;D47,"See Tab C","")</f>
        <v/>
      </c>
    </row>
    <row r="67" spans="3:4" hidden="1" x14ac:dyDescent="0.2">
      <c r="C67" s="66" t="str">
        <f>IF(C46&lt;0,"See Tab B","")</f>
        <v/>
      </c>
      <c r="D67" s="66" t="str">
        <f>IF(D46&lt;0,"See Tab D","")</f>
        <v/>
      </c>
    </row>
  </sheetData>
  <sheetProtection sheet="1" objects="1" scenarios="1"/>
  <mergeCells count="10">
    <mergeCell ref="G54:J54"/>
    <mergeCell ref="G22:J22"/>
    <mergeCell ref="G29:J29"/>
    <mergeCell ref="C48:D48"/>
    <mergeCell ref="C49:D49"/>
    <mergeCell ref="C52:D52"/>
    <mergeCell ref="G39:J40"/>
    <mergeCell ref="G47:I48"/>
    <mergeCell ref="J47:J48"/>
    <mergeCell ref="G49:J51"/>
  </mergeCells>
  <phoneticPr fontId="0" type="noConversion"/>
  <conditionalFormatting sqref="E48">
    <cfRule type="cellIs" dxfId="49" priority="3" stopIfTrue="1" operator="greaterThan">
      <formula>$E$45/0.95-$E$45</formula>
    </cfRule>
  </conditionalFormatting>
  <conditionalFormatting sqref="C43">
    <cfRule type="cellIs" dxfId="48" priority="4" stopIfTrue="1" operator="greaterThan">
      <formula>$C$45*0.1</formula>
    </cfRule>
  </conditionalFormatting>
  <conditionalFormatting sqref="D43">
    <cfRule type="cellIs" dxfId="47" priority="5" stopIfTrue="1" operator="greaterThan">
      <formula>$D$45*0.1</formula>
    </cfRule>
  </conditionalFormatting>
  <conditionalFormatting sqref="E43">
    <cfRule type="cellIs" dxfId="46" priority="6" stopIfTrue="1" operator="greaterThan">
      <formula>$E$45*0.1</formula>
    </cfRule>
  </conditionalFormatting>
  <conditionalFormatting sqref="C28">
    <cfRule type="cellIs" dxfId="45" priority="7" stopIfTrue="1" operator="greaterThan">
      <formula>$C$30*0.1</formula>
    </cfRule>
  </conditionalFormatting>
  <conditionalFormatting sqref="D28">
    <cfRule type="cellIs" dxfId="44" priority="8" stopIfTrue="1" operator="greaterThan">
      <formula>$D$30*0.1</formula>
    </cfRule>
  </conditionalFormatting>
  <conditionalFormatting sqref="E28">
    <cfRule type="cellIs" dxfId="43" priority="96" stopIfTrue="1" operator="greaterThan">
      <formula>$E$30*0.1+$E$52</formula>
    </cfRule>
  </conditionalFormatting>
  <conditionalFormatting sqref="J47">
    <cfRule type="containsText" dxfId="42" priority="1" operator="containsText" text="Yes">
      <formula>NOT(ISERROR(SEARCH("Yes",J47)))</formula>
    </cfRule>
  </conditionalFormatting>
  <pageMargins left="1" right="1" top="0.5" bottom="0.5" header="0.5" footer="0.5"/>
  <pageSetup scale="80" orientation="portrait" blackAndWhite="1" horizontalDpi="120" verticalDpi="144" r:id="rId1"/>
  <headerFooter alignWithMargins="0">
    <oddHeader xml:space="preserve">&amp;RState of Kansas
Special District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00B0F0"/>
    <pageSetUpPr fitToPage="1"/>
  </sheetPr>
  <dimension ref="B1:K72"/>
  <sheetViews>
    <sheetView workbookViewId="0">
      <selection activeCell="E44" sqref="E44:E46"/>
    </sheetView>
  </sheetViews>
  <sheetFormatPr defaultRowHeight="15.75" x14ac:dyDescent="0.2"/>
  <cols>
    <col min="1" max="1" width="2.44140625" style="3" customWidth="1"/>
    <col min="2" max="2" width="31.109375" style="3" customWidth="1"/>
    <col min="3" max="5" width="15.77734375" style="3" customWidth="1"/>
    <col min="6" max="6" width="7.44140625" style="3" customWidth="1"/>
    <col min="7" max="7" width="10.21875" style="3" customWidth="1"/>
    <col min="8" max="8" width="8.88671875" style="3"/>
    <col min="9" max="9" width="5.88671875" style="3" customWidth="1"/>
    <col min="10" max="10" width="10" style="3" customWidth="1"/>
    <col min="11" max="16384" width="8.88671875" style="3"/>
  </cols>
  <sheetData>
    <row r="1" spans="2:5" x14ac:dyDescent="0.2">
      <c r="B1" s="5">
        <f>inputPrYr!D3</f>
        <v>0</v>
      </c>
      <c r="C1" s="1"/>
      <c r="D1" s="1"/>
      <c r="E1" s="100">
        <f>inputPrYr!$D$6</f>
        <v>2024</v>
      </c>
    </row>
    <row r="2" spans="2:5" x14ac:dyDescent="0.2">
      <c r="B2" s="1"/>
      <c r="C2" s="1"/>
      <c r="D2" s="1"/>
      <c r="E2" s="2"/>
    </row>
    <row r="3" spans="2:5" x14ac:dyDescent="0.2">
      <c r="B3" s="82" t="s">
        <v>64</v>
      </c>
      <c r="C3" s="81"/>
      <c r="D3" s="81"/>
      <c r="E3" s="101"/>
    </row>
    <row r="4" spans="2:5" x14ac:dyDescent="0.2">
      <c r="B4" s="1"/>
      <c r="C4" s="102"/>
      <c r="D4" s="102"/>
      <c r="E4" s="102"/>
    </row>
    <row r="5" spans="2:5" x14ac:dyDescent="0.2">
      <c r="B5" s="103" t="s">
        <v>20</v>
      </c>
      <c r="C5" s="259" t="s">
        <v>145</v>
      </c>
      <c r="D5" s="260" t="s">
        <v>144</v>
      </c>
      <c r="E5" s="84" t="s">
        <v>142</v>
      </c>
    </row>
    <row r="6" spans="2:5" x14ac:dyDescent="0.2">
      <c r="B6" s="279" t="s">
        <v>146</v>
      </c>
      <c r="C6" s="261" t="str">
        <f>CONCATENATE("Actual for ",E1-2,"")</f>
        <v>Actual for 2022</v>
      </c>
      <c r="D6" s="261" t="str">
        <f>CONCATENATE("Estimate for ",E1-1,"")</f>
        <v>Estimate for 2023</v>
      </c>
      <c r="E6" s="9" t="str">
        <f>CONCATENATE("Year for ",E1,"")</f>
        <v>Year for 2024</v>
      </c>
    </row>
    <row r="7" spans="2:5" x14ac:dyDescent="0.2">
      <c r="B7" s="104" t="s">
        <v>76</v>
      </c>
      <c r="C7" s="266"/>
      <c r="D7" s="267">
        <f>C53</f>
        <v>0</v>
      </c>
      <c r="E7" s="105">
        <f>D53</f>
        <v>0</v>
      </c>
    </row>
    <row r="8" spans="2:5" x14ac:dyDescent="0.2">
      <c r="B8" s="106" t="s">
        <v>78</v>
      </c>
      <c r="C8" s="265"/>
      <c r="D8" s="267"/>
      <c r="E8" s="105"/>
    </row>
    <row r="9" spans="2:5" x14ac:dyDescent="0.2">
      <c r="B9" s="104" t="s">
        <v>21</v>
      </c>
      <c r="C9" s="262"/>
      <c r="D9" s="265">
        <f>IF(inputPrYr!H18&gt;0,inputPrYr!G20,inputPrYr!E20)</f>
        <v>0</v>
      </c>
      <c r="E9" s="107" t="s">
        <v>16</v>
      </c>
    </row>
    <row r="10" spans="2:5" x14ac:dyDescent="0.2">
      <c r="B10" s="104" t="s">
        <v>22</v>
      </c>
      <c r="C10" s="262"/>
      <c r="D10" s="262"/>
      <c r="E10" s="108"/>
    </row>
    <row r="11" spans="2:5" x14ac:dyDescent="0.2">
      <c r="B11" s="104" t="s">
        <v>23</v>
      </c>
      <c r="C11" s="262"/>
      <c r="D11" s="262"/>
      <c r="E11" s="109">
        <f>Mvalloc!D12</f>
        <v>0</v>
      </c>
    </row>
    <row r="12" spans="2:5" x14ac:dyDescent="0.2">
      <c r="B12" s="104" t="s">
        <v>24</v>
      </c>
      <c r="C12" s="262"/>
      <c r="D12" s="262"/>
      <c r="E12" s="109">
        <f>Mvalloc!E12</f>
        <v>0</v>
      </c>
    </row>
    <row r="13" spans="2:5" x14ac:dyDescent="0.2">
      <c r="B13" s="85" t="s">
        <v>72</v>
      </c>
      <c r="C13" s="262"/>
      <c r="D13" s="262"/>
      <c r="E13" s="109">
        <f>Mvalloc!F12</f>
        <v>0</v>
      </c>
    </row>
    <row r="14" spans="2:5" x14ac:dyDescent="0.2">
      <c r="B14" s="85" t="s">
        <v>446</v>
      </c>
      <c r="C14" s="262"/>
      <c r="D14" s="262"/>
      <c r="E14" s="109">
        <f>Mvalloc!G12</f>
        <v>0</v>
      </c>
    </row>
    <row r="15" spans="2:5" x14ac:dyDescent="0.2">
      <c r="B15" s="85" t="s">
        <v>447</v>
      </c>
      <c r="C15" s="262"/>
      <c r="D15" s="262"/>
      <c r="E15" s="109">
        <f>Mvalloc!H12</f>
        <v>0</v>
      </c>
    </row>
    <row r="16" spans="2:5" x14ac:dyDescent="0.2">
      <c r="B16" s="302"/>
      <c r="C16" s="262"/>
      <c r="D16" s="262"/>
      <c r="E16" s="108"/>
    </row>
    <row r="17" spans="2:11" x14ac:dyDescent="0.2">
      <c r="B17" s="302"/>
      <c r="C17" s="262"/>
      <c r="D17" s="262"/>
      <c r="E17" s="301"/>
    </row>
    <row r="18" spans="2:11" x14ac:dyDescent="0.2">
      <c r="B18" s="302"/>
      <c r="C18" s="262"/>
      <c r="D18" s="262"/>
      <c r="E18" s="301"/>
    </row>
    <row r="19" spans="2:11" x14ac:dyDescent="0.2">
      <c r="B19" s="110"/>
      <c r="C19" s="262"/>
      <c r="D19" s="262"/>
      <c r="E19" s="108"/>
    </row>
    <row r="20" spans="2:11" x14ac:dyDescent="0.2">
      <c r="B20" s="110"/>
      <c r="C20" s="262"/>
      <c r="D20" s="262"/>
      <c r="E20" s="111"/>
    </row>
    <row r="21" spans="2:11" x14ac:dyDescent="0.2">
      <c r="B21" s="110"/>
      <c r="C21" s="262"/>
      <c r="D21" s="262"/>
      <c r="E21" s="108"/>
    </row>
    <row r="22" spans="2:11" x14ac:dyDescent="0.2">
      <c r="B22" s="110"/>
      <c r="C22" s="262"/>
      <c r="D22" s="262"/>
      <c r="E22" s="108"/>
    </row>
    <row r="23" spans="2:11" x14ac:dyDescent="0.2">
      <c r="B23" s="110"/>
      <c r="C23" s="262"/>
      <c r="D23" s="262"/>
      <c r="E23" s="108"/>
    </row>
    <row r="24" spans="2:11" x14ac:dyDescent="0.2">
      <c r="B24" s="110"/>
      <c r="C24" s="262"/>
      <c r="D24" s="262"/>
      <c r="E24" s="108"/>
    </row>
    <row r="25" spans="2:11" x14ac:dyDescent="0.2">
      <c r="B25" s="110"/>
      <c r="C25" s="262"/>
      <c r="D25" s="262"/>
      <c r="E25" s="108"/>
    </row>
    <row r="26" spans="2:11" x14ac:dyDescent="0.2">
      <c r="B26" s="110"/>
      <c r="C26" s="262"/>
      <c r="D26" s="262"/>
      <c r="E26" s="108"/>
    </row>
    <row r="27" spans="2:11" x14ac:dyDescent="0.2">
      <c r="B27" s="110"/>
      <c r="C27" s="262"/>
      <c r="D27" s="262"/>
      <c r="E27" s="108"/>
    </row>
    <row r="28" spans="2:11" x14ac:dyDescent="0.2">
      <c r="B28" s="110" t="s">
        <v>96</v>
      </c>
      <c r="C28" s="262"/>
      <c r="D28" s="262"/>
      <c r="E28" s="108"/>
    </row>
    <row r="29" spans="2:11" x14ac:dyDescent="0.2">
      <c r="B29" s="112" t="s">
        <v>25</v>
      </c>
      <c r="C29" s="262"/>
      <c r="D29" s="262"/>
      <c r="E29" s="108"/>
    </row>
    <row r="30" spans="2:11" x14ac:dyDescent="0.25">
      <c r="B30" s="97" t="s">
        <v>128</v>
      </c>
      <c r="C30" s="262"/>
      <c r="D30" s="262"/>
      <c r="E30" s="109">
        <f>'NR Rebate'!E8*-1</f>
        <v>0</v>
      </c>
      <c r="G30" s="581" t="str">
        <f>CONCATENATE("Desired Carryover Into ",E1+1,"")</f>
        <v>Desired Carryover Into 2025</v>
      </c>
      <c r="H30" s="582"/>
      <c r="I30" s="582"/>
      <c r="J30" s="583"/>
      <c r="K30" s="354"/>
    </row>
    <row r="31" spans="2:11" x14ac:dyDescent="0.25">
      <c r="B31" s="92" t="s">
        <v>127</v>
      </c>
      <c r="C31" s="266"/>
      <c r="D31" s="266"/>
      <c r="E31" s="108"/>
      <c r="G31" s="327"/>
      <c r="H31" s="1"/>
      <c r="I31" s="328"/>
      <c r="J31" s="329"/>
      <c r="K31" s="354"/>
    </row>
    <row r="32" spans="2:11" x14ac:dyDescent="0.25">
      <c r="B32" s="92" t="s">
        <v>407</v>
      </c>
      <c r="C32" s="264" t="str">
        <f>IF(C33*0.1&lt;C31,"Exceed 10% Rule","")</f>
        <v/>
      </c>
      <c r="D32" s="264" t="str">
        <f>IF(D33*0.1&lt;D31,"Exceed 10% Rule","")</f>
        <v/>
      </c>
      <c r="E32" s="278" t="str">
        <f>IF(E33*0.1+E59&lt;E31,"Exceed 10% Rule","")</f>
        <v/>
      </c>
      <c r="G32" s="330" t="s">
        <v>414</v>
      </c>
      <c r="H32" s="328"/>
      <c r="I32" s="328"/>
      <c r="J32" s="331">
        <v>0</v>
      </c>
      <c r="K32" s="354"/>
    </row>
    <row r="33" spans="2:11" x14ac:dyDescent="0.25">
      <c r="B33" s="95" t="s">
        <v>26</v>
      </c>
      <c r="C33" s="516">
        <f>SUM(C9:C31)</f>
        <v>0</v>
      </c>
      <c r="D33" s="516">
        <f>SUM(D9:D31)</f>
        <v>0</v>
      </c>
      <c r="E33" s="516">
        <f>SUM(E9:E31)</f>
        <v>0</v>
      </c>
      <c r="G33" s="327" t="s">
        <v>415</v>
      </c>
      <c r="H33" s="1"/>
      <c r="I33" s="1"/>
      <c r="J33" s="355" t="str">
        <f>IF(J32=0,"",ROUND((J32+E59-G45)/'Budget Hearing Notice'!F29*1000,3)-G50)</f>
        <v/>
      </c>
      <c r="K33" s="354"/>
    </row>
    <row r="34" spans="2:11" x14ac:dyDescent="0.25">
      <c r="B34" s="95" t="s">
        <v>27</v>
      </c>
      <c r="C34" s="516">
        <f>C7+C33</f>
        <v>0</v>
      </c>
      <c r="D34" s="516">
        <f>D7+D33</f>
        <v>0</v>
      </c>
      <c r="E34" s="516">
        <f>E7+E33</f>
        <v>0</v>
      </c>
      <c r="G34" s="333" t="str">
        <f>CONCATENATE("",E1," Tot Exp/Non-Appr Must Be:")</f>
        <v>2024 Tot Exp/Non-Appr Must Be:</v>
      </c>
      <c r="H34" s="334"/>
      <c r="I34" s="335"/>
      <c r="J34" s="336">
        <f>IF(J32&gt;0,IF(E56&lt;E34,IF(J32=G45,E56,((J32-G45)*(1-D58))+E34),E56+(J32-G45)),0)</f>
        <v>0</v>
      </c>
      <c r="K34" s="354"/>
    </row>
    <row r="35" spans="2:11" x14ac:dyDescent="0.25">
      <c r="B35" s="106" t="s">
        <v>28</v>
      </c>
      <c r="C35" s="265"/>
      <c r="D35" s="265"/>
      <c r="E35" s="109"/>
      <c r="G35" s="337" t="s">
        <v>424</v>
      </c>
      <c r="H35" s="338"/>
      <c r="I35" s="338"/>
      <c r="J35" s="339">
        <f>IF(J32&gt;0,J34-E56,0)</f>
        <v>0</v>
      </c>
      <c r="K35" s="354"/>
    </row>
    <row r="36" spans="2:11" x14ac:dyDescent="0.25">
      <c r="B36" s="113"/>
      <c r="C36" s="262"/>
      <c r="D36" s="262"/>
      <c r="E36" s="108"/>
      <c r="G36" s="354"/>
      <c r="H36" s="354"/>
      <c r="I36" s="354"/>
      <c r="J36" s="354"/>
      <c r="K36" s="354"/>
    </row>
    <row r="37" spans="2:11" x14ac:dyDescent="0.25">
      <c r="B37" s="113"/>
      <c r="C37" s="262"/>
      <c r="D37" s="262"/>
      <c r="E37" s="108"/>
      <c r="G37" s="581" t="str">
        <f>CONCATENATE("Projected Carryover Into ",E1+1,"")</f>
        <v>Projected Carryover Into 2025</v>
      </c>
      <c r="H37" s="605"/>
      <c r="I37" s="605"/>
      <c r="J37" s="606"/>
      <c r="K37" s="354"/>
    </row>
    <row r="38" spans="2:11" x14ac:dyDescent="0.25">
      <c r="B38" s="113"/>
      <c r="C38" s="262"/>
      <c r="D38" s="262"/>
      <c r="E38" s="108"/>
      <c r="G38" s="327"/>
      <c r="H38" s="328"/>
      <c r="I38" s="328"/>
      <c r="J38" s="356"/>
      <c r="K38" s="354"/>
    </row>
    <row r="39" spans="2:11" x14ac:dyDescent="0.25">
      <c r="B39" s="113"/>
      <c r="C39" s="262"/>
      <c r="D39" s="262"/>
      <c r="E39" s="108"/>
      <c r="G39" s="342">
        <f>D53</f>
        <v>0</v>
      </c>
      <c r="H39" s="343" t="str">
        <f>CONCATENATE("",E1-1," Ending Cash Balance (est.)")</f>
        <v>2023 Ending Cash Balance (est.)</v>
      </c>
      <c r="I39" s="344"/>
      <c r="J39" s="356"/>
      <c r="K39" s="354"/>
    </row>
    <row r="40" spans="2:11" x14ac:dyDescent="0.25">
      <c r="B40" s="113"/>
      <c r="C40" s="262"/>
      <c r="D40" s="262"/>
      <c r="E40" s="108"/>
      <c r="G40" s="342">
        <f>E33</f>
        <v>0</v>
      </c>
      <c r="H40" s="328" t="str">
        <f>CONCATENATE("",E1," Non-AV Receipts (est.)")</f>
        <v>2024 Non-AV Receipts (est.)</v>
      </c>
      <c r="I40" s="344"/>
      <c r="J40" s="356"/>
      <c r="K40" s="354"/>
    </row>
    <row r="41" spans="2:11" x14ac:dyDescent="0.2">
      <c r="B41" s="113"/>
      <c r="C41" s="262"/>
      <c r="D41" s="262"/>
      <c r="E41" s="108"/>
      <c r="G41" s="345">
        <f>IF(D58&gt;0,E56,E59)</f>
        <v>0</v>
      </c>
      <c r="H41" s="328" t="str">
        <f>CONCATENATE("",E1," Ad Valorem Tax (est.)")</f>
        <v>2024 Ad Valorem Tax (est.)</v>
      </c>
      <c r="I41" s="344"/>
      <c r="J41" s="356"/>
      <c r="K41" s="352" t="str">
        <f>IF(G41=E59,"","Note: Does not include Delinquent Taxes")</f>
        <v/>
      </c>
    </row>
    <row r="42" spans="2:11" x14ac:dyDescent="0.25">
      <c r="B42" s="113"/>
      <c r="C42" s="262"/>
      <c r="D42" s="262"/>
      <c r="E42" s="108"/>
      <c r="G42" s="342">
        <f>SUM(G39:G41)</f>
        <v>0</v>
      </c>
      <c r="H42" s="328" t="str">
        <f>CONCATENATE("Total ",E1," Resources Available")</f>
        <v>Total 2024 Resources Available</v>
      </c>
      <c r="I42" s="344"/>
      <c r="J42" s="356"/>
      <c r="K42" s="354"/>
    </row>
    <row r="43" spans="2:11" x14ac:dyDescent="0.25">
      <c r="B43" s="113"/>
      <c r="C43" s="262"/>
      <c r="D43" s="262"/>
      <c r="E43" s="108"/>
      <c r="G43" s="346"/>
      <c r="H43" s="328"/>
      <c r="I43" s="328"/>
      <c r="J43" s="356"/>
      <c r="K43" s="354"/>
    </row>
    <row r="44" spans="2:11" x14ac:dyDescent="0.25">
      <c r="B44" s="113"/>
      <c r="C44" s="262"/>
      <c r="D44" s="262"/>
      <c r="E44" s="108"/>
      <c r="G44" s="345">
        <f>C52</f>
        <v>0</v>
      </c>
      <c r="H44" s="328" t="str">
        <f>CONCATENATE("Less ",E1-2," Expenditures")</f>
        <v>Less 2022 Expenditures</v>
      </c>
      <c r="I44" s="328"/>
      <c r="J44" s="356"/>
      <c r="K44" s="354"/>
    </row>
    <row r="45" spans="2:11" x14ac:dyDescent="0.25">
      <c r="B45" s="113"/>
      <c r="C45" s="262"/>
      <c r="D45" s="262"/>
      <c r="E45" s="108"/>
      <c r="G45" s="358">
        <f>G42-G44</f>
        <v>0</v>
      </c>
      <c r="H45" s="359" t="str">
        <f>CONCATENATE("Projected ",E1+1," carryover (est.)")</f>
        <v>Projected 2025 carryover (est.)</v>
      </c>
      <c r="I45" s="349"/>
      <c r="J45" s="360"/>
      <c r="K45" s="354"/>
    </row>
    <row r="46" spans="2:11" x14ac:dyDescent="0.25">
      <c r="B46" s="113"/>
      <c r="C46" s="262"/>
      <c r="D46" s="262"/>
      <c r="E46" s="108"/>
      <c r="G46" s="354"/>
      <c r="H46" s="354"/>
      <c r="I46" s="354"/>
      <c r="J46" s="354"/>
      <c r="K46" s="354"/>
    </row>
    <row r="47" spans="2:11" x14ac:dyDescent="0.25">
      <c r="B47" s="113"/>
      <c r="C47" s="262"/>
      <c r="D47" s="262"/>
      <c r="E47" s="108"/>
      <c r="F47" s="354"/>
      <c r="G47" s="590" t="s">
        <v>803</v>
      </c>
      <c r="H47" s="591"/>
      <c r="I47" s="591"/>
      <c r="J47" s="592"/>
      <c r="K47" s="354"/>
    </row>
    <row r="48" spans="2:11" x14ac:dyDescent="0.25">
      <c r="B48" s="113"/>
      <c r="C48" s="262"/>
      <c r="D48" s="262"/>
      <c r="E48" s="108"/>
      <c r="F48" s="354"/>
      <c r="G48" s="593"/>
      <c r="H48" s="594"/>
      <c r="I48" s="594"/>
      <c r="J48" s="595"/>
      <c r="K48" s="354"/>
    </row>
    <row r="49" spans="2:11" x14ac:dyDescent="0.25">
      <c r="B49" s="97" t="str">
        <f>CONCATENATE("Cash Basis Reserve (",E1," column)")</f>
        <v>Cash Basis Reserve (2024 column)</v>
      </c>
      <c r="C49" s="262"/>
      <c r="D49" s="262"/>
      <c r="E49" s="108"/>
      <c r="F49" s="354"/>
      <c r="G49" s="506" t="str">
        <f>'Budget Hearing Notice'!H18</f>
        <v xml:space="preserve"> </v>
      </c>
      <c r="H49" s="507" t="str">
        <f>CONCATENATE("",E1," Estimated Fund Mill Rate")</f>
        <v>2024 Estimated Fund Mill Rate</v>
      </c>
      <c r="I49" s="508"/>
      <c r="J49" s="509"/>
      <c r="K49" s="354"/>
    </row>
    <row r="50" spans="2:11" x14ac:dyDescent="0.25">
      <c r="B50" s="97" t="s">
        <v>127</v>
      </c>
      <c r="C50" s="266"/>
      <c r="D50" s="266"/>
      <c r="E50" s="108"/>
      <c r="F50" s="354"/>
      <c r="G50" s="510" t="str">
        <f>'Budget Hearing Notice'!E18</f>
        <v xml:space="preserve">  </v>
      </c>
      <c r="H50" s="507" t="str">
        <f>CONCATENATE("",E1-1," Fund Mill Rate")</f>
        <v>2023 Fund Mill Rate</v>
      </c>
      <c r="I50" s="508"/>
      <c r="J50" s="509"/>
      <c r="K50" s="354"/>
    </row>
    <row r="51" spans="2:11" x14ac:dyDescent="0.25">
      <c r="B51" s="97" t="s">
        <v>406</v>
      </c>
      <c r="C51" s="264" t="str">
        <f>IF(C52*0.1&lt;C50,"Exceed 10% Rule","")</f>
        <v/>
      </c>
      <c r="D51" s="264" t="str">
        <f>IF(D52*0.1&lt;D50,"Exceed 10% Rule","")</f>
        <v/>
      </c>
      <c r="E51" s="278" t="str">
        <f>IF(E52*0.1&lt;E50,"Exceed 10% Rule","")</f>
        <v/>
      </c>
      <c r="F51" s="354"/>
      <c r="G51" s="511">
        <f>'Budget Hearing Notice'!H25</f>
        <v>0</v>
      </c>
      <c r="H51" s="512" t="s">
        <v>804</v>
      </c>
      <c r="I51" s="508"/>
      <c r="J51" s="509"/>
      <c r="K51" s="354"/>
    </row>
    <row r="52" spans="2:11" x14ac:dyDescent="0.25">
      <c r="B52" s="95" t="s">
        <v>29</v>
      </c>
      <c r="C52" s="516">
        <f>SUM(C36:C50)</f>
        <v>0</v>
      </c>
      <c r="D52" s="516">
        <f>SUM(D36:D50)</f>
        <v>0</v>
      </c>
      <c r="E52" s="516">
        <f>SUM(E36:E50)</f>
        <v>0</v>
      </c>
      <c r="F52" s="354"/>
      <c r="G52" s="506">
        <f>'Budget Hearing Notice'!H24</f>
        <v>0</v>
      </c>
      <c r="H52" s="507" t="str">
        <f>CONCATENATE(E1," Estimated Total Mill Rate")</f>
        <v>2024 Estimated Total Mill Rate</v>
      </c>
      <c r="I52" s="508"/>
      <c r="J52" s="509"/>
      <c r="K52" s="354"/>
    </row>
    <row r="53" spans="2:11" x14ac:dyDescent="0.25">
      <c r="B53" s="104" t="s">
        <v>77</v>
      </c>
      <c r="C53" s="109">
        <f>C34-C52</f>
        <v>0</v>
      </c>
      <c r="D53" s="109">
        <f>D34-D52</f>
        <v>0</v>
      </c>
      <c r="E53" s="107" t="s">
        <v>16</v>
      </c>
      <c r="F53" s="354"/>
      <c r="G53" s="513">
        <f>'Budget Hearing Notice'!E24</f>
        <v>0</v>
      </c>
      <c r="H53" s="507" t="str">
        <f>CONCATENATE(E1-1," Total Mill Rate")</f>
        <v>2023 Total Mill Rate</v>
      </c>
      <c r="I53" s="508"/>
      <c r="J53" s="509"/>
    </row>
    <row r="54" spans="2:11" x14ac:dyDescent="0.25">
      <c r="B54" s="15" t="str">
        <f>CONCATENATE("",E1-2,"/",E1-1,"/",E1," Budget Authority Amount:")</f>
        <v>2022/2023/2024 Budget Authority Amount:</v>
      </c>
      <c r="C54" s="109">
        <f>inputOth!B45</f>
        <v>0</v>
      </c>
      <c r="D54" s="109">
        <f>inputPrYr!D20</f>
        <v>0</v>
      </c>
      <c r="E54" s="64">
        <f>E52</f>
        <v>0</v>
      </c>
      <c r="F54" s="354"/>
      <c r="G54" s="514"/>
      <c r="H54" s="407"/>
      <c r="I54" s="407"/>
      <c r="J54" s="515"/>
    </row>
    <row r="55" spans="2:11" x14ac:dyDescent="0.25">
      <c r="B55" s="4"/>
      <c r="C55" s="584" t="s">
        <v>408</v>
      </c>
      <c r="D55" s="585"/>
      <c r="E55" s="54"/>
      <c r="F55" s="354"/>
      <c r="G55" s="596" t="s">
        <v>805</v>
      </c>
      <c r="H55" s="597"/>
      <c r="I55" s="597"/>
      <c r="J55" s="600" t="str">
        <f>IF(G52&gt;G51, "Yes", "No")</f>
        <v>No</v>
      </c>
    </row>
    <row r="56" spans="2:11" ht="15.75" customHeight="1" x14ac:dyDescent="0.25">
      <c r="B56" s="277" t="str">
        <f>CONCATENATE(C71,"     ",D71)</f>
        <v xml:space="preserve">     </v>
      </c>
      <c r="C56" s="586" t="s">
        <v>409</v>
      </c>
      <c r="D56" s="587"/>
      <c r="E56" s="64">
        <f>E52+E55</f>
        <v>0</v>
      </c>
      <c r="F56" s="354"/>
      <c r="G56" s="598"/>
      <c r="H56" s="599"/>
      <c r="I56" s="599"/>
      <c r="J56" s="601"/>
    </row>
    <row r="57" spans="2:11" x14ac:dyDescent="0.2">
      <c r="B57" s="277" t="str">
        <f>CONCATENATE(C72,"     ",D72)</f>
        <v xml:space="preserve">     </v>
      </c>
      <c r="C57" s="306"/>
      <c r="D57" s="305" t="s">
        <v>30</v>
      </c>
      <c r="E57" s="109">
        <f>IF(E56-E34&gt;0,E56-E34,0)</f>
        <v>0</v>
      </c>
      <c r="F57"/>
      <c r="G57" s="602" t="str">
        <f>IF(J55="Yes", "Follow procedure prescribed by KSA 79-2988 to exceed the Revenue Neutral Rate.", " ")</f>
        <v xml:space="preserve"> </v>
      </c>
      <c r="H57" s="602"/>
      <c r="I57" s="602"/>
      <c r="J57" s="602"/>
    </row>
    <row r="58" spans="2:11" x14ac:dyDescent="0.2">
      <c r="B58" s="2"/>
      <c r="C58" s="304" t="s">
        <v>410</v>
      </c>
      <c r="D58" s="321">
        <f>inputOth!$E$38</f>
        <v>0</v>
      </c>
      <c r="E58" s="64">
        <f>ROUND(IF(D58&gt;0,(E57*D58),0),0)</f>
        <v>0</v>
      </c>
      <c r="F58" s="99"/>
      <c r="G58" s="603"/>
      <c r="H58" s="603"/>
      <c r="I58" s="603"/>
      <c r="J58" s="603"/>
    </row>
    <row r="59" spans="2:11" x14ac:dyDescent="0.2">
      <c r="B59" s="1"/>
      <c r="C59" s="588" t="str">
        <f>CONCATENATE("Amount of  ",$E$1-1," Ad Valorem Tax")</f>
        <v>Amount of  2023 Ad Valorem Tax</v>
      </c>
      <c r="D59" s="589"/>
      <c r="E59" s="109">
        <f>E57+E58</f>
        <v>0</v>
      </c>
      <c r="F59" s="357" t="str">
        <f>IF(E52/0.95-E52&lt;E55,"Exceeds 5%","")</f>
        <v/>
      </c>
      <c r="G59" s="603"/>
      <c r="H59" s="603"/>
      <c r="I59" s="603"/>
      <c r="J59" s="603"/>
    </row>
    <row r="60" spans="2:11" x14ac:dyDescent="0.2">
      <c r="B60" s="1"/>
      <c r="C60" s="1"/>
      <c r="D60" s="1"/>
      <c r="E60" s="1"/>
      <c r="F60"/>
    </row>
    <row r="61" spans="2:11" x14ac:dyDescent="0.2">
      <c r="B61" s="421" t="s">
        <v>449</v>
      </c>
      <c r="C61" s="414"/>
      <c r="D61" s="414"/>
      <c r="E61" s="415"/>
      <c r="F61"/>
    </row>
    <row r="62" spans="2:11" x14ac:dyDescent="0.2">
      <c r="B62" s="416"/>
      <c r="C62" s="413"/>
      <c r="D62" s="413"/>
      <c r="E62" s="417"/>
      <c r="F62"/>
    </row>
    <row r="63" spans="2:11" x14ac:dyDescent="0.2">
      <c r="B63" s="418"/>
      <c r="C63" s="419"/>
      <c r="D63" s="419"/>
      <c r="E63" s="420"/>
      <c r="F63"/>
    </row>
    <row r="64" spans="2:11" ht="15.75" customHeight="1" x14ac:dyDescent="0.2">
      <c r="B64" s="1"/>
      <c r="C64" s="1"/>
      <c r="D64" s="1"/>
      <c r="E64" s="1"/>
      <c r="F64"/>
    </row>
    <row r="65" spans="2:6" ht="15.75" customHeight="1" x14ac:dyDescent="0.2">
      <c r="B65" s="4" t="s">
        <v>32</v>
      </c>
      <c r="C65" s="390"/>
      <c r="D65" s="1"/>
      <c r="E65" s="1"/>
      <c r="F65"/>
    </row>
    <row r="66" spans="2:6" x14ac:dyDescent="0.2">
      <c r="F66"/>
    </row>
    <row r="67" spans="2:6" x14ac:dyDescent="0.2">
      <c r="F67"/>
    </row>
    <row r="68" spans="2:6" x14ac:dyDescent="0.2">
      <c r="F68"/>
    </row>
    <row r="69" spans="2:6" x14ac:dyDescent="0.2">
      <c r="F69"/>
    </row>
    <row r="71" spans="2:6" ht="15.75" hidden="1" customHeight="1" x14ac:dyDescent="0.2">
      <c r="C71" s="3" t="str">
        <f>IF(C52&gt;C54,"See Tab A","")</f>
        <v/>
      </c>
      <c r="D71" s="3" t="str">
        <f>IF(D52&gt;D54,"See Tab C","")</f>
        <v/>
      </c>
    </row>
    <row r="72" spans="2:6" hidden="1" x14ac:dyDescent="0.2">
      <c r="C72" s="3" t="str">
        <f>IF(C53&lt;0,"See Tab B","")</f>
        <v/>
      </c>
      <c r="D72" s="3" t="str">
        <f>+IF(D53&lt;0,"See Tab D","")</f>
        <v/>
      </c>
    </row>
  </sheetData>
  <sheetProtection sheet="1" objects="1" scenarios="1"/>
  <mergeCells count="9">
    <mergeCell ref="G55:I56"/>
    <mergeCell ref="J55:J56"/>
    <mergeCell ref="G57:J59"/>
    <mergeCell ref="G30:J30"/>
    <mergeCell ref="C55:D55"/>
    <mergeCell ref="C56:D56"/>
    <mergeCell ref="C59:D59"/>
    <mergeCell ref="G37:J37"/>
    <mergeCell ref="G47:J48"/>
  </mergeCells>
  <phoneticPr fontId="11" type="noConversion"/>
  <conditionalFormatting sqref="C50">
    <cfRule type="cellIs" dxfId="41" priority="3" stopIfTrue="1" operator="greaterThan">
      <formula>$C$52*0.1</formula>
    </cfRule>
  </conditionalFormatting>
  <conditionalFormatting sqref="D50">
    <cfRule type="cellIs" dxfId="40" priority="4" stopIfTrue="1" operator="greaterThan">
      <formula>$D$52*0.1</formula>
    </cfRule>
  </conditionalFormatting>
  <conditionalFormatting sqref="E50">
    <cfRule type="cellIs" dxfId="39" priority="5" stopIfTrue="1" operator="greaterThan">
      <formula>$E$52*0.1</formula>
    </cfRule>
  </conditionalFormatting>
  <conditionalFormatting sqref="E55">
    <cfRule type="cellIs" dxfId="38" priority="6" stopIfTrue="1" operator="greaterThan">
      <formula>$E$52/0.95-$E$52</formula>
    </cfRule>
  </conditionalFormatting>
  <conditionalFormatting sqref="C31">
    <cfRule type="cellIs" dxfId="37" priority="7" stopIfTrue="1" operator="greaterThan">
      <formula>$C$33*0.1</formula>
    </cfRule>
  </conditionalFormatting>
  <conditionalFormatting sqref="D31">
    <cfRule type="cellIs" dxfId="36" priority="8" stopIfTrue="1" operator="greaterThan">
      <formula>$D$33*0.1</formula>
    </cfRule>
  </conditionalFormatting>
  <conditionalFormatting sqref="E31">
    <cfRule type="cellIs" dxfId="35" priority="97" stopIfTrue="1" operator="greaterThan">
      <formula>$E$33*0.1+$E$59</formula>
    </cfRule>
  </conditionalFormatting>
  <conditionalFormatting sqref="J55">
    <cfRule type="containsText" dxfId="34" priority="1" operator="containsText" text="Yes">
      <formula>NOT(ISERROR(SEARCH("Yes",J55)))</formula>
    </cfRule>
  </conditionalFormatting>
  <pageMargins left="0.75" right="0.75" top="1" bottom="1" header="0.5" footer="0.5"/>
  <pageSetup scale="71" orientation="portrait" blackAndWhite="1" r:id="rId1"/>
  <headerFooter alignWithMargins="0">
    <oddHeader>&amp;RState of Kansas
Special District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00B0F0"/>
    <pageSetUpPr fitToPage="1"/>
  </sheetPr>
  <dimension ref="B1:K98"/>
  <sheetViews>
    <sheetView zoomScaleNormal="100" workbookViewId="0">
      <selection activeCell="E29" sqref="E29"/>
    </sheetView>
  </sheetViews>
  <sheetFormatPr defaultRowHeight="15.75" x14ac:dyDescent="0.2"/>
  <cols>
    <col min="1" max="1" width="2.44140625" style="66" customWidth="1"/>
    <col min="2" max="2" width="31.109375" style="66" customWidth="1"/>
    <col min="3" max="5" width="15.77734375" style="66" customWidth="1"/>
    <col min="6" max="6" width="7.44140625" style="66" customWidth="1"/>
    <col min="7" max="7" width="10.21875" style="66" customWidth="1"/>
    <col min="8" max="8" width="8.88671875" style="66"/>
    <col min="9" max="9" width="6" style="66" customWidth="1"/>
    <col min="10" max="10" width="10" style="66" customWidth="1"/>
    <col min="11" max="16384" width="8.88671875" style="66"/>
  </cols>
  <sheetData>
    <row r="1" spans="2:11" x14ac:dyDescent="0.2">
      <c r="B1" s="1">
        <f>inputPrYr!D3</f>
        <v>0</v>
      </c>
      <c r="C1" s="1"/>
      <c r="D1" s="1"/>
      <c r="E1" s="4">
        <f>inputPrYr!D6</f>
        <v>2024</v>
      </c>
    </row>
    <row r="2" spans="2:11" x14ac:dyDescent="0.2">
      <c r="B2" s="1">
        <f>inputPrYr!D4</f>
        <v>0</v>
      </c>
      <c r="C2" s="1"/>
      <c r="D2" s="1"/>
      <c r="E2" s="4"/>
    </row>
    <row r="3" spans="2:11" x14ac:dyDescent="0.2">
      <c r="B3" s="82" t="s">
        <v>64</v>
      </c>
      <c r="C3" s="81"/>
      <c r="D3" s="81"/>
      <c r="E3" s="83"/>
    </row>
    <row r="4" spans="2:11" x14ac:dyDescent="0.2">
      <c r="B4" s="1"/>
      <c r="C4" s="70"/>
      <c r="D4" s="70"/>
      <c r="E4" s="70"/>
    </row>
    <row r="5" spans="2:11" x14ac:dyDescent="0.2">
      <c r="B5" s="15" t="s">
        <v>20</v>
      </c>
      <c r="C5" s="259" t="s">
        <v>145</v>
      </c>
      <c r="D5" s="260" t="s">
        <v>144</v>
      </c>
      <c r="E5" s="84" t="s">
        <v>142</v>
      </c>
    </row>
    <row r="6" spans="2:11" x14ac:dyDescent="0.2">
      <c r="B6" s="82">
        <f>inputPrYr!B22</f>
        <v>0</v>
      </c>
      <c r="C6" s="261" t="str">
        <f>CONCATENATE("Actual for ",E1-2,"")</f>
        <v>Actual for 2022</v>
      </c>
      <c r="D6" s="261" t="str">
        <f>CONCATENATE("Estimate for ",E1-1,"")</f>
        <v>Estimate for 2023</v>
      </c>
      <c r="E6" s="9" t="str">
        <f>CONCATENATE("Year for ",E1,"")</f>
        <v>Year for 2024</v>
      </c>
    </row>
    <row r="7" spans="2:11" x14ac:dyDescent="0.2">
      <c r="B7" s="85" t="s">
        <v>76</v>
      </c>
      <c r="C7" s="262"/>
      <c r="D7" s="263">
        <f>C35</f>
        <v>0</v>
      </c>
      <c r="E7" s="64">
        <f>D35</f>
        <v>0</v>
      </c>
    </row>
    <row r="8" spans="2:11" x14ac:dyDescent="0.2">
      <c r="B8" s="87" t="s">
        <v>78</v>
      </c>
      <c r="C8" s="88"/>
      <c r="D8" s="88"/>
      <c r="E8" s="12"/>
    </row>
    <row r="9" spans="2:11" x14ac:dyDescent="0.2">
      <c r="B9" s="85" t="s">
        <v>21</v>
      </c>
      <c r="C9" s="262"/>
      <c r="D9" s="263">
        <f>IF(inputPrYr!H18&gt;0,inputPrYr!G22,inputPrYr!E22)</f>
        <v>0</v>
      </c>
      <c r="E9" s="89" t="s">
        <v>16</v>
      </c>
    </row>
    <row r="10" spans="2:11" x14ac:dyDescent="0.2">
      <c r="B10" s="85" t="s">
        <v>22</v>
      </c>
      <c r="C10" s="262"/>
      <c r="D10" s="262"/>
      <c r="E10" s="56"/>
    </row>
    <row r="11" spans="2:11" x14ac:dyDescent="0.2">
      <c r="B11" s="85" t="s">
        <v>23</v>
      </c>
      <c r="C11" s="262"/>
      <c r="D11" s="262"/>
      <c r="E11" s="64">
        <f>Mvalloc!D13</f>
        <v>0</v>
      </c>
    </row>
    <row r="12" spans="2:11" x14ac:dyDescent="0.2">
      <c r="B12" s="85" t="s">
        <v>24</v>
      </c>
      <c r="C12" s="262"/>
      <c r="D12" s="262"/>
      <c r="E12" s="64">
        <f>Mvalloc!E13</f>
        <v>0</v>
      </c>
      <c r="G12" s="581" t="str">
        <f>CONCATENATE("Desired Carryover Into ",E1+1,"")</f>
        <v>Desired Carryover Into 2025</v>
      </c>
      <c r="H12" s="582"/>
      <c r="I12" s="582"/>
      <c r="J12" s="583"/>
      <c r="K12" s="3"/>
    </row>
    <row r="13" spans="2:11" x14ac:dyDescent="0.2">
      <c r="B13" s="88" t="s">
        <v>72</v>
      </c>
      <c r="C13" s="262"/>
      <c r="D13" s="262"/>
      <c r="E13" s="64">
        <f>Mvalloc!F13</f>
        <v>0</v>
      </c>
      <c r="G13" s="327"/>
      <c r="H13" s="1"/>
      <c r="I13" s="328"/>
      <c r="J13" s="329"/>
      <c r="K13" s="3"/>
    </row>
    <row r="14" spans="2:11" x14ac:dyDescent="0.2">
      <c r="B14" s="85" t="s">
        <v>446</v>
      </c>
      <c r="C14" s="262"/>
      <c r="D14" s="262"/>
      <c r="E14" s="64">
        <f>Mvalloc!G13</f>
        <v>0</v>
      </c>
      <c r="G14" s="330" t="s">
        <v>414</v>
      </c>
      <c r="H14" s="328"/>
      <c r="I14" s="328"/>
      <c r="J14" s="331">
        <v>0</v>
      </c>
      <c r="K14" s="3"/>
    </row>
    <row r="15" spans="2:11" x14ac:dyDescent="0.2">
      <c r="B15" s="85" t="s">
        <v>447</v>
      </c>
      <c r="C15" s="262"/>
      <c r="D15" s="262"/>
      <c r="E15" s="64">
        <f>Mvalloc!H13</f>
        <v>0</v>
      </c>
      <c r="G15" s="327" t="s">
        <v>415</v>
      </c>
      <c r="H15" s="1"/>
      <c r="I15" s="1"/>
      <c r="J15" s="355" t="str">
        <f>IF(J14=0,"",ROUND((J14+E41-G27)/'Budget Hearing Notice'!F29*1000,3)-G32)</f>
        <v/>
      </c>
      <c r="K15" s="3"/>
    </row>
    <row r="16" spans="2:11" x14ac:dyDescent="0.2">
      <c r="B16" s="90"/>
      <c r="C16" s="262"/>
      <c r="D16" s="262"/>
      <c r="E16" s="56"/>
      <c r="G16" s="333" t="str">
        <f>CONCATENATE("",F3," Tot Exp/Non-Appr Must Be:")</f>
        <v xml:space="preserve"> Tot Exp/Non-Appr Must Be:</v>
      </c>
      <c r="H16" s="334"/>
      <c r="I16" s="335"/>
      <c r="J16" s="336">
        <f>IF(J14&gt;0,IF(E38&lt;E25,IF(J14=G27,E38,((J14-G27)*(1-D40))+E25),E38+(J14-G27)),0)</f>
        <v>0</v>
      </c>
      <c r="K16" s="3"/>
    </row>
    <row r="17" spans="2:11" x14ac:dyDescent="0.2">
      <c r="B17" s="90"/>
      <c r="C17" s="262"/>
      <c r="D17" s="262"/>
      <c r="E17" s="56"/>
      <c r="G17" s="337" t="s">
        <v>424</v>
      </c>
      <c r="H17" s="338"/>
      <c r="I17" s="338"/>
      <c r="J17" s="339">
        <f>IF(J14&gt;0,J16-E38,0)</f>
        <v>0</v>
      </c>
      <c r="K17" s="3"/>
    </row>
    <row r="18" spans="2:11" x14ac:dyDescent="0.25">
      <c r="B18" s="90"/>
      <c r="C18" s="262"/>
      <c r="D18" s="262"/>
      <c r="E18" s="56"/>
      <c r="G18" s="3"/>
      <c r="H18" s="3"/>
      <c r="I18" s="3"/>
      <c r="J18" s="354"/>
      <c r="K18" s="3"/>
    </row>
    <row r="19" spans="2:11" x14ac:dyDescent="0.2">
      <c r="B19" s="90"/>
      <c r="C19" s="262"/>
      <c r="D19" s="262"/>
      <c r="E19" s="56"/>
      <c r="G19" s="581" t="str">
        <f>CONCATENATE("Projected Carryover Into ",E1+1,"")</f>
        <v>Projected Carryover Into 2025</v>
      </c>
      <c r="H19" s="605"/>
      <c r="I19" s="605"/>
      <c r="J19" s="606"/>
      <c r="K19" s="3"/>
    </row>
    <row r="20" spans="2:11" x14ac:dyDescent="0.25">
      <c r="B20" s="91" t="s">
        <v>25</v>
      </c>
      <c r="C20" s="262"/>
      <c r="D20" s="262"/>
      <c r="E20" s="56"/>
      <c r="G20" s="327"/>
      <c r="H20" s="328"/>
      <c r="I20" s="328"/>
      <c r="J20" s="361"/>
      <c r="K20" s="3"/>
    </row>
    <row r="21" spans="2:11" x14ac:dyDescent="0.25">
      <c r="B21" s="97" t="s">
        <v>128</v>
      </c>
      <c r="C21" s="262"/>
      <c r="D21" s="262"/>
      <c r="E21" s="64">
        <f>'NR Rebate'!E9*-1</f>
        <v>0</v>
      </c>
      <c r="G21" s="342">
        <f>D35</f>
        <v>0</v>
      </c>
      <c r="H21" s="343" t="str">
        <f>CONCATENATE("",E1-1," Ending Cash Balance (est.)")</f>
        <v>2023 Ending Cash Balance (est.)</v>
      </c>
      <c r="I21" s="344"/>
      <c r="J21" s="361"/>
      <c r="K21" s="3"/>
    </row>
    <row r="22" spans="2:11" x14ac:dyDescent="0.25">
      <c r="B22" s="92" t="s">
        <v>127</v>
      </c>
      <c r="C22" s="262"/>
      <c r="D22" s="262"/>
      <c r="E22" s="54"/>
      <c r="G22" s="342">
        <f>E24</f>
        <v>0</v>
      </c>
      <c r="H22" s="328" t="str">
        <f>CONCATENATE("",E1," Non-AV Receipts (est.)")</f>
        <v>2024 Non-AV Receipts (est.)</v>
      </c>
      <c r="I22" s="328"/>
      <c r="J22" s="361"/>
      <c r="K22" s="3"/>
    </row>
    <row r="23" spans="2:11" x14ac:dyDescent="0.2">
      <c r="B23" s="92" t="s">
        <v>407</v>
      </c>
      <c r="C23" s="264" t="str">
        <f>IF(C24*0.1&lt;C22,"Exceed 10% Rule","")</f>
        <v/>
      </c>
      <c r="D23" s="264" t="str">
        <f>IF(D24*0.1&lt;D22,"Exceed 10% Rule","")</f>
        <v/>
      </c>
      <c r="E23" s="278" t="str">
        <f>IF(E24*0.1+E41&lt;E22,"Exceed 10% Rule","")</f>
        <v/>
      </c>
      <c r="G23" s="345">
        <f>IF(E40&gt;0,E39,E41)</f>
        <v>0</v>
      </c>
      <c r="H23" s="328" t="str">
        <f>CONCATENATE("",E1," Ad Valorem Tax (est.)")</f>
        <v>2024 Ad Valorem Tax (est.)</v>
      </c>
      <c r="I23" s="328"/>
      <c r="J23" s="363"/>
      <c r="K23" s="352" t="str">
        <f>IF(G23=E41,"","Note: Does not include Delinquent Taxes")</f>
        <v/>
      </c>
    </row>
    <row r="24" spans="2:11" x14ac:dyDescent="0.25">
      <c r="B24" s="95" t="s">
        <v>26</v>
      </c>
      <c r="C24" s="505">
        <f>SUM(C9:C22)</f>
        <v>0</v>
      </c>
      <c r="D24" s="505">
        <f>SUM(D9:D22)</f>
        <v>0</v>
      </c>
      <c r="E24" s="505">
        <f>SUM(E9:E22)</f>
        <v>0</v>
      </c>
      <c r="G24" s="342">
        <f>SUM(G21:G23)</f>
        <v>0</v>
      </c>
      <c r="H24" s="328" t="str">
        <f>CONCATENATE("Total ",E1," Resources Available")</f>
        <v>Total 2024 Resources Available</v>
      </c>
      <c r="I24" s="344"/>
      <c r="J24" s="361"/>
      <c r="K24" s="3"/>
    </row>
    <row r="25" spans="2:11" x14ac:dyDescent="0.25">
      <c r="B25" s="95" t="s">
        <v>27</v>
      </c>
      <c r="C25" s="505">
        <f>C7+C24</f>
        <v>0</v>
      </c>
      <c r="D25" s="505">
        <f>D7+D24</f>
        <v>0</v>
      </c>
      <c r="E25" s="505">
        <f>E7+E24</f>
        <v>0</v>
      </c>
      <c r="G25" s="346"/>
      <c r="H25" s="328"/>
      <c r="I25" s="328"/>
      <c r="J25" s="361"/>
      <c r="K25" s="3"/>
    </row>
    <row r="26" spans="2:11" x14ac:dyDescent="0.25">
      <c r="B26" s="85" t="s">
        <v>28</v>
      </c>
      <c r="C26" s="97"/>
      <c r="D26" s="97"/>
      <c r="E26" s="11"/>
      <c r="G26" s="345">
        <f>ROUND(C34*0.05+C34,0)</f>
        <v>0</v>
      </c>
      <c r="H26" s="328" t="str">
        <f>CONCATENATE("Less ",E1-2," Expenditures + 5%")</f>
        <v>Less 2022 Expenditures + 5%</v>
      </c>
      <c r="I26" s="344"/>
      <c r="J26" s="361"/>
      <c r="K26" s="3"/>
    </row>
    <row r="27" spans="2:11" x14ac:dyDescent="0.25">
      <c r="B27" s="90"/>
      <c r="C27" s="262"/>
      <c r="D27" s="262"/>
      <c r="E27" s="54"/>
      <c r="F27" s="3"/>
      <c r="G27" s="358">
        <f>G24-G26</f>
        <v>0</v>
      </c>
      <c r="H27" s="359" t="str">
        <f>CONCATENATE("Projected ",E1+1," carryover (est.)")</f>
        <v>Projected 2025 carryover (est.)</v>
      </c>
      <c r="I27" s="349"/>
      <c r="J27" s="364"/>
      <c r="K27" s="3"/>
    </row>
    <row r="28" spans="2:11" x14ac:dyDescent="0.25">
      <c r="B28" s="90"/>
      <c r="C28" s="262"/>
      <c r="D28" s="262"/>
      <c r="E28" s="54"/>
      <c r="F28" s="3"/>
      <c r="G28" s="354"/>
      <c r="H28" s="354"/>
      <c r="I28" s="354"/>
      <c r="J28" s="354"/>
      <c r="K28" s="3"/>
    </row>
    <row r="29" spans="2:11" x14ac:dyDescent="0.2">
      <c r="B29" s="90"/>
      <c r="C29" s="262"/>
      <c r="D29" s="262"/>
      <c r="E29" s="54"/>
      <c r="F29" s="3"/>
      <c r="G29" s="590" t="s">
        <v>803</v>
      </c>
      <c r="H29" s="591"/>
      <c r="I29" s="591"/>
      <c r="J29" s="592"/>
      <c r="K29" s="3"/>
    </row>
    <row r="30" spans="2:11" x14ac:dyDescent="0.2">
      <c r="B30" s="90"/>
      <c r="C30" s="262"/>
      <c r="D30" s="262"/>
      <c r="E30" s="54"/>
      <c r="F30" s="3"/>
      <c r="G30" s="593"/>
      <c r="H30" s="594"/>
      <c r="I30" s="594"/>
      <c r="J30" s="595"/>
      <c r="K30" s="3"/>
    </row>
    <row r="31" spans="2:11" x14ac:dyDescent="0.2">
      <c r="B31" s="97" t="str">
        <f>CONCATENATE("Cash Forward (",E1," column)")</f>
        <v>Cash Forward (2024 column)</v>
      </c>
      <c r="C31" s="262"/>
      <c r="D31" s="262"/>
      <c r="E31" s="54"/>
      <c r="F31" s="3"/>
      <c r="G31" s="506" t="str">
        <f>'Budget Hearing Notice'!H19</f>
        <v xml:space="preserve"> </v>
      </c>
      <c r="H31" s="507" t="str">
        <f>CONCATENATE("",E1," Estimated Fund Mill Rate")</f>
        <v>2024 Estimated Fund Mill Rate</v>
      </c>
      <c r="I31" s="508"/>
      <c r="J31" s="509"/>
      <c r="K31" s="3"/>
    </row>
    <row r="32" spans="2:11" x14ac:dyDescent="0.2">
      <c r="B32" s="97" t="s">
        <v>127</v>
      </c>
      <c r="C32" s="262"/>
      <c r="D32" s="262"/>
      <c r="E32" s="54"/>
      <c r="F32" s="3"/>
      <c r="G32" s="510" t="str">
        <f>'Budget Hearing Notice'!E19</f>
        <v xml:space="preserve">  </v>
      </c>
      <c r="H32" s="507" t="str">
        <f>CONCATENATE("",E1-1," Fund Mill Rate")</f>
        <v>2023 Fund Mill Rate</v>
      </c>
      <c r="I32" s="508"/>
      <c r="J32" s="509"/>
      <c r="K32" s="3"/>
    </row>
    <row r="33" spans="2:11" x14ac:dyDescent="0.2">
      <c r="B33" s="97" t="s">
        <v>406</v>
      </c>
      <c r="C33" s="264" t="str">
        <f>IF(C34*0.1&lt;C32,"Exceed 10% Rule","")</f>
        <v/>
      </c>
      <c r="D33" s="264" t="str">
        <f>IF(D34*0.1&lt;D32,"Exceed 10% Rule","")</f>
        <v/>
      </c>
      <c r="E33" s="278" t="str">
        <f>IF(E34*0.1&lt;E32,"Exceed 10% Rule","")</f>
        <v/>
      </c>
      <c r="F33" s="3"/>
      <c r="G33" s="511">
        <f>'Budget Hearing Notice'!H25</f>
        <v>0</v>
      </c>
      <c r="H33" s="512" t="s">
        <v>804</v>
      </c>
      <c r="I33" s="508"/>
      <c r="J33" s="509"/>
      <c r="K33" s="3"/>
    </row>
    <row r="34" spans="2:11" x14ac:dyDescent="0.2">
      <c r="B34" s="95" t="s">
        <v>29</v>
      </c>
      <c r="C34" s="505">
        <f>SUM(C27:C32)</f>
        <v>0</v>
      </c>
      <c r="D34" s="505">
        <f>SUM(D27:D32)</f>
        <v>0</v>
      </c>
      <c r="E34" s="505">
        <f>SUM(E27:E32)</f>
        <v>0</v>
      </c>
      <c r="F34" s="3"/>
      <c r="G34" s="506">
        <f>'Budget Hearing Notice'!H24</f>
        <v>0</v>
      </c>
      <c r="H34" s="507" t="str">
        <f>CONCATENATE(E1," Estimated Total Mill Rate")</f>
        <v>2024 Estimated Total Mill Rate</v>
      </c>
      <c r="I34" s="508"/>
      <c r="J34" s="509"/>
      <c r="K34" s="3"/>
    </row>
    <row r="35" spans="2:11" x14ac:dyDescent="0.2">
      <c r="B35" s="85" t="s">
        <v>77</v>
      </c>
      <c r="C35" s="64">
        <f>C25-C34</f>
        <v>0</v>
      </c>
      <c r="D35" s="64">
        <f>D25-D34</f>
        <v>0</v>
      </c>
      <c r="E35" s="89" t="s">
        <v>16</v>
      </c>
      <c r="F35" s="3"/>
      <c r="G35" s="513">
        <f>'Budget Hearing Notice'!E24</f>
        <v>0</v>
      </c>
      <c r="H35" s="507" t="str">
        <f>CONCATENATE(E1-1," Total Mill Rate")</f>
        <v>2023 Total Mill Rate</v>
      </c>
      <c r="I35" s="508"/>
      <c r="J35" s="509"/>
    </row>
    <row r="36" spans="2:11" x14ac:dyDescent="0.2">
      <c r="B36" s="15" t="str">
        <f>CONCATENATE("",E1-2,"/",E1-1,"/",E1," Budget Authority Amount:")</f>
        <v>2022/2023/2024 Budget Authority Amount:</v>
      </c>
      <c r="C36" s="109">
        <f>inputOth!B46</f>
        <v>0</v>
      </c>
      <c r="D36" s="109">
        <f>inputPrYr!D22</f>
        <v>0</v>
      </c>
      <c r="E36" s="64">
        <f>E34</f>
        <v>0</v>
      </c>
      <c r="F36" s="3"/>
      <c r="G36" s="514"/>
      <c r="H36" s="407"/>
      <c r="I36" s="407"/>
      <c r="J36" s="515"/>
    </row>
    <row r="37" spans="2:11" x14ac:dyDescent="0.2">
      <c r="B37" s="4"/>
      <c r="C37" s="584" t="s">
        <v>408</v>
      </c>
      <c r="D37" s="585"/>
      <c r="E37" s="54"/>
      <c r="F37" s="3"/>
      <c r="G37" s="596" t="s">
        <v>805</v>
      </c>
      <c r="H37" s="597"/>
      <c r="I37" s="597"/>
      <c r="J37" s="600" t="str">
        <f>IF(G34&gt;G33, "Yes", "No")</f>
        <v>No</v>
      </c>
    </row>
    <row r="38" spans="2:11" x14ac:dyDescent="0.2">
      <c r="B38" s="277" t="str">
        <f>CONCATENATE(C95,"     ",D95)</f>
        <v xml:space="preserve">     </v>
      </c>
      <c r="C38" s="586" t="s">
        <v>409</v>
      </c>
      <c r="D38" s="587"/>
      <c r="E38" s="64">
        <f>E34+E37</f>
        <v>0</v>
      </c>
      <c r="F38" s="362" t="str">
        <f>IF(E34/0.95-E34&lt;E37,"Exceeds 5%","")</f>
        <v/>
      </c>
      <c r="G38" s="598"/>
      <c r="H38" s="599"/>
      <c r="I38" s="599"/>
      <c r="J38" s="601"/>
    </row>
    <row r="39" spans="2:11" x14ac:dyDescent="0.2">
      <c r="B39" s="277" t="str">
        <f>CONCATENATE(C96,"     ",D96)</f>
        <v xml:space="preserve">     </v>
      </c>
      <c r="C39" s="306"/>
      <c r="D39" s="305" t="s">
        <v>30</v>
      </c>
      <c r="E39" s="64">
        <f>IF(E38-E25&gt;0,E38-E25,0)</f>
        <v>0</v>
      </c>
      <c r="G39" s="602" t="str">
        <f>IF(J37="Yes", "Follow procedure prescribed by KSA 79-2988 to exceed the Revenue Neutral Rate.", " ")</f>
        <v xml:space="preserve"> </v>
      </c>
      <c r="H39" s="602"/>
      <c r="I39" s="602"/>
      <c r="J39" s="602"/>
    </row>
    <row r="40" spans="2:11" x14ac:dyDescent="0.2">
      <c r="B40" s="2"/>
      <c r="C40" s="304" t="s">
        <v>410</v>
      </c>
      <c r="D40" s="321">
        <f>inputOth!$E$38</f>
        <v>0</v>
      </c>
      <c r="E40" s="64">
        <f>ROUND(IF(D40&gt;0,(E39*D40),0),0)</f>
        <v>0</v>
      </c>
      <c r="F40" s="3"/>
      <c r="G40" s="603"/>
      <c r="H40" s="603"/>
      <c r="I40" s="603"/>
      <c r="J40" s="603"/>
    </row>
    <row r="41" spans="2:11" x14ac:dyDescent="0.2">
      <c r="B41" s="1"/>
      <c r="C41" s="588" t="str">
        <f>CONCATENATE("Amount of  ",$F$1-1," Ad Valorem Tax")</f>
        <v>Amount of  -1 Ad Valorem Tax</v>
      </c>
      <c r="D41" s="589"/>
      <c r="E41" s="64">
        <f>E39+E40</f>
        <v>0</v>
      </c>
      <c r="F41" s="3"/>
      <c r="G41" s="603"/>
      <c r="H41" s="603"/>
      <c r="I41" s="603"/>
      <c r="J41" s="603"/>
    </row>
    <row r="42" spans="2:11" x14ac:dyDescent="0.2">
      <c r="B42" s="1"/>
      <c r="C42" s="1"/>
      <c r="D42" s="1"/>
      <c r="E42" s="1"/>
      <c r="F42" s="3"/>
    </row>
    <row r="43" spans="2:11" x14ac:dyDescent="0.2">
      <c r="B43" s="15" t="s">
        <v>20</v>
      </c>
      <c r="C43" s="70"/>
      <c r="D43" s="70"/>
      <c r="E43" s="70"/>
      <c r="F43" s="3"/>
    </row>
    <row r="44" spans="2:11" x14ac:dyDescent="0.2">
      <c r="B44" s="1"/>
      <c r="C44" s="259" t="s">
        <v>143</v>
      </c>
      <c r="D44" s="260" t="s">
        <v>144</v>
      </c>
      <c r="E44" s="84" t="s">
        <v>142</v>
      </c>
      <c r="F44" s="3"/>
    </row>
    <row r="45" spans="2:11" ht="15.75" customHeight="1" x14ac:dyDescent="0.2">
      <c r="B45" s="82">
        <f>inputPrYr!B23</f>
        <v>0</v>
      </c>
      <c r="C45" s="261" t="str">
        <f>C6</f>
        <v>Actual for 2022</v>
      </c>
      <c r="D45" s="261" t="str">
        <f>D6</f>
        <v>Estimate for 2023</v>
      </c>
      <c r="E45" s="9" t="str">
        <f>E6</f>
        <v>Year for 2024</v>
      </c>
      <c r="F45" s="3"/>
    </row>
    <row r="46" spans="2:11" ht="15.75" customHeight="1" x14ac:dyDescent="0.2">
      <c r="B46" s="85" t="s">
        <v>76</v>
      </c>
      <c r="C46" s="262"/>
      <c r="D46" s="263">
        <f>C74</f>
        <v>0</v>
      </c>
      <c r="E46" s="64">
        <f>D74</f>
        <v>0</v>
      </c>
      <c r="F46" s="3"/>
    </row>
    <row r="47" spans="2:11" x14ac:dyDescent="0.2">
      <c r="B47" s="87" t="s">
        <v>78</v>
      </c>
      <c r="C47" s="88"/>
      <c r="D47" s="88"/>
      <c r="E47" s="12"/>
      <c r="F47" s="3"/>
    </row>
    <row r="48" spans="2:11" x14ac:dyDescent="0.2">
      <c r="B48" s="85" t="s">
        <v>21</v>
      </c>
      <c r="C48" s="262"/>
      <c r="D48" s="263">
        <f>IF(inputPrYr!H18&gt;0,inputPrYr!G23,inputPrYr!E23)</f>
        <v>0</v>
      </c>
      <c r="E48" s="89" t="s">
        <v>16</v>
      </c>
      <c r="F48" s="3"/>
    </row>
    <row r="49" spans="2:11" x14ac:dyDescent="0.2">
      <c r="B49" s="85" t="s">
        <v>22</v>
      </c>
      <c r="C49" s="262"/>
      <c r="D49" s="262"/>
      <c r="E49" s="56"/>
      <c r="F49" s="3"/>
    </row>
    <row r="50" spans="2:11" x14ac:dyDescent="0.2">
      <c r="B50" s="85" t="s">
        <v>23</v>
      </c>
      <c r="C50" s="262"/>
      <c r="D50" s="262"/>
      <c r="E50" s="64">
        <f>Mvalloc!D14</f>
        <v>0</v>
      </c>
      <c r="G50" s="581" t="str">
        <f>CONCATENATE("Desired Carryover Into ",E1+1,"")</f>
        <v>Desired Carryover Into 2025</v>
      </c>
      <c r="H50" s="582"/>
      <c r="I50" s="582"/>
      <c r="J50" s="583"/>
    </row>
    <row r="51" spans="2:11" x14ac:dyDescent="0.2">
      <c r="B51" s="85" t="s">
        <v>24</v>
      </c>
      <c r="C51" s="262"/>
      <c r="D51" s="262"/>
      <c r="E51" s="64">
        <f>Mvalloc!E14</f>
        <v>0</v>
      </c>
      <c r="G51" s="327"/>
      <c r="H51" s="1"/>
      <c r="I51" s="328"/>
      <c r="J51" s="329"/>
    </row>
    <row r="52" spans="2:11" x14ac:dyDescent="0.2">
      <c r="B52" s="88" t="s">
        <v>72</v>
      </c>
      <c r="C52" s="262"/>
      <c r="D52" s="262"/>
      <c r="E52" s="64">
        <f>Mvalloc!F14</f>
        <v>0</v>
      </c>
      <c r="G52" s="330" t="s">
        <v>414</v>
      </c>
      <c r="H52" s="328"/>
      <c r="I52" s="328"/>
      <c r="J52" s="331">
        <v>0</v>
      </c>
    </row>
    <row r="53" spans="2:11" x14ac:dyDescent="0.2">
      <c r="B53" s="85" t="s">
        <v>446</v>
      </c>
      <c r="C53" s="262"/>
      <c r="D53" s="262"/>
      <c r="E53" s="64">
        <f>Mvalloc!G14</f>
        <v>0</v>
      </c>
      <c r="G53" s="327" t="s">
        <v>415</v>
      </c>
      <c r="H53" s="1"/>
      <c r="I53" s="1"/>
      <c r="J53" s="355" t="str">
        <f>IF(J52=0,"",ROUND((J52+E80-G65)/'Budget Hearing Notice'!F29*1000,3)-G70)</f>
        <v/>
      </c>
    </row>
    <row r="54" spans="2:11" x14ac:dyDescent="0.2">
      <c r="B54" s="85" t="s">
        <v>447</v>
      </c>
      <c r="C54" s="262"/>
      <c r="D54" s="262"/>
      <c r="E54" s="64">
        <f>Mvalloc!H14</f>
        <v>0</v>
      </c>
      <c r="G54" s="333" t="str">
        <f>CONCATENATE("",F3," Tot Exp/Non-Appr Must Be:")</f>
        <v xml:space="preserve"> Tot Exp/Non-Appr Must Be:</v>
      </c>
      <c r="H54" s="334"/>
      <c r="I54" s="335"/>
      <c r="J54" s="336">
        <f>IF(J52&gt;0,IF(E77&lt;E64,IF(J52=G65,E77,((J52-G65)*(1-D79))+E64),E77+(J52-G65)),0)</f>
        <v>0</v>
      </c>
    </row>
    <row r="55" spans="2:11" x14ac:dyDescent="0.2">
      <c r="B55" s="90"/>
      <c r="C55" s="262"/>
      <c r="D55" s="262"/>
      <c r="E55" s="54"/>
      <c r="G55" s="337" t="s">
        <v>424</v>
      </c>
      <c r="H55" s="338"/>
      <c r="I55" s="338"/>
      <c r="J55" s="339">
        <f>IF(J52&gt;0,J54-E77,0)</f>
        <v>0</v>
      </c>
    </row>
    <row r="56" spans="2:11" x14ac:dyDescent="0.25">
      <c r="B56" s="90"/>
      <c r="C56" s="262"/>
      <c r="D56" s="262"/>
      <c r="E56" s="54"/>
      <c r="G56" s="3"/>
      <c r="H56" s="3"/>
      <c r="I56" s="3"/>
      <c r="J56" s="354"/>
    </row>
    <row r="57" spans="2:11" x14ac:dyDescent="0.2">
      <c r="B57" s="90"/>
      <c r="C57" s="262"/>
      <c r="D57" s="262"/>
      <c r="E57" s="54"/>
      <c r="G57" s="581" t="str">
        <f>CONCATENATE("Projected Carryover Into ",E1+1,"")</f>
        <v>Projected Carryover Into 2025</v>
      </c>
      <c r="H57" s="607"/>
      <c r="I57" s="607"/>
      <c r="J57" s="606"/>
    </row>
    <row r="58" spans="2:11" x14ac:dyDescent="0.2">
      <c r="B58" s="90"/>
      <c r="C58" s="262"/>
      <c r="D58" s="262"/>
      <c r="E58" s="54"/>
      <c r="G58" s="340"/>
      <c r="H58" s="1"/>
      <c r="I58" s="1"/>
      <c r="J58" s="341"/>
    </row>
    <row r="59" spans="2:11" x14ac:dyDescent="0.2">
      <c r="B59" s="91" t="s">
        <v>25</v>
      </c>
      <c r="C59" s="262"/>
      <c r="D59" s="262"/>
      <c r="E59" s="54"/>
      <c r="G59" s="342">
        <f>D74</f>
        <v>0</v>
      </c>
      <c r="H59" s="343" t="str">
        <f>CONCATENATE("",E1-1," Ending Cash Balance (est.)")</f>
        <v>2023 Ending Cash Balance (est.)</v>
      </c>
      <c r="I59" s="344"/>
      <c r="J59" s="341"/>
    </row>
    <row r="60" spans="2:11" x14ac:dyDescent="0.2">
      <c r="B60" s="97" t="s">
        <v>128</v>
      </c>
      <c r="C60" s="262"/>
      <c r="D60" s="262"/>
      <c r="E60" s="64">
        <f>'NR Rebate'!E10*-1</f>
        <v>0</v>
      </c>
      <c r="G60" s="342">
        <f>E63</f>
        <v>0</v>
      </c>
      <c r="H60" s="328" t="str">
        <f>CONCATENATE("",E1," Non-AV Receipts (est.)")</f>
        <v>2024 Non-AV Receipts (est.)</v>
      </c>
      <c r="I60" s="328"/>
      <c r="J60" s="341"/>
    </row>
    <row r="61" spans="2:11" x14ac:dyDescent="0.2">
      <c r="B61" s="92" t="s">
        <v>127</v>
      </c>
      <c r="C61" s="90"/>
      <c r="D61" s="90"/>
      <c r="E61" s="54"/>
      <c r="G61" s="345">
        <f>IF(D79&gt;0,E77,E80)</f>
        <v>0</v>
      </c>
      <c r="H61" s="328" t="str">
        <f>CONCATENATE("",E1," Ad Valorem Tax (est.)")</f>
        <v>2024 Ad Valorem Tax (est.)</v>
      </c>
      <c r="I61" s="328"/>
      <c r="J61" s="341"/>
      <c r="K61" s="352" t="str">
        <f>IF(G61=E80,"","Note: Does not include Delinquent Taxes")</f>
        <v/>
      </c>
    </row>
    <row r="62" spans="2:11" x14ac:dyDescent="0.2">
      <c r="B62" s="92" t="s">
        <v>407</v>
      </c>
      <c r="C62" s="264" t="str">
        <f>IF(C63*0.1&lt;C61,"Exceed 10% Rule","")</f>
        <v/>
      </c>
      <c r="D62" s="264" t="str">
        <f>IF(D63*0.1&lt;D61,"Exceed 10% Rule","")</f>
        <v/>
      </c>
      <c r="E62" s="278" t="str">
        <f>IF(E63*0.1+E80&lt;E61,"Exceed 10% Rule","")</f>
        <v/>
      </c>
      <c r="G62" s="365">
        <f>SUM(G59:G61)</f>
        <v>0</v>
      </c>
      <c r="H62" s="328" t="str">
        <f>CONCATENATE("Total ",E1," Resources Available")</f>
        <v>Total 2024 Resources Available</v>
      </c>
      <c r="I62" s="341"/>
      <c r="J62" s="341"/>
    </row>
    <row r="63" spans="2:11" x14ac:dyDescent="0.2">
      <c r="B63" s="95" t="s">
        <v>26</v>
      </c>
      <c r="C63" s="505">
        <f>SUM(C48:C61)</f>
        <v>0</v>
      </c>
      <c r="D63" s="505">
        <f>SUM(D48:D61)</f>
        <v>0</v>
      </c>
      <c r="E63" s="505">
        <f>SUM(E48:E61)</f>
        <v>0</v>
      </c>
      <c r="G63" s="366"/>
      <c r="H63" s="129"/>
      <c r="I63" s="1"/>
      <c r="J63" s="341"/>
    </row>
    <row r="64" spans="2:11" x14ac:dyDescent="0.2">
      <c r="B64" s="95" t="s">
        <v>27</v>
      </c>
      <c r="C64" s="505">
        <f>C46+C63</f>
        <v>0</v>
      </c>
      <c r="D64" s="505">
        <f>D46+D63</f>
        <v>0</v>
      </c>
      <c r="E64" s="505">
        <f>E46+E63</f>
        <v>0</v>
      </c>
      <c r="G64" s="367">
        <f>ROUND(C73*0.05+C73,0)</f>
        <v>0</v>
      </c>
      <c r="H64" s="129" t="str">
        <f>CONCATENATE("Less ",E1-2," Expenditures + 5%")</f>
        <v>Less 2022 Expenditures + 5%</v>
      </c>
      <c r="I64" s="1"/>
      <c r="J64" s="341"/>
    </row>
    <row r="65" spans="2:10" x14ac:dyDescent="0.25">
      <c r="B65" s="85" t="s">
        <v>28</v>
      </c>
      <c r="C65" s="97"/>
      <c r="D65" s="97"/>
      <c r="E65" s="11"/>
      <c r="G65" s="368">
        <f>G62-G64</f>
        <v>0</v>
      </c>
      <c r="H65" s="369" t="str">
        <f>CONCATENATE("Projected ",E1+1," carryover (est.)")</f>
        <v>Projected 2025 carryover (est.)</v>
      </c>
      <c r="I65" s="517"/>
      <c r="J65" s="364"/>
    </row>
    <row r="66" spans="2:10" x14ac:dyDescent="0.25">
      <c r="B66" s="90"/>
      <c r="C66" s="262"/>
      <c r="D66" s="262"/>
      <c r="E66" s="54"/>
      <c r="G66" s="354"/>
      <c r="H66" s="354"/>
      <c r="I66" s="354"/>
      <c r="J66" s="3"/>
    </row>
    <row r="67" spans="2:10" x14ac:dyDescent="0.2">
      <c r="B67" s="90"/>
      <c r="C67" s="262"/>
      <c r="D67" s="262"/>
      <c r="E67" s="54"/>
      <c r="G67" s="590" t="s">
        <v>803</v>
      </c>
      <c r="H67" s="591"/>
      <c r="I67" s="591"/>
      <c r="J67" s="592"/>
    </row>
    <row r="68" spans="2:10" x14ac:dyDescent="0.2">
      <c r="B68" s="90"/>
      <c r="C68" s="262"/>
      <c r="D68" s="262"/>
      <c r="E68" s="54"/>
      <c r="G68" s="593"/>
      <c r="H68" s="594"/>
      <c r="I68" s="594"/>
      <c r="J68" s="595"/>
    </row>
    <row r="69" spans="2:10" x14ac:dyDescent="0.2">
      <c r="B69" s="90"/>
      <c r="C69" s="262"/>
      <c r="D69" s="262"/>
      <c r="E69" s="54"/>
      <c r="G69" s="506" t="str">
        <f>'Budget Hearing Notice'!H20</f>
        <v xml:space="preserve"> </v>
      </c>
      <c r="H69" s="507" t="str">
        <f>CONCATENATE("",E1," Estimated Fund Mill Rate")</f>
        <v>2024 Estimated Fund Mill Rate</v>
      </c>
      <c r="I69" s="508"/>
      <c r="J69" s="509"/>
    </row>
    <row r="70" spans="2:10" x14ac:dyDescent="0.2">
      <c r="B70" s="97" t="str">
        <f>CONCATENATE("Cash Forward (",E1," column)")</f>
        <v>Cash Forward (2024 column)</v>
      </c>
      <c r="C70" s="262"/>
      <c r="D70" s="262"/>
      <c r="E70" s="54"/>
      <c r="G70" s="510" t="str">
        <f>'Budget Hearing Notice'!E20</f>
        <v xml:space="preserve">  </v>
      </c>
      <c r="H70" s="507" t="str">
        <f>CONCATENATE("",E1-1," Fund Mill Rate")</f>
        <v>2023 Fund Mill Rate</v>
      </c>
      <c r="I70" s="508"/>
      <c r="J70" s="509"/>
    </row>
    <row r="71" spans="2:10" x14ac:dyDescent="0.2">
      <c r="B71" s="97" t="s">
        <v>127</v>
      </c>
      <c r="C71" s="90"/>
      <c r="D71" s="90"/>
      <c r="E71" s="54"/>
      <c r="G71" s="511">
        <f>'Budget Hearing Notice'!H25</f>
        <v>0</v>
      </c>
      <c r="H71" s="512" t="s">
        <v>804</v>
      </c>
      <c r="I71" s="508"/>
      <c r="J71" s="509"/>
    </row>
    <row r="72" spans="2:10" x14ac:dyDescent="0.2">
      <c r="B72" s="97" t="s">
        <v>406</v>
      </c>
      <c r="C72" s="264" t="str">
        <f>IF(C73*0.1&lt;C71,"Exceed 10% Rule","")</f>
        <v/>
      </c>
      <c r="D72" s="264" t="str">
        <f>IF(D73*0.1&lt;D71,"Exceed 10% Rule","")</f>
        <v/>
      </c>
      <c r="E72" s="278" t="str">
        <f>IF(E73*0.1&lt;E71,"Exceed 10% Rule","")</f>
        <v/>
      </c>
      <c r="G72" s="506">
        <f>'Budget Hearing Notice'!H24</f>
        <v>0</v>
      </c>
      <c r="H72" s="507" t="str">
        <f>CONCATENATE(E1," Estimated Total Mill Rate")</f>
        <v>2024 Estimated Total Mill Rate</v>
      </c>
      <c r="I72" s="508"/>
      <c r="J72" s="509"/>
    </row>
    <row r="73" spans="2:10" x14ac:dyDescent="0.2">
      <c r="B73" s="95" t="s">
        <v>29</v>
      </c>
      <c r="C73" s="505">
        <f>SUM(C66:C71)</f>
        <v>0</v>
      </c>
      <c r="D73" s="505">
        <f>SUM(D66:D71)</f>
        <v>0</v>
      </c>
      <c r="E73" s="505">
        <f>SUM(E66:E71)</f>
        <v>0</v>
      </c>
      <c r="G73" s="513">
        <f>'Budget Hearing Notice'!E24</f>
        <v>0</v>
      </c>
      <c r="H73" s="507" t="str">
        <f>CONCATENATE(E1-1," Total Mill Rate")</f>
        <v>2023 Total Mill Rate</v>
      </c>
      <c r="I73" s="508"/>
      <c r="J73" s="509"/>
    </row>
    <row r="74" spans="2:10" x14ac:dyDescent="0.2">
      <c r="B74" s="85" t="s">
        <v>77</v>
      </c>
      <c r="C74" s="64">
        <f>C64-C73</f>
        <v>0</v>
      </c>
      <c r="D74" s="64">
        <f>D64-D73</f>
        <v>0</v>
      </c>
      <c r="E74" s="89" t="s">
        <v>16</v>
      </c>
      <c r="G74" s="514"/>
      <c r="H74" s="407"/>
      <c r="I74" s="407"/>
      <c r="J74" s="515"/>
    </row>
    <row r="75" spans="2:10" x14ac:dyDescent="0.2">
      <c r="B75" s="15" t="str">
        <f>CONCATENATE("",E1-2,"/",E1-1,"/",E1," Budget Authority Amount:")</f>
        <v>2022/2023/2024 Budget Authority Amount:</v>
      </c>
      <c r="C75" s="109">
        <f>inputOth!B47</f>
        <v>0</v>
      </c>
      <c r="D75" s="109">
        <f>inputPrYr!D23</f>
        <v>0</v>
      </c>
      <c r="E75" s="64">
        <f>E73</f>
        <v>0</v>
      </c>
      <c r="G75" s="596" t="s">
        <v>805</v>
      </c>
      <c r="H75" s="597"/>
      <c r="I75" s="597"/>
      <c r="J75" s="600" t="str">
        <f>IF(G72&gt;G71, "Yes", "No")</f>
        <v>No</v>
      </c>
    </row>
    <row r="76" spans="2:10" x14ac:dyDescent="0.2">
      <c r="B76" s="4"/>
      <c r="C76" s="584" t="s">
        <v>408</v>
      </c>
      <c r="D76" s="585"/>
      <c r="E76" s="54"/>
      <c r="G76" s="598"/>
      <c r="H76" s="599"/>
      <c r="I76" s="599"/>
      <c r="J76" s="601"/>
    </row>
    <row r="77" spans="2:10" x14ac:dyDescent="0.2">
      <c r="B77" s="277" t="str">
        <f>CONCATENATE(C97,"     ",D97)</f>
        <v xml:space="preserve">     </v>
      </c>
      <c r="C77" s="586" t="s">
        <v>409</v>
      </c>
      <c r="D77" s="587"/>
      <c r="E77" s="64">
        <f>E73+E76</f>
        <v>0</v>
      </c>
      <c r="F77" s="99"/>
      <c r="G77" s="602" t="str">
        <f>IF(J75="Yes", "Follow procedure prescribed by KSA 79-2988 to exceed the Revenue Neutral Rate.", " ")</f>
        <v xml:space="preserve"> </v>
      </c>
      <c r="H77" s="602"/>
      <c r="I77" s="602"/>
      <c r="J77" s="602"/>
    </row>
    <row r="78" spans="2:10" x14ac:dyDescent="0.2">
      <c r="B78" s="277" t="str">
        <f>CONCATENATE(C98,"     ",D98)</f>
        <v xml:space="preserve">     </v>
      </c>
      <c r="C78" s="306"/>
      <c r="D78" s="305" t="s">
        <v>30</v>
      </c>
      <c r="E78" s="64">
        <f>IF(E77-E64&gt;0,E77-E64,0)</f>
        <v>0</v>
      </c>
      <c r="F78" s="362" t="str">
        <f>IF(E73/0.95-E73&lt;E76,"Exceeds 5%","")</f>
        <v/>
      </c>
      <c r="G78" s="603"/>
      <c r="H78" s="603"/>
      <c r="I78" s="603"/>
      <c r="J78" s="603"/>
    </row>
    <row r="79" spans="2:10" x14ac:dyDescent="0.2">
      <c r="B79" s="2"/>
      <c r="C79" s="304" t="s">
        <v>410</v>
      </c>
      <c r="D79" s="321">
        <f>inputOth!$E$38</f>
        <v>0</v>
      </c>
      <c r="E79" s="64">
        <f>ROUND(IF(D79&gt;0,(E78*D79),0),0)</f>
        <v>0</v>
      </c>
      <c r="G79" s="603"/>
      <c r="H79" s="603"/>
      <c r="I79" s="603"/>
      <c r="J79" s="603"/>
    </row>
    <row r="80" spans="2:10" x14ac:dyDescent="0.2">
      <c r="B80" s="1"/>
      <c r="C80" s="588" t="str">
        <f>CONCATENATE("Amount of  ",$F$1-1," Ad Valorem Tax")</f>
        <v>Amount of  -1 Ad Valorem Tax</v>
      </c>
      <c r="D80" s="589"/>
      <c r="E80" s="64">
        <f>E78+E79</f>
        <v>0</v>
      </c>
    </row>
    <row r="81" spans="2:5" x14ac:dyDescent="0.2">
      <c r="B81" s="1"/>
      <c r="C81" s="1"/>
      <c r="D81" s="1"/>
      <c r="E81" s="1"/>
    </row>
    <row r="82" spans="2:5" x14ac:dyDescent="0.2">
      <c r="B82" s="421" t="s">
        <v>449</v>
      </c>
      <c r="C82" s="414"/>
      <c r="D82" s="414"/>
      <c r="E82" s="415"/>
    </row>
    <row r="83" spans="2:5" x14ac:dyDescent="0.2">
      <c r="B83" s="416"/>
      <c r="C83" s="413"/>
      <c r="D83" s="413"/>
      <c r="E83" s="417"/>
    </row>
    <row r="84" spans="2:5" x14ac:dyDescent="0.2">
      <c r="B84" s="418"/>
      <c r="C84" s="419"/>
      <c r="D84" s="419"/>
      <c r="E84" s="420"/>
    </row>
    <row r="85" spans="2:5" x14ac:dyDescent="0.2">
      <c r="B85" s="1"/>
      <c r="C85" s="1"/>
      <c r="D85" s="1"/>
      <c r="E85" s="1"/>
    </row>
    <row r="86" spans="2:5" x14ac:dyDescent="0.2">
      <c r="B86" s="4" t="s">
        <v>32</v>
      </c>
      <c r="C86" s="390"/>
      <c r="D86" s="1"/>
      <c r="E86" s="1"/>
    </row>
    <row r="93" spans="2:5" ht="15.75" hidden="1" customHeight="1" x14ac:dyDescent="0.2"/>
    <row r="94" spans="2:5" hidden="1" x14ac:dyDescent="0.2"/>
    <row r="95" spans="2:5" hidden="1" x14ac:dyDescent="0.2">
      <c r="C95" s="66" t="str">
        <f>IF(C34&gt;C36,"See Tab A","")</f>
        <v/>
      </c>
      <c r="D95" s="66" t="str">
        <f>IF(D34&gt;D36,"See Tab C","")</f>
        <v/>
      </c>
    </row>
    <row r="96" spans="2:5" hidden="1" x14ac:dyDescent="0.2">
      <c r="C96" s="66" t="str">
        <f>IF(C35&lt;0,"See Tab B","")</f>
        <v/>
      </c>
      <c r="D96" s="66" t="str">
        <f>IF(D35&lt;0,"See Tab D","")</f>
        <v/>
      </c>
    </row>
    <row r="97" spans="3:4" x14ac:dyDescent="0.2">
      <c r="C97" s="66" t="str">
        <f>IF(C73&gt;C75,"See Tab A","")</f>
        <v/>
      </c>
      <c r="D97" s="66" t="str">
        <f>IF(D73&gt;D75,"See Tab C","")</f>
        <v/>
      </c>
    </row>
    <row r="98" spans="3:4" x14ac:dyDescent="0.2">
      <c r="C98" s="66" t="str">
        <f>IF(C74&lt;0,"See Tab B","")</f>
        <v/>
      </c>
      <c r="D98" s="66" t="str">
        <f>IF(D74&lt;0,"See Tab D","")</f>
        <v/>
      </c>
    </row>
  </sheetData>
  <sheetProtection sheet="1" objects="1" scenarios="1"/>
  <mergeCells count="18">
    <mergeCell ref="C80:D80"/>
    <mergeCell ref="C41:D41"/>
    <mergeCell ref="G75:I76"/>
    <mergeCell ref="J75:J76"/>
    <mergeCell ref="G77:J79"/>
    <mergeCell ref="G39:J41"/>
    <mergeCell ref="G50:J50"/>
    <mergeCell ref="G57:J57"/>
    <mergeCell ref="G12:J12"/>
    <mergeCell ref="G19:J19"/>
    <mergeCell ref="G67:J68"/>
    <mergeCell ref="C76:D76"/>
    <mergeCell ref="C77:D77"/>
    <mergeCell ref="C37:D37"/>
    <mergeCell ref="C38:D38"/>
    <mergeCell ref="G29:J30"/>
    <mergeCell ref="G37:I38"/>
    <mergeCell ref="J37:J38"/>
  </mergeCells>
  <phoneticPr fontId="0" type="noConversion"/>
  <conditionalFormatting sqref="C22">
    <cfRule type="cellIs" dxfId="33" priority="8" stopIfTrue="1" operator="greaterThan">
      <formula>$C$24*0.1</formula>
    </cfRule>
  </conditionalFormatting>
  <conditionalFormatting sqref="D22">
    <cfRule type="cellIs" dxfId="32" priority="9" stopIfTrue="1" operator="greaterThan">
      <formula>$D$24*0.1</formula>
    </cfRule>
  </conditionalFormatting>
  <conditionalFormatting sqref="C32">
    <cfRule type="cellIs" dxfId="31" priority="10" stopIfTrue="1" operator="greaterThan">
      <formula>$C$34*0.1</formula>
    </cfRule>
  </conditionalFormatting>
  <conditionalFormatting sqref="D32">
    <cfRule type="cellIs" dxfId="30" priority="11" stopIfTrue="1" operator="greaterThan">
      <formula>$D$34*0.1</formula>
    </cfRule>
  </conditionalFormatting>
  <conditionalFormatting sqref="E32">
    <cfRule type="cellIs" dxfId="29" priority="12" stopIfTrue="1" operator="greaterThan">
      <formula>$E$34*0.1</formula>
    </cfRule>
  </conditionalFormatting>
  <conditionalFormatting sqref="C61">
    <cfRule type="cellIs" dxfId="28" priority="13" stopIfTrue="1" operator="greaterThan">
      <formula>$C$63*0.1</formula>
    </cfRule>
  </conditionalFormatting>
  <conditionalFormatting sqref="D61">
    <cfRule type="cellIs" dxfId="27" priority="14" stopIfTrue="1" operator="greaterThan">
      <formula>$D$63*0.1</formula>
    </cfRule>
  </conditionalFormatting>
  <conditionalFormatting sqref="C71">
    <cfRule type="cellIs" dxfId="26" priority="15" stopIfTrue="1" operator="greaterThan">
      <formula>$C$73*0.1</formula>
    </cfRule>
  </conditionalFormatting>
  <conditionalFormatting sqref="D71">
    <cfRule type="cellIs" dxfId="25" priority="16" stopIfTrue="1" operator="greaterThan">
      <formula>$D$73*0.1</formula>
    </cfRule>
  </conditionalFormatting>
  <conditionalFormatting sqref="E71">
    <cfRule type="cellIs" dxfId="24" priority="17" stopIfTrue="1" operator="greaterThan">
      <formula>$E$73*0.1</formula>
    </cfRule>
  </conditionalFormatting>
  <conditionalFormatting sqref="E76">
    <cfRule type="cellIs" dxfId="23" priority="18" stopIfTrue="1" operator="greaterThan">
      <formula>$E$73/0.95-$E$73</formula>
    </cfRule>
  </conditionalFormatting>
  <conditionalFormatting sqref="E37">
    <cfRule type="cellIs" dxfId="22" priority="19" stopIfTrue="1" operator="greaterThan">
      <formula>$E$34/0.95-$E$34</formula>
    </cfRule>
  </conditionalFormatting>
  <conditionalFormatting sqref="E22">
    <cfRule type="cellIs" dxfId="21" priority="99" stopIfTrue="1" operator="greaterThan">
      <formula>$E$24*0.1+$E$41</formula>
    </cfRule>
  </conditionalFormatting>
  <conditionalFormatting sqref="E61">
    <cfRule type="cellIs" dxfId="20" priority="100" stopIfTrue="1" operator="greaterThan">
      <formula>$E$63*0.1+$E$80</formula>
    </cfRule>
  </conditionalFormatting>
  <conditionalFormatting sqref="J75">
    <cfRule type="containsText" dxfId="19" priority="2" operator="containsText" text="Yes">
      <formula>NOT(ISERROR(SEARCH("Yes",J75)))</formula>
    </cfRule>
  </conditionalFormatting>
  <conditionalFormatting sqref="J37">
    <cfRule type="containsText" dxfId="18" priority="1" operator="containsText" text="Yes">
      <formula>NOT(ISERROR(SEARCH("Yes",J37)))</formula>
    </cfRule>
  </conditionalFormatting>
  <pageMargins left="1" right="1" top="0.5" bottom="0.5" header="0.5" footer="0.5"/>
  <pageSetup scale="58" orientation="portrait" blackAndWhite="1" horizontalDpi="120" verticalDpi="144" r:id="rId1"/>
  <headerFooter alignWithMargins="0">
    <oddHeader xml:space="preserve">&amp;RState of Kansas
Special District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00B0F0"/>
    <pageSetUpPr fitToPage="1"/>
  </sheetPr>
  <dimension ref="B1:E70"/>
  <sheetViews>
    <sheetView workbookViewId="0">
      <selection activeCell="C28" sqref="C28"/>
    </sheetView>
  </sheetViews>
  <sheetFormatPr defaultColWidth="27.77734375" defaultRowHeight="15.75" x14ac:dyDescent="0.2"/>
  <cols>
    <col min="1" max="1" width="2.44140625" style="66" customWidth="1"/>
    <col min="2" max="2" width="31.109375" style="66" customWidth="1"/>
    <col min="3" max="4" width="15.77734375" style="66" customWidth="1"/>
    <col min="5" max="5" width="17.6640625" style="66" customWidth="1"/>
    <col min="6" max="16384" width="27.77734375" style="66"/>
  </cols>
  <sheetData>
    <row r="1" spans="2:5" x14ac:dyDescent="0.2">
      <c r="B1" s="1">
        <f>inputPrYr!D3</f>
        <v>0</v>
      </c>
      <c r="C1" s="81"/>
      <c r="D1" s="1"/>
      <c r="E1" s="4">
        <f>inputPrYr!D6</f>
        <v>2024</v>
      </c>
    </row>
    <row r="2" spans="2:5" x14ac:dyDescent="0.2">
      <c r="B2" s="1">
        <f>inputPrYr!D4</f>
        <v>0</v>
      </c>
      <c r="C2" s="81"/>
      <c r="D2" s="1"/>
      <c r="E2" s="4"/>
    </row>
    <row r="3" spans="2:5" x14ac:dyDescent="0.2">
      <c r="B3" s="82" t="s">
        <v>65</v>
      </c>
      <c r="C3" s="81"/>
      <c r="D3" s="81"/>
      <c r="E3" s="83"/>
    </row>
    <row r="4" spans="2:5" x14ac:dyDescent="0.2">
      <c r="B4" s="1"/>
      <c r="C4" s="70"/>
      <c r="D4" s="70"/>
      <c r="E4" s="70"/>
    </row>
    <row r="5" spans="2:5" x14ac:dyDescent="0.2">
      <c r="B5" s="15" t="s">
        <v>20</v>
      </c>
      <c r="C5" s="116" t="s">
        <v>143</v>
      </c>
      <c r="D5" s="84" t="s">
        <v>144</v>
      </c>
      <c r="E5" s="84" t="s">
        <v>142</v>
      </c>
    </row>
    <row r="6" spans="2:5" x14ac:dyDescent="0.2">
      <c r="B6" s="82">
        <f>inputPrYr!B26</f>
        <v>0</v>
      </c>
      <c r="C6" s="9" t="str">
        <f>CONCATENATE("Actual for ",E1-2,"")</f>
        <v>Actual for 2022</v>
      </c>
      <c r="D6" s="9" t="str">
        <f>CONCATENATE("Estimate for ",E1-1,"")</f>
        <v>Estimate for 2023</v>
      </c>
      <c r="E6" s="9" t="str">
        <f>CONCATENATE("Year for ",E1,"")</f>
        <v>Year for 2024</v>
      </c>
    </row>
    <row r="7" spans="2:5" x14ac:dyDescent="0.2">
      <c r="B7" s="85" t="s">
        <v>76</v>
      </c>
      <c r="C7" s="54"/>
      <c r="D7" s="64">
        <f>C31</f>
        <v>0</v>
      </c>
      <c r="E7" s="64">
        <f>D31</f>
        <v>0</v>
      </c>
    </row>
    <row r="8" spans="2:5" x14ac:dyDescent="0.2">
      <c r="B8" s="87" t="s">
        <v>78</v>
      </c>
      <c r="C8" s="11"/>
      <c r="D8" s="11"/>
      <c r="E8" s="11"/>
    </row>
    <row r="9" spans="2:5" x14ac:dyDescent="0.2">
      <c r="B9" s="90"/>
      <c r="C9" s="56"/>
      <c r="D9" s="56"/>
      <c r="E9" s="56"/>
    </row>
    <row r="10" spans="2:5" x14ac:dyDescent="0.2">
      <c r="B10" s="90"/>
      <c r="C10" s="56"/>
      <c r="D10" s="56"/>
      <c r="E10" s="56"/>
    </row>
    <row r="11" spans="2:5" x14ac:dyDescent="0.2">
      <c r="B11" s="90"/>
      <c r="C11" s="56"/>
      <c r="D11" s="56"/>
      <c r="E11" s="56"/>
    </row>
    <row r="12" spans="2:5" x14ac:dyDescent="0.2">
      <c r="B12" s="90"/>
      <c r="C12" s="56"/>
      <c r="D12" s="56"/>
      <c r="E12" s="56"/>
    </row>
    <row r="13" spans="2:5" x14ac:dyDescent="0.2">
      <c r="B13" s="90"/>
      <c r="C13" s="56"/>
      <c r="D13" s="56"/>
      <c r="E13" s="56"/>
    </row>
    <row r="14" spans="2:5" x14ac:dyDescent="0.2">
      <c r="B14" s="90"/>
      <c r="C14" s="56"/>
      <c r="D14" s="56"/>
      <c r="E14" s="56"/>
    </row>
    <row r="15" spans="2:5" x14ac:dyDescent="0.2">
      <c r="B15" s="91" t="s">
        <v>25</v>
      </c>
      <c r="C15" s="56"/>
      <c r="D15" s="56"/>
      <c r="E15" s="56"/>
    </row>
    <row r="16" spans="2:5" x14ac:dyDescent="0.2">
      <c r="B16" s="92" t="s">
        <v>127</v>
      </c>
      <c r="C16" s="56"/>
      <c r="D16" s="93"/>
      <c r="E16" s="93"/>
    </row>
    <row r="17" spans="2:5" x14ac:dyDescent="0.2">
      <c r="B17" s="92" t="s">
        <v>407</v>
      </c>
      <c r="C17" s="278" t="str">
        <f>IF(C18*0.1&lt;C16,"Exceed 10% Rule","")</f>
        <v/>
      </c>
      <c r="D17" s="94" t="str">
        <f>IF(D18*0.1&lt;D16,"Exceed 10% Rule","")</f>
        <v/>
      </c>
      <c r="E17" s="94" t="str">
        <f>IF(E18*0.1&lt;E16,"Exceed 10% Rule","")</f>
        <v/>
      </c>
    </row>
    <row r="18" spans="2:5" x14ac:dyDescent="0.2">
      <c r="B18" s="95" t="s">
        <v>26</v>
      </c>
      <c r="C18" s="505">
        <f>SUM(C9:C16)</f>
        <v>0</v>
      </c>
      <c r="D18" s="505">
        <f>SUM(D9:D16)</f>
        <v>0</v>
      </c>
      <c r="E18" s="505">
        <f>SUM(E9:E16)</f>
        <v>0</v>
      </c>
    </row>
    <row r="19" spans="2:5" x14ac:dyDescent="0.2">
      <c r="B19" s="95" t="s">
        <v>27</v>
      </c>
      <c r="C19" s="505">
        <f>C18+C7</f>
        <v>0</v>
      </c>
      <c r="D19" s="505">
        <f>D18+D7</f>
        <v>0</v>
      </c>
      <c r="E19" s="505">
        <f>E18+E7</f>
        <v>0</v>
      </c>
    </row>
    <row r="20" spans="2:5" x14ac:dyDescent="0.2">
      <c r="B20" s="85" t="s">
        <v>28</v>
      </c>
      <c r="C20" s="11"/>
      <c r="D20" s="11"/>
      <c r="E20" s="11"/>
    </row>
    <row r="21" spans="2:5" x14ac:dyDescent="0.2">
      <c r="B21" s="90"/>
      <c r="C21" s="56"/>
      <c r="D21" s="56"/>
      <c r="E21" s="56"/>
    </row>
    <row r="22" spans="2:5" x14ac:dyDescent="0.2">
      <c r="B22" s="90"/>
      <c r="C22" s="56"/>
      <c r="D22" s="56"/>
      <c r="E22" s="56"/>
    </row>
    <row r="23" spans="2:5" x14ac:dyDescent="0.2">
      <c r="B23" s="90"/>
      <c r="C23" s="56"/>
      <c r="D23" s="56"/>
      <c r="E23" s="56"/>
    </row>
    <row r="24" spans="2:5" x14ac:dyDescent="0.2">
      <c r="B24" s="90"/>
      <c r="C24" s="56"/>
      <c r="D24" s="56"/>
      <c r="E24" s="56"/>
    </row>
    <row r="25" spans="2:5" x14ac:dyDescent="0.2">
      <c r="B25" s="90"/>
      <c r="C25" s="56"/>
      <c r="D25" s="56"/>
      <c r="E25" s="56"/>
    </row>
    <row r="26" spans="2:5" x14ac:dyDescent="0.2">
      <c r="B26" s="90"/>
      <c r="C26" s="56"/>
      <c r="D26" s="56"/>
      <c r="E26" s="56"/>
    </row>
    <row r="27" spans="2:5" x14ac:dyDescent="0.2">
      <c r="B27" s="97" t="str">
        <f>CONCATENATE("Cash Forward (",E1," column)")</f>
        <v>Cash Forward (2024 column)</v>
      </c>
      <c r="C27" s="56"/>
      <c r="D27" s="56"/>
      <c r="E27" s="56"/>
    </row>
    <row r="28" spans="2:5" x14ac:dyDescent="0.2">
      <c r="B28" s="97" t="s">
        <v>127</v>
      </c>
      <c r="C28" s="54"/>
      <c r="D28" s="86"/>
      <c r="E28" s="86"/>
    </row>
    <row r="29" spans="2:5" x14ac:dyDescent="0.2">
      <c r="B29" s="97" t="s">
        <v>406</v>
      </c>
      <c r="C29" s="278" t="str">
        <f>IF(C30*0.1&lt;C28,"Exceed 10% Rule","")</f>
        <v/>
      </c>
      <c r="D29" s="94" t="str">
        <f>IF(D30*0.1&lt;D28,"Exceed 10% Rule","")</f>
        <v/>
      </c>
      <c r="E29" s="94" t="str">
        <f>IF(E30*0.1&lt;E28,"Exceed 10% Rule","")</f>
        <v/>
      </c>
    </row>
    <row r="30" spans="2:5" x14ac:dyDescent="0.2">
      <c r="B30" s="95" t="s">
        <v>29</v>
      </c>
      <c r="C30" s="505">
        <f>SUM(C21:C28)</f>
        <v>0</v>
      </c>
      <c r="D30" s="505">
        <f>SUM(D21:D28)</f>
        <v>0</v>
      </c>
      <c r="E30" s="505">
        <f>SUM(E21:E28)</f>
        <v>0</v>
      </c>
    </row>
    <row r="31" spans="2:5" x14ac:dyDescent="0.2">
      <c r="B31" s="85" t="s">
        <v>77</v>
      </c>
      <c r="C31" s="64">
        <f>C19-C30</f>
        <v>0</v>
      </c>
      <c r="D31" s="64">
        <f>D19-D30</f>
        <v>0</v>
      </c>
      <c r="E31" s="64">
        <f>E19-E30</f>
        <v>0</v>
      </c>
    </row>
    <row r="32" spans="2:5" x14ac:dyDescent="0.2">
      <c r="B32" s="15" t="str">
        <f>CONCATENATE("",E1-2,"/",E1-1,"/",E1," Budget Authority Amount:")</f>
        <v>2022/2023/2024 Budget Authority Amount:</v>
      </c>
      <c r="C32" s="109">
        <f>inputOth!B48</f>
        <v>0</v>
      </c>
      <c r="D32" s="109">
        <f>inputPrYr!D26</f>
        <v>0</v>
      </c>
      <c r="E32" s="316">
        <f>E30</f>
        <v>0</v>
      </c>
    </row>
    <row r="33" spans="2:5" x14ac:dyDescent="0.2">
      <c r="B33" s="4"/>
      <c r="C33" s="280" t="str">
        <f>IF(C30&gt;C32,"See Tab A","")</f>
        <v/>
      </c>
      <c r="D33" s="280" t="str">
        <f>IF(D30&gt;D32,"See Tab C","")</f>
        <v/>
      </c>
      <c r="E33" s="376" t="str">
        <f>IF(E31&lt;0,"See Tab E","")</f>
        <v/>
      </c>
    </row>
    <row r="34" spans="2:5" x14ac:dyDescent="0.2">
      <c r="B34" s="4"/>
      <c r="C34" s="280" t="str">
        <f>IF(C31&lt;0,"See Tab B","")</f>
        <v/>
      </c>
      <c r="D34" s="280" t="str">
        <f>IF(D31&lt;0,"See Tab D","")</f>
        <v/>
      </c>
      <c r="E34" s="117"/>
    </row>
    <row r="35" spans="2:5" x14ac:dyDescent="0.2">
      <c r="B35" s="1"/>
      <c r="C35" s="5"/>
      <c r="D35" s="5"/>
      <c r="E35" s="5"/>
    </row>
    <row r="36" spans="2:5" x14ac:dyDescent="0.2">
      <c r="B36" s="1"/>
      <c r="C36" s="70"/>
      <c r="D36" s="70"/>
      <c r="E36" s="70"/>
    </row>
    <row r="37" spans="2:5" x14ac:dyDescent="0.2">
      <c r="B37" s="15" t="s">
        <v>20</v>
      </c>
      <c r="C37" s="116" t="s">
        <v>143</v>
      </c>
      <c r="D37" s="84" t="s">
        <v>144</v>
      </c>
      <c r="E37" s="84" t="s">
        <v>142</v>
      </c>
    </row>
    <row r="38" spans="2:5" ht="15.75" customHeight="1" x14ac:dyDescent="0.2">
      <c r="B38" s="82">
        <f>inputPrYr!B27</f>
        <v>0</v>
      </c>
      <c r="C38" s="9" t="str">
        <f>C6</f>
        <v>Actual for 2022</v>
      </c>
      <c r="D38" s="9" t="str">
        <f>D6</f>
        <v>Estimate for 2023</v>
      </c>
      <c r="E38" s="9" t="str">
        <f>E6</f>
        <v>Year for 2024</v>
      </c>
    </row>
    <row r="39" spans="2:5" ht="15.75" customHeight="1" x14ac:dyDescent="0.2">
      <c r="B39" s="85" t="s">
        <v>76</v>
      </c>
      <c r="C39" s="54"/>
      <c r="D39" s="64">
        <f>C63</f>
        <v>0</v>
      </c>
      <c r="E39" s="64">
        <f>D63</f>
        <v>0</v>
      </c>
    </row>
    <row r="40" spans="2:5" x14ac:dyDescent="0.2">
      <c r="B40" s="87" t="s">
        <v>78</v>
      </c>
      <c r="C40" s="11"/>
      <c r="D40" s="11"/>
      <c r="E40" s="11"/>
    </row>
    <row r="41" spans="2:5" x14ac:dyDescent="0.2">
      <c r="B41" s="90"/>
      <c r="C41" s="56"/>
      <c r="D41" s="56"/>
      <c r="E41" s="56"/>
    </row>
    <row r="42" spans="2:5" x14ac:dyDescent="0.2">
      <c r="B42" s="90"/>
      <c r="C42" s="56"/>
      <c r="D42" s="56"/>
      <c r="E42" s="56"/>
    </row>
    <row r="43" spans="2:5" x14ac:dyDescent="0.2">
      <c r="B43" s="90"/>
      <c r="C43" s="56"/>
      <c r="D43" s="56"/>
      <c r="E43" s="56"/>
    </row>
    <row r="44" spans="2:5" x14ac:dyDescent="0.2">
      <c r="B44" s="90"/>
      <c r="C44" s="56"/>
      <c r="D44" s="56"/>
      <c r="E44" s="56"/>
    </row>
    <row r="45" spans="2:5" x14ac:dyDescent="0.2">
      <c r="B45" s="90"/>
      <c r="C45" s="56"/>
      <c r="D45" s="56"/>
      <c r="E45" s="56"/>
    </row>
    <row r="46" spans="2:5" x14ac:dyDescent="0.2">
      <c r="B46" s="90"/>
      <c r="C46" s="56"/>
      <c r="D46" s="56"/>
      <c r="E46" s="56"/>
    </row>
    <row r="47" spans="2:5" x14ac:dyDescent="0.2">
      <c r="B47" s="91" t="s">
        <v>25</v>
      </c>
      <c r="C47" s="56"/>
      <c r="D47" s="56"/>
      <c r="E47" s="56"/>
    </row>
    <row r="48" spans="2:5" x14ac:dyDescent="0.2">
      <c r="B48" s="92" t="s">
        <v>127</v>
      </c>
      <c r="C48" s="56"/>
      <c r="D48" s="93"/>
      <c r="E48" s="93"/>
    </row>
    <row r="49" spans="2:5" x14ac:dyDescent="0.2">
      <c r="B49" s="92" t="s">
        <v>407</v>
      </c>
      <c r="C49" s="278" t="str">
        <f>IF(C50*0.1&lt;C48,"Exceed 10% Rule","")</f>
        <v/>
      </c>
      <c r="D49" s="94" t="str">
        <f>IF(D50*0.1&lt;D48,"Exceed 10% Rule","")</f>
        <v/>
      </c>
      <c r="E49" s="94" t="str">
        <f>IF(E50*0.1&lt;E48,"Exceed 10% Rule","")</f>
        <v/>
      </c>
    </row>
    <row r="50" spans="2:5" x14ac:dyDescent="0.2">
      <c r="B50" s="95" t="s">
        <v>26</v>
      </c>
      <c r="C50" s="96">
        <f>SUM(C41:C48)</f>
        <v>0</v>
      </c>
      <c r="D50" s="96">
        <f>SUM(D41:D48)</f>
        <v>0</v>
      </c>
      <c r="E50" s="96">
        <f>SUM(E41:E48)</f>
        <v>0</v>
      </c>
    </row>
    <row r="51" spans="2:5" x14ac:dyDescent="0.2">
      <c r="B51" s="95" t="s">
        <v>27</v>
      </c>
      <c r="C51" s="96">
        <f>C50+C39</f>
        <v>0</v>
      </c>
      <c r="D51" s="96">
        <f>D50+D39</f>
        <v>0</v>
      </c>
      <c r="E51" s="96">
        <f>E50+E39</f>
        <v>0</v>
      </c>
    </row>
    <row r="52" spans="2:5" x14ac:dyDescent="0.2">
      <c r="B52" s="85" t="s">
        <v>28</v>
      </c>
      <c r="C52" s="11"/>
      <c r="D52" s="11"/>
      <c r="E52" s="11"/>
    </row>
    <row r="53" spans="2:5" x14ac:dyDescent="0.2">
      <c r="B53" s="90"/>
      <c r="C53" s="56"/>
      <c r="D53" s="56"/>
      <c r="E53" s="56"/>
    </row>
    <row r="54" spans="2:5" x14ac:dyDescent="0.2">
      <c r="B54" s="90"/>
      <c r="C54" s="56"/>
      <c r="D54" s="56"/>
      <c r="E54" s="56"/>
    </row>
    <row r="55" spans="2:5" x14ac:dyDescent="0.2">
      <c r="B55" s="90"/>
      <c r="C55" s="56"/>
      <c r="D55" s="56"/>
      <c r="E55" s="56"/>
    </row>
    <row r="56" spans="2:5" x14ac:dyDescent="0.2">
      <c r="B56" s="90"/>
      <c r="C56" s="56"/>
      <c r="D56" s="56"/>
      <c r="E56" s="56"/>
    </row>
    <row r="57" spans="2:5" x14ac:dyDescent="0.2">
      <c r="B57" s="90"/>
      <c r="C57" s="56"/>
      <c r="D57" s="56"/>
      <c r="E57" s="56"/>
    </row>
    <row r="58" spans="2:5" x14ac:dyDescent="0.2">
      <c r="B58" s="90"/>
      <c r="C58" s="56"/>
      <c r="D58" s="56"/>
      <c r="E58" s="56"/>
    </row>
    <row r="59" spans="2:5" x14ac:dyDescent="0.2">
      <c r="B59" s="97" t="str">
        <f>CONCATENATE("Cash Forward (",E1," column)")</f>
        <v>Cash Forward (2024 column)</v>
      </c>
      <c r="C59" s="56"/>
      <c r="D59" s="56"/>
      <c r="E59" s="56"/>
    </row>
    <row r="60" spans="2:5" x14ac:dyDescent="0.2">
      <c r="B60" s="97" t="s">
        <v>127</v>
      </c>
      <c r="C60" s="54"/>
      <c r="D60" s="86"/>
      <c r="E60" s="86"/>
    </row>
    <row r="61" spans="2:5" x14ac:dyDescent="0.2">
      <c r="B61" s="97" t="s">
        <v>406</v>
      </c>
      <c r="C61" s="278" t="str">
        <f>IF(C62*0.1&lt;C60,"Exceed 10% Rule","")</f>
        <v/>
      </c>
      <c r="D61" s="94" t="str">
        <f>IF(D62*0.1&lt;D60,"Exceed 10% Rule","")</f>
        <v/>
      </c>
      <c r="E61" s="94" t="str">
        <f>IF(E62*0.1&lt;E60,"Exceed 10% Rule","")</f>
        <v/>
      </c>
    </row>
    <row r="62" spans="2:5" x14ac:dyDescent="0.2">
      <c r="B62" s="95" t="s">
        <v>29</v>
      </c>
      <c r="C62" s="96">
        <f>SUM(C53:C60)</f>
        <v>0</v>
      </c>
      <c r="D62" s="96">
        <f>SUM(D53:D60)</f>
        <v>0</v>
      </c>
      <c r="E62" s="96">
        <f>SUM(E53:E60)</f>
        <v>0</v>
      </c>
    </row>
    <row r="63" spans="2:5" x14ac:dyDescent="0.2">
      <c r="B63" s="85" t="s">
        <v>77</v>
      </c>
      <c r="C63" s="114">
        <f>C51-C62</f>
        <v>0</v>
      </c>
      <c r="D63" s="114">
        <f>D51-D62</f>
        <v>0</v>
      </c>
      <c r="E63" s="114">
        <f>E51-E62</f>
        <v>0</v>
      </c>
    </row>
    <row r="64" spans="2:5" x14ac:dyDescent="0.2">
      <c r="B64" s="15" t="str">
        <f>CONCATENATE("",E1-2,"/",E1-1,"/",E1," Budget Authority Amount:")</f>
        <v>2022/2023/2024 Budget Authority Amount:</v>
      </c>
      <c r="C64" s="109">
        <f>inputOth!B49</f>
        <v>0</v>
      </c>
      <c r="D64" s="109">
        <f>inputPrYr!D27</f>
        <v>0</v>
      </c>
      <c r="E64" s="316">
        <f>E62</f>
        <v>0</v>
      </c>
    </row>
    <row r="65" spans="2:5" x14ac:dyDescent="0.2">
      <c r="B65" s="4"/>
      <c r="C65" s="280" t="str">
        <f>IF(C62&gt;C64,"See Tab A","")</f>
        <v/>
      </c>
      <c r="D65" s="280" t="str">
        <f>IF(D62&gt;D64,"See Tab C","")</f>
        <v/>
      </c>
      <c r="E65" s="376" t="str">
        <f>IF(E63&lt;0,"See Tab E","")</f>
        <v/>
      </c>
    </row>
    <row r="66" spans="2:5" x14ac:dyDescent="0.2">
      <c r="B66" s="421" t="s">
        <v>449</v>
      </c>
      <c r="C66" s="422"/>
      <c r="D66" s="422"/>
      <c r="E66" s="423"/>
    </row>
    <row r="67" spans="2:5" x14ac:dyDescent="0.2">
      <c r="B67" s="416"/>
      <c r="C67" s="424"/>
      <c r="D67" s="424"/>
      <c r="E67" s="425"/>
    </row>
    <row r="68" spans="2:5" x14ac:dyDescent="0.2">
      <c r="B68" s="418"/>
      <c r="C68" s="426" t="str">
        <f>IF(C63&lt;0,"See Tab B","")</f>
        <v/>
      </c>
      <c r="D68" s="426" t="str">
        <f>IF(D63&lt;0,"See Tab D","")</f>
        <v/>
      </c>
      <c r="E68" s="420"/>
    </row>
    <row r="69" spans="2:5" x14ac:dyDescent="0.2">
      <c r="B69" s="1"/>
      <c r="C69" s="1"/>
      <c r="D69" s="81"/>
      <c r="E69" s="81"/>
    </row>
    <row r="70" spans="2:5" x14ac:dyDescent="0.2">
      <c r="B70" s="4" t="s">
        <v>32</v>
      </c>
      <c r="C70" s="390"/>
      <c r="D70" s="1"/>
      <c r="E70" s="1"/>
    </row>
  </sheetData>
  <phoneticPr fontId="0" type="noConversion"/>
  <conditionalFormatting sqref="E16">
    <cfRule type="cellIs" dxfId="17" priority="6" stopIfTrue="1" operator="greaterThan">
      <formula>$E$18*0.1</formula>
    </cfRule>
  </conditionalFormatting>
  <conditionalFormatting sqref="E28">
    <cfRule type="cellIs" dxfId="16" priority="7" stopIfTrue="1" operator="greaterThan">
      <formula>$E$30*0.1</formula>
    </cfRule>
  </conditionalFormatting>
  <conditionalFormatting sqref="E48">
    <cfRule type="cellIs" dxfId="15" priority="8" stopIfTrue="1" operator="greaterThan">
      <formula>$E$50*0.1</formula>
    </cfRule>
  </conditionalFormatting>
  <conditionalFormatting sqref="E60">
    <cfRule type="cellIs" dxfId="14" priority="9" stopIfTrue="1" operator="greaterThan">
      <formula>$E$62*0.1</formula>
    </cfRule>
  </conditionalFormatting>
  <conditionalFormatting sqref="D16">
    <cfRule type="cellIs" dxfId="13" priority="10" stopIfTrue="1" operator="greaterThan">
      <formula>$D$18*0.1</formula>
    </cfRule>
  </conditionalFormatting>
  <conditionalFormatting sqref="D28">
    <cfRule type="cellIs" dxfId="12" priority="11" stopIfTrue="1" operator="greaterThan">
      <formula>$D$30*0.1</formula>
    </cfRule>
  </conditionalFormatting>
  <conditionalFormatting sqref="D48">
    <cfRule type="cellIs" dxfId="11" priority="12" stopIfTrue="1" operator="greaterThan">
      <formula>$D$50*0.1</formula>
    </cfRule>
  </conditionalFormatting>
  <conditionalFormatting sqref="D60">
    <cfRule type="cellIs" dxfId="10" priority="13" stopIfTrue="1" operator="greaterThan">
      <formula>$D$62*0.1</formula>
    </cfRule>
  </conditionalFormatting>
  <conditionalFormatting sqref="C16">
    <cfRule type="cellIs" dxfId="9" priority="14" stopIfTrue="1" operator="greaterThan">
      <formula>$C$18*0.1</formula>
    </cfRule>
  </conditionalFormatting>
  <conditionalFormatting sqref="C28">
    <cfRule type="cellIs" dxfId="8" priority="15" stopIfTrue="1" operator="greaterThan">
      <formula>$C$30*0.1</formula>
    </cfRule>
  </conditionalFormatting>
  <conditionalFormatting sqref="C48">
    <cfRule type="cellIs" dxfId="7" priority="16" stopIfTrue="1" operator="greaterThan">
      <formula>$C$50*0.1</formula>
    </cfRule>
  </conditionalFormatting>
  <conditionalFormatting sqref="C60">
    <cfRule type="cellIs" dxfId="6" priority="17" stopIfTrue="1" operator="greaterThan">
      <formula>$C$62*0.1</formula>
    </cfRule>
  </conditionalFormatting>
  <conditionalFormatting sqref="E63 C63">
    <cfRule type="cellIs" dxfId="5" priority="18" stopIfTrue="1" operator="lessThan">
      <formula>0</formula>
    </cfRule>
  </conditionalFormatting>
  <conditionalFormatting sqref="C62">
    <cfRule type="cellIs" dxfId="4" priority="19" stopIfTrue="1" operator="greaterThan">
      <formula>$C$64</formula>
    </cfRule>
  </conditionalFormatting>
  <conditionalFormatting sqref="D62">
    <cfRule type="cellIs" dxfId="3" priority="20" stopIfTrue="1" operator="greaterThan">
      <formula>$D$64</formula>
    </cfRule>
  </conditionalFormatting>
  <conditionalFormatting sqref="D63">
    <cfRule type="cellIs" dxfId="2" priority="1" stopIfTrue="1" operator="lessThan">
      <formula>0</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00B0F0"/>
    <pageSetUpPr fitToPage="1"/>
  </sheetPr>
  <dimension ref="A1:L45"/>
  <sheetViews>
    <sheetView workbookViewId="0">
      <selection activeCell="L1" sqref="L1"/>
    </sheetView>
  </sheetViews>
  <sheetFormatPr defaultRowHeight="15.75" x14ac:dyDescent="0.2"/>
  <cols>
    <col min="1" max="1" width="11.5546875" style="66" customWidth="1"/>
    <col min="2" max="2" width="7.44140625" style="66" customWidth="1"/>
    <col min="3" max="3" width="11.5546875" style="66" customWidth="1"/>
    <col min="4" max="4" width="7.44140625" style="66" customWidth="1"/>
    <col min="5" max="5" width="11.5546875" style="66" customWidth="1"/>
    <col min="6" max="6" width="7.44140625" style="66" customWidth="1"/>
    <col min="7" max="7" width="11.5546875" style="66" customWidth="1"/>
    <col min="8" max="8" width="7.44140625" style="66" customWidth="1"/>
    <col min="9" max="9" width="11.5546875" style="66" customWidth="1"/>
    <col min="10" max="16384" width="8.88671875" style="66"/>
  </cols>
  <sheetData>
    <row r="1" spans="1:11" x14ac:dyDescent="0.2">
      <c r="A1" s="5">
        <f>inputPrYr!$D$3</f>
        <v>0</v>
      </c>
      <c r="B1" s="29"/>
      <c r="C1" s="1"/>
      <c r="D1" s="1"/>
      <c r="E1" s="1"/>
      <c r="F1" s="17" t="s">
        <v>129</v>
      </c>
      <c r="G1" s="1"/>
      <c r="H1" s="1"/>
      <c r="I1" s="1"/>
      <c r="J1" s="1"/>
      <c r="K1" s="1">
        <f>inputPrYr!$D$6</f>
        <v>2024</v>
      </c>
    </row>
    <row r="2" spans="1:11" x14ac:dyDescent="0.2">
      <c r="A2" s="1"/>
      <c r="B2" s="1"/>
      <c r="C2" s="1"/>
      <c r="D2" s="1"/>
      <c r="E2" s="1"/>
      <c r="F2" s="118" t="str">
        <f>CONCATENATE("(Only the actual budget year for ",K1-2," is reported)")</f>
        <v>(Only the actual budget year for 2022 is reported)</v>
      </c>
      <c r="G2" s="1"/>
      <c r="H2" s="1"/>
      <c r="I2" s="1"/>
      <c r="J2" s="1"/>
      <c r="K2" s="1"/>
    </row>
    <row r="3" spans="1:11" x14ac:dyDescent="0.2">
      <c r="A3" s="1" t="s">
        <v>130</v>
      </c>
      <c r="B3" s="1"/>
      <c r="C3" s="1"/>
      <c r="D3" s="1"/>
      <c r="E3" s="1"/>
      <c r="F3" s="29"/>
      <c r="G3" s="1"/>
      <c r="H3" s="1"/>
      <c r="I3" s="1"/>
      <c r="J3" s="1"/>
      <c r="K3" s="1"/>
    </row>
    <row r="4" spans="1:11" x14ac:dyDescent="0.2">
      <c r="A4" s="1" t="s">
        <v>131</v>
      </c>
      <c r="B4" s="1"/>
      <c r="C4" s="1" t="s">
        <v>132</v>
      </c>
      <c r="D4" s="1"/>
      <c r="E4" s="1" t="s">
        <v>133</v>
      </c>
      <c r="F4" s="29"/>
      <c r="G4" s="1" t="s">
        <v>134</v>
      </c>
      <c r="H4" s="1"/>
      <c r="I4" s="1" t="s">
        <v>135</v>
      </c>
      <c r="J4" s="1"/>
      <c r="K4" s="1"/>
    </row>
    <row r="5" spans="1:11" x14ac:dyDescent="0.2">
      <c r="A5" s="609">
        <f>inputPrYr!B30</f>
        <v>0</v>
      </c>
      <c r="B5" s="610"/>
      <c r="C5" s="609">
        <f>inputPrYr!B31</f>
        <v>0</v>
      </c>
      <c r="D5" s="610"/>
      <c r="E5" s="609">
        <f>inputPrYr!B32</f>
        <v>0</v>
      </c>
      <c r="F5" s="610"/>
      <c r="G5" s="609">
        <f>inputPrYr!B33</f>
        <v>0</v>
      </c>
      <c r="H5" s="610"/>
      <c r="I5" s="609">
        <f>inputPrYr!B34</f>
        <v>0</v>
      </c>
      <c r="J5" s="610"/>
      <c r="K5" s="119"/>
    </row>
    <row r="6" spans="1:11" x14ac:dyDescent="0.2">
      <c r="A6" s="120" t="s">
        <v>136</v>
      </c>
      <c r="B6" s="121"/>
      <c r="C6" s="122" t="s">
        <v>136</v>
      </c>
      <c r="D6" s="123"/>
      <c r="E6" s="122" t="s">
        <v>136</v>
      </c>
      <c r="F6" s="124"/>
      <c r="G6" s="122" t="s">
        <v>136</v>
      </c>
      <c r="H6" s="98"/>
      <c r="I6" s="122" t="s">
        <v>136</v>
      </c>
      <c r="J6" s="1"/>
      <c r="K6" s="10" t="s">
        <v>5</v>
      </c>
    </row>
    <row r="7" spans="1:11" x14ac:dyDescent="0.2">
      <c r="A7" s="125" t="s">
        <v>137</v>
      </c>
      <c r="B7" s="126"/>
      <c r="C7" s="127" t="s">
        <v>137</v>
      </c>
      <c r="D7" s="126"/>
      <c r="E7" s="127" t="s">
        <v>137</v>
      </c>
      <c r="F7" s="126"/>
      <c r="G7" s="127" t="s">
        <v>137</v>
      </c>
      <c r="H7" s="126"/>
      <c r="I7" s="127" t="s">
        <v>137</v>
      </c>
      <c r="J7" s="126"/>
      <c r="K7" s="128">
        <f>SUM(B7+D7+F7+H7+J7)</f>
        <v>0</v>
      </c>
    </row>
    <row r="8" spans="1:11" x14ac:dyDescent="0.2">
      <c r="A8" s="129" t="s">
        <v>78</v>
      </c>
      <c r="B8" s="130"/>
      <c r="C8" s="129" t="s">
        <v>78</v>
      </c>
      <c r="D8" s="131"/>
      <c r="E8" s="129" t="s">
        <v>78</v>
      </c>
      <c r="F8" s="29"/>
      <c r="G8" s="129" t="s">
        <v>78</v>
      </c>
      <c r="H8" s="1"/>
      <c r="I8" s="129" t="s">
        <v>78</v>
      </c>
      <c r="J8" s="1"/>
      <c r="K8" s="29"/>
    </row>
    <row r="9" spans="1:11" x14ac:dyDescent="0.2">
      <c r="A9" s="132"/>
      <c r="B9" s="126"/>
      <c r="C9" s="132"/>
      <c r="D9" s="126"/>
      <c r="E9" s="132"/>
      <c r="F9" s="126"/>
      <c r="G9" s="132"/>
      <c r="H9" s="126"/>
      <c r="I9" s="132"/>
      <c r="J9" s="126"/>
      <c r="K9" s="29"/>
    </row>
    <row r="10" spans="1:11" x14ac:dyDescent="0.2">
      <c r="A10" s="132"/>
      <c r="B10" s="126"/>
      <c r="C10" s="132"/>
      <c r="D10" s="126"/>
      <c r="E10" s="132"/>
      <c r="F10" s="126"/>
      <c r="G10" s="132"/>
      <c r="H10" s="126"/>
      <c r="I10" s="132"/>
      <c r="J10" s="126"/>
      <c r="K10" s="29"/>
    </row>
    <row r="11" spans="1:11" x14ac:dyDescent="0.2">
      <c r="A11" s="132"/>
      <c r="B11" s="126"/>
      <c r="C11" s="133"/>
      <c r="D11" s="134"/>
      <c r="E11" s="133"/>
      <c r="F11" s="126"/>
      <c r="G11" s="133"/>
      <c r="H11" s="126"/>
      <c r="I11" s="135"/>
      <c r="J11" s="126"/>
      <c r="K11" s="29"/>
    </row>
    <row r="12" spans="1:11" x14ac:dyDescent="0.2">
      <c r="A12" s="132"/>
      <c r="B12" s="136"/>
      <c r="C12" s="132"/>
      <c r="D12" s="137"/>
      <c r="E12" s="138"/>
      <c r="F12" s="126"/>
      <c r="G12" s="138"/>
      <c r="H12" s="126"/>
      <c r="I12" s="138"/>
      <c r="J12" s="126"/>
      <c r="K12" s="29"/>
    </row>
    <row r="13" spans="1:11" x14ac:dyDescent="0.2">
      <c r="A13" s="139"/>
      <c r="B13" s="140"/>
      <c r="C13" s="141"/>
      <c r="D13" s="137"/>
      <c r="E13" s="141"/>
      <c r="F13" s="126"/>
      <c r="G13" s="141"/>
      <c r="H13" s="126"/>
      <c r="I13" s="135"/>
      <c r="J13" s="126"/>
      <c r="K13" s="29"/>
    </row>
    <row r="14" spans="1:11" x14ac:dyDescent="0.2">
      <c r="A14" s="132"/>
      <c r="B14" s="126"/>
      <c r="C14" s="138"/>
      <c r="D14" s="137"/>
      <c r="E14" s="138"/>
      <c r="F14" s="126"/>
      <c r="G14" s="138"/>
      <c r="H14" s="126"/>
      <c r="I14" s="138"/>
      <c r="J14" s="126"/>
      <c r="K14" s="29"/>
    </row>
    <row r="15" spans="1:11" x14ac:dyDescent="0.2">
      <c r="A15" s="132"/>
      <c r="B15" s="126"/>
      <c r="C15" s="138"/>
      <c r="D15" s="137"/>
      <c r="E15" s="138"/>
      <c r="F15" s="126"/>
      <c r="G15" s="138"/>
      <c r="H15" s="126"/>
      <c r="I15" s="138"/>
      <c r="J15" s="126"/>
      <c r="K15" s="29"/>
    </row>
    <row r="16" spans="1:11" x14ac:dyDescent="0.2">
      <c r="A16" s="132"/>
      <c r="B16" s="140"/>
      <c r="C16" s="132"/>
      <c r="D16" s="137"/>
      <c r="E16" s="132"/>
      <c r="F16" s="126"/>
      <c r="G16" s="138"/>
      <c r="H16" s="126"/>
      <c r="I16" s="132"/>
      <c r="J16" s="126"/>
      <c r="K16" s="29"/>
    </row>
    <row r="17" spans="1:12" x14ac:dyDescent="0.2">
      <c r="A17" s="129" t="s">
        <v>26</v>
      </c>
      <c r="B17" s="128">
        <f>SUM(B9:B16)</f>
        <v>0</v>
      </c>
      <c r="C17" s="129" t="s">
        <v>26</v>
      </c>
      <c r="D17" s="128">
        <f>SUM(D9:D16)</f>
        <v>0</v>
      </c>
      <c r="E17" s="129" t="s">
        <v>26</v>
      </c>
      <c r="F17" s="142">
        <f>SUM(F9:F16)</f>
        <v>0</v>
      </c>
      <c r="G17" s="129" t="s">
        <v>26</v>
      </c>
      <c r="H17" s="128">
        <f>SUM(H9:H16)</f>
        <v>0</v>
      </c>
      <c r="I17" s="129" t="s">
        <v>26</v>
      </c>
      <c r="J17" s="128">
        <f>SUM(J9:J16)</f>
        <v>0</v>
      </c>
      <c r="K17" s="128">
        <f>SUM(B17+D17+F17+H17+J17)</f>
        <v>0</v>
      </c>
    </row>
    <row r="18" spans="1:12" x14ac:dyDescent="0.2">
      <c r="A18" s="129" t="s">
        <v>27</v>
      </c>
      <c r="B18" s="128">
        <f>SUM(B7+B17)</f>
        <v>0</v>
      </c>
      <c r="C18" s="129" t="s">
        <v>27</v>
      </c>
      <c r="D18" s="128">
        <f>SUM(D7+D17)</f>
        <v>0</v>
      </c>
      <c r="E18" s="129" t="s">
        <v>27</v>
      </c>
      <c r="F18" s="128">
        <f>SUM(F7+F17)</f>
        <v>0</v>
      </c>
      <c r="G18" s="129" t="s">
        <v>27</v>
      </c>
      <c r="H18" s="128">
        <f>SUM(H7+H17)</f>
        <v>0</v>
      </c>
      <c r="I18" s="129" t="s">
        <v>27</v>
      </c>
      <c r="J18" s="128">
        <f>SUM(J7+J17)</f>
        <v>0</v>
      </c>
      <c r="K18" s="128">
        <f>SUM(B18+D18+F18+H18+J18)</f>
        <v>0</v>
      </c>
    </row>
    <row r="19" spans="1:12" x14ac:dyDescent="0.2">
      <c r="A19" s="129" t="s">
        <v>28</v>
      </c>
      <c r="B19" s="130"/>
      <c r="C19" s="129" t="s">
        <v>28</v>
      </c>
      <c r="D19" s="131"/>
      <c r="E19" s="129" t="s">
        <v>28</v>
      </c>
      <c r="F19" s="29"/>
      <c r="G19" s="129" t="s">
        <v>28</v>
      </c>
      <c r="H19" s="1"/>
      <c r="I19" s="129" t="s">
        <v>28</v>
      </c>
      <c r="J19" s="1"/>
      <c r="K19" s="29"/>
    </row>
    <row r="20" spans="1:12" x14ac:dyDescent="0.2">
      <c r="A20" s="132"/>
      <c r="B20" s="126"/>
      <c r="C20" s="138"/>
      <c r="D20" s="126"/>
      <c r="E20" s="138"/>
      <c r="F20" s="126"/>
      <c r="G20" s="138"/>
      <c r="H20" s="126"/>
      <c r="I20" s="138"/>
      <c r="J20" s="126"/>
      <c r="K20" s="29"/>
    </row>
    <row r="21" spans="1:12" x14ac:dyDescent="0.2">
      <c r="A21" s="132"/>
      <c r="B21" s="126"/>
      <c r="C21" s="138"/>
      <c r="D21" s="126"/>
      <c r="E21" s="138"/>
      <c r="F21" s="126"/>
      <c r="G21" s="138"/>
      <c r="H21" s="126"/>
      <c r="I21" s="138"/>
      <c r="J21" s="126"/>
      <c r="K21" s="29"/>
    </row>
    <row r="22" spans="1:12" x14ac:dyDescent="0.2">
      <c r="A22" s="132"/>
      <c r="B22" s="126"/>
      <c r="C22" s="141"/>
      <c r="D22" s="126"/>
      <c r="E22" s="141"/>
      <c r="F22" s="126"/>
      <c r="G22" s="141"/>
      <c r="H22" s="126"/>
      <c r="I22" s="135"/>
      <c r="J22" s="126"/>
      <c r="K22" s="29"/>
    </row>
    <row r="23" spans="1:12" x14ac:dyDescent="0.2">
      <c r="A23" s="132"/>
      <c r="B23" s="126"/>
      <c r="C23" s="138"/>
      <c r="D23" s="126"/>
      <c r="E23" s="138"/>
      <c r="F23" s="126"/>
      <c r="G23" s="138"/>
      <c r="H23" s="126"/>
      <c r="I23" s="138"/>
      <c r="J23" s="126"/>
      <c r="K23" s="29"/>
    </row>
    <row r="24" spans="1:12" x14ac:dyDescent="0.2">
      <c r="A24" s="132"/>
      <c r="B24" s="126"/>
      <c r="C24" s="141"/>
      <c r="D24" s="126"/>
      <c r="E24" s="141"/>
      <c r="F24" s="126"/>
      <c r="G24" s="141"/>
      <c r="H24" s="126"/>
      <c r="I24" s="135"/>
      <c r="J24" s="126"/>
      <c r="K24" s="29"/>
    </row>
    <row r="25" spans="1:12" x14ac:dyDescent="0.2">
      <c r="A25" s="132"/>
      <c r="B25" s="126"/>
      <c r="C25" s="138"/>
      <c r="D25" s="126"/>
      <c r="E25" s="138"/>
      <c r="F25" s="126"/>
      <c r="G25" s="138"/>
      <c r="H25" s="126"/>
      <c r="I25" s="138"/>
      <c r="J25" s="126"/>
      <c r="K25" s="29"/>
    </row>
    <row r="26" spans="1:12" x14ac:dyDescent="0.2">
      <c r="A26" s="132"/>
      <c r="B26" s="126"/>
      <c r="C26" s="138"/>
      <c r="D26" s="126"/>
      <c r="E26" s="138"/>
      <c r="F26" s="126"/>
      <c r="G26" s="138"/>
      <c r="H26" s="126"/>
      <c r="I26" s="138"/>
      <c r="J26" s="126"/>
      <c r="K26" s="29"/>
    </row>
    <row r="27" spans="1:12" x14ac:dyDescent="0.2">
      <c r="A27" s="132"/>
      <c r="B27" s="126"/>
      <c r="C27" s="132"/>
      <c r="D27" s="126"/>
      <c r="E27" s="132"/>
      <c r="F27" s="126"/>
      <c r="G27" s="138"/>
      <c r="H27" s="126"/>
      <c r="I27" s="138"/>
      <c r="J27" s="126"/>
      <c r="K27" s="29"/>
    </row>
    <row r="28" spans="1:12" x14ac:dyDescent="0.2">
      <c r="A28" s="129" t="s">
        <v>29</v>
      </c>
      <c r="B28" s="128">
        <f>SUM(B20:B27)</f>
        <v>0</v>
      </c>
      <c r="C28" s="129" t="s">
        <v>29</v>
      </c>
      <c r="D28" s="128">
        <f>SUM(D20:D27)</f>
        <v>0</v>
      </c>
      <c r="E28" s="129" t="s">
        <v>29</v>
      </c>
      <c r="F28" s="142">
        <f>SUM(F20:F27)</f>
        <v>0</v>
      </c>
      <c r="G28" s="129" t="s">
        <v>29</v>
      </c>
      <c r="H28" s="142">
        <f>SUM(H20:H27)</f>
        <v>0</v>
      </c>
      <c r="I28" s="129" t="s">
        <v>29</v>
      </c>
      <c r="J28" s="128">
        <f>SUM(J20:J27)</f>
        <v>0</v>
      </c>
      <c r="K28" s="128">
        <f>SUM(B28+D28+F28+H28+J28)</f>
        <v>0</v>
      </c>
    </row>
    <row r="29" spans="1:12" x14ac:dyDescent="0.2">
      <c r="A29" s="129" t="s">
        <v>138</v>
      </c>
      <c r="B29" s="128">
        <f>SUM(B18-B28)</f>
        <v>0</v>
      </c>
      <c r="C29" s="129" t="s">
        <v>138</v>
      </c>
      <c r="D29" s="128">
        <f>SUM(D18-D28)</f>
        <v>0</v>
      </c>
      <c r="E29" s="129" t="s">
        <v>138</v>
      </c>
      <c r="F29" s="128">
        <f>SUM(F18-F28)</f>
        <v>0</v>
      </c>
      <c r="G29" s="129" t="s">
        <v>138</v>
      </c>
      <c r="H29" s="128">
        <f>SUM(H18-H28)</f>
        <v>0</v>
      </c>
      <c r="I29" s="129" t="s">
        <v>138</v>
      </c>
      <c r="J29" s="128">
        <f>SUM(J18-J28)</f>
        <v>0</v>
      </c>
      <c r="K29" s="143">
        <f>SUM(B29+D29+F29+H29+J29)</f>
        <v>0</v>
      </c>
      <c r="L29" s="66" t="s">
        <v>139</v>
      </c>
    </row>
    <row r="30" spans="1:12" x14ac:dyDescent="0.2">
      <c r="A30" s="129"/>
      <c r="B30" s="243" t="str">
        <f>IF(B29&lt;0,"See Tab B","")</f>
        <v/>
      </c>
      <c r="C30" s="129"/>
      <c r="D30" s="242" t="str">
        <f>IF(D29&lt;0,"See Tab B","")</f>
        <v/>
      </c>
      <c r="E30" s="129"/>
      <c r="F30" s="243" t="str">
        <f>IF(F29&lt;0,"See Tab B","")</f>
        <v/>
      </c>
      <c r="G30" s="1"/>
      <c r="H30" s="243" t="str">
        <f>IF(H29&lt;0,"See Tab B","")</f>
        <v/>
      </c>
      <c r="I30" s="1"/>
      <c r="J30" s="243" t="str">
        <f>IF(J29&lt;0,"See Tab B","")</f>
        <v/>
      </c>
      <c r="K30" s="143">
        <f>SUM(K7+K17-K28)</f>
        <v>0</v>
      </c>
      <c r="L30" s="66" t="s">
        <v>139</v>
      </c>
    </row>
    <row r="31" spans="1:12" x14ac:dyDescent="0.2">
      <c r="A31" s="1"/>
      <c r="B31" s="117"/>
      <c r="C31" s="1"/>
      <c r="D31" s="29"/>
      <c r="E31" s="1"/>
      <c r="F31" s="1"/>
      <c r="G31" s="1"/>
      <c r="H31" s="608" t="s">
        <v>140</v>
      </c>
      <c r="I31" s="608"/>
      <c r="J31" s="608"/>
      <c r="K31" s="608"/>
    </row>
    <row r="32" spans="1:12" x14ac:dyDescent="0.2">
      <c r="A32" s="1"/>
      <c r="B32" s="1"/>
      <c r="C32" s="1"/>
      <c r="D32" s="1"/>
      <c r="E32" s="1"/>
      <c r="F32" s="1"/>
      <c r="G32" s="1"/>
      <c r="H32" s="1"/>
      <c r="I32" s="1"/>
      <c r="J32" s="1"/>
      <c r="K32" s="1"/>
    </row>
    <row r="33" spans="1:11" x14ac:dyDescent="0.2">
      <c r="A33" s="421" t="s">
        <v>449</v>
      </c>
      <c r="B33" s="414"/>
      <c r="C33" s="414"/>
      <c r="D33" s="414"/>
      <c r="E33" s="414"/>
      <c r="F33" s="414"/>
      <c r="G33" s="414"/>
      <c r="H33" s="414"/>
      <c r="I33" s="414"/>
      <c r="J33" s="414"/>
      <c r="K33" s="415"/>
    </row>
    <row r="34" spans="1:11" x14ac:dyDescent="0.2">
      <c r="A34" s="416"/>
      <c r="B34" s="413"/>
      <c r="C34" s="413"/>
      <c r="D34" s="413"/>
      <c r="E34" s="413"/>
      <c r="F34" s="413"/>
      <c r="G34" s="413"/>
      <c r="H34" s="413"/>
      <c r="I34" s="413"/>
      <c r="J34" s="413"/>
      <c r="K34" s="417"/>
    </row>
    <row r="35" spans="1:11" x14ac:dyDescent="0.2">
      <c r="A35" s="418"/>
      <c r="B35" s="419"/>
      <c r="C35" s="419"/>
      <c r="D35" s="419"/>
      <c r="E35" s="419"/>
      <c r="F35" s="419"/>
      <c r="G35" s="419"/>
      <c r="H35" s="419"/>
      <c r="I35" s="419"/>
      <c r="J35" s="419"/>
      <c r="K35" s="420"/>
    </row>
    <row r="36" spans="1:11" x14ac:dyDescent="0.2">
      <c r="A36" s="1"/>
      <c r="B36" s="117"/>
      <c r="C36" s="1"/>
      <c r="D36" s="1"/>
      <c r="E36" s="1"/>
      <c r="F36" s="1"/>
      <c r="G36" s="1"/>
      <c r="H36" s="1"/>
      <c r="I36" s="1"/>
      <c r="J36" s="1"/>
      <c r="K36" s="1"/>
    </row>
    <row r="37" spans="1:11" x14ac:dyDescent="0.2">
      <c r="A37" s="1"/>
      <c r="B37" s="117"/>
      <c r="C37" s="1"/>
      <c r="D37" s="1"/>
      <c r="E37" s="4" t="s">
        <v>32</v>
      </c>
      <c r="F37" s="390"/>
      <c r="G37" s="1"/>
      <c r="H37" s="1"/>
      <c r="I37" s="1"/>
      <c r="J37" s="1"/>
      <c r="K37" s="1"/>
    </row>
    <row r="38" spans="1:11" x14ac:dyDescent="0.2">
      <c r="B38" s="144"/>
    </row>
    <row r="39" spans="1:11" x14ac:dyDescent="0.2">
      <c r="B39" s="144"/>
    </row>
    <row r="40" spans="1:11" x14ac:dyDescent="0.2">
      <c r="B40" s="144"/>
    </row>
    <row r="41" spans="1:11" x14ac:dyDescent="0.2">
      <c r="B41" s="144"/>
    </row>
    <row r="42" spans="1:11" x14ac:dyDescent="0.2">
      <c r="B42" s="144"/>
    </row>
    <row r="43" spans="1:11" x14ac:dyDescent="0.2">
      <c r="B43" s="144"/>
    </row>
    <row r="44" spans="1:11" x14ac:dyDescent="0.2">
      <c r="B44" s="144"/>
    </row>
    <row r="45" spans="1:11" x14ac:dyDescent="0.2">
      <c r="B45" s="144"/>
    </row>
  </sheetData>
  <sheetProtection sheet="1" objects="1" scenarios="1"/>
  <mergeCells count="6">
    <mergeCell ref="H31:K31"/>
    <mergeCell ref="I5:J5"/>
    <mergeCell ref="A5:B5"/>
    <mergeCell ref="C5:D5"/>
    <mergeCell ref="E5:F5"/>
    <mergeCell ref="G5:H5"/>
  </mergeCells>
  <phoneticPr fontId="11"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A47"/>
  <sheetViews>
    <sheetView workbookViewId="0"/>
  </sheetViews>
  <sheetFormatPr defaultRowHeight="15" x14ac:dyDescent="0.2"/>
  <cols>
    <col min="1" max="1" width="62.44140625" style="32" customWidth="1"/>
    <col min="2" max="16384" width="8.88671875" style="32"/>
  </cols>
  <sheetData>
    <row r="1" spans="1:1" ht="18.75" x14ac:dyDescent="0.2">
      <c r="A1" s="270" t="s">
        <v>180</v>
      </c>
    </row>
    <row r="2" spans="1:1" ht="15.75" x14ac:dyDescent="0.2">
      <c r="A2" s="66"/>
    </row>
    <row r="3" spans="1:1" ht="15.75" x14ac:dyDescent="0.2">
      <c r="A3" s="66"/>
    </row>
    <row r="4" spans="1:1" ht="56.25" customHeight="1" x14ac:dyDescent="0.2">
      <c r="A4" s="271" t="s">
        <v>181</v>
      </c>
    </row>
    <row r="5" spans="1:1" ht="15.75" x14ac:dyDescent="0.2">
      <c r="A5" s="272"/>
    </row>
    <row r="6" spans="1:1" ht="15.75" x14ac:dyDescent="0.2">
      <c r="A6" s="66"/>
    </row>
    <row r="7" spans="1:1" ht="50.25" customHeight="1" x14ac:dyDescent="0.2">
      <c r="A7" s="271" t="s">
        <v>182</v>
      </c>
    </row>
    <row r="8" spans="1:1" ht="15.75" x14ac:dyDescent="0.2">
      <c r="A8" s="66"/>
    </row>
    <row r="9" spans="1:1" ht="15.75" x14ac:dyDescent="0.2">
      <c r="A9" s="66"/>
    </row>
    <row r="10" spans="1:1" ht="52.5" customHeight="1" x14ac:dyDescent="0.2">
      <c r="A10" s="271" t="s">
        <v>183</v>
      </c>
    </row>
    <row r="11" spans="1:1" ht="15.75" x14ac:dyDescent="0.2">
      <c r="A11" s="66"/>
    </row>
    <row r="12" spans="1:1" ht="15.75" x14ac:dyDescent="0.2">
      <c r="A12" s="66"/>
    </row>
    <row r="13" spans="1:1" ht="52.5" customHeight="1" x14ac:dyDescent="0.2">
      <c r="A13" s="271" t="s">
        <v>184</v>
      </c>
    </row>
    <row r="14" spans="1:1" ht="15.75" x14ac:dyDescent="0.2">
      <c r="A14" s="272"/>
    </row>
    <row r="15" spans="1:1" ht="15.75" x14ac:dyDescent="0.2">
      <c r="A15" s="272"/>
    </row>
    <row r="16" spans="1:1" ht="51" customHeight="1" x14ac:dyDescent="0.25">
      <c r="A16" s="273" t="s">
        <v>397</v>
      </c>
    </row>
    <row r="17" spans="1:1" ht="15.75" x14ac:dyDescent="0.2">
      <c r="A17" s="272"/>
    </row>
    <row r="18" spans="1:1" ht="15.75" x14ac:dyDescent="0.2">
      <c r="A18" s="272"/>
    </row>
    <row r="19" spans="1:1" ht="37.5" customHeight="1" x14ac:dyDescent="0.2">
      <c r="A19" s="271" t="s">
        <v>185</v>
      </c>
    </row>
    <row r="20" spans="1:1" ht="15.75" x14ac:dyDescent="0.2">
      <c r="A20" s="66"/>
    </row>
    <row r="21" spans="1:1" ht="15.75" x14ac:dyDescent="0.2">
      <c r="A21" s="66"/>
    </row>
    <row r="22" spans="1:1" ht="47.25" x14ac:dyDescent="0.2">
      <c r="A22" s="271" t="s">
        <v>186</v>
      </c>
    </row>
    <row r="23" spans="1:1" ht="15.75" x14ac:dyDescent="0.2">
      <c r="A23" s="272"/>
    </row>
    <row r="24" spans="1:1" ht="15.75" x14ac:dyDescent="0.2">
      <c r="A24" s="66"/>
    </row>
    <row r="25" spans="1:1" ht="67.5" customHeight="1" x14ac:dyDescent="0.2">
      <c r="A25" s="271" t="s">
        <v>187</v>
      </c>
    </row>
    <row r="26" spans="1:1" ht="68.25" customHeight="1" x14ac:dyDescent="0.2">
      <c r="A26" s="274" t="s">
        <v>188</v>
      </c>
    </row>
    <row r="27" spans="1:1" ht="15.75" x14ac:dyDescent="0.2">
      <c r="A27" s="66"/>
    </row>
    <row r="28" spans="1:1" ht="15.75" x14ac:dyDescent="0.2">
      <c r="A28" s="66"/>
    </row>
    <row r="29" spans="1:1" ht="51" customHeight="1" x14ac:dyDescent="0.25">
      <c r="A29" s="275" t="s">
        <v>398</v>
      </c>
    </row>
    <row r="30" spans="1:1" ht="15.75" x14ac:dyDescent="0.2">
      <c r="A30" s="66"/>
    </row>
    <row r="31" spans="1:1" ht="15.75" x14ac:dyDescent="0.2">
      <c r="A31" s="272"/>
    </row>
    <row r="32" spans="1:1" ht="69" customHeight="1" x14ac:dyDescent="0.25">
      <c r="A32" s="275" t="s">
        <v>399</v>
      </c>
    </row>
    <row r="33" spans="1:1" ht="15.75" x14ac:dyDescent="0.2">
      <c r="A33" s="272"/>
    </row>
    <row r="34" spans="1:1" ht="15.75" x14ac:dyDescent="0.2">
      <c r="A34" s="272"/>
    </row>
    <row r="35" spans="1:1" ht="52.5" customHeight="1" x14ac:dyDescent="0.25">
      <c r="A35" s="275" t="s">
        <v>400</v>
      </c>
    </row>
    <row r="36" spans="1:1" ht="15.75" x14ac:dyDescent="0.2">
      <c r="A36" s="272"/>
    </row>
    <row r="37" spans="1:1" ht="15.75" x14ac:dyDescent="0.2">
      <c r="A37" s="272"/>
    </row>
    <row r="38" spans="1:1" ht="59.25" customHeight="1" x14ac:dyDescent="0.2">
      <c r="A38" s="271" t="s">
        <v>189</v>
      </c>
    </row>
    <row r="39" spans="1:1" ht="15.75" x14ac:dyDescent="0.2">
      <c r="A39" s="66"/>
    </row>
    <row r="40" spans="1:1" ht="15.75" x14ac:dyDescent="0.2">
      <c r="A40" s="66"/>
    </row>
    <row r="41" spans="1:1" ht="53.25" customHeight="1" x14ac:dyDescent="0.2">
      <c r="A41" s="271" t="s">
        <v>190</v>
      </c>
    </row>
    <row r="42" spans="1:1" ht="15.75" x14ac:dyDescent="0.2">
      <c r="A42" s="272"/>
    </row>
    <row r="43" spans="1:1" ht="15.75" x14ac:dyDescent="0.2">
      <c r="A43" s="272"/>
    </row>
    <row r="44" spans="1:1" ht="38.25" customHeight="1" x14ac:dyDescent="0.2">
      <c r="A44" s="271" t="s">
        <v>191</v>
      </c>
    </row>
    <row r="47" spans="1:1" ht="63" x14ac:dyDescent="0.2">
      <c r="A47" s="276" t="s">
        <v>448</v>
      </c>
    </row>
  </sheetData>
  <sheetProtection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00B0F0"/>
    <pageSetUpPr fitToPage="1"/>
  </sheetPr>
  <dimension ref="A1:M54"/>
  <sheetViews>
    <sheetView workbookViewId="0">
      <selection activeCell="I1" sqref="I1"/>
    </sheetView>
  </sheetViews>
  <sheetFormatPr defaultRowHeight="15.75" x14ac:dyDescent="0.2"/>
  <cols>
    <col min="1" max="1" width="18.77734375" style="66" customWidth="1"/>
    <col min="2" max="2" width="12.77734375" style="66" customWidth="1"/>
    <col min="3" max="3" width="8.77734375" style="66" customWidth="1"/>
    <col min="4" max="4" width="12.77734375" style="66" customWidth="1"/>
    <col min="5" max="5" width="9.109375" style="66" customWidth="1"/>
    <col min="6" max="6" width="12.77734375" style="66" customWidth="1"/>
    <col min="7" max="7" width="10.77734375" style="66" customWidth="1"/>
    <col min="8" max="8" width="9.77734375" style="66" customWidth="1"/>
    <col min="9" max="9" width="8.88671875" style="66"/>
    <col min="10" max="10" width="12.44140625" style="66" customWidth="1"/>
    <col min="11" max="11" width="12.33203125" style="66" customWidth="1"/>
    <col min="12" max="12" width="5.77734375" style="66" customWidth="1"/>
    <col min="13" max="13" width="12.109375" style="66" customWidth="1"/>
    <col min="14" max="16384" width="8.88671875" style="66"/>
  </cols>
  <sheetData>
    <row r="1" spans="1:13" x14ac:dyDescent="0.2">
      <c r="A1" s="1"/>
      <c r="B1" s="1"/>
      <c r="C1" s="1"/>
      <c r="D1" s="1"/>
      <c r="E1" s="1"/>
      <c r="F1" s="1"/>
      <c r="G1" s="1"/>
      <c r="H1" s="252">
        <f>inputPrYr!D6</f>
        <v>2024</v>
      </c>
    </row>
    <row r="2" spans="1:13" x14ac:dyDescent="0.2">
      <c r="A2" s="626" t="s">
        <v>66</v>
      </c>
      <c r="B2" s="626"/>
      <c r="C2" s="626"/>
      <c r="D2" s="626"/>
      <c r="E2" s="626"/>
      <c r="F2" s="626"/>
      <c r="G2" s="626"/>
      <c r="H2" s="627"/>
    </row>
    <row r="3" spans="1:13" x14ac:dyDescent="0.2">
      <c r="A3" s="1"/>
      <c r="B3" s="1"/>
      <c r="C3" s="1"/>
      <c r="D3" s="1"/>
      <c r="E3" s="1"/>
      <c r="F3" s="1"/>
      <c r="G3" s="1"/>
      <c r="H3" s="1"/>
    </row>
    <row r="4" spans="1:13" x14ac:dyDescent="0.2">
      <c r="A4" s="556" t="s">
        <v>73</v>
      </c>
      <c r="B4" s="556"/>
      <c r="C4" s="556"/>
      <c r="D4" s="556"/>
      <c r="E4" s="556"/>
      <c r="F4" s="556"/>
      <c r="G4" s="556"/>
      <c r="H4" s="556"/>
    </row>
    <row r="5" spans="1:13" x14ac:dyDescent="0.2">
      <c r="A5" s="530">
        <f>inputPrYr!D3</f>
        <v>0</v>
      </c>
      <c r="B5" s="530"/>
      <c r="C5" s="530"/>
      <c r="D5" s="530"/>
      <c r="E5" s="530"/>
      <c r="F5" s="530"/>
      <c r="G5" s="530"/>
      <c r="H5" s="530"/>
    </row>
    <row r="6" spans="1:13" x14ac:dyDescent="0.2">
      <c r="A6" s="630">
        <f>inputPrYr!D4</f>
        <v>0</v>
      </c>
      <c r="B6" s="630"/>
      <c r="C6" s="630"/>
      <c r="D6" s="630"/>
      <c r="E6" s="630"/>
      <c r="F6" s="630"/>
      <c r="G6" s="630"/>
      <c r="H6" s="630"/>
    </row>
    <row r="7" spans="1:13" x14ac:dyDescent="0.2">
      <c r="A7" s="612" t="str">
        <f>CONCATENATE("will meet on ",inputHearing!B18," at ",inputHearing!B20," at ",inputHearing!B22," for the purpose of hearing and")</f>
        <v>will meet on  at  at  for the purpose of hearing and</v>
      </c>
      <c r="B7" s="612"/>
      <c r="C7" s="612"/>
      <c r="D7" s="612"/>
      <c r="E7" s="612"/>
      <c r="F7" s="612"/>
      <c r="G7" s="612"/>
      <c r="H7" s="612"/>
    </row>
    <row r="8" spans="1:13" x14ac:dyDescent="0.2">
      <c r="A8" s="245" t="s">
        <v>195</v>
      </c>
      <c r="B8" s="244"/>
      <c r="C8" s="244"/>
      <c r="D8" s="244"/>
      <c r="E8" s="244"/>
      <c r="F8" s="244"/>
      <c r="G8" s="244"/>
      <c r="H8" s="244"/>
    </row>
    <row r="9" spans="1:13" x14ac:dyDescent="0.2">
      <c r="A9" s="246" t="str">
        <f>CONCATENATE("Detailed budget information is available at ",inputHearing!B24," and will be available at this hearing.")</f>
        <v>Detailed budget information is available at  and will be available at this hearing.</v>
      </c>
      <c r="B9" s="247"/>
      <c r="C9" s="247"/>
      <c r="D9" s="247"/>
      <c r="E9" s="247"/>
      <c r="F9" s="247"/>
      <c r="G9" s="244"/>
      <c r="H9" s="244"/>
    </row>
    <row r="10" spans="1:13" x14ac:dyDescent="0.2">
      <c r="A10" s="147" t="s">
        <v>67</v>
      </c>
      <c r="B10" s="7"/>
      <c r="C10" s="7"/>
      <c r="D10" s="7"/>
      <c r="E10" s="7"/>
      <c r="F10" s="7"/>
      <c r="G10" s="7"/>
      <c r="H10" s="7"/>
    </row>
    <row r="11" spans="1:13" x14ac:dyDescent="0.25">
      <c r="A11" s="146" t="str">
        <f>CONCATENATE("Proposed Budget ",H1," Expenditures and Amount of ",H1-1," Ad Valorem Tax establish the maximum limits")</f>
        <v>Proposed Budget 2024 Expenditures and Amount of 2023 Ad Valorem Tax establish the maximum limits</v>
      </c>
      <c r="B11" s="7"/>
      <c r="C11" s="7"/>
      <c r="D11" s="7"/>
      <c r="E11" s="7"/>
      <c r="F11" s="7"/>
      <c r="G11" s="7"/>
      <c r="H11" s="7"/>
      <c r="J11" s="613" t="str">
        <f>CONCATENATE("Estimated Value Of One Mill For ",H1,"")</f>
        <v>Estimated Value Of One Mill For 2024</v>
      </c>
      <c r="K11" s="614"/>
      <c r="L11" s="614"/>
      <c r="M11" s="615"/>
    </row>
    <row r="12" spans="1:13" x14ac:dyDescent="0.25">
      <c r="A12" s="146" t="str">
        <f>CONCATENATE("of the ",H1," budget.  Estimated Tax Rate is subject to change depending on the final assessed valuation.")</f>
        <v>of the 2024 budget.  Estimated Tax Rate is subject to change depending on the final assessed valuation.</v>
      </c>
      <c r="B12" s="7"/>
      <c r="C12" s="7"/>
      <c r="D12" s="7"/>
      <c r="E12" s="7"/>
      <c r="F12" s="7"/>
      <c r="G12" s="7"/>
      <c r="H12" s="7"/>
      <c r="J12" s="300"/>
      <c r="K12" s="299"/>
      <c r="L12" s="299"/>
      <c r="M12" s="298"/>
    </row>
    <row r="13" spans="1:13" x14ac:dyDescent="0.25">
      <c r="A13" s="1"/>
      <c r="B13" s="13"/>
      <c r="C13" s="13"/>
      <c r="D13" s="13"/>
      <c r="E13" s="13"/>
      <c r="F13" s="13"/>
      <c r="G13" s="13"/>
      <c r="H13" s="13"/>
      <c r="J13" s="297" t="s">
        <v>411</v>
      </c>
      <c r="K13" s="296"/>
      <c r="L13" s="296"/>
      <c r="M13" s="399">
        <f>ROUND(F29/1000,0)</f>
        <v>0</v>
      </c>
    </row>
    <row r="14" spans="1:13" ht="21" customHeight="1" x14ac:dyDescent="0.2">
      <c r="A14" s="71"/>
      <c r="B14" s="148" t="str">
        <f>CONCATENATE("Prior Year Actual ",H1-2,"")</f>
        <v>Prior Year Actual 2022</v>
      </c>
      <c r="C14" s="149"/>
      <c r="D14" s="150" t="str">
        <f>CONCATENATE("Current Year Estimate for ",H1-1,"")</f>
        <v>Current Year Estimate for 2023</v>
      </c>
      <c r="E14" s="149"/>
      <c r="F14" s="148" t="str">
        <f>CONCATENATE("Proposed Budget Year for ",H1,"")</f>
        <v>Proposed Budget Year for 2024</v>
      </c>
      <c r="G14" s="151"/>
      <c r="H14" s="149"/>
      <c r="J14" s="3"/>
      <c r="K14" s="3"/>
      <c r="L14" s="3"/>
      <c r="M14" s="3"/>
    </row>
    <row r="15" spans="1:13" ht="23.1" customHeight="1" x14ac:dyDescent="0.25">
      <c r="A15" s="73"/>
      <c r="B15" s="565" t="s">
        <v>39</v>
      </c>
      <c r="C15" s="631" t="s">
        <v>807</v>
      </c>
      <c r="D15" s="565" t="s">
        <v>39</v>
      </c>
      <c r="E15" s="631" t="s">
        <v>807</v>
      </c>
      <c r="F15" s="565" t="s">
        <v>794</v>
      </c>
      <c r="G15" s="628" t="str">
        <f>CONCATENATE("Amount of ",H1-1," Ad Valorem Tax")</f>
        <v>Amount of 2023 Ad Valorem Tax</v>
      </c>
      <c r="H15" s="631" t="s">
        <v>808</v>
      </c>
      <c r="J15" s="613" t="str">
        <f>CONCATENATE("Want The Mill Rate The Same As For ",H1-1,"?")</f>
        <v>Want The Mill Rate The Same As For 2023?</v>
      </c>
      <c r="K15" s="614"/>
      <c r="L15" s="614"/>
      <c r="M15" s="615"/>
    </row>
    <row r="16" spans="1:13" ht="21" customHeight="1" x14ac:dyDescent="0.25">
      <c r="A16" s="74" t="s">
        <v>38</v>
      </c>
      <c r="B16" s="567"/>
      <c r="C16" s="632"/>
      <c r="D16" s="567"/>
      <c r="E16" s="632"/>
      <c r="F16" s="567"/>
      <c r="G16" s="629"/>
      <c r="H16" s="632"/>
      <c r="J16" s="294"/>
      <c r="K16" s="299"/>
      <c r="L16" s="299"/>
      <c r="M16" s="293"/>
    </row>
    <row r="17" spans="1:13" x14ac:dyDescent="0.25">
      <c r="A17" s="11" t="str">
        <f>inputPrYr!B19</f>
        <v>General</v>
      </c>
      <c r="B17" s="64" t="str">
        <f>IF(General!$C$45&lt;&gt;0,General!$C$45,"  ")</f>
        <v xml:space="preserve">  </v>
      </c>
      <c r="C17" s="303" t="str">
        <f>IF(inputPrYr!D38&gt;0,inputPrYr!D38,"  ")</f>
        <v xml:space="preserve">  </v>
      </c>
      <c r="D17" s="64" t="str">
        <f>IF(General!$D$45&lt;&gt;0,General!$D$45,"  ")</f>
        <v xml:space="preserve">  </v>
      </c>
      <c r="E17" s="303" t="str">
        <f>IF(inputOth!D20&gt;0,inputOth!D20,"  ")</f>
        <v xml:space="preserve">  </v>
      </c>
      <c r="F17" s="64" t="str">
        <f>IF(General!$E$45&lt;&gt;0,General!$E$45,"  ")</f>
        <v xml:space="preserve">  </v>
      </c>
      <c r="G17" s="64" t="str">
        <f>IF(General!$E$52&lt;&gt;0,General!$E$52,"  ")</f>
        <v xml:space="preserve">  </v>
      </c>
      <c r="H17" s="303" t="str">
        <f>IF(General!E52&gt;0,ROUND(G17/$F$29*1000,3)," ")</f>
        <v xml:space="preserve"> </v>
      </c>
      <c r="J17" s="294" t="str">
        <f>CONCATENATE("",H1-1," Mill Rate Was:")</f>
        <v>2023 Mill Rate Was:</v>
      </c>
      <c r="K17" s="299"/>
      <c r="L17" s="299"/>
      <c r="M17" s="292">
        <f>E24</f>
        <v>0</v>
      </c>
    </row>
    <row r="18" spans="1:13" x14ac:dyDescent="0.25">
      <c r="A18" s="11" t="s">
        <v>146</v>
      </c>
      <c r="B18" s="64" t="str">
        <f>IF('Debt Service'!$C$52&lt;&gt;0,'Debt Service'!$C$52,"  ")</f>
        <v xml:space="preserve">  </v>
      </c>
      <c r="C18" s="303" t="str">
        <f>IF(inputPrYr!D39&gt;0,inputPrYr!D39,"  ")</f>
        <v xml:space="preserve">  </v>
      </c>
      <c r="D18" s="64" t="str">
        <f>IF('Debt Service'!$D$52&lt;&gt;0,'Debt Service'!$D$52,"  ")</f>
        <v xml:space="preserve">  </v>
      </c>
      <c r="E18" s="303" t="str">
        <f>IF(inputOth!D21&gt;0,inputOth!D21,"  ")</f>
        <v xml:space="preserve">  </v>
      </c>
      <c r="F18" s="64" t="str">
        <f>IF('Debt Service'!$E$52&lt;&gt;0,'Debt Service'!$E$52,"  ")</f>
        <v xml:space="preserve">  </v>
      </c>
      <c r="G18" s="64" t="str">
        <f>IF('Debt Service'!$E$59&lt;&gt;0,'Debt Service'!$E$59,"  ")</f>
        <v xml:space="preserve">  </v>
      </c>
      <c r="H18" s="303" t="str">
        <f>IF('Debt Service'!E59&gt;0,ROUND(G18/$F$29*1000,3)," ")</f>
        <v xml:space="preserve"> </v>
      </c>
      <c r="J18" s="291" t="str">
        <f>CONCATENATE("",H1," Tax Levy Fund Expenditures Must Be")</f>
        <v>2024 Tax Levy Fund Expenditures Must Be</v>
      </c>
      <c r="K18" s="290"/>
      <c r="L18" s="290"/>
      <c r="M18" s="293"/>
    </row>
    <row r="19" spans="1:13" x14ac:dyDescent="0.25">
      <c r="A19" s="11" t="str">
        <f>IF(inputPrYr!$B22&gt;"  ",inputPrYr!$B22,"  ")</f>
        <v xml:space="preserve">  </v>
      </c>
      <c r="B19" s="64" t="str">
        <f>IF('Levy Page 7'!$C$34&lt;&gt;0,'Levy Page 7'!$C$34,"  ")</f>
        <v xml:space="preserve">  </v>
      </c>
      <c r="C19" s="303" t="str">
        <f>IF(inputPrYr!D40&gt;0,inputPrYr!D40,"  ")</f>
        <v xml:space="preserve">  </v>
      </c>
      <c r="D19" s="64" t="str">
        <f>IF('Levy Page 7'!$D$34&lt;&gt;0,'Levy Page 7'!$D$34,"  ")</f>
        <v xml:space="preserve">  </v>
      </c>
      <c r="E19" s="303" t="str">
        <f>IF(inputOth!D22&gt;0,inputOth!D22,"  ")</f>
        <v xml:space="preserve">  </v>
      </c>
      <c r="F19" s="64" t="str">
        <f>IF('Levy Page 7'!$E$34&lt;&gt;0,'Levy Page 7'!$E$34,"  ")</f>
        <v xml:space="preserve">  </v>
      </c>
      <c r="G19" s="64" t="str">
        <f>IF('Levy Page 7'!$E$41&lt;&gt;0,'Levy Page 7'!$E$41,"  ")</f>
        <v xml:space="preserve">  </v>
      </c>
      <c r="H19" s="303" t="str">
        <f>IF('Levy Page 7'!E41&gt;0,ROUND(G19/$F$29*1000,3)," ")</f>
        <v xml:space="preserve"> </v>
      </c>
      <c r="J19" s="291" t="str">
        <f>IF(M19&gt;0,"Increased By:","")</f>
        <v/>
      </c>
      <c r="K19" s="290"/>
      <c r="L19" s="290"/>
      <c r="M19" s="289">
        <f>IF(M26&lt;0,M26*-1,0)</f>
        <v>0</v>
      </c>
    </row>
    <row r="20" spans="1:13" x14ac:dyDescent="0.2">
      <c r="A20" s="11" t="str">
        <f>IF(inputPrYr!$B23&gt;"  ",inputPrYr!$B23,"  ")</f>
        <v xml:space="preserve">  </v>
      </c>
      <c r="B20" s="64" t="str">
        <f>IF('Levy Page 7'!$C$73&lt;&gt;0,'Levy Page 7'!$C$73,"  ")</f>
        <v xml:space="preserve">  </v>
      </c>
      <c r="C20" s="303" t="str">
        <f>IF(inputPrYr!D41&gt;0,inputPrYr!D41,"  ")</f>
        <v xml:space="preserve">  </v>
      </c>
      <c r="D20" s="64" t="str">
        <f>IF('Levy Page 7'!$D$73&lt;&gt;0,'Levy Page 7'!$D$73,"  ")</f>
        <v xml:space="preserve">  </v>
      </c>
      <c r="E20" s="303" t="str">
        <f>IF(inputOth!D23&gt;0,inputOth!D23,"  ")</f>
        <v xml:space="preserve">  </v>
      </c>
      <c r="F20" s="64" t="str">
        <f>IF('Levy Page 7'!$E$73&lt;&gt;0,'Levy Page 7'!$E$73,"  ")</f>
        <v xml:space="preserve">  </v>
      </c>
      <c r="G20" s="64" t="str">
        <f>IF('Levy Page 7'!$E$80&lt;&gt;0,'Levy Page 7'!$E$80,"  ")</f>
        <v xml:space="preserve">  </v>
      </c>
      <c r="H20" s="303" t="str">
        <f>IF('Levy Page 7'!E80&gt;0,ROUND(G20/$F$29*1000,3)," ")</f>
        <v xml:space="preserve"> </v>
      </c>
      <c r="J20" s="288" t="str">
        <f>IF(M20&lt;0,"Reduced By:","")</f>
        <v/>
      </c>
      <c r="K20" s="287"/>
      <c r="L20" s="287"/>
      <c r="M20" s="286">
        <f>IF(M26&gt;0,M26*-1,0)</f>
        <v>0</v>
      </c>
    </row>
    <row r="21" spans="1:13" x14ac:dyDescent="0.25">
      <c r="A21" s="11" t="str">
        <f>IF(inputPrYr!$B26&gt;"  ",inputPrYr!$B26,"  ")</f>
        <v xml:space="preserve">  </v>
      </c>
      <c r="B21" s="64" t="str">
        <f>IF('No Levy Page 8'!$C$30&lt;&gt;0,'No Levy Page 8'!$C$30,"  ")</f>
        <v xml:space="preserve">  </v>
      </c>
      <c r="C21" s="303"/>
      <c r="D21" s="64" t="str">
        <f>IF('No Levy Page 8'!$D$30&lt;&gt;0,'No Levy Page 8'!$D$30,"  ")</f>
        <v xml:space="preserve">  </v>
      </c>
      <c r="E21" s="303"/>
      <c r="F21" s="64" t="str">
        <f>IF('No Levy Page 8'!$E$30&lt;&gt;0,'No Levy Page 8'!$E$30,"  ")</f>
        <v xml:space="preserve">  </v>
      </c>
      <c r="G21" s="64"/>
      <c r="H21" s="303"/>
      <c r="J21" s="282"/>
      <c r="K21" s="282"/>
      <c r="L21" s="282"/>
      <c r="M21" s="282"/>
    </row>
    <row r="22" spans="1:13" x14ac:dyDescent="0.25">
      <c r="A22" s="11" t="str">
        <f>IF(inputPrYr!$B27&gt;"  ",inputPrYr!$B27,"  ")</f>
        <v xml:space="preserve">  </v>
      </c>
      <c r="B22" s="64" t="str">
        <f>IF('No Levy Page 8'!$C$62&lt;&gt;0,'No Levy Page 8'!$C$62,"  ")</f>
        <v xml:space="preserve">  </v>
      </c>
      <c r="C22" s="303"/>
      <c r="D22" s="64" t="str">
        <f>IF('No Levy Page 8'!$D$62&lt;&gt;0,'No Levy Page 8'!$D$62,"  ")</f>
        <v xml:space="preserve">  </v>
      </c>
      <c r="E22" s="303"/>
      <c r="F22" s="64" t="str">
        <f>IF('No Levy Page 8'!$E$62&lt;&gt;0,'No Levy Page 8'!$E$62,"  ")</f>
        <v xml:space="preserve">  </v>
      </c>
      <c r="G22" s="64"/>
      <c r="H22" s="303"/>
      <c r="J22" s="613" t="str">
        <f>CONCATENATE("Impact On Keeping The Same Mill Rate As For ",H1-1,"")</f>
        <v>Impact On Keeping The Same Mill Rate As For 2023</v>
      </c>
      <c r="K22" s="616"/>
      <c r="L22" s="616"/>
      <c r="M22" s="617"/>
    </row>
    <row r="23" spans="1:13" x14ac:dyDescent="0.25">
      <c r="A23" s="153" t="str">
        <f>IF((inputPrYr!$B$30&gt;" "),('Non-Budgeted Funds'!$A$3),"")</f>
        <v/>
      </c>
      <c r="B23" s="64" t="str">
        <f>IF('Non-Budgeted Funds'!K28&gt;0,'Non-Budgeted Funds'!K28,"")</f>
        <v/>
      </c>
      <c r="C23" s="303"/>
      <c r="D23" s="64"/>
      <c r="E23" s="303"/>
      <c r="F23" s="64"/>
      <c r="G23" s="64"/>
      <c r="H23" s="303"/>
      <c r="J23" s="294"/>
      <c r="K23" s="299"/>
      <c r="L23" s="299"/>
      <c r="M23" s="293"/>
    </row>
    <row r="24" spans="1:13" ht="16.5" thickBot="1" x14ac:dyDescent="0.3">
      <c r="A24" s="439" t="s">
        <v>81</v>
      </c>
      <c r="B24" s="485">
        <f>SUM(B17:B23)</f>
        <v>0</v>
      </c>
      <c r="C24" s="519">
        <f t="shared" ref="C24:H24" si="0">SUM(C17:C22)</f>
        <v>0</v>
      </c>
      <c r="D24" s="485">
        <f t="shared" si="0"/>
        <v>0</v>
      </c>
      <c r="E24" s="519">
        <f t="shared" si="0"/>
        <v>0</v>
      </c>
      <c r="F24" s="485">
        <f t="shared" si="0"/>
        <v>0</v>
      </c>
      <c r="G24" s="485">
        <f t="shared" si="0"/>
        <v>0</v>
      </c>
      <c r="H24" s="519">
        <f t="shared" si="0"/>
        <v>0</v>
      </c>
      <c r="J24" s="294" t="str">
        <f>CONCATENATE("",H1," Ad Valorem Tax Revenue:")</f>
        <v>2024 Ad Valorem Tax Revenue:</v>
      </c>
      <c r="K24" s="299"/>
      <c r="L24" s="299"/>
      <c r="M24" s="298">
        <f>G24</f>
        <v>0</v>
      </c>
    </row>
    <row r="25" spans="1:13" ht="16.5" thickTop="1" x14ac:dyDescent="0.25">
      <c r="A25" s="619" t="s">
        <v>452</v>
      </c>
      <c r="B25" s="619"/>
      <c r="C25" s="619"/>
      <c r="D25" s="619"/>
      <c r="E25" s="619"/>
      <c r="F25" s="619"/>
      <c r="G25" s="619"/>
      <c r="H25" s="518">
        <f>inputOth!D16</f>
        <v>0</v>
      </c>
      <c r="J25" s="294" t="str">
        <f>CONCATENATE("",H1-1," Ad Valorem Tax Revenue:")</f>
        <v>2023 Ad Valorem Tax Revenue:</v>
      </c>
      <c r="K25" s="299"/>
      <c r="L25" s="299"/>
      <c r="M25" s="285">
        <f>ROUND(F29*M17/1000,0)</f>
        <v>0</v>
      </c>
    </row>
    <row r="26" spans="1:13" x14ac:dyDescent="0.25">
      <c r="A26" s="74" t="s">
        <v>106</v>
      </c>
      <c r="B26" s="64">
        <f>Transfers!C26</f>
        <v>0</v>
      </c>
      <c r="C26" s="155"/>
      <c r="D26" s="64">
        <f>Transfers!D26</f>
        <v>0</v>
      </c>
      <c r="E26" s="155"/>
      <c r="F26" s="64">
        <f>Transfers!E26</f>
        <v>0</v>
      </c>
      <c r="G26" s="5"/>
      <c r="H26" s="154"/>
      <c r="J26" s="284" t="s">
        <v>412</v>
      </c>
      <c r="K26" s="283"/>
      <c r="L26" s="283"/>
      <c r="M26" s="295">
        <f>M24-M25</f>
        <v>0</v>
      </c>
    </row>
    <row r="27" spans="1:13" ht="16.5" thickBot="1" x14ac:dyDescent="0.3">
      <c r="A27" s="14" t="s">
        <v>107</v>
      </c>
      <c r="B27" s="485">
        <f>SUM(B24-B26)</f>
        <v>0</v>
      </c>
      <c r="C27" s="155"/>
      <c r="D27" s="485">
        <f>SUM(D24-D26)</f>
        <v>0</v>
      </c>
      <c r="E27" s="155"/>
      <c r="F27" s="485">
        <f>SUM(F24-F26)</f>
        <v>0</v>
      </c>
      <c r="G27" s="5"/>
      <c r="H27" s="154"/>
      <c r="J27" s="282"/>
      <c r="K27" s="282"/>
      <c r="L27" s="282"/>
      <c r="M27" s="282"/>
    </row>
    <row r="28" spans="1:13" ht="16.5" thickTop="1" x14ac:dyDescent="0.25">
      <c r="A28" s="14" t="s">
        <v>40</v>
      </c>
      <c r="B28" s="64">
        <f>inputPrYr!E44</f>
        <v>0</v>
      </c>
      <c r="C28" s="73"/>
      <c r="D28" s="64">
        <f>inputPrYr!E24</f>
        <v>0</v>
      </c>
      <c r="E28" s="73"/>
      <c r="F28" s="312" t="s">
        <v>16</v>
      </c>
      <c r="G28" s="1"/>
      <c r="H28" s="1"/>
      <c r="J28" s="613" t="s">
        <v>413</v>
      </c>
      <c r="K28" s="614"/>
      <c r="L28" s="614"/>
      <c r="M28" s="615"/>
    </row>
    <row r="29" spans="1:13" x14ac:dyDescent="0.25">
      <c r="A29" s="14" t="s">
        <v>108</v>
      </c>
      <c r="B29" s="64">
        <f>inputPrYr!E45</f>
        <v>0</v>
      </c>
      <c r="C29" s="73"/>
      <c r="D29" s="64">
        <f>inputOth!E26</f>
        <v>0</v>
      </c>
      <c r="E29" s="73"/>
      <c r="F29" s="64">
        <f>IF(inputOth!E14&gt;0,inputOth!E7-inputOth!E14+inputOth!E13,inputOth!E7)</f>
        <v>0</v>
      </c>
      <c r="G29" s="1"/>
      <c r="H29" s="1"/>
      <c r="J29" s="294"/>
      <c r="K29" s="299"/>
      <c r="L29" s="299"/>
      <c r="M29" s="293"/>
    </row>
    <row r="30" spans="1:13" x14ac:dyDescent="0.25">
      <c r="A30" s="15"/>
      <c r="B30" s="5"/>
      <c r="C30" s="1"/>
      <c r="D30" s="5"/>
      <c r="E30" s="1"/>
      <c r="F30" s="5"/>
      <c r="G30" s="1"/>
      <c r="H30" s="1"/>
      <c r="J30" s="294" t="str">
        <f>CONCATENATE("Current ",H1," Estimated Mill Rate:")</f>
        <v>Current 2024 Estimated Mill Rate:</v>
      </c>
      <c r="K30" s="299"/>
      <c r="L30" s="299"/>
      <c r="M30" s="292">
        <f>H24</f>
        <v>0</v>
      </c>
    </row>
    <row r="31" spans="1:13" x14ac:dyDescent="0.25">
      <c r="A31" s="15" t="s">
        <v>41</v>
      </c>
      <c r="B31" s="1"/>
      <c r="C31" s="1"/>
      <c r="D31" s="1"/>
      <c r="E31" s="1"/>
      <c r="F31" s="1"/>
      <c r="G31" s="1"/>
      <c r="H31" s="1"/>
      <c r="J31" s="294" t="str">
        <f>CONCATENATE("Desired ",H1," Mill Rate:")</f>
        <v>Desired 2024 Mill Rate:</v>
      </c>
      <c r="K31" s="299"/>
      <c r="L31" s="299"/>
      <c r="M31" s="281">
        <v>0</v>
      </c>
    </row>
    <row r="32" spans="1:13" x14ac:dyDescent="0.25">
      <c r="A32" s="15" t="s">
        <v>105</v>
      </c>
      <c r="B32" s="145">
        <f>H1-3</f>
        <v>2021</v>
      </c>
      <c r="C32" s="1"/>
      <c r="D32" s="145">
        <f>H1-2</f>
        <v>2022</v>
      </c>
      <c r="E32" s="1"/>
      <c r="F32" s="145">
        <f>H1-1</f>
        <v>2023</v>
      </c>
      <c r="G32" s="1"/>
      <c r="H32" s="1"/>
      <c r="J32" s="294" t="str">
        <f>CONCATENATE("",H1," Ad Valorem Tax:")</f>
        <v>2024 Ad Valorem Tax:</v>
      </c>
      <c r="K32" s="299"/>
      <c r="L32" s="299"/>
      <c r="M32" s="285">
        <f>ROUND(F29*M31/1000,0)</f>
        <v>0</v>
      </c>
    </row>
    <row r="33" spans="1:13" x14ac:dyDescent="0.25">
      <c r="A33" s="15" t="s">
        <v>42</v>
      </c>
      <c r="B33" s="163">
        <f>inputPrYr!D48</f>
        <v>0</v>
      </c>
      <c r="C33" s="5"/>
      <c r="D33" s="163">
        <f>inputPrYr!E48</f>
        <v>0</v>
      </c>
      <c r="E33" s="1"/>
      <c r="F33" s="163">
        <f>'Debt-LP Form'!E12</f>
        <v>0</v>
      </c>
      <c r="G33" s="1"/>
      <c r="H33" s="6"/>
      <c r="J33" s="284" t="str">
        <f>CONCATENATE("",H1," Tax Levy Fund Exp. Changed By:")</f>
        <v>2024 Tax Levy Fund Exp. Changed By:</v>
      </c>
      <c r="K33" s="283"/>
      <c r="L33" s="283"/>
      <c r="M33" s="295">
        <f>IF(M31=0,0,(M32-G24))</f>
        <v>0</v>
      </c>
    </row>
    <row r="34" spans="1:13" x14ac:dyDescent="0.2">
      <c r="A34" s="1" t="s">
        <v>43</v>
      </c>
      <c r="B34" s="163">
        <f>inputPrYr!D49</f>
        <v>0</v>
      </c>
      <c r="C34" s="1"/>
      <c r="D34" s="163">
        <f>inputPrYr!E49</f>
        <v>0</v>
      </c>
      <c r="E34" s="1"/>
      <c r="F34" s="163">
        <f>'Debt-LP Form'!E16</f>
        <v>0</v>
      </c>
      <c r="G34" s="1"/>
      <c r="H34" s="6"/>
    </row>
    <row r="35" spans="1:13" ht="15.75" customHeight="1" x14ac:dyDescent="0.2">
      <c r="A35" s="15" t="s">
        <v>44</v>
      </c>
      <c r="B35" s="163">
        <f>inputPrYr!D50</f>
        <v>0</v>
      </c>
      <c r="C35" s="5"/>
      <c r="D35" s="163">
        <f>inputPrYr!E50</f>
        <v>0</v>
      </c>
      <c r="E35" s="1"/>
      <c r="F35" s="163">
        <f>'Debt-LP Form'!E20</f>
        <v>0</v>
      </c>
      <c r="G35" s="1"/>
      <c r="H35" s="6"/>
      <c r="J35" s="620" t="s">
        <v>806</v>
      </c>
      <c r="K35" s="621"/>
      <c r="L35" s="621"/>
      <c r="M35" s="624" t="str">
        <f>IF(H24&gt;H25, "Yes", "No")</f>
        <v>No</v>
      </c>
    </row>
    <row r="36" spans="1:13" ht="15.75" customHeight="1" x14ac:dyDescent="0.2">
      <c r="A36" s="15" t="s">
        <v>82</v>
      </c>
      <c r="B36" s="163">
        <f>inputPrYr!D51</f>
        <v>0</v>
      </c>
      <c r="C36" s="1"/>
      <c r="D36" s="163">
        <f>inputPrYr!E51</f>
        <v>0</v>
      </c>
      <c r="E36" s="1"/>
      <c r="F36" s="163">
        <f>'Debt-LP Form'!F39</f>
        <v>0</v>
      </c>
      <c r="G36" s="1"/>
      <c r="H36" s="6"/>
      <c r="J36" s="622"/>
      <c r="K36" s="623"/>
      <c r="L36" s="623"/>
      <c r="M36" s="625"/>
    </row>
    <row r="37" spans="1:13" ht="16.5" thickBot="1" x14ac:dyDescent="0.25">
      <c r="A37" s="115" t="s">
        <v>45</v>
      </c>
      <c r="B37" s="164">
        <f>SUM(B33:B36)</f>
        <v>0</v>
      </c>
      <c r="C37" s="1"/>
      <c r="D37" s="164">
        <f>SUM(D33:D36)</f>
        <v>0</v>
      </c>
      <c r="E37" s="1"/>
      <c r="F37" s="164">
        <f>SUM(F33:F36)</f>
        <v>0</v>
      </c>
      <c r="G37" s="156"/>
      <c r="H37" s="6"/>
      <c r="J37" s="602" t="str">
        <f>IF(M35="Yes", "Follow procedure prescirbed by KSA 79-2988 to exceed the Revenue Neutral Rate.", " ")</f>
        <v xml:space="preserve"> </v>
      </c>
      <c r="K37" s="602"/>
      <c r="L37" s="602"/>
      <c r="M37" s="602"/>
    </row>
    <row r="38" spans="1:13" ht="16.5" thickTop="1" x14ac:dyDescent="0.2">
      <c r="A38" s="115" t="s">
        <v>46</v>
      </c>
      <c r="B38" s="1"/>
      <c r="C38" s="1"/>
      <c r="D38" s="1"/>
      <c r="E38" s="81"/>
      <c r="F38" s="81"/>
      <c r="G38" s="1"/>
      <c r="H38" s="6"/>
      <c r="J38" s="603"/>
      <c r="K38" s="603"/>
      <c r="L38" s="603"/>
      <c r="M38" s="603"/>
    </row>
    <row r="39" spans="1:13" x14ac:dyDescent="0.2">
      <c r="A39" s="440" t="s">
        <v>809</v>
      </c>
      <c r="B39" s="1"/>
      <c r="C39" s="1"/>
      <c r="D39" s="1"/>
      <c r="E39" s="1"/>
      <c r="F39" s="1"/>
      <c r="G39" s="1"/>
      <c r="H39" s="6"/>
      <c r="J39" s="603"/>
      <c r="K39" s="603"/>
      <c r="L39" s="603"/>
      <c r="M39" s="603"/>
    </row>
    <row r="40" spans="1:13" x14ac:dyDescent="0.2">
      <c r="A40" s="1"/>
      <c r="B40" s="1"/>
      <c r="C40" s="1"/>
      <c r="D40" s="1"/>
      <c r="E40" s="1"/>
      <c r="F40" s="1"/>
      <c r="G40" s="1"/>
      <c r="H40" s="1"/>
    </row>
    <row r="41" spans="1:13" x14ac:dyDescent="0.2">
      <c r="A41" s="618">
        <f>inputHearing!B14</f>
        <v>0</v>
      </c>
      <c r="B41" s="572"/>
      <c r="C41" s="13"/>
      <c r="D41" s="1"/>
      <c r="E41" s="1"/>
      <c r="F41" s="1"/>
      <c r="G41" s="1"/>
      <c r="H41" s="6"/>
    </row>
    <row r="42" spans="1:13" x14ac:dyDescent="0.2">
      <c r="A42" s="611">
        <f>inputHearing!B16</f>
        <v>0</v>
      </c>
      <c r="B42" s="605"/>
      <c r="C42" s="1"/>
      <c r="D42" s="4" t="s">
        <v>32</v>
      </c>
      <c r="E42" s="391"/>
      <c r="F42" s="1"/>
      <c r="G42" s="1"/>
      <c r="H42" s="6"/>
    </row>
    <row r="44" spans="1:13" x14ac:dyDescent="0.2">
      <c r="A44" s="3"/>
      <c r="B44" s="3"/>
      <c r="C44" s="3"/>
      <c r="D44" s="3"/>
      <c r="E44" s="3"/>
      <c r="F44" s="3"/>
      <c r="G44" s="3"/>
      <c r="H44" s="3"/>
    </row>
    <row r="46" spans="1:13" x14ac:dyDescent="0.2">
      <c r="A46" s="3"/>
      <c r="B46" s="3"/>
      <c r="C46" s="3"/>
      <c r="D46" s="3"/>
      <c r="E46" s="3"/>
      <c r="F46" s="3"/>
      <c r="G46" s="3"/>
      <c r="H46" s="3"/>
    </row>
    <row r="47" spans="1:13" x14ac:dyDescent="0.2">
      <c r="A47" s="3"/>
      <c r="B47" s="3"/>
      <c r="C47" s="3"/>
      <c r="D47" s="3"/>
      <c r="E47" s="3"/>
      <c r="F47" s="3"/>
      <c r="G47" s="3"/>
      <c r="H47" s="3"/>
    </row>
    <row r="48" spans="1:13" x14ac:dyDescent="0.2">
      <c r="A48" s="3"/>
      <c r="B48" s="3"/>
      <c r="C48" s="3"/>
      <c r="D48" s="3"/>
      <c r="E48" s="3"/>
      <c r="F48" s="3"/>
      <c r="G48" s="3"/>
      <c r="H48" s="3"/>
    </row>
    <row r="49" spans="1:8" x14ac:dyDescent="0.2">
      <c r="A49" s="3"/>
      <c r="B49" s="3"/>
      <c r="C49" s="3"/>
      <c r="D49" s="3"/>
      <c r="E49" s="3"/>
      <c r="F49" s="3"/>
      <c r="G49" s="3"/>
      <c r="H49" s="3"/>
    </row>
    <row r="50" spans="1:8" x14ac:dyDescent="0.2">
      <c r="A50" s="3"/>
      <c r="B50" s="3"/>
      <c r="C50" s="3"/>
      <c r="D50" s="3"/>
      <c r="E50" s="3"/>
      <c r="F50" s="3"/>
      <c r="G50" s="3"/>
      <c r="H50" s="3"/>
    </row>
    <row r="51" spans="1:8" x14ac:dyDescent="0.2">
      <c r="A51" s="3"/>
      <c r="B51" s="3"/>
      <c r="C51" s="3"/>
      <c r="D51" s="3"/>
      <c r="E51" s="3"/>
      <c r="F51" s="3"/>
      <c r="G51" s="3"/>
      <c r="H51" s="3"/>
    </row>
    <row r="52" spans="1:8" x14ac:dyDescent="0.2">
      <c r="A52" s="3"/>
      <c r="B52" s="3"/>
      <c r="C52" s="3"/>
      <c r="D52" s="3"/>
      <c r="E52" s="3"/>
      <c r="F52" s="3"/>
      <c r="G52" s="3"/>
      <c r="H52" s="3"/>
    </row>
    <row r="53" spans="1:8" x14ac:dyDescent="0.2">
      <c r="A53" s="3"/>
      <c r="B53" s="3"/>
      <c r="C53" s="3"/>
      <c r="D53" s="3"/>
      <c r="E53" s="3"/>
      <c r="F53" s="3"/>
      <c r="G53" s="3"/>
      <c r="H53" s="3"/>
    </row>
    <row r="54" spans="1:8" x14ac:dyDescent="0.2">
      <c r="A54" s="3"/>
      <c r="B54" s="3"/>
      <c r="C54" s="3"/>
      <c r="D54" s="3"/>
      <c r="E54" s="3"/>
      <c r="F54" s="3"/>
      <c r="G54" s="3"/>
      <c r="H54" s="3"/>
    </row>
  </sheetData>
  <sheetProtection sheet="1" objects="1" scenarios="1"/>
  <mergeCells count="22">
    <mergeCell ref="A2:H2"/>
    <mergeCell ref="G15:G16"/>
    <mergeCell ref="A4:H4"/>
    <mergeCell ref="A5:H5"/>
    <mergeCell ref="A6:H6"/>
    <mergeCell ref="B15:B16"/>
    <mergeCell ref="C15:C16"/>
    <mergeCell ref="D15:D16"/>
    <mergeCell ref="E15:E16"/>
    <mergeCell ref="F15:F16"/>
    <mergeCell ref="H15:H16"/>
    <mergeCell ref="A42:B42"/>
    <mergeCell ref="A7:H7"/>
    <mergeCell ref="J11:M11"/>
    <mergeCell ref="J15:M15"/>
    <mergeCell ref="J22:M22"/>
    <mergeCell ref="J28:M28"/>
    <mergeCell ref="A41:B41"/>
    <mergeCell ref="A25:G25"/>
    <mergeCell ref="J35:L36"/>
    <mergeCell ref="M35:M36"/>
    <mergeCell ref="J37:M39"/>
  </mergeCells>
  <phoneticPr fontId="0" type="noConversion"/>
  <conditionalFormatting sqref="M35:M36">
    <cfRule type="containsText" dxfId="1" priority="1" operator="containsText" text="Yes">
      <formula>NOT(ISERROR(SEARCH("Yes",M35)))</formula>
    </cfRule>
  </conditionalFormatting>
  <pageMargins left="1" right="1" top="0.5" bottom="0.5" header="0.5" footer="0.5"/>
  <pageSetup scale="69" orientation="portrait" blackAndWhite="1" horizontalDpi="120" verticalDpi="144" r:id="rId1"/>
  <headerFooter alignWithMargins="0">
    <oddHeader xml:space="preserve">&amp;RState of Kansas
Special District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3BD63-F18D-44C1-9067-085EADA51261}">
  <sheetPr codeName="Sheet18">
    <tabColor rgb="FF00B0F0"/>
    <pageSetUpPr fitToPage="1"/>
  </sheetPr>
  <dimension ref="A1:M54"/>
  <sheetViews>
    <sheetView workbookViewId="0">
      <selection activeCell="I1" sqref="I1"/>
    </sheetView>
  </sheetViews>
  <sheetFormatPr defaultRowHeight="15.75" x14ac:dyDescent="0.2"/>
  <cols>
    <col min="1" max="1" width="18.77734375" style="66" customWidth="1"/>
    <col min="2" max="2" width="12.77734375" style="66" customWidth="1"/>
    <col min="3" max="3" width="8.77734375" style="66" customWidth="1"/>
    <col min="4" max="4" width="12.77734375" style="66" customWidth="1"/>
    <col min="5" max="5" width="9.109375" style="66" customWidth="1"/>
    <col min="6" max="6" width="12.77734375" style="66" customWidth="1"/>
    <col min="7" max="7" width="10.77734375" style="66" customWidth="1"/>
    <col min="8" max="8" width="9.77734375" style="66" customWidth="1"/>
    <col min="9" max="9" width="8.88671875" style="66"/>
    <col min="10" max="10" width="12.44140625" style="66" customWidth="1"/>
    <col min="11" max="11" width="12.33203125" style="66" customWidth="1"/>
    <col min="12" max="12" width="5.77734375" style="66" customWidth="1"/>
    <col min="13" max="13" width="12.109375" style="66" customWidth="1"/>
    <col min="14" max="16384" width="8.88671875" style="66"/>
  </cols>
  <sheetData>
    <row r="1" spans="1:13" x14ac:dyDescent="0.2">
      <c r="A1" s="1"/>
      <c r="B1" s="1"/>
      <c r="C1" s="1"/>
      <c r="D1" s="1"/>
      <c r="E1" s="1"/>
      <c r="F1" s="1"/>
      <c r="G1" s="1"/>
      <c r="H1" s="252">
        <f>inputPrYr!D6</f>
        <v>2024</v>
      </c>
    </row>
    <row r="2" spans="1:13" x14ac:dyDescent="0.2">
      <c r="A2" s="626" t="s">
        <v>810</v>
      </c>
      <c r="B2" s="626"/>
      <c r="C2" s="626"/>
      <c r="D2" s="626"/>
      <c r="E2" s="626"/>
      <c r="F2" s="626"/>
      <c r="G2" s="626"/>
      <c r="H2" s="627"/>
    </row>
    <row r="3" spans="1:13" x14ac:dyDescent="0.2">
      <c r="A3" s="1"/>
      <c r="B3" s="1"/>
      <c r="C3" s="1"/>
      <c r="D3" s="1"/>
      <c r="E3" s="1"/>
      <c r="F3" s="1"/>
      <c r="G3" s="1"/>
      <c r="H3" s="1"/>
    </row>
    <row r="4" spans="1:13" x14ac:dyDescent="0.2">
      <c r="A4" s="556" t="s">
        <v>73</v>
      </c>
      <c r="B4" s="556"/>
      <c r="C4" s="556"/>
      <c r="D4" s="556"/>
      <c r="E4" s="556"/>
      <c r="F4" s="556"/>
      <c r="G4" s="556"/>
      <c r="H4" s="556"/>
    </row>
    <row r="5" spans="1:13" x14ac:dyDescent="0.2">
      <c r="A5" s="530">
        <f>inputPrYr!D3</f>
        <v>0</v>
      </c>
      <c r="B5" s="530"/>
      <c r="C5" s="530"/>
      <c r="D5" s="530"/>
      <c r="E5" s="530"/>
      <c r="F5" s="530"/>
      <c r="G5" s="530"/>
      <c r="H5" s="530"/>
    </row>
    <row r="6" spans="1:13" x14ac:dyDescent="0.2">
      <c r="A6" s="630">
        <f>inputPrYr!D4</f>
        <v>0</v>
      </c>
      <c r="B6" s="630"/>
      <c r="C6" s="630"/>
      <c r="D6" s="630"/>
      <c r="E6" s="630"/>
      <c r="F6" s="630"/>
      <c r="G6" s="630"/>
      <c r="H6" s="630"/>
    </row>
    <row r="7" spans="1:13" x14ac:dyDescent="0.2">
      <c r="A7" s="612" t="str">
        <f>CONCATENATE("will meet on ",inputHearing!B32," at ",inputHearing!B34," at ",inputHearing!B36," for the purpose of hearing and")</f>
        <v>will meet on  at  at  for the purpose of hearing and</v>
      </c>
      <c r="B7" s="612"/>
      <c r="C7" s="612"/>
      <c r="D7" s="612"/>
      <c r="E7" s="612"/>
      <c r="F7" s="612"/>
      <c r="G7" s="612"/>
      <c r="H7" s="612"/>
    </row>
    <row r="8" spans="1:13" x14ac:dyDescent="0.2">
      <c r="A8" s="245" t="s">
        <v>811</v>
      </c>
      <c r="B8" s="244"/>
      <c r="C8" s="244"/>
      <c r="D8" s="244"/>
      <c r="E8" s="244"/>
      <c r="F8" s="244"/>
      <c r="G8" s="244"/>
      <c r="H8" s="244"/>
    </row>
    <row r="9" spans="1:13" x14ac:dyDescent="0.2">
      <c r="A9" s="246" t="str">
        <f>CONCATENATE("Detailed budget information is available at ",inputHearing!B38," and will be available at this hearing.")</f>
        <v>Detailed budget information is available at  and will be available at this hearing.</v>
      </c>
      <c r="B9" s="247"/>
      <c r="C9" s="247"/>
      <c r="D9" s="247"/>
      <c r="E9" s="247"/>
      <c r="F9" s="247"/>
      <c r="G9" s="244"/>
      <c r="H9" s="244"/>
    </row>
    <row r="10" spans="1:13" x14ac:dyDescent="0.2">
      <c r="A10" s="147" t="s">
        <v>67</v>
      </c>
      <c r="B10" s="7"/>
      <c r="C10" s="7"/>
      <c r="D10" s="7"/>
      <c r="E10" s="7"/>
      <c r="F10" s="7"/>
      <c r="G10" s="7"/>
      <c r="H10" s="7"/>
    </row>
    <row r="11" spans="1:13" x14ac:dyDescent="0.25">
      <c r="A11" s="146" t="str">
        <f>CONCATENATE("Proposed Budget ",H1," Expenditures and Amount of ",H1-1," Ad Valorem Tax establish the maximum limits")</f>
        <v>Proposed Budget 2024 Expenditures and Amount of 2023 Ad Valorem Tax establish the maximum limits</v>
      </c>
      <c r="B11" s="7"/>
      <c r="C11" s="7"/>
      <c r="D11" s="7"/>
      <c r="E11" s="7"/>
      <c r="F11" s="7"/>
      <c r="G11" s="7"/>
      <c r="H11" s="7"/>
      <c r="J11" s="613" t="str">
        <f>CONCATENATE("Estimated Value Of One Mill For ",H1,"")</f>
        <v>Estimated Value Of One Mill For 2024</v>
      </c>
      <c r="K11" s="614"/>
      <c r="L11" s="614"/>
      <c r="M11" s="615"/>
    </row>
    <row r="12" spans="1:13" x14ac:dyDescent="0.25">
      <c r="A12" s="146" t="str">
        <f>CONCATENATE("of the ",H1," budget.  Estimated Tax Rate is subject to change depending on the final assessed valuation.")</f>
        <v>of the 2024 budget.  Estimated Tax Rate is subject to change depending on the final assessed valuation.</v>
      </c>
      <c r="B12" s="7"/>
      <c r="C12" s="7"/>
      <c r="D12" s="7"/>
      <c r="E12" s="7"/>
      <c r="F12" s="7"/>
      <c r="G12" s="7"/>
      <c r="H12" s="7"/>
      <c r="J12" s="300"/>
      <c r="K12" s="299"/>
      <c r="L12" s="299"/>
      <c r="M12" s="298"/>
    </row>
    <row r="13" spans="1:13" x14ac:dyDescent="0.25">
      <c r="A13" s="1"/>
      <c r="B13" s="13"/>
      <c r="C13" s="13"/>
      <c r="D13" s="13"/>
      <c r="E13" s="13"/>
      <c r="F13" s="13"/>
      <c r="G13" s="13"/>
      <c r="H13" s="13"/>
      <c r="J13" s="297" t="s">
        <v>411</v>
      </c>
      <c r="K13" s="296"/>
      <c r="L13" s="296"/>
      <c r="M13" s="399">
        <f>ROUND(F29/1000,0)</f>
        <v>0</v>
      </c>
    </row>
    <row r="14" spans="1:13" ht="21" customHeight="1" x14ac:dyDescent="0.2">
      <c r="A14" s="71"/>
      <c r="B14" s="148" t="str">
        <f>CONCATENATE("Prior Year Actual ",H1-2,"")</f>
        <v>Prior Year Actual 2022</v>
      </c>
      <c r="C14" s="149"/>
      <c r="D14" s="150" t="str">
        <f>CONCATENATE("Current Year Estimate for ",H1-1,"")</f>
        <v>Current Year Estimate for 2023</v>
      </c>
      <c r="E14" s="149"/>
      <c r="F14" s="148" t="str">
        <f>CONCATENATE("Proposed Budget Year for ",H1,"")</f>
        <v>Proposed Budget Year for 2024</v>
      </c>
      <c r="G14" s="151"/>
      <c r="H14" s="149"/>
      <c r="J14" s="3"/>
      <c r="K14" s="3"/>
      <c r="L14" s="3"/>
      <c r="M14" s="3"/>
    </row>
    <row r="15" spans="1:13" ht="23.1" customHeight="1" x14ac:dyDescent="0.25">
      <c r="A15" s="73"/>
      <c r="B15" s="565" t="s">
        <v>39</v>
      </c>
      <c r="C15" s="631" t="s">
        <v>807</v>
      </c>
      <c r="D15" s="565" t="s">
        <v>39</v>
      </c>
      <c r="E15" s="631" t="s">
        <v>807</v>
      </c>
      <c r="F15" s="565" t="s">
        <v>794</v>
      </c>
      <c r="G15" s="628" t="str">
        <f>CONCATENATE("Amount of ",H1-1," Ad Valorem Tax")</f>
        <v>Amount of 2023 Ad Valorem Tax</v>
      </c>
      <c r="H15" s="631" t="s">
        <v>808</v>
      </c>
      <c r="J15" s="613" t="str">
        <f>CONCATENATE("Want The Mill Rate The Same As For ",H1-1,"?")</f>
        <v>Want The Mill Rate The Same As For 2023?</v>
      </c>
      <c r="K15" s="614"/>
      <c r="L15" s="614"/>
      <c r="M15" s="615"/>
    </row>
    <row r="16" spans="1:13" ht="21" customHeight="1" x14ac:dyDescent="0.25">
      <c r="A16" s="74" t="s">
        <v>38</v>
      </c>
      <c r="B16" s="567"/>
      <c r="C16" s="632"/>
      <c r="D16" s="567"/>
      <c r="E16" s="632"/>
      <c r="F16" s="567"/>
      <c r="G16" s="629"/>
      <c r="H16" s="632"/>
      <c r="J16" s="294"/>
      <c r="K16" s="299"/>
      <c r="L16" s="299"/>
      <c r="M16" s="293"/>
    </row>
    <row r="17" spans="1:13" x14ac:dyDescent="0.25">
      <c r="A17" s="11" t="str">
        <f>inputPrYr!B19</f>
        <v>General</v>
      </c>
      <c r="B17" s="64" t="str">
        <f>IF(General!$C$45&lt;&gt;0,General!$C$45,"  ")</f>
        <v xml:space="preserve">  </v>
      </c>
      <c r="C17" s="303" t="str">
        <f>IF(inputPrYr!D38&gt;0,inputPrYr!D38,"  ")</f>
        <v xml:space="preserve">  </v>
      </c>
      <c r="D17" s="64" t="str">
        <f>IF(General!$D$45&lt;&gt;0,General!$D$45,"  ")</f>
        <v xml:space="preserve">  </v>
      </c>
      <c r="E17" s="303" t="str">
        <f>IF(inputOth!D20&gt;0,inputOth!D20,"  ")</f>
        <v xml:space="preserve">  </v>
      </c>
      <c r="F17" s="64" t="str">
        <f>IF(General!$E$45&lt;&gt;0,General!$E$45,"  ")</f>
        <v xml:space="preserve">  </v>
      </c>
      <c r="G17" s="64" t="str">
        <f>IF(General!$E$52&lt;&gt;0,General!$E$52,"  ")</f>
        <v xml:space="preserve">  </v>
      </c>
      <c r="H17" s="303" t="str">
        <f>IF(General!E52&gt;0,ROUND(G17/$F$29*1000,3)," ")</f>
        <v xml:space="preserve"> </v>
      </c>
      <c r="J17" s="294" t="str">
        <f>CONCATENATE("",H1-1," Mill Rate Was:")</f>
        <v>2023 Mill Rate Was:</v>
      </c>
      <c r="K17" s="299"/>
      <c r="L17" s="299"/>
      <c r="M17" s="292">
        <f>E24</f>
        <v>0</v>
      </c>
    </row>
    <row r="18" spans="1:13" x14ac:dyDescent="0.25">
      <c r="A18" s="11" t="s">
        <v>146</v>
      </c>
      <c r="B18" s="64" t="str">
        <f>IF('Debt Service'!$C$52&lt;&gt;0,'Debt Service'!$C$52,"  ")</f>
        <v xml:space="preserve">  </v>
      </c>
      <c r="C18" s="303" t="str">
        <f>IF(inputPrYr!D39&gt;0,inputPrYr!D39,"  ")</f>
        <v xml:space="preserve">  </v>
      </c>
      <c r="D18" s="64" t="str">
        <f>IF('Debt Service'!$D$52&lt;&gt;0,'Debt Service'!$D$52,"  ")</f>
        <v xml:space="preserve">  </v>
      </c>
      <c r="E18" s="303" t="str">
        <f>IF(inputOth!D21&gt;0,inputOth!D21,"  ")</f>
        <v xml:space="preserve">  </v>
      </c>
      <c r="F18" s="64" t="str">
        <f>IF('Debt Service'!$E$52&lt;&gt;0,'Debt Service'!$E$52,"  ")</f>
        <v xml:space="preserve">  </v>
      </c>
      <c r="G18" s="64" t="str">
        <f>IF('Debt Service'!$E$59&lt;&gt;0,'Debt Service'!$E$59,"  ")</f>
        <v xml:space="preserve">  </v>
      </c>
      <c r="H18" s="303" t="str">
        <f>IF('Debt Service'!E59&gt;0,ROUND(G18/$F$29*1000,3)," ")</f>
        <v xml:space="preserve"> </v>
      </c>
      <c r="J18" s="291" t="str">
        <f>CONCATENATE("",H1," Tax Levy Fund Expenditures Must Be")</f>
        <v>2024 Tax Levy Fund Expenditures Must Be</v>
      </c>
      <c r="K18" s="290"/>
      <c r="L18" s="290"/>
      <c r="M18" s="293"/>
    </row>
    <row r="19" spans="1:13" x14ac:dyDescent="0.25">
      <c r="A19" s="11" t="str">
        <f>IF(inputPrYr!$B22&gt;"  ",inputPrYr!$B22,"  ")</f>
        <v xml:space="preserve">  </v>
      </c>
      <c r="B19" s="64" t="str">
        <f>IF('Levy Page 7'!$C$34&lt;&gt;0,'Levy Page 7'!$C$34,"  ")</f>
        <v xml:space="preserve">  </v>
      </c>
      <c r="C19" s="303" t="str">
        <f>IF(inputPrYr!D40&gt;0,inputPrYr!D40,"  ")</f>
        <v xml:space="preserve">  </v>
      </c>
      <c r="D19" s="64" t="str">
        <f>IF('Levy Page 7'!$D$34&lt;&gt;0,'Levy Page 7'!$D$34,"  ")</f>
        <v xml:space="preserve">  </v>
      </c>
      <c r="E19" s="303" t="str">
        <f>IF(inputOth!D22&gt;0,inputOth!D22,"  ")</f>
        <v xml:space="preserve">  </v>
      </c>
      <c r="F19" s="64" t="str">
        <f>IF('Levy Page 7'!$E$34&lt;&gt;0,'Levy Page 7'!$E$34,"  ")</f>
        <v xml:space="preserve">  </v>
      </c>
      <c r="G19" s="64" t="str">
        <f>IF('Levy Page 7'!$E$41&lt;&gt;0,'Levy Page 7'!$E$41,"  ")</f>
        <v xml:space="preserve">  </v>
      </c>
      <c r="H19" s="303" t="str">
        <f>IF('Levy Page 7'!E41&gt;0,ROUND(G19/$F$29*1000,3)," ")</f>
        <v xml:space="preserve"> </v>
      </c>
      <c r="J19" s="291" t="str">
        <f>IF(M19&gt;0,"Increased By:","")</f>
        <v/>
      </c>
      <c r="K19" s="290"/>
      <c r="L19" s="290"/>
      <c r="M19" s="289">
        <f>IF(M26&lt;0,M26*-1,0)</f>
        <v>0</v>
      </c>
    </row>
    <row r="20" spans="1:13" x14ac:dyDescent="0.2">
      <c r="A20" s="11" t="str">
        <f>IF(inputPrYr!$B23&gt;"  ",inputPrYr!$B23,"  ")</f>
        <v xml:space="preserve">  </v>
      </c>
      <c r="B20" s="64" t="str">
        <f>IF('Levy Page 7'!$C$73&lt;&gt;0,'Levy Page 7'!$C$73,"  ")</f>
        <v xml:space="preserve">  </v>
      </c>
      <c r="C20" s="303" t="str">
        <f>IF(inputPrYr!D41&gt;0,inputPrYr!D41,"  ")</f>
        <v xml:space="preserve">  </v>
      </c>
      <c r="D20" s="64" t="str">
        <f>IF('Levy Page 7'!$D$73&lt;&gt;0,'Levy Page 7'!$D$73,"  ")</f>
        <v xml:space="preserve">  </v>
      </c>
      <c r="E20" s="303" t="str">
        <f>IF(inputOth!D23&gt;0,inputOth!D23,"  ")</f>
        <v xml:space="preserve">  </v>
      </c>
      <c r="F20" s="64" t="str">
        <f>IF('Levy Page 7'!$E$73&lt;&gt;0,'Levy Page 7'!$E$73,"  ")</f>
        <v xml:space="preserve">  </v>
      </c>
      <c r="G20" s="64" t="str">
        <f>IF('Levy Page 7'!$E$80&lt;&gt;0,'Levy Page 7'!$E$80,"  ")</f>
        <v xml:space="preserve">  </v>
      </c>
      <c r="H20" s="303" t="str">
        <f>IF('Levy Page 7'!E80&gt;0,ROUND(G20/$F$29*1000,3)," ")</f>
        <v xml:space="preserve"> </v>
      </c>
      <c r="J20" s="288" t="str">
        <f>IF(M20&lt;0,"Reduced By:","")</f>
        <v/>
      </c>
      <c r="K20" s="287"/>
      <c r="L20" s="287"/>
      <c r="M20" s="286">
        <f>IF(M26&gt;0,M26*-1,0)</f>
        <v>0</v>
      </c>
    </row>
    <row r="21" spans="1:13" x14ac:dyDescent="0.25">
      <c r="A21" s="11" t="str">
        <f>IF(inputPrYr!$B26&gt;"  ",inputPrYr!$B26,"  ")</f>
        <v xml:space="preserve">  </v>
      </c>
      <c r="B21" s="64" t="str">
        <f>IF('No Levy Page 8'!$C$30&lt;&gt;0,'No Levy Page 8'!$C$30,"  ")</f>
        <v xml:space="preserve">  </v>
      </c>
      <c r="C21" s="303"/>
      <c r="D21" s="64" t="str">
        <f>IF('No Levy Page 8'!$D$30&lt;&gt;0,'No Levy Page 8'!$D$30,"  ")</f>
        <v xml:space="preserve">  </v>
      </c>
      <c r="E21" s="303"/>
      <c r="F21" s="64" t="str">
        <f>IF('No Levy Page 8'!$E$30&lt;&gt;0,'No Levy Page 8'!$E$30,"  ")</f>
        <v xml:space="preserve">  </v>
      </c>
      <c r="G21" s="64"/>
      <c r="H21" s="303"/>
      <c r="J21" s="282"/>
      <c r="K21" s="282"/>
      <c r="L21" s="282"/>
      <c r="M21" s="282"/>
    </row>
    <row r="22" spans="1:13" x14ac:dyDescent="0.25">
      <c r="A22" s="11" t="str">
        <f>IF(inputPrYr!$B27&gt;"  ",inputPrYr!$B27,"  ")</f>
        <v xml:space="preserve">  </v>
      </c>
      <c r="B22" s="64" t="str">
        <f>IF('No Levy Page 8'!$C$62&lt;&gt;0,'No Levy Page 8'!$C$62,"  ")</f>
        <v xml:space="preserve">  </v>
      </c>
      <c r="C22" s="303"/>
      <c r="D22" s="64" t="str">
        <f>IF('No Levy Page 8'!$D$62&lt;&gt;0,'No Levy Page 8'!$D$62,"  ")</f>
        <v xml:space="preserve">  </v>
      </c>
      <c r="E22" s="303"/>
      <c r="F22" s="64" t="str">
        <f>IF('No Levy Page 8'!$E$62&lt;&gt;0,'No Levy Page 8'!$E$62,"  ")</f>
        <v xml:space="preserve">  </v>
      </c>
      <c r="G22" s="64"/>
      <c r="H22" s="303"/>
      <c r="J22" s="613" t="str">
        <f>CONCATENATE("Impact On Keeping The Same Mill Rate As For ",H1-1,"")</f>
        <v>Impact On Keeping The Same Mill Rate As For 2023</v>
      </c>
      <c r="K22" s="616"/>
      <c r="L22" s="616"/>
      <c r="M22" s="617"/>
    </row>
    <row r="23" spans="1:13" x14ac:dyDescent="0.25">
      <c r="A23" s="153" t="str">
        <f>IF((inputPrYr!$B$30&gt;" "),('Non-Budgeted Funds'!$A$3),"")</f>
        <v/>
      </c>
      <c r="B23" s="64" t="str">
        <f>IF('Non-Budgeted Funds'!K28&gt;0,'Non-Budgeted Funds'!K28,"")</f>
        <v/>
      </c>
      <c r="C23" s="303"/>
      <c r="D23" s="64"/>
      <c r="E23" s="303"/>
      <c r="F23" s="64"/>
      <c r="G23" s="64"/>
      <c r="H23" s="303"/>
      <c r="J23" s="294"/>
      <c r="K23" s="299"/>
      <c r="L23" s="299"/>
      <c r="M23" s="293"/>
    </row>
    <row r="24" spans="1:13" ht="16.5" thickBot="1" x14ac:dyDescent="0.3">
      <c r="A24" s="439" t="s">
        <v>81</v>
      </c>
      <c r="B24" s="485">
        <f>SUM(B17:B23)</f>
        <v>0</v>
      </c>
      <c r="C24" s="519">
        <f t="shared" ref="C24:H24" si="0">SUM(C17:C22)</f>
        <v>0</v>
      </c>
      <c r="D24" s="485">
        <f t="shared" si="0"/>
        <v>0</v>
      </c>
      <c r="E24" s="519">
        <f t="shared" si="0"/>
        <v>0</v>
      </c>
      <c r="F24" s="485">
        <f t="shared" si="0"/>
        <v>0</v>
      </c>
      <c r="G24" s="485">
        <f t="shared" si="0"/>
        <v>0</v>
      </c>
      <c r="H24" s="519">
        <f t="shared" si="0"/>
        <v>0</v>
      </c>
      <c r="J24" s="294" t="str">
        <f>CONCATENATE("",H1," Ad Valorem Tax Revenue:")</f>
        <v>2024 Ad Valorem Tax Revenue:</v>
      </c>
      <c r="K24" s="299"/>
      <c r="L24" s="299"/>
      <c r="M24" s="298">
        <f>G24</f>
        <v>0</v>
      </c>
    </row>
    <row r="25" spans="1:13" ht="16.5" thickTop="1" x14ac:dyDescent="0.25">
      <c r="A25" s="619" t="s">
        <v>452</v>
      </c>
      <c r="B25" s="619"/>
      <c r="C25" s="619"/>
      <c r="D25" s="619"/>
      <c r="E25" s="619"/>
      <c r="F25" s="619"/>
      <c r="G25" s="619"/>
      <c r="H25" s="518">
        <f>inputOth!D16</f>
        <v>0</v>
      </c>
      <c r="J25" s="294" t="str">
        <f>CONCATENATE("",H1-1," Ad Valorem Tax Revenue:")</f>
        <v>2023 Ad Valorem Tax Revenue:</v>
      </c>
      <c r="K25" s="299"/>
      <c r="L25" s="299"/>
      <c r="M25" s="285">
        <f>ROUND(F29*M17/1000,0)</f>
        <v>0</v>
      </c>
    </row>
    <row r="26" spans="1:13" x14ac:dyDescent="0.25">
      <c r="A26" s="74" t="s">
        <v>106</v>
      </c>
      <c r="B26" s="64">
        <f>Transfers!C26</f>
        <v>0</v>
      </c>
      <c r="C26" s="155"/>
      <c r="D26" s="64">
        <f>Transfers!D26</f>
        <v>0</v>
      </c>
      <c r="E26" s="155"/>
      <c r="F26" s="64">
        <f>Transfers!E26</f>
        <v>0</v>
      </c>
      <c r="G26" s="5"/>
      <c r="H26" s="154"/>
      <c r="J26" s="284" t="s">
        <v>412</v>
      </c>
      <c r="K26" s="283"/>
      <c r="L26" s="283"/>
      <c r="M26" s="295">
        <f>M24-M25</f>
        <v>0</v>
      </c>
    </row>
    <row r="27" spans="1:13" ht="16.5" thickBot="1" x14ac:dyDescent="0.3">
      <c r="A27" s="14" t="s">
        <v>107</v>
      </c>
      <c r="B27" s="485">
        <f>SUM(B24-B26)</f>
        <v>0</v>
      </c>
      <c r="C27" s="155"/>
      <c r="D27" s="485">
        <f>SUM(D24-D26)</f>
        <v>0</v>
      </c>
      <c r="E27" s="155"/>
      <c r="F27" s="485">
        <f>SUM(F24-F26)</f>
        <v>0</v>
      </c>
      <c r="G27" s="5"/>
      <c r="H27" s="154"/>
      <c r="J27" s="282"/>
      <c r="K27" s="282"/>
      <c r="L27" s="282"/>
      <c r="M27" s="282"/>
    </row>
    <row r="28" spans="1:13" ht="16.5" thickTop="1" x14ac:dyDescent="0.25">
      <c r="A28" s="14" t="s">
        <v>40</v>
      </c>
      <c r="B28" s="64">
        <f>inputPrYr!E44</f>
        <v>0</v>
      </c>
      <c r="C28" s="73"/>
      <c r="D28" s="64">
        <f>inputPrYr!E24</f>
        <v>0</v>
      </c>
      <c r="E28" s="73"/>
      <c r="F28" s="312" t="s">
        <v>16</v>
      </c>
      <c r="G28" s="1"/>
      <c r="H28" s="1"/>
      <c r="J28" s="613" t="s">
        <v>413</v>
      </c>
      <c r="K28" s="614"/>
      <c r="L28" s="614"/>
      <c r="M28" s="615"/>
    </row>
    <row r="29" spans="1:13" x14ac:dyDescent="0.25">
      <c r="A29" s="14" t="s">
        <v>108</v>
      </c>
      <c r="B29" s="64">
        <f>inputPrYr!E45</f>
        <v>0</v>
      </c>
      <c r="C29" s="73"/>
      <c r="D29" s="64">
        <f>inputOth!E26</f>
        <v>0</v>
      </c>
      <c r="E29" s="73"/>
      <c r="F29" s="64">
        <f>IF(inputOth!E14&gt;0,inputOth!E7-inputOth!E14+inputOth!E13,inputOth!E7)</f>
        <v>0</v>
      </c>
      <c r="G29" s="1"/>
      <c r="H29" s="1"/>
      <c r="J29" s="294"/>
      <c r="K29" s="299"/>
      <c r="L29" s="299"/>
      <c r="M29" s="293"/>
    </row>
    <row r="30" spans="1:13" x14ac:dyDescent="0.25">
      <c r="A30" s="15"/>
      <c r="B30" s="5"/>
      <c r="C30" s="1"/>
      <c r="D30" s="5"/>
      <c r="E30" s="1"/>
      <c r="F30" s="5"/>
      <c r="G30" s="1"/>
      <c r="H30" s="1"/>
      <c r="J30" s="294" t="str">
        <f>CONCATENATE("Current ",H1," Estimated Mill Rate:")</f>
        <v>Current 2024 Estimated Mill Rate:</v>
      </c>
      <c r="K30" s="299"/>
      <c r="L30" s="299"/>
      <c r="M30" s="292">
        <f>H24</f>
        <v>0</v>
      </c>
    </row>
    <row r="31" spans="1:13" x14ac:dyDescent="0.25">
      <c r="A31" s="15" t="s">
        <v>41</v>
      </c>
      <c r="B31" s="1"/>
      <c r="C31" s="1"/>
      <c r="D31" s="1"/>
      <c r="E31" s="1"/>
      <c r="F31" s="1"/>
      <c r="G31" s="1"/>
      <c r="H31" s="1"/>
      <c r="J31" s="294" t="str">
        <f>CONCATENATE("Desired ",H1," Mill Rate:")</f>
        <v>Desired 2024 Mill Rate:</v>
      </c>
      <c r="K31" s="299"/>
      <c r="L31" s="299"/>
      <c r="M31" s="281">
        <v>0</v>
      </c>
    </row>
    <row r="32" spans="1:13" x14ac:dyDescent="0.25">
      <c r="A32" s="15" t="s">
        <v>105</v>
      </c>
      <c r="B32" s="145">
        <f>H1-3</f>
        <v>2021</v>
      </c>
      <c r="C32" s="1"/>
      <c r="D32" s="145">
        <f>H1-2</f>
        <v>2022</v>
      </c>
      <c r="E32" s="1"/>
      <c r="F32" s="145">
        <f>H1-1</f>
        <v>2023</v>
      </c>
      <c r="G32" s="1"/>
      <c r="H32" s="1"/>
      <c r="J32" s="294" t="str">
        <f>CONCATENATE("",H1," Ad Valorem Tax:")</f>
        <v>2024 Ad Valorem Tax:</v>
      </c>
      <c r="K32" s="299"/>
      <c r="L32" s="299"/>
      <c r="M32" s="285">
        <f>ROUND(F29*M31/1000,0)</f>
        <v>0</v>
      </c>
    </row>
    <row r="33" spans="1:13" x14ac:dyDescent="0.25">
      <c r="A33" s="15" t="s">
        <v>42</v>
      </c>
      <c r="B33" s="163">
        <f>inputPrYr!D48</f>
        <v>0</v>
      </c>
      <c r="C33" s="5"/>
      <c r="D33" s="163">
        <f>inputPrYr!E48</f>
        <v>0</v>
      </c>
      <c r="E33" s="1"/>
      <c r="F33" s="163">
        <f>'Debt-LP Form'!E12</f>
        <v>0</v>
      </c>
      <c r="G33" s="1"/>
      <c r="H33" s="6"/>
      <c r="J33" s="284" t="str">
        <f>CONCATENATE("",H1," Tax Levy Fund Exp. Changed By:")</f>
        <v>2024 Tax Levy Fund Exp. Changed By:</v>
      </c>
      <c r="K33" s="283"/>
      <c r="L33" s="283"/>
      <c r="M33" s="295">
        <f>IF(M31=0,0,(M32-G24))</f>
        <v>0</v>
      </c>
    </row>
    <row r="34" spans="1:13" x14ac:dyDescent="0.2">
      <c r="A34" s="1" t="s">
        <v>43</v>
      </c>
      <c r="B34" s="163">
        <f>inputPrYr!D49</f>
        <v>0</v>
      </c>
      <c r="C34" s="1"/>
      <c r="D34" s="163">
        <f>inputPrYr!E49</f>
        <v>0</v>
      </c>
      <c r="E34" s="1"/>
      <c r="F34" s="163">
        <f>'Debt-LP Form'!E16</f>
        <v>0</v>
      </c>
      <c r="G34" s="1"/>
      <c r="H34" s="6"/>
    </row>
    <row r="35" spans="1:13" ht="15.75" customHeight="1" x14ac:dyDescent="0.2">
      <c r="A35" s="15" t="s">
        <v>44</v>
      </c>
      <c r="B35" s="163">
        <f>inputPrYr!D50</f>
        <v>0</v>
      </c>
      <c r="C35" s="5"/>
      <c r="D35" s="163">
        <f>inputPrYr!E50</f>
        <v>0</v>
      </c>
      <c r="E35" s="1"/>
      <c r="F35" s="163">
        <f>'Debt-LP Form'!E20</f>
        <v>0</v>
      </c>
      <c r="G35" s="1"/>
      <c r="H35" s="6"/>
      <c r="J35" s="620" t="s">
        <v>806</v>
      </c>
      <c r="K35" s="621"/>
      <c r="L35" s="621"/>
      <c r="M35" s="624" t="str">
        <f>IF(H24&gt;H25, "Yes", "No")</f>
        <v>No</v>
      </c>
    </row>
    <row r="36" spans="1:13" ht="15.75" customHeight="1" x14ac:dyDescent="0.2">
      <c r="A36" s="15" t="s">
        <v>82</v>
      </c>
      <c r="B36" s="163">
        <f>inputPrYr!D51</f>
        <v>0</v>
      </c>
      <c r="C36" s="1"/>
      <c r="D36" s="163">
        <f>inputPrYr!E51</f>
        <v>0</v>
      </c>
      <c r="E36" s="1"/>
      <c r="F36" s="163">
        <f>'Debt-LP Form'!F39</f>
        <v>0</v>
      </c>
      <c r="G36" s="1"/>
      <c r="H36" s="6"/>
      <c r="J36" s="622"/>
      <c r="K36" s="623"/>
      <c r="L36" s="623"/>
      <c r="M36" s="625"/>
    </row>
    <row r="37" spans="1:13" ht="16.5" thickBot="1" x14ac:dyDescent="0.25">
      <c r="A37" s="115" t="s">
        <v>45</v>
      </c>
      <c r="B37" s="164">
        <f>SUM(B33:B36)</f>
        <v>0</v>
      </c>
      <c r="C37" s="1"/>
      <c r="D37" s="164">
        <f>SUM(D33:D36)</f>
        <v>0</v>
      </c>
      <c r="E37" s="1"/>
      <c r="F37" s="164">
        <f>SUM(F33:F36)</f>
        <v>0</v>
      </c>
      <c r="G37" s="156"/>
      <c r="H37" s="6"/>
      <c r="J37" s="602" t="str">
        <f>IF(M35="Yes", "Follow procedure prescirbed by KSA 79-2988 to exceed the Revenue Neutral Rate.", " ")</f>
        <v xml:space="preserve"> </v>
      </c>
      <c r="K37" s="602"/>
      <c r="L37" s="602"/>
      <c r="M37" s="602"/>
    </row>
    <row r="38" spans="1:13" ht="16.5" thickTop="1" x14ac:dyDescent="0.2">
      <c r="A38" s="115" t="s">
        <v>46</v>
      </c>
      <c r="B38" s="1"/>
      <c r="C38" s="1"/>
      <c r="D38" s="1"/>
      <c r="E38" s="81"/>
      <c r="F38" s="81"/>
      <c r="G38" s="1"/>
      <c r="H38" s="6"/>
      <c r="J38" s="603"/>
      <c r="K38" s="603"/>
      <c r="L38" s="603"/>
      <c r="M38" s="603"/>
    </row>
    <row r="39" spans="1:13" x14ac:dyDescent="0.2">
      <c r="A39" s="440" t="s">
        <v>809</v>
      </c>
      <c r="B39" s="1"/>
      <c r="C39" s="1"/>
      <c r="D39" s="1"/>
      <c r="E39" s="1"/>
      <c r="F39" s="1"/>
      <c r="G39" s="1"/>
      <c r="H39" s="6"/>
      <c r="J39" s="603"/>
      <c r="K39" s="603"/>
      <c r="L39" s="603"/>
      <c r="M39" s="603"/>
    </row>
    <row r="40" spans="1:13" x14ac:dyDescent="0.2">
      <c r="A40" s="1"/>
      <c r="B40" s="1"/>
      <c r="C40" s="1"/>
      <c r="D40" s="1"/>
      <c r="E40" s="1"/>
      <c r="F40" s="1"/>
      <c r="G40" s="1"/>
      <c r="H40" s="1"/>
    </row>
    <row r="41" spans="1:13" x14ac:dyDescent="0.2">
      <c r="A41" s="618">
        <f>inputHearing!B28</f>
        <v>0</v>
      </c>
      <c r="B41" s="572"/>
      <c r="C41" s="13"/>
      <c r="D41" s="1"/>
      <c r="E41" s="1"/>
      <c r="F41" s="1"/>
      <c r="G41" s="1"/>
      <c r="H41" s="6"/>
    </row>
    <row r="42" spans="1:13" x14ac:dyDescent="0.2">
      <c r="A42" s="611">
        <f>inputHearing!B30</f>
        <v>0</v>
      </c>
      <c r="B42" s="605"/>
      <c r="C42" s="1"/>
      <c r="D42" s="4" t="s">
        <v>32</v>
      </c>
      <c r="E42" s="391"/>
      <c r="F42" s="1"/>
      <c r="G42" s="1"/>
      <c r="H42" s="6"/>
    </row>
    <row r="44" spans="1:13" x14ac:dyDescent="0.2">
      <c r="A44" s="3"/>
      <c r="B44" s="3"/>
      <c r="C44" s="3"/>
      <c r="D44" s="3"/>
      <c r="E44" s="3"/>
      <c r="F44" s="3"/>
      <c r="G44" s="3"/>
      <c r="H44" s="3"/>
    </row>
    <row r="46" spans="1:13" x14ac:dyDescent="0.2">
      <c r="A46" s="3"/>
      <c r="B46" s="3"/>
      <c r="C46" s="3"/>
      <c r="D46" s="3"/>
      <c r="E46" s="3"/>
      <c r="F46" s="3"/>
      <c r="G46" s="3"/>
      <c r="H46" s="3"/>
    </row>
    <row r="47" spans="1:13" x14ac:dyDescent="0.2">
      <c r="A47" s="3"/>
      <c r="B47" s="3"/>
      <c r="C47" s="3"/>
      <c r="D47" s="3"/>
      <c r="E47" s="3"/>
      <c r="F47" s="3"/>
      <c r="G47" s="3"/>
      <c r="H47" s="3"/>
    </row>
    <row r="48" spans="1:13" x14ac:dyDescent="0.2">
      <c r="A48" s="3"/>
      <c r="B48" s="3"/>
      <c r="C48" s="3"/>
      <c r="D48" s="3"/>
      <c r="E48" s="3"/>
      <c r="F48" s="3"/>
      <c r="G48" s="3"/>
      <c r="H48" s="3"/>
    </row>
    <row r="49" spans="1:8" x14ac:dyDescent="0.2">
      <c r="A49" s="3"/>
      <c r="B49" s="3"/>
      <c r="C49" s="3"/>
      <c r="D49" s="3"/>
      <c r="E49" s="3"/>
      <c r="F49" s="3"/>
      <c r="G49" s="3"/>
      <c r="H49" s="3"/>
    </row>
    <row r="50" spans="1:8" x14ac:dyDescent="0.2">
      <c r="A50" s="3"/>
      <c r="B50" s="3"/>
      <c r="C50" s="3"/>
      <c r="D50" s="3"/>
      <c r="E50" s="3"/>
      <c r="F50" s="3"/>
      <c r="G50" s="3"/>
      <c r="H50" s="3"/>
    </row>
    <row r="51" spans="1:8" x14ac:dyDescent="0.2">
      <c r="A51" s="3"/>
      <c r="B51" s="3"/>
      <c r="C51" s="3"/>
      <c r="D51" s="3"/>
      <c r="E51" s="3"/>
      <c r="F51" s="3"/>
      <c r="G51" s="3"/>
      <c r="H51" s="3"/>
    </row>
    <row r="52" spans="1:8" x14ac:dyDescent="0.2">
      <c r="A52" s="3"/>
      <c r="B52" s="3"/>
      <c r="C52" s="3"/>
      <c r="D52" s="3"/>
      <c r="E52" s="3"/>
      <c r="F52" s="3"/>
      <c r="G52" s="3"/>
      <c r="H52" s="3"/>
    </row>
    <row r="53" spans="1:8" x14ac:dyDescent="0.2">
      <c r="A53" s="3"/>
      <c r="B53" s="3"/>
      <c r="C53" s="3"/>
      <c r="D53" s="3"/>
      <c r="E53" s="3"/>
      <c r="F53" s="3"/>
      <c r="G53" s="3"/>
      <c r="H53" s="3"/>
    </row>
    <row r="54" spans="1:8" x14ac:dyDescent="0.2">
      <c r="A54" s="3"/>
      <c r="B54" s="3"/>
      <c r="C54" s="3"/>
      <c r="D54" s="3"/>
      <c r="E54" s="3"/>
      <c r="F54" s="3"/>
      <c r="G54" s="3"/>
      <c r="H54" s="3"/>
    </row>
  </sheetData>
  <sheetProtection sheet="1" objects="1" scenarios="1"/>
  <mergeCells count="22">
    <mergeCell ref="J37:M39"/>
    <mergeCell ref="A41:B41"/>
    <mergeCell ref="A42:B42"/>
    <mergeCell ref="H15:H16"/>
    <mergeCell ref="J15:M15"/>
    <mergeCell ref="J22:M22"/>
    <mergeCell ref="A25:G25"/>
    <mergeCell ref="J28:M28"/>
    <mergeCell ref="J35:L36"/>
    <mergeCell ref="M35:M36"/>
    <mergeCell ref="B15:B16"/>
    <mergeCell ref="C15:C16"/>
    <mergeCell ref="D15:D16"/>
    <mergeCell ref="E15:E16"/>
    <mergeCell ref="F15:F16"/>
    <mergeCell ref="G15:G16"/>
    <mergeCell ref="J11:M11"/>
    <mergeCell ref="A2:H2"/>
    <mergeCell ref="A4:H4"/>
    <mergeCell ref="A5:H5"/>
    <mergeCell ref="A6:H6"/>
    <mergeCell ref="A7:H7"/>
  </mergeCells>
  <conditionalFormatting sqref="M35:M36">
    <cfRule type="containsText" dxfId="0" priority="1" operator="containsText" text="Yes">
      <formula>NOT(ISERROR(SEARCH("Yes",M35)))</formula>
    </cfRule>
  </conditionalFormatting>
  <pageMargins left="1" right="1" top="0.5" bottom="0.5" header="0.5" footer="0.5"/>
  <pageSetup scale="69"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99E5E-812A-4D6F-A796-207C46601D42}">
  <sheetPr codeName="Sheet19">
    <tabColor rgb="FF00B0F0"/>
  </sheetPr>
  <dimension ref="A1:H37"/>
  <sheetViews>
    <sheetView workbookViewId="0">
      <selection activeCell="I1" sqref="I1"/>
    </sheetView>
  </sheetViews>
  <sheetFormatPr defaultColWidth="13.77734375" defaultRowHeight="15.75" x14ac:dyDescent="0.2"/>
  <cols>
    <col min="1" max="1" width="14.109375" style="66" customWidth="1"/>
    <col min="2" max="2" width="12.77734375" style="66" customWidth="1"/>
    <col min="3" max="3" width="8.77734375" style="66" customWidth="1"/>
    <col min="4" max="4" width="7.33203125" style="66" customWidth="1"/>
    <col min="5" max="5" width="8.5546875" style="66" customWidth="1"/>
    <col min="6" max="6" width="12.77734375" style="66" customWidth="1"/>
    <col min="7" max="7" width="11.88671875" style="66" customWidth="1"/>
    <col min="8" max="8" width="14.109375" style="66" customWidth="1"/>
    <col min="9" max="252" width="8.88671875" style="66" customWidth="1"/>
    <col min="253" max="253" width="15.77734375" style="66" customWidth="1"/>
    <col min="254" max="254" width="12.77734375" style="66" customWidth="1"/>
    <col min="255" max="255" width="8.77734375" style="66" customWidth="1"/>
    <col min="256" max="16384" width="13.77734375" style="66"/>
  </cols>
  <sheetData>
    <row r="1" spans="1:8" x14ac:dyDescent="0.2">
      <c r="A1" s="1"/>
      <c r="B1" s="1"/>
      <c r="C1" s="1"/>
      <c r="D1" s="1"/>
      <c r="E1" s="1"/>
      <c r="F1" s="1"/>
      <c r="G1" s="1"/>
      <c r="H1" s="6">
        <f>inputPrYr!D6</f>
        <v>2024</v>
      </c>
    </row>
    <row r="2" spans="1:8" x14ac:dyDescent="0.2">
      <c r="A2" s="626" t="s">
        <v>778</v>
      </c>
      <c r="B2" s="627"/>
      <c r="C2" s="627"/>
      <c r="D2" s="627"/>
      <c r="E2" s="627"/>
      <c r="F2" s="627"/>
      <c r="G2" s="627"/>
      <c r="H2" s="627"/>
    </row>
    <row r="3" spans="1:8" x14ac:dyDescent="0.2">
      <c r="A3" s="1"/>
      <c r="B3" s="1"/>
      <c r="C3" s="1"/>
      <c r="D3" s="1"/>
      <c r="E3" s="1"/>
      <c r="F3" s="1"/>
      <c r="G3" s="1"/>
      <c r="H3" s="1"/>
    </row>
    <row r="4" spans="1:8" x14ac:dyDescent="0.2">
      <c r="A4" s="556" t="s">
        <v>73</v>
      </c>
      <c r="B4" s="556"/>
      <c r="C4" s="556"/>
      <c r="D4" s="556"/>
      <c r="E4" s="556"/>
      <c r="F4" s="556"/>
      <c r="G4" s="556"/>
      <c r="H4" s="556"/>
    </row>
    <row r="5" spans="1:8" x14ac:dyDescent="0.2">
      <c r="A5" s="535">
        <f>inputPrYr!D3</f>
        <v>0</v>
      </c>
      <c r="B5" s="530"/>
      <c r="C5" s="530"/>
      <c r="D5" s="530"/>
      <c r="E5" s="530"/>
      <c r="F5" s="530"/>
      <c r="G5" s="530"/>
      <c r="H5" s="530"/>
    </row>
    <row r="6" spans="1:8" x14ac:dyDescent="0.2">
      <c r="A6" s="556" t="str">
        <f>CONCATENATE("will meet on ",inputHearing!B42," at ",inputHearing!B44," at ",inputHearing!B46," for the purpose of hearing and")</f>
        <v>will meet on  at  at  for the purpose of hearing and</v>
      </c>
      <c r="B6" s="556"/>
      <c r="C6" s="556"/>
      <c r="D6" s="556"/>
      <c r="E6" s="556"/>
      <c r="F6" s="556"/>
      <c r="G6" s="556"/>
      <c r="H6" s="556"/>
    </row>
    <row r="7" spans="1:8" ht="14.25" customHeight="1" x14ac:dyDescent="0.2">
      <c r="A7" s="556" t="s">
        <v>779</v>
      </c>
      <c r="B7" s="556"/>
      <c r="C7" s="556"/>
      <c r="D7" s="556"/>
      <c r="E7" s="556"/>
      <c r="F7" s="556"/>
      <c r="G7" s="556"/>
      <c r="H7" s="556"/>
    </row>
    <row r="8" spans="1:8" ht="11.25" customHeight="1" x14ac:dyDescent="0.2">
      <c r="A8" s="1"/>
      <c r="B8" s="1"/>
      <c r="C8" s="1"/>
      <c r="D8" s="1"/>
      <c r="E8" s="1"/>
      <c r="F8" s="1"/>
      <c r="G8" s="1"/>
      <c r="H8" s="1"/>
    </row>
    <row r="9" spans="1:8" ht="15" customHeight="1" x14ac:dyDescent="0.2">
      <c r="A9" s="530" t="s">
        <v>780</v>
      </c>
      <c r="B9" s="530"/>
      <c r="C9" s="530"/>
      <c r="D9" s="530"/>
      <c r="E9" s="530"/>
      <c r="F9" s="530"/>
      <c r="G9" s="530"/>
      <c r="H9" s="530"/>
    </row>
    <row r="10" spans="1:8" ht="12" customHeight="1" x14ac:dyDescent="0.2">
      <c r="A10" s="560">
        <f>inputPrYr!D4</f>
        <v>0</v>
      </c>
      <c r="B10" s="556"/>
      <c r="C10" s="556"/>
      <c r="D10" s="556"/>
      <c r="E10" s="556"/>
      <c r="F10" s="556"/>
      <c r="G10" s="556"/>
      <c r="H10" s="556"/>
    </row>
    <row r="11" spans="1:8" x14ac:dyDescent="0.2">
      <c r="A11" s="146"/>
      <c r="B11" s="7"/>
      <c r="C11" s="7"/>
      <c r="D11" s="7"/>
      <c r="E11" s="7"/>
      <c r="F11" s="7"/>
      <c r="G11" s="7"/>
      <c r="H11" s="7"/>
    </row>
    <row r="12" spans="1:8" x14ac:dyDescent="0.2">
      <c r="A12" s="146"/>
      <c r="B12" s="633" t="s">
        <v>781</v>
      </c>
      <c r="C12" s="633"/>
      <c r="D12" s="477">
        <f>'Budget Hearing Notice'!H25</f>
        <v>0</v>
      </c>
      <c r="E12" s="633" t="s">
        <v>782</v>
      </c>
      <c r="F12" s="633"/>
      <c r="G12" s="478">
        <f>'Budget Hearing Notice'!H24</f>
        <v>0</v>
      </c>
      <c r="H12" s="7"/>
    </row>
    <row r="13" spans="1:8" x14ac:dyDescent="0.2">
      <c r="A13" s="1"/>
      <c r="B13" s="13"/>
      <c r="C13" s="13"/>
      <c r="D13" s="13"/>
      <c r="E13" s="13"/>
      <c r="F13" s="13"/>
      <c r="G13" s="13"/>
      <c r="H13" s="13"/>
    </row>
    <row r="14" spans="1:8" x14ac:dyDescent="0.2">
      <c r="A14" s="1"/>
      <c r="B14" s="634" t="s">
        <v>783</v>
      </c>
      <c r="C14" s="634"/>
      <c r="D14" s="634"/>
      <c r="E14" s="634"/>
      <c r="F14" s="634"/>
      <c r="G14" s="1"/>
      <c r="H14" s="6"/>
    </row>
    <row r="15" spans="1:8" x14ac:dyDescent="0.2">
      <c r="A15" s="1"/>
      <c r="B15" s="634" t="s">
        <v>784</v>
      </c>
      <c r="C15" s="634"/>
      <c r="D15" s="634"/>
      <c r="E15" s="634"/>
      <c r="F15" s="634"/>
      <c r="G15" s="1"/>
      <c r="H15" s="6"/>
    </row>
    <row r="16" spans="1:8" x14ac:dyDescent="0.2">
      <c r="A16" s="1"/>
      <c r="B16" s="479"/>
      <c r="C16" s="479"/>
      <c r="D16" s="479"/>
      <c r="E16" s="479"/>
      <c r="F16" s="479"/>
      <c r="G16" s="1"/>
      <c r="H16" s="6"/>
    </row>
    <row r="17" spans="1:8" x14ac:dyDescent="0.2">
      <c r="A17" s="1"/>
      <c r="B17" s="479"/>
      <c r="C17" s="479"/>
      <c r="D17" s="4" t="s">
        <v>785</v>
      </c>
      <c r="E17" s="390"/>
      <c r="F17" s="479"/>
      <c r="G17" s="1"/>
      <c r="H17" s="6"/>
    </row>
    <row r="19" spans="1:8" x14ac:dyDescent="0.2">
      <c r="A19" s="3"/>
      <c r="B19" s="3"/>
      <c r="C19" s="3"/>
      <c r="D19" s="3"/>
      <c r="E19" s="3"/>
      <c r="F19" s="3"/>
      <c r="G19" s="3"/>
      <c r="H19" s="3"/>
    </row>
    <row r="21" spans="1:8" x14ac:dyDescent="0.2">
      <c r="A21" s="3"/>
      <c r="B21" s="3"/>
      <c r="C21" s="3"/>
      <c r="D21" s="3"/>
      <c r="E21" s="3"/>
      <c r="F21" s="3"/>
      <c r="G21" s="3"/>
      <c r="H21" s="3"/>
    </row>
    <row r="22" spans="1:8" x14ac:dyDescent="0.2">
      <c r="A22" s="3"/>
      <c r="B22" s="3"/>
      <c r="C22" s="3"/>
      <c r="D22" s="3"/>
      <c r="E22" s="3"/>
      <c r="F22" s="3"/>
      <c r="G22" s="3"/>
      <c r="H22" s="3"/>
    </row>
    <row r="23" spans="1:8" x14ac:dyDescent="0.2">
      <c r="A23" s="3"/>
      <c r="B23" s="3"/>
      <c r="C23" s="3"/>
      <c r="D23" s="3"/>
      <c r="E23" s="3"/>
      <c r="F23" s="3"/>
      <c r="G23" s="3"/>
      <c r="H23" s="3"/>
    </row>
    <row r="24" spans="1:8" x14ac:dyDescent="0.2">
      <c r="A24" s="3"/>
      <c r="B24" s="3"/>
      <c r="C24" s="3"/>
      <c r="D24" s="3"/>
      <c r="E24" s="3"/>
      <c r="F24" s="3"/>
      <c r="G24" s="3"/>
      <c r="H24" s="3"/>
    </row>
    <row r="25" spans="1:8" x14ac:dyDescent="0.2">
      <c r="A25" s="3"/>
      <c r="B25" s="3"/>
      <c r="C25" s="3"/>
      <c r="D25" s="3"/>
      <c r="E25" s="3"/>
      <c r="F25" s="3"/>
      <c r="G25" s="3"/>
      <c r="H25" s="3"/>
    </row>
    <row r="26" spans="1:8" x14ac:dyDescent="0.2">
      <c r="A26" s="3"/>
      <c r="B26" s="3"/>
      <c r="C26" s="3"/>
      <c r="D26" s="3"/>
      <c r="E26" s="3"/>
      <c r="F26" s="3"/>
      <c r="G26" s="3"/>
      <c r="H26" s="3"/>
    </row>
    <row r="27" spans="1:8" x14ac:dyDescent="0.2">
      <c r="A27" s="3"/>
      <c r="B27" s="3"/>
      <c r="C27" s="3"/>
      <c r="D27" s="3"/>
      <c r="E27" s="3"/>
      <c r="F27" s="3"/>
      <c r="G27" s="3"/>
      <c r="H27" s="3"/>
    </row>
    <row r="28" spans="1:8" x14ac:dyDescent="0.2">
      <c r="A28" s="3"/>
      <c r="B28" s="3"/>
      <c r="C28" s="3"/>
      <c r="D28" s="3"/>
      <c r="E28" s="3"/>
      <c r="F28" s="3"/>
      <c r="G28" s="3"/>
      <c r="H28" s="3"/>
    </row>
    <row r="29" spans="1:8" x14ac:dyDescent="0.2">
      <c r="A29" s="3"/>
      <c r="B29" s="3"/>
      <c r="C29" s="3"/>
      <c r="D29" s="3"/>
      <c r="E29" s="3"/>
      <c r="F29" s="3"/>
      <c r="G29" s="3"/>
      <c r="H29" s="3"/>
    </row>
    <row r="37" ht="15" customHeight="1" x14ac:dyDescent="0.2"/>
  </sheetData>
  <sheetProtection sheet="1" objects="1" scenarios="1"/>
  <mergeCells count="11">
    <mergeCell ref="A10:H10"/>
    <mergeCell ref="B12:C12"/>
    <mergeCell ref="E12:F12"/>
    <mergeCell ref="B14:F14"/>
    <mergeCell ref="B15:F15"/>
    <mergeCell ref="A9:H9"/>
    <mergeCell ref="A2:H2"/>
    <mergeCell ref="A4:H4"/>
    <mergeCell ref="A5:H5"/>
    <mergeCell ref="A6:H6"/>
    <mergeCell ref="A7:H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52"/>
  <sheetViews>
    <sheetView workbookViewId="0">
      <selection activeCell="D7" sqref="D7"/>
    </sheetView>
  </sheetViews>
  <sheetFormatPr defaultRowHeight="15.75" x14ac:dyDescent="0.2"/>
  <cols>
    <col min="1" max="1" width="15.77734375" style="3" customWidth="1"/>
    <col min="2" max="2" width="20.77734375" style="3" customWidth="1"/>
    <col min="3" max="3" width="9.77734375" style="3" customWidth="1"/>
    <col min="4" max="4" width="15.6640625" style="3" customWidth="1"/>
    <col min="5" max="5" width="14.21875" style="3" customWidth="1"/>
    <col min="6" max="6" width="1.77734375" style="3" customWidth="1"/>
    <col min="7" max="7" width="18.6640625" style="3" customWidth="1"/>
    <col min="8" max="16384" width="8.88671875" style="3"/>
  </cols>
  <sheetData>
    <row r="1" spans="1:8" x14ac:dyDescent="0.2">
      <c r="A1" s="530" t="s">
        <v>433</v>
      </c>
      <c r="B1" s="531"/>
      <c r="C1" s="531"/>
      <c r="D1" s="531"/>
      <c r="E1" s="531"/>
    </row>
    <row r="2" spans="1:8" x14ac:dyDescent="0.2">
      <c r="A2" s="15"/>
      <c r="B2" s="1"/>
      <c r="C2" s="1"/>
      <c r="D2" s="1"/>
      <c r="E2" s="1"/>
    </row>
    <row r="3" spans="1:8" x14ac:dyDescent="0.2">
      <c r="A3" s="233" t="s">
        <v>426</v>
      </c>
      <c r="B3" s="1"/>
      <c r="C3" s="1"/>
      <c r="D3" s="371"/>
      <c r="E3" s="15"/>
    </row>
    <row r="4" spans="1:8" x14ac:dyDescent="0.2">
      <c r="A4" s="233" t="s">
        <v>432</v>
      </c>
      <c r="B4" s="1"/>
      <c r="C4" s="1"/>
      <c r="D4" s="371"/>
      <c r="E4" s="15"/>
    </row>
    <row r="5" spans="1:8" x14ac:dyDescent="0.2">
      <c r="A5" s="15"/>
      <c r="B5" s="1"/>
      <c r="C5" s="1"/>
      <c r="D5" s="115"/>
      <c r="E5" s="15"/>
    </row>
    <row r="6" spans="1:8" x14ac:dyDescent="0.2">
      <c r="A6" s="233" t="s">
        <v>430</v>
      </c>
      <c r="B6" s="1"/>
      <c r="C6" s="1"/>
      <c r="D6" s="234">
        <v>2024</v>
      </c>
      <c r="E6" s="15"/>
    </row>
    <row r="7" spans="1:8" x14ac:dyDescent="0.2">
      <c r="A7" s="233"/>
      <c r="B7" s="1"/>
      <c r="C7" s="1"/>
      <c r="D7" s="1"/>
      <c r="E7" s="15"/>
    </row>
    <row r="8" spans="1:8" x14ac:dyDescent="0.2">
      <c r="A8" s="534" t="s">
        <v>427</v>
      </c>
      <c r="B8" s="534"/>
      <c r="C8" s="534"/>
      <c r="D8" s="534"/>
      <c r="E8" s="534"/>
    </row>
    <row r="9" spans="1:8" x14ac:dyDescent="0.2">
      <c r="A9" s="534"/>
      <c r="B9" s="534"/>
      <c r="C9" s="534"/>
      <c r="D9" s="534"/>
      <c r="E9" s="534"/>
    </row>
    <row r="10" spans="1:8" ht="15.75" customHeight="1" x14ac:dyDescent="0.2">
      <c r="A10" s="534"/>
      <c r="B10" s="534"/>
      <c r="C10" s="534"/>
      <c r="D10" s="534"/>
      <c r="E10" s="534"/>
      <c r="F10" s="1"/>
      <c r="G10" s="520" t="s">
        <v>429</v>
      </c>
      <c r="H10" s="521"/>
    </row>
    <row r="11" spans="1:8" x14ac:dyDescent="0.2">
      <c r="A11" s="82"/>
      <c r="B11" s="1"/>
      <c r="C11" s="1"/>
      <c r="D11" s="1"/>
      <c r="E11" s="1"/>
      <c r="F11" s="1"/>
      <c r="G11" s="522"/>
      <c r="H11" s="523"/>
    </row>
    <row r="12" spans="1:8" x14ac:dyDescent="0.2">
      <c r="A12" s="528" t="s">
        <v>428</v>
      </c>
      <c r="B12" s="529"/>
      <c r="C12" s="529"/>
      <c r="D12" s="529"/>
      <c r="E12" s="529"/>
      <c r="F12" s="1"/>
      <c r="G12" s="522"/>
      <c r="H12" s="523"/>
    </row>
    <row r="13" spans="1:8" x14ac:dyDescent="0.2">
      <c r="A13" s="82"/>
      <c r="B13" s="1"/>
      <c r="C13" s="1"/>
      <c r="D13" s="1"/>
      <c r="E13" s="1"/>
      <c r="F13" s="1"/>
      <c r="G13" s="522"/>
      <c r="H13" s="523"/>
    </row>
    <row r="14" spans="1:8" x14ac:dyDescent="0.2">
      <c r="A14" s="398" t="s">
        <v>93</v>
      </c>
      <c r="B14" s="397"/>
      <c r="C14" s="1"/>
      <c r="D14" s="1"/>
      <c r="E14" s="1"/>
      <c r="F14" s="1"/>
      <c r="G14" s="522"/>
      <c r="H14" s="523"/>
    </row>
    <row r="15" spans="1:8" x14ac:dyDescent="0.2">
      <c r="A15" s="396" t="str">
        <f>CONCATENATE("the ",D6-1," Budget, Certificate Page:")</f>
        <v>the 2023 Budget, Certificate Page:</v>
      </c>
      <c r="B15" s="395"/>
      <c r="C15" s="1"/>
      <c r="D15" s="1"/>
      <c r="E15" s="1"/>
      <c r="F15" s="1"/>
      <c r="G15" s="522"/>
      <c r="H15" s="523"/>
    </row>
    <row r="16" spans="1:8" x14ac:dyDescent="0.2">
      <c r="A16" s="394" t="s">
        <v>147</v>
      </c>
      <c r="B16" s="393"/>
      <c r="C16" s="1"/>
      <c r="D16" s="1"/>
      <c r="E16" s="1"/>
      <c r="F16" s="1"/>
      <c r="G16" s="524"/>
      <c r="H16" s="525"/>
    </row>
    <row r="17" spans="1:8" x14ac:dyDescent="0.2">
      <c r="A17" s="1"/>
      <c r="B17" s="1"/>
      <c r="C17" s="29"/>
      <c r="D17" s="235">
        <f>D6-1</f>
        <v>2023</v>
      </c>
      <c r="E17" s="532" t="str">
        <f>CONCATENATE("Amount of ",D6-2,"     Ad Valorem Tax")</f>
        <v>Amount of 2022     Ad Valorem Tax</v>
      </c>
      <c r="F17" s="377"/>
      <c r="G17" s="40" t="s">
        <v>425</v>
      </c>
      <c r="H17" s="10" t="s">
        <v>31</v>
      </c>
    </row>
    <row r="18" spans="1:8" x14ac:dyDescent="0.2">
      <c r="A18" s="15" t="s">
        <v>0</v>
      </c>
      <c r="B18" s="1"/>
      <c r="C18" s="29" t="s">
        <v>1</v>
      </c>
      <c r="D18" s="236" t="s">
        <v>148</v>
      </c>
      <c r="E18" s="533"/>
      <c r="F18" s="377"/>
      <c r="G18" s="9" t="str">
        <f>CONCATENATE("",D6-2," Ad Valorem Tax")</f>
        <v>2022 Ad Valorem Tax</v>
      </c>
      <c r="H18" s="370">
        <v>0</v>
      </c>
    </row>
    <row r="19" spans="1:8" x14ac:dyDescent="0.2">
      <c r="A19" s="1"/>
      <c r="B19" s="14" t="s">
        <v>2</v>
      </c>
      <c r="C19" s="320"/>
      <c r="D19" s="54"/>
      <c r="E19" s="54"/>
      <c r="F19" s="377"/>
      <c r="G19" s="64">
        <f>IF(H18&gt;0,ROUND(E19-(E19*H18),0),0)</f>
        <v>0</v>
      </c>
    </row>
    <row r="20" spans="1:8" x14ac:dyDescent="0.2">
      <c r="A20" s="1"/>
      <c r="B20" s="14" t="s">
        <v>146</v>
      </c>
      <c r="C20" s="10" t="s">
        <v>95</v>
      </c>
      <c r="D20" s="54"/>
      <c r="E20" s="54"/>
      <c r="F20" s="377"/>
      <c r="G20" s="64">
        <f>IF(H18&gt;0,ROUND(E20-(E20*H18),0),0)</f>
        <v>0</v>
      </c>
    </row>
    <row r="21" spans="1:8" x14ac:dyDescent="0.2">
      <c r="A21" s="15" t="s">
        <v>3</v>
      </c>
      <c r="B21" s="1"/>
      <c r="C21" s="1"/>
      <c r="D21" s="117"/>
      <c r="E21" s="154"/>
      <c r="F21" s="377"/>
      <c r="G21" s="377"/>
    </row>
    <row r="22" spans="1:8" x14ac:dyDescent="0.2">
      <c r="A22" s="1"/>
      <c r="B22" s="52"/>
      <c r="C22" s="320"/>
      <c r="D22" s="54"/>
      <c r="E22" s="54"/>
      <c r="F22" s="377"/>
      <c r="G22" s="64">
        <f>IF(H18&gt;0,ROUND(E22-(E22*H18),0),0)</f>
        <v>0</v>
      </c>
    </row>
    <row r="23" spans="1:8" x14ac:dyDescent="0.2">
      <c r="A23" s="1"/>
      <c r="B23" s="52"/>
      <c r="C23" s="320"/>
      <c r="D23" s="54"/>
      <c r="E23" s="54"/>
      <c r="F23" s="377"/>
      <c r="G23" s="64">
        <f>IF(H18&gt;0,ROUND(E23-(E23*H18),0),0)</f>
        <v>0</v>
      </c>
    </row>
    <row r="24" spans="1:8" x14ac:dyDescent="0.2">
      <c r="A24" s="152" t="str">
        <f>CONCATENATE("Total Ad Valorem Tax for ",D6-1," Budgeted Year")</f>
        <v>Total Ad Valorem Tax for 2023 Budgeted Year</v>
      </c>
      <c r="B24" s="119"/>
      <c r="C24" s="119"/>
      <c r="D24" s="187"/>
      <c r="E24" s="64">
        <f>SUM(E19:E20,E22:E23)</f>
        <v>0</v>
      </c>
    </row>
    <row r="25" spans="1:8" x14ac:dyDescent="0.2">
      <c r="A25" s="103" t="s">
        <v>4</v>
      </c>
      <c r="B25" s="1"/>
      <c r="C25" s="1"/>
      <c r="D25" s="1"/>
      <c r="E25" s="1"/>
    </row>
    <row r="26" spans="1:8" x14ac:dyDescent="0.2">
      <c r="A26" s="1"/>
      <c r="B26" s="52"/>
      <c r="C26" s="1"/>
      <c r="D26" s="54"/>
      <c r="E26" s="1"/>
    </row>
    <row r="27" spans="1:8" x14ac:dyDescent="0.2">
      <c r="A27" s="1"/>
      <c r="B27" s="52"/>
      <c r="C27" s="1"/>
      <c r="D27" s="54"/>
      <c r="E27" s="1"/>
    </row>
    <row r="28" spans="1:8" x14ac:dyDescent="0.2">
      <c r="A28" s="119" t="str">
        <f>CONCATENATE("Total Expenditures for ",D6-1," Budgeted Year")</f>
        <v>Total Expenditures for 2023 Budgeted Year</v>
      </c>
      <c r="B28" s="119"/>
      <c r="C28" s="181"/>
      <c r="D28" s="64">
        <f>SUM(D19:D20,D22:D23,D26:D27)</f>
        <v>0</v>
      </c>
      <c r="E28" s="117"/>
    </row>
    <row r="29" spans="1:8" x14ac:dyDescent="0.2">
      <c r="A29" s="1" t="s">
        <v>141</v>
      </c>
      <c r="B29" s="1"/>
      <c r="C29" s="1"/>
      <c r="D29" s="1"/>
      <c r="E29" s="117"/>
    </row>
    <row r="30" spans="1:8" x14ac:dyDescent="0.2">
      <c r="A30" s="1">
        <v>1</v>
      </c>
      <c r="B30" s="26"/>
      <c r="C30" s="1"/>
      <c r="D30" s="1"/>
      <c r="E30" s="117"/>
    </row>
    <row r="31" spans="1:8" x14ac:dyDescent="0.2">
      <c r="A31" s="1">
        <v>2</v>
      </c>
      <c r="B31" s="26"/>
      <c r="C31" s="1"/>
      <c r="D31" s="1"/>
      <c r="E31" s="117"/>
    </row>
    <row r="32" spans="1:8" x14ac:dyDescent="0.2">
      <c r="A32" s="1">
        <v>3</v>
      </c>
      <c r="B32" s="26"/>
      <c r="C32" s="1"/>
      <c r="D32" s="1"/>
      <c r="E32" s="117"/>
    </row>
    <row r="33" spans="1:5" x14ac:dyDescent="0.2">
      <c r="A33" s="1">
        <v>4</v>
      </c>
      <c r="B33" s="26"/>
      <c r="C33" s="1"/>
      <c r="D33" s="1"/>
      <c r="E33" s="117"/>
    </row>
    <row r="34" spans="1:5" x14ac:dyDescent="0.2">
      <c r="A34" s="1">
        <v>5</v>
      </c>
      <c r="B34" s="26"/>
      <c r="C34" s="1"/>
      <c r="D34" s="1"/>
      <c r="E34" s="117"/>
    </row>
    <row r="35" spans="1:5" x14ac:dyDescent="0.2">
      <c r="A35" s="1"/>
      <c r="B35" s="1"/>
      <c r="C35" s="1"/>
      <c r="D35" s="1"/>
      <c r="E35" s="117"/>
    </row>
    <row r="36" spans="1:5" x14ac:dyDescent="0.2">
      <c r="A36" s="398" t="s">
        <v>93</v>
      </c>
      <c r="B36" s="397"/>
      <c r="C36" s="1"/>
      <c r="D36" s="526" t="str">
        <f>CONCATENATE("",D6-3," Tax Rate          (",D6-2," Column)")</f>
        <v>2021 Tax Rate          (2022 Column)</v>
      </c>
      <c r="E36" s="117"/>
    </row>
    <row r="37" spans="1:5" x14ac:dyDescent="0.2">
      <c r="A37" s="394" t="str">
        <f>CONCATENATE("the ",D6-1," Budget, Budget Summary Page:")</f>
        <v>the 2023 Budget, Budget Summary Page:</v>
      </c>
      <c r="B37" s="393"/>
      <c r="C37" s="1"/>
      <c r="D37" s="527"/>
      <c r="E37" s="117"/>
    </row>
    <row r="38" spans="1:5" x14ac:dyDescent="0.2">
      <c r="A38" s="1"/>
      <c r="B38" s="392" t="str">
        <f>B19</f>
        <v>General</v>
      </c>
      <c r="C38" s="1"/>
      <c r="D38" s="237"/>
      <c r="E38" s="117"/>
    </row>
    <row r="39" spans="1:5" x14ac:dyDescent="0.2">
      <c r="A39" s="1"/>
      <c r="B39" s="11" t="str">
        <f>B20</f>
        <v>Debt Service</v>
      </c>
      <c r="C39" s="1"/>
      <c r="D39" s="237"/>
      <c r="E39" s="117"/>
    </row>
    <row r="40" spans="1:5" x14ac:dyDescent="0.2">
      <c r="A40" s="1"/>
      <c r="B40" s="11">
        <f>B22</f>
        <v>0</v>
      </c>
      <c r="C40" s="1"/>
      <c r="D40" s="237"/>
      <c r="E40" s="117"/>
    </row>
    <row r="41" spans="1:5" x14ac:dyDescent="0.2">
      <c r="A41" s="1"/>
      <c r="B41" s="11">
        <f>B23</f>
        <v>0</v>
      </c>
      <c r="C41" s="1"/>
      <c r="D41" s="237"/>
      <c r="E41" s="117"/>
    </row>
    <row r="42" spans="1:5" ht="16.5" thickBot="1" x14ac:dyDescent="0.25">
      <c r="A42" s="15" t="s">
        <v>5</v>
      </c>
      <c r="B42" s="1"/>
      <c r="C42" s="1"/>
      <c r="D42" s="485">
        <f>SUM(D38:D41)</f>
        <v>0</v>
      </c>
      <c r="E42" s="117"/>
    </row>
    <row r="43" spans="1:5" ht="16.5" thickTop="1" x14ac:dyDescent="0.2">
      <c r="A43" s="1"/>
      <c r="B43" s="1"/>
      <c r="C43" s="1"/>
      <c r="D43" s="1"/>
      <c r="E43" s="117"/>
    </row>
    <row r="44" spans="1:5" x14ac:dyDescent="0.2">
      <c r="A44" s="378" t="str">
        <f>CONCATENATE("Total Tax Levied (",D6-2," budget column)")</f>
        <v>Total Tax Levied (2022 budget column)</v>
      </c>
      <c r="B44" s="397"/>
      <c r="C44" s="1"/>
      <c r="D44" s="1"/>
      <c r="E44" s="54"/>
    </row>
    <row r="45" spans="1:5" x14ac:dyDescent="0.2">
      <c r="A45" s="379" t="str">
        <f>CONCATENATE("Assessed Valuation (",D6-2," budget column)")</f>
        <v>Assessed Valuation (2022 budget column)</v>
      </c>
      <c r="B45" s="380"/>
      <c r="C45" s="1"/>
      <c r="D45" s="1"/>
      <c r="E45" s="54"/>
    </row>
    <row r="46" spans="1:5" x14ac:dyDescent="0.2">
      <c r="A46" s="1"/>
      <c r="B46" s="1"/>
      <c r="C46" s="1"/>
      <c r="D46" s="1"/>
      <c r="E46" s="117"/>
    </row>
    <row r="47" spans="1:5" x14ac:dyDescent="0.2">
      <c r="A47" s="381" t="s">
        <v>121</v>
      </c>
      <c r="B47" s="397"/>
      <c r="C47" s="6"/>
      <c r="D47" s="170">
        <f>D6-3</f>
        <v>2021</v>
      </c>
      <c r="E47" s="170">
        <f>D6-2</f>
        <v>2022</v>
      </c>
    </row>
    <row r="48" spans="1:5" x14ac:dyDescent="0.2">
      <c r="A48" s="382" t="s">
        <v>89</v>
      </c>
      <c r="B48" s="380"/>
      <c r="C48" s="238"/>
      <c r="D48" s="50"/>
      <c r="E48" s="50"/>
    </row>
    <row r="49" spans="1:5" x14ac:dyDescent="0.2">
      <c r="A49" s="383" t="s">
        <v>90</v>
      </c>
      <c r="B49" s="384"/>
      <c r="C49" s="240"/>
      <c r="D49" s="50"/>
      <c r="E49" s="50"/>
    </row>
    <row r="50" spans="1:5" x14ac:dyDescent="0.2">
      <c r="A50" s="383" t="s">
        <v>92</v>
      </c>
      <c r="B50" s="384"/>
      <c r="C50" s="240"/>
      <c r="D50" s="50"/>
      <c r="E50" s="50"/>
    </row>
    <row r="51" spans="1:5" x14ac:dyDescent="0.2">
      <c r="A51" s="383" t="s">
        <v>91</v>
      </c>
      <c r="B51" s="384"/>
      <c r="C51" s="240"/>
      <c r="D51" s="50"/>
      <c r="E51" s="50"/>
    </row>
    <row r="52" spans="1:5" x14ac:dyDescent="0.2">
      <c r="A52" s="383"/>
      <c r="B52" s="384"/>
      <c r="C52" s="241"/>
      <c r="D52" s="50"/>
      <c r="E52" s="50"/>
    </row>
  </sheetData>
  <sheetProtection sheet="1" objects="1" scenarios="1"/>
  <mergeCells count="6">
    <mergeCell ref="G10:H16"/>
    <mergeCell ref="D36:D37"/>
    <mergeCell ref="A12:E12"/>
    <mergeCell ref="A1:E1"/>
    <mergeCell ref="E17:E18"/>
    <mergeCell ref="A8:E10"/>
  </mergeCells>
  <phoneticPr fontId="0" type="noConversion"/>
  <pageMargins left="0.5" right="0.5" top="0.5" bottom="0.5" header="0.5" footer="0.5"/>
  <pageSetup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pageSetUpPr fitToPage="1"/>
  </sheetPr>
  <dimension ref="A1:F48"/>
  <sheetViews>
    <sheetView workbookViewId="0">
      <selection activeCell="G1" sqref="G1"/>
    </sheetView>
  </sheetViews>
  <sheetFormatPr defaultRowHeight="15" x14ac:dyDescent="0.2"/>
  <cols>
    <col min="1" max="1" width="12.6640625" customWidth="1"/>
    <col min="2" max="2" width="21.6640625" customWidth="1"/>
    <col min="3" max="5" width="11.77734375" customWidth="1"/>
  </cols>
  <sheetData>
    <row r="1" spans="1:6" ht="15.75" x14ac:dyDescent="0.2">
      <c r="A1" s="198">
        <f>inputPrYr!D3</f>
        <v>0</v>
      </c>
      <c r="B1" s="197"/>
      <c r="C1" s="197"/>
      <c r="D1" s="197"/>
      <c r="E1" s="197"/>
      <c r="F1" s="196">
        <f>inputPrYr!D6</f>
        <v>2024</v>
      </c>
    </row>
    <row r="2" spans="1:6" ht="15.75" x14ac:dyDescent="0.2">
      <c r="A2" s="194"/>
      <c r="B2" s="197"/>
      <c r="C2" s="197"/>
      <c r="D2" s="197"/>
      <c r="E2" s="197"/>
      <c r="F2" s="197"/>
    </row>
    <row r="3" spans="1:6" ht="15.75" x14ac:dyDescent="0.2">
      <c r="A3" s="197"/>
      <c r="B3" s="197"/>
      <c r="C3" s="197"/>
      <c r="D3" s="197"/>
      <c r="E3" s="197"/>
      <c r="F3" s="197"/>
    </row>
    <row r="4" spans="1:6" ht="15.75" x14ac:dyDescent="0.2">
      <c r="A4" s="196"/>
      <c r="B4" s="635" t="str">
        <f>CONCATENATE("",F1," Computation of Net Assessed Valuation Concerning TIF District")</f>
        <v>2024 Computation of Net Assessed Valuation Concerning TIF District</v>
      </c>
      <c r="C4" s="636"/>
      <c r="D4" s="636"/>
      <c r="E4" s="636"/>
      <c r="F4" s="197"/>
    </row>
    <row r="5" spans="1:6" ht="15.75" x14ac:dyDescent="0.2">
      <c r="A5" s="196"/>
      <c r="B5" s="635" t="s">
        <v>149</v>
      </c>
      <c r="C5" s="636"/>
      <c r="D5" s="636"/>
      <c r="E5" s="636"/>
      <c r="F5" s="197"/>
    </row>
    <row r="6" spans="1:6" ht="15.75" x14ac:dyDescent="0.2">
      <c r="A6" s="196"/>
      <c r="B6" s="195"/>
      <c r="C6" s="197"/>
      <c r="D6" s="197"/>
      <c r="E6" s="197"/>
      <c r="F6" s="197"/>
    </row>
    <row r="7" spans="1:6" ht="15.75" x14ac:dyDescent="0.2">
      <c r="A7" s="196"/>
      <c r="B7" s="643" t="s">
        <v>395</v>
      </c>
      <c r="C7" s="644"/>
      <c r="D7" s="645"/>
      <c r="E7" s="193"/>
      <c r="F7" s="197" t="s">
        <v>150</v>
      </c>
    </row>
    <row r="8" spans="1:6" ht="15.75" x14ac:dyDescent="0.2">
      <c r="A8" s="196"/>
      <c r="B8" s="643" t="s">
        <v>151</v>
      </c>
      <c r="C8" s="644"/>
      <c r="D8" s="645"/>
      <c r="E8" s="190"/>
      <c r="F8" s="197" t="s">
        <v>150</v>
      </c>
    </row>
    <row r="9" spans="1:6" ht="15.75" x14ac:dyDescent="0.2">
      <c r="A9" s="196"/>
      <c r="B9" s="199" t="s">
        <v>152</v>
      </c>
      <c r="C9" s="196"/>
      <c r="D9" s="196"/>
      <c r="E9" s="189">
        <f>SUM(E7-E8)</f>
        <v>0</v>
      </c>
      <c r="F9" s="197"/>
    </row>
    <row r="10" spans="1:6" ht="15.75" x14ac:dyDescent="0.2">
      <c r="A10" s="196"/>
      <c r="B10" s="646" t="s">
        <v>153</v>
      </c>
      <c r="C10" s="647"/>
      <c r="D10" s="648"/>
      <c r="E10" s="189">
        <f>IF(E8&gt;0,inputOth!E13,0)</f>
        <v>0</v>
      </c>
      <c r="F10" s="197"/>
    </row>
    <row r="11" spans="1:6" ht="15.75" x14ac:dyDescent="0.2">
      <c r="A11" s="196"/>
      <c r="B11" s="200" t="s">
        <v>396</v>
      </c>
      <c r="C11" s="201"/>
      <c r="D11" s="202"/>
      <c r="E11" s="217">
        <f>SUM(E9:E10)</f>
        <v>0</v>
      </c>
      <c r="F11" s="197" t="s">
        <v>139</v>
      </c>
    </row>
    <row r="12" spans="1:6" ht="15.75" x14ac:dyDescent="0.2">
      <c r="A12" s="196"/>
      <c r="B12" s="195"/>
      <c r="C12" s="197"/>
      <c r="D12" s="197"/>
      <c r="E12" s="197"/>
      <c r="F12" s="197"/>
    </row>
    <row r="13" spans="1:6" ht="15.75" x14ac:dyDescent="0.2">
      <c r="A13" s="196"/>
      <c r="B13" s="658" t="s">
        <v>154</v>
      </c>
      <c r="C13" s="660"/>
      <c r="D13" s="660"/>
      <c r="E13" s="660"/>
      <c r="F13" s="197"/>
    </row>
    <row r="14" spans="1:6" ht="15.75" x14ac:dyDescent="0.2">
      <c r="A14" s="196"/>
      <c r="B14" s="658" t="s">
        <v>155</v>
      </c>
      <c r="C14" s="636"/>
      <c r="D14" s="636"/>
      <c r="E14" s="636"/>
      <c r="F14" s="197"/>
    </row>
    <row r="15" spans="1:6" ht="15.75" x14ac:dyDescent="0.2">
      <c r="A15" s="196"/>
      <c r="B15" s="195"/>
      <c r="C15" s="197"/>
      <c r="D15" s="197"/>
      <c r="E15" s="197"/>
      <c r="F15" s="197"/>
    </row>
    <row r="16" spans="1:6" ht="15.75" x14ac:dyDescent="0.2">
      <c r="A16" s="196"/>
      <c r="B16" s="635" t="str">
        <f>CONCATENATE("",F1," Computation of Distribution for Ad Valorem Tax to TIF District")</f>
        <v>2024 Computation of Distribution for Ad Valorem Tax to TIF District</v>
      </c>
      <c r="C16" s="636"/>
      <c r="D16" s="636"/>
      <c r="E16" s="636"/>
      <c r="F16" s="197"/>
    </row>
    <row r="17" spans="1:6" ht="15.75" x14ac:dyDescent="0.2">
      <c r="A17" s="196"/>
      <c r="B17" s="195"/>
      <c r="C17" s="197"/>
      <c r="D17" s="197"/>
      <c r="E17" s="197"/>
      <c r="F17" s="197"/>
    </row>
    <row r="18" spans="1:6" ht="16.5" thickBot="1" x14ac:dyDescent="0.25">
      <c r="A18" s="196"/>
      <c r="B18" s="649" t="s">
        <v>156</v>
      </c>
      <c r="C18" s="650"/>
      <c r="D18" s="651"/>
      <c r="E18" s="203"/>
      <c r="F18" s="197"/>
    </row>
    <row r="19" spans="1:6" ht="15.75" x14ac:dyDescent="0.2">
      <c r="A19" s="196"/>
      <c r="B19" s="204" t="s">
        <v>157</v>
      </c>
      <c r="C19" s="205"/>
      <c r="D19" s="205"/>
      <c r="E19" s="189">
        <f>E8</f>
        <v>0</v>
      </c>
      <c r="F19" s="197"/>
    </row>
    <row r="20" spans="1:6" ht="15.75" x14ac:dyDescent="0.2">
      <c r="A20" s="196"/>
      <c r="B20" s="206" t="str">
        <f>CONCATENATE("",F1-1," Mill Levy from Certificate Page:")</f>
        <v>2023 Mill Levy from Certificate Page:</v>
      </c>
      <c r="C20" s="207"/>
      <c r="D20" s="207"/>
      <c r="E20" s="191">
        <f>IF(E19&gt;0,Cert!G29,0)</f>
        <v>0</v>
      </c>
      <c r="F20" s="197"/>
    </row>
    <row r="21" spans="1:6" ht="15.75" x14ac:dyDescent="0.2">
      <c r="A21" s="196"/>
      <c r="B21" s="206" t="s">
        <v>158</v>
      </c>
      <c r="C21" s="207"/>
      <c r="D21" s="208"/>
      <c r="E21" s="254">
        <f>IF(E19&gt;0,E19*E20*0.001,0)</f>
        <v>0</v>
      </c>
      <c r="F21" s="197"/>
    </row>
    <row r="22" spans="1:6" ht="15.75" x14ac:dyDescent="0.2">
      <c r="A22" s="196"/>
      <c r="B22" s="209"/>
      <c r="C22" s="210"/>
      <c r="D22" s="210"/>
      <c r="E22" s="192"/>
      <c r="F22" s="197"/>
    </row>
    <row r="23" spans="1:6" ht="16.5" thickBot="1" x14ac:dyDescent="0.25">
      <c r="A23" s="196"/>
      <c r="B23" s="652" t="s">
        <v>159</v>
      </c>
      <c r="C23" s="653"/>
      <c r="D23" s="654"/>
      <c r="E23" s="189"/>
      <c r="F23" s="197"/>
    </row>
    <row r="24" spans="1:6" ht="15.75" x14ac:dyDescent="0.2">
      <c r="A24" s="196"/>
      <c r="B24" s="204" t="s">
        <v>160</v>
      </c>
      <c r="C24" s="211"/>
      <c r="D24" s="211"/>
      <c r="E24" s="189">
        <f>E10</f>
        <v>0</v>
      </c>
      <c r="F24" s="197"/>
    </row>
    <row r="25" spans="1:6" ht="15.75" x14ac:dyDescent="0.2">
      <c r="A25" s="196"/>
      <c r="B25" s="206" t="str">
        <f>CONCATENATE("",F1-1," Mill Levy from Certificate Page:")</f>
        <v>2023 Mill Levy from Certificate Page:</v>
      </c>
      <c r="C25" s="207"/>
      <c r="D25" s="207"/>
      <c r="E25" s="191">
        <f>IF(E24&gt;0,Cert!G29,0)</f>
        <v>0</v>
      </c>
      <c r="F25" s="197"/>
    </row>
    <row r="26" spans="1:6" ht="15.75" x14ac:dyDescent="0.2">
      <c r="A26" s="196"/>
      <c r="B26" s="206" t="s">
        <v>161</v>
      </c>
      <c r="C26" s="207"/>
      <c r="D26" s="208"/>
      <c r="E26" s="255">
        <f>IF(E24&gt;0,E24*E25*0.001,0)</f>
        <v>0</v>
      </c>
      <c r="F26" s="197"/>
    </row>
    <row r="27" spans="1:6" ht="15.75" x14ac:dyDescent="0.2">
      <c r="A27" s="196"/>
      <c r="B27" s="209"/>
      <c r="C27" s="210"/>
      <c r="D27" s="210"/>
      <c r="E27" s="192"/>
      <c r="F27" s="197"/>
    </row>
    <row r="28" spans="1:6" ht="15.75" x14ac:dyDescent="0.2">
      <c r="A28" s="196"/>
      <c r="B28" s="655" t="s">
        <v>162</v>
      </c>
      <c r="C28" s="656"/>
      <c r="D28" s="657"/>
      <c r="E28" s="189"/>
      <c r="F28" s="197"/>
    </row>
    <row r="29" spans="1:6" ht="15.75" x14ac:dyDescent="0.2">
      <c r="A29" s="196"/>
      <c r="B29" s="206" t="s">
        <v>158</v>
      </c>
      <c r="C29" s="207"/>
      <c r="D29" s="207"/>
      <c r="E29" s="254">
        <f>E21</f>
        <v>0</v>
      </c>
      <c r="F29" s="197"/>
    </row>
    <row r="30" spans="1:6" ht="15.75" x14ac:dyDescent="0.2">
      <c r="A30" s="196"/>
      <c r="B30" s="206" t="s">
        <v>163</v>
      </c>
      <c r="C30" s="207"/>
      <c r="D30" s="207"/>
      <c r="E30" s="255">
        <f>E26</f>
        <v>0</v>
      </c>
      <c r="F30" s="197"/>
    </row>
    <row r="31" spans="1:6" ht="15.75" x14ac:dyDescent="0.2">
      <c r="A31" s="196"/>
      <c r="B31" s="212" t="s">
        <v>164</v>
      </c>
      <c r="C31" s="207"/>
      <c r="D31" s="207"/>
      <c r="E31" s="217">
        <f>E29-E30</f>
        <v>0</v>
      </c>
      <c r="F31" s="197" t="s">
        <v>165</v>
      </c>
    </row>
    <row r="32" spans="1:6" ht="15.75" x14ac:dyDescent="0.2">
      <c r="A32" s="196"/>
      <c r="B32" s="196"/>
      <c r="C32" s="192"/>
      <c r="D32" s="210"/>
      <c r="E32" s="192"/>
      <c r="F32" s="197"/>
    </row>
    <row r="33" spans="1:6" ht="15.75" x14ac:dyDescent="0.2">
      <c r="A33" s="658" t="s">
        <v>166</v>
      </c>
      <c r="B33" s="659"/>
      <c r="C33" s="659"/>
      <c r="D33" s="659"/>
      <c r="E33" s="659"/>
      <c r="F33" s="659"/>
    </row>
    <row r="34" spans="1:6" ht="15.75" x14ac:dyDescent="0.2">
      <c r="A34" s="196"/>
      <c r="B34" s="196"/>
      <c r="C34" s="196"/>
      <c r="D34" s="196"/>
      <c r="E34" s="196"/>
      <c r="F34" s="197"/>
    </row>
    <row r="35" spans="1:6" ht="15.75" x14ac:dyDescent="0.2">
      <c r="A35" s="637" t="s">
        <v>449</v>
      </c>
      <c r="B35" s="638"/>
      <c r="C35" s="639"/>
      <c r="D35" s="428"/>
      <c r="E35" s="429"/>
      <c r="F35" s="430"/>
    </row>
    <row r="36" spans="1:6" ht="15.75" x14ac:dyDescent="0.2">
      <c r="A36" s="431"/>
      <c r="B36" s="427"/>
      <c r="C36" s="427"/>
      <c r="D36" s="427"/>
      <c r="E36" s="427"/>
      <c r="F36" s="432"/>
    </row>
    <row r="37" spans="1:6" ht="15.75" x14ac:dyDescent="0.2">
      <c r="A37" s="433"/>
      <c r="B37" s="640"/>
      <c r="C37" s="640"/>
      <c r="D37" s="435"/>
      <c r="E37" s="434"/>
      <c r="F37" s="436"/>
    </row>
    <row r="38" spans="1:6" ht="15.75" x14ac:dyDescent="0.2">
      <c r="A38" s="196"/>
      <c r="B38" s="213"/>
      <c r="C38" s="213"/>
      <c r="D38" s="210"/>
      <c r="E38" s="196"/>
      <c r="F38" s="253"/>
    </row>
    <row r="39" spans="1:6" ht="15.75" x14ac:dyDescent="0.2">
      <c r="A39" s="641"/>
      <c r="B39" s="636"/>
      <c r="C39" s="636"/>
      <c r="D39" s="192"/>
      <c r="E39" s="214"/>
      <c r="F39" s="214"/>
    </row>
    <row r="40" spans="1:6" x14ac:dyDescent="0.2">
      <c r="A40" s="214"/>
      <c r="B40" s="214"/>
      <c r="C40" s="214"/>
      <c r="D40" s="215"/>
      <c r="E40" s="214"/>
      <c r="F40" s="214"/>
    </row>
    <row r="41" spans="1:6" ht="15.75" x14ac:dyDescent="0.2">
      <c r="A41" s="214"/>
      <c r="B41" s="641"/>
      <c r="C41" s="642"/>
      <c r="D41" s="216"/>
      <c r="E41" s="214"/>
      <c r="F41" s="214"/>
    </row>
    <row r="42" spans="1:6" x14ac:dyDescent="0.2">
      <c r="A42" s="214"/>
      <c r="B42" s="214"/>
      <c r="C42" s="214"/>
      <c r="D42" s="214"/>
      <c r="E42" s="214"/>
      <c r="F42" s="214"/>
    </row>
    <row r="43" spans="1:6" x14ac:dyDescent="0.2">
      <c r="A43" s="214"/>
      <c r="B43" s="214"/>
      <c r="C43" s="214"/>
      <c r="D43" s="214"/>
      <c r="E43" s="214"/>
      <c r="F43" s="214"/>
    </row>
    <row r="44" spans="1:6" x14ac:dyDescent="0.2">
      <c r="A44" s="214"/>
      <c r="B44" s="214"/>
      <c r="C44" s="214"/>
      <c r="D44" s="214"/>
      <c r="E44" s="214"/>
      <c r="F44" s="214"/>
    </row>
    <row r="45" spans="1:6" x14ac:dyDescent="0.2">
      <c r="A45" s="214"/>
      <c r="B45" s="214"/>
      <c r="C45" s="214"/>
      <c r="D45" s="214"/>
      <c r="E45" s="214"/>
      <c r="F45" s="214"/>
    </row>
    <row r="46" spans="1:6" x14ac:dyDescent="0.2">
      <c r="A46" s="214"/>
      <c r="B46" s="214"/>
      <c r="C46" s="214"/>
      <c r="D46" s="214"/>
      <c r="E46" s="214"/>
      <c r="F46" s="214"/>
    </row>
    <row r="47" spans="1:6" x14ac:dyDescent="0.2">
      <c r="A47" s="214"/>
      <c r="B47" s="214"/>
      <c r="C47" s="214"/>
      <c r="D47" s="214"/>
      <c r="E47" s="214"/>
      <c r="F47" s="214"/>
    </row>
    <row r="48" spans="1:6" ht="15.75" x14ac:dyDescent="0.2">
      <c r="A48" s="214"/>
      <c r="B48" s="213"/>
      <c r="C48" s="214"/>
      <c r="D48" s="214"/>
      <c r="E48" s="214"/>
      <c r="F48" s="214"/>
    </row>
  </sheetData>
  <sheetProtection sheet="1" objects="1" scenarios="1"/>
  <mergeCells count="16">
    <mergeCell ref="B4:E4"/>
    <mergeCell ref="A35:C35"/>
    <mergeCell ref="B37:C37"/>
    <mergeCell ref="A39:C39"/>
    <mergeCell ref="B41:C41"/>
    <mergeCell ref="B5:E5"/>
    <mergeCell ref="B7:D7"/>
    <mergeCell ref="B8:D8"/>
    <mergeCell ref="B10:D10"/>
    <mergeCell ref="B16:E16"/>
    <mergeCell ref="B18:D18"/>
    <mergeCell ref="B23:D23"/>
    <mergeCell ref="B28:D28"/>
    <mergeCell ref="A33:F33"/>
    <mergeCell ref="B13:E13"/>
    <mergeCell ref="B14:E14"/>
  </mergeCells>
  <pageMargins left="0.7" right="0.7" top="0.75" bottom="0.75" header="0.3" footer="0.3"/>
  <pageSetup scale="96"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pageSetUpPr fitToPage="1"/>
  </sheetPr>
  <dimension ref="A1:F37"/>
  <sheetViews>
    <sheetView workbookViewId="0">
      <selection activeCell="G1" sqref="G1"/>
    </sheetView>
  </sheetViews>
  <sheetFormatPr defaultRowHeight="15" x14ac:dyDescent="0.2"/>
  <cols>
    <col min="1" max="1" width="12.6640625" style="32" customWidth="1"/>
    <col min="2" max="2" width="18.109375" style="32" customWidth="1"/>
    <col min="3" max="5" width="11.77734375" style="32" customWidth="1"/>
    <col min="6" max="16384" width="8.88671875" style="32"/>
  </cols>
  <sheetData>
    <row r="1" spans="1:6" ht="15.75" x14ac:dyDescent="0.2">
      <c r="A1" s="157">
        <f>inputPrYr!D3</f>
        <v>0</v>
      </c>
      <c r="B1" s="6"/>
      <c r="C1" s="6"/>
      <c r="D1" s="6"/>
      <c r="E1" s="6"/>
      <c r="F1" s="6">
        <f>inputPrYr!D6</f>
        <v>2024</v>
      </c>
    </row>
    <row r="2" spans="1:6" ht="15.75" x14ac:dyDescent="0.2">
      <c r="A2" s="157"/>
      <c r="B2" s="6"/>
      <c r="C2" s="6"/>
      <c r="D2" s="6"/>
      <c r="E2" s="6"/>
      <c r="F2" s="6"/>
    </row>
    <row r="3" spans="1:6" ht="15.75" x14ac:dyDescent="0.2">
      <c r="A3" s="6"/>
      <c r="B3" s="6"/>
      <c r="C3" s="6"/>
      <c r="D3" s="6"/>
      <c r="E3" s="6"/>
      <c r="F3" s="6"/>
    </row>
    <row r="4" spans="1:6" ht="15.75" x14ac:dyDescent="0.2">
      <c r="A4" s="1"/>
      <c r="B4" s="559" t="str">
        <f>CONCATENATE("",F1," Neighborhood Revitalization Rebate")</f>
        <v>2024 Neighborhood Revitalization Rebate</v>
      </c>
      <c r="C4" s="627"/>
      <c r="D4" s="627"/>
      <c r="E4" s="627"/>
      <c r="F4" s="6"/>
    </row>
    <row r="5" spans="1:6" ht="15.75" x14ac:dyDescent="0.2">
      <c r="A5" s="1"/>
      <c r="B5" s="1"/>
      <c r="C5" s="1"/>
      <c r="D5" s="1"/>
      <c r="E5" s="1"/>
      <c r="F5" s="6"/>
    </row>
    <row r="6" spans="1:6" ht="51.75" customHeight="1" x14ac:dyDescent="0.2">
      <c r="A6" s="1"/>
      <c r="B6" s="8" t="str">
        <f>CONCATENATE("Budgeted Funds                       for ",F1,"")</f>
        <v>Budgeted Funds                       for 2024</v>
      </c>
      <c r="C6" s="8" t="str">
        <f>CONCATENATE("",F1-1," Ad Valorem before Rebate**")</f>
        <v>2023 Ad Valorem before Rebate**</v>
      </c>
      <c r="D6" s="158" t="str">
        <f>CONCATENATE("",F1-1," Mil Rate before Rebate")</f>
        <v>2023 Mil Rate before Rebate</v>
      </c>
      <c r="E6" s="159" t="str">
        <f>CONCATENATE("Estimate ",F1," NR Rebate")</f>
        <v>Estimate 2024 NR Rebate</v>
      </c>
      <c r="F6" s="6"/>
    </row>
    <row r="7" spans="1:6" ht="15.75" x14ac:dyDescent="0.2">
      <c r="A7" s="1"/>
      <c r="B7" s="160" t="str">
        <f>inputPrYr!B19</f>
        <v>General</v>
      </c>
      <c r="C7" s="161"/>
      <c r="D7" s="162" t="str">
        <f t="shared" ref="D7:D12" si="0">IF(C7&gt;0,C7/$D$18,"")</f>
        <v/>
      </c>
      <c r="E7" s="163">
        <f t="shared" ref="E7:E12" si="1">IF(C7&gt;0,D7*$D$22,0)</f>
        <v>0</v>
      </c>
      <c r="F7" s="6"/>
    </row>
    <row r="8" spans="1:6" ht="15.75" x14ac:dyDescent="0.2">
      <c r="A8" s="1"/>
      <c r="B8" s="160" t="str">
        <f>inputPrYr!B20</f>
        <v>Debt Service</v>
      </c>
      <c r="C8" s="161"/>
      <c r="D8" s="162" t="str">
        <f t="shared" si="0"/>
        <v/>
      </c>
      <c r="E8" s="163">
        <f t="shared" si="1"/>
        <v>0</v>
      </c>
      <c r="F8" s="6"/>
    </row>
    <row r="9" spans="1:6" ht="15.75" x14ac:dyDescent="0.2">
      <c r="A9" s="1"/>
      <c r="B9" s="12" t="str">
        <f>IF(inputPrYr!$B22&gt;"  ",(inputPrYr!$B22),"  ")</f>
        <v xml:space="preserve">  </v>
      </c>
      <c r="C9" s="161"/>
      <c r="D9" s="162" t="str">
        <f t="shared" si="0"/>
        <v/>
      </c>
      <c r="E9" s="163">
        <f t="shared" si="1"/>
        <v>0</v>
      </c>
      <c r="F9" s="6"/>
    </row>
    <row r="10" spans="1:6" ht="15.75" x14ac:dyDescent="0.2">
      <c r="A10" s="1"/>
      <c r="B10" s="12" t="str">
        <f>IF(inputPrYr!$B23&gt;"  ",(inputPrYr!$B23),"  ")</f>
        <v xml:space="preserve">  </v>
      </c>
      <c r="C10" s="161"/>
      <c r="D10" s="162" t="str">
        <f t="shared" si="0"/>
        <v/>
      </c>
      <c r="E10" s="163">
        <f t="shared" si="1"/>
        <v>0</v>
      </c>
      <c r="F10" s="6"/>
    </row>
    <row r="11" spans="1:6" ht="15.75" x14ac:dyDescent="0.2">
      <c r="A11" s="1"/>
      <c r="B11" s="12"/>
      <c r="C11" s="161"/>
      <c r="D11" s="162" t="str">
        <f t="shared" si="0"/>
        <v/>
      </c>
      <c r="E11" s="163">
        <f t="shared" si="1"/>
        <v>0</v>
      </c>
      <c r="F11" s="6"/>
    </row>
    <row r="12" spans="1:6" ht="15.75" x14ac:dyDescent="0.2">
      <c r="A12" s="1"/>
      <c r="B12" s="12"/>
      <c r="C12" s="161"/>
      <c r="D12" s="162" t="str">
        <f t="shared" si="0"/>
        <v/>
      </c>
      <c r="E12" s="163">
        <f t="shared" si="1"/>
        <v>0</v>
      </c>
      <c r="F12" s="6"/>
    </row>
    <row r="13" spans="1:6" ht="16.5" thickBot="1" x14ac:dyDescent="0.25">
      <c r="A13" s="1"/>
      <c r="B13" s="11" t="s">
        <v>122</v>
      </c>
      <c r="C13" s="164">
        <f>SUM(C7:C12)</f>
        <v>0</v>
      </c>
      <c r="D13" s="165">
        <f>SUM(D7:D12)</f>
        <v>0</v>
      </c>
      <c r="E13" s="164">
        <f>SUM(E7:E12)</f>
        <v>0</v>
      </c>
      <c r="F13" s="6"/>
    </row>
    <row r="14" spans="1:6" ht="16.5" thickTop="1" x14ac:dyDescent="0.2">
      <c r="A14" s="1"/>
      <c r="B14" s="1"/>
      <c r="C14" s="1"/>
      <c r="D14" s="1"/>
      <c r="E14" s="1"/>
      <c r="F14" s="6"/>
    </row>
    <row r="15" spans="1:6" ht="15.75" x14ac:dyDescent="0.2">
      <c r="A15" s="1"/>
      <c r="B15" s="1"/>
      <c r="C15" s="1"/>
      <c r="D15" s="1"/>
      <c r="E15" s="1"/>
      <c r="F15" s="6"/>
    </row>
    <row r="16" spans="1:6" ht="15.75" x14ac:dyDescent="0.2">
      <c r="A16" s="663" t="str">
        <f>CONCATENATE("",F1-1," July 1 Valuation:")</f>
        <v>2023 July 1 Valuation:</v>
      </c>
      <c r="B16" s="662"/>
      <c r="C16" s="663"/>
      <c r="D16" s="166">
        <f>inputOth!E7</f>
        <v>0</v>
      </c>
      <c r="E16" s="1"/>
      <c r="F16" s="6"/>
    </row>
    <row r="17" spans="1:6" ht="15.75" x14ac:dyDescent="0.2">
      <c r="A17" s="1"/>
      <c r="B17" s="1"/>
      <c r="C17" s="1"/>
      <c r="D17" s="1"/>
      <c r="E17" s="1"/>
      <c r="F17" s="6"/>
    </row>
    <row r="18" spans="1:6" ht="15.75" x14ac:dyDescent="0.2">
      <c r="A18" s="1"/>
      <c r="B18" s="663" t="s">
        <v>192</v>
      </c>
      <c r="C18" s="663"/>
      <c r="D18" s="167" t="str">
        <f>IF(D16&gt;0,(D16*0.001),"")</f>
        <v/>
      </c>
      <c r="E18" s="1"/>
      <c r="F18" s="6"/>
    </row>
    <row r="19" spans="1:6" ht="15.75" x14ac:dyDescent="0.2">
      <c r="A19" s="1"/>
      <c r="B19" s="4"/>
      <c r="C19" s="4"/>
      <c r="D19" s="168"/>
      <c r="E19" s="1"/>
      <c r="F19" s="6"/>
    </row>
    <row r="20" spans="1:6" ht="15.75" x14ac:dyDescent="0.2">
      <c r="A20" s="661" t="s">
        <v>193</v>
      </c>
      <c r="B20" s="627"/>
      <c r="C20" s="627"/>
      <c r="D20" s="166">
        <f>inputOth!E12</f>
        <v>0</v>
      </c>
      <c r="E20" s="80"/>
      <c r="F20" s="80"/>
    </row>
    <row r="21" spans="1:6" x14ac:dyDescent="0.2">
      <c r="A21" s="80"/>
      <c r="B21" s="80"/>
      <c r="C21" s="80"/>
      <c r="D21" s="169"/>
      <c r="E21" s="80"/>
      <c r="F21" s="80"/>
    </row>
    <row r="22" spans="1:6" ht="15.75" x14ac:dyDescent="0.2">
      <c r="A22" s="80"/>
      <c r="B22" s="661" t="s">
        <v>194</v>
      </c>
      <c r="C22" s="662"/>
      <c r="D22" s="170" t="str">
        <f>IF(D20&gt;0,(D20*0.001),"")</f>
        <v/>
      </c>
      <c r="E22" s="80"/>
      <c r="F22" s="80"/>
    </row>
    <row r="23" spans="1:6" x14ac:dyDescent="0.2">
      <c r="A23" s="80"/>
      <c r="B23" s="80"/>
      <c r="C23" s="80"/>
      <c r="D23" s="80"/>
      <c r="E23" s="80"/>
      <c r="F23" s="80"/>
    </row>
    <row r="24" spans="1:6" x14ac:dyDescent="0.2">
      <c r="A24" s="80"/>
      <c r="B24" s="80"/>
      <c r="C24" s="80"/>
      <c r="D24" s="80"/>
      <c r="E24" s="80"/>
      <c r="F24" s="80"/>
    </row>
    <row r="25" spans="1:6" x14ac:dyDescent="0.2">
      <c r="A25" s="80"/>
      <c r="B25" s="80"/>
      <c r="C25" s="80"/>
      <c r="D25" s="80"/>
      <c r="E25" s="80"/>
      <c r="F25" s="80"/>
    </row>
    <row r="26" spans="1:6" ht="15.75" x14ac:dyDescent="0.25">
      <c r="A26" s="256" t="str">
        <f>CONCATENATE("**This information comes from the ",F2," Budget Summary page.  See instructions tab #12 for completing")</f>
        <v>**This information comes from the  Budget Summary page.  See instructions tab #12 for completing</v>
      </c>
      <c r="B26" s="80"/>
      <c r="C26" s="80"/>
      <c r="D26" s="80"/>
      <c r="E26" s="80"/>
      <c r="F26" s="80"/>
    </row>
    <row r="27" spans="1:6" ht="15.75" x14ac:dyDescent="0.25">
      <c r="A27" s="256" t="s">
        <v>389</v>
      </c>
      <c r="B27" s="80"/>
      <c r="C27" s="80"/>
      <c r="D27" s="80"/>
      <c r="E27" s="80"/>
      <c r="F27" s="80"/>
    </row>
    <row r="28" spans="1:6" ht="15.75" x14ac:dyDescent="0.25">
      <c r="A28" s="256"/>
      <c r="B28" s="80"/>
      <c r="C28" s="80"/>
      <c r="D28" s="80"/>
      <c r="E28" s="80"/>
      <c r="F28" s="80"/>
    </row>
    <row r="29" spans="1:6" ht="15.75" x14ac:dyDescent="0.25">
      <c r="A29" s="256"/>
      <c r="B29" s="80"/>
      <c r="C29" s="80"/>
      <c r="D29" s="80"/>
      <c r="E29" s="80"/>
      <c r="F29" s="80"/>
    </row>
    <row r="30" spans="1:6" ht="15.75" x14ac:dyDescent="0.25">
      <c r="A30" s="256"/>
      <c r="B30" s="80"/>
      <c r="C30" s="80"/>
      <c r="D30" s="80"/>
      <c r="E30" s="80"/>
      <c r="F30" s="80"/>
    </row>
    <row r="31" spans="1:6" ht="15.75" x14ac:dyDescent="0.25">
      <c r="A31" s="256"/>
      <c r="B31" s="80"/>
      <c r="C31" s="80"/>
      <c r="D31" s="80"/>
      <c r="E31" s="80"/>
      <c r="F31" s="80"/>
    </row>
    <row r="32" spans="1:6" ht="15.75" x14ac:dyDescent="0.25">
      <c r="A32" s="256"/>
      <c r="B32" s="80"/>
      <c r="C32" s="80"/>
      <c r="D32" s="80"/>
      <c r="E32" s="80"/>
      <c r="F32" s="80"/>
    </row>
    <row r="33" spans="1:6" ht="15.75" x14ac:dyDescent="0.25">
      <c r="A33" s="256"/>
      <c r="B33" s="80"/>
      <c r="C33" s="80"/>
      <c r="D33" s="80"/>
      <c r="E33" s="80"/>
      <c r="F33" s="80"/>
    </row>
    <row r="34" spans="1:6" ht="15.75" x14ac:dyDescent="0.25">
      <c r="A34" s="256"/>
      <c r="B34" s="80"/>
      <c r="C34" s="80"/>
      <c r="D34" s="80"/>
      <c r="E34" s="80"/>
      <c r="F34" s="80"/>
    </row>
    <row r="35" spans="1:6" ht="15.75" x14ac:dyDescent="0.25">
      <c r="A35" s="256"/>
      <c r="B35" s="80"/>
      <c r="C35" s="80"/>
      <c r="D35" s="80"/>
      <c r="E35" s="80"/>
      <c r="F35" s="80"/>
    </row>
    <row r="36" spans="1:6" x14ac:dyDescent="0.2">
      <c r="A36" s="80"/>
      <c r="B36" s="80"/>
      <c r="C36" s="80"/>
      <c r="D36" s="80"/>
      <c r="E36" s="80"/>
      <c r="F36" s="80"/>
    </row>
    <row r="37" spans="1:6" ht="15.75" x14ac:dyDescent="0.2">
      <c r="A37" s="80"/>
      <c r="B37" s="4" t="s">
        <v>32</v>
      </c>
      <c r="C37" s="390"/>
      <c r="D37" s="80"/>
      <c r="E37" s="80"/>
      <c r="F37" s="80"/>
    </row>
  </sheetData>
  <sheetProtection sheet="1" objects="1" scenarios="1"/>
  <mergeCells count="5">
    <mergeCell ref="B22:C22"/>
    <mergeCell ref="B4:E4"/>
    <mergeCell ref="A16:C16"/>
    <mergeCell ref="B18:C18"/>
    <mergeCell ref="A20:C20"/>
  </mergeCells>
  <phoneticPr fontId="11" type="noConversion"/>
  <pageMargins left="0.75" right="0.75" top="1" bottom="1" header="0.5" footer="0.5"/>
  <pageSetup scale="99" orientation="portrait" blackAndWhite="1" r:id="rId1"/>
  <headerFooter alignWithMargins="0">
    <oddHeader>&amp;RState of Kansas
Special District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A8047-499F-4D96-86CC-CB05EEE1006A}">
  <sheetPr codeName="Sheet23"/>
  <dimension ref="A1:H14"/>
  <sheetViews>
    <sheetView workbookViewId="0">
      <selection sqref="A1:H1"/>
    </sheetView>
  </sheetViews>
  <sheetFormatPr defaultRowHeight="15" x14ac:dyDescent="0.2"/>
  <sheetData>
    <row r="1" spans="1:8" ht="15.75" x14ac:dyDescent="0.25">
      <c r="A1" s="668" t="s">
        <v>758</v>
      </c>
      <c r="B1" s="668"/>
      <c r="C1" s="668"/>
      <c r="D1" s="668"/>
      <c r="E1" s="668"/>
      <c r="F1" s="668"/>
      <c r="G1" s="668"/>
      <c r="H1" s="668"/>
    </row>
    <row r="2" spans="1:8" ht="15.75" x14ac:dyDescent="0.25">
      <c r="A2" s="282"/>
      <c r="B2" s="282"/>
      <c r="C2" s="282"/>
      <c r="D2" s="282"/>
      <c r="E2" s="282"/>
      <c r="F2" s="282"/>
      <c r="G2" s="282"/>
      <c r="H2" s="282"/>
    </row>
    <row r="3" spans="1:8" ht="52.5" customHeight="1" x14ac:dyDescent="0.25">
      <c r="A3" s="669" t="s">
        <v>759</v>
      </c>
      <c r="B3" s="669"/>
      <c r="C3" s="669"/>
      <c r="D3" s="669"/>
      <c r="E3" s="669"/>
      <c r="F3" s="669"/>
      <c r="G3" s="669"/>
      <c r="H3" s="669"/>
    </row>
    <row r="4" spans="1:8" ht="15.75" x14ac:dyDescent="0.25">
      <c r="A4" s="282"/>
      <c r="B4" s="282"/>
      <c r="C4" s="282"/>
      <c r="D4" s="282"/>
      <c r="E4" s="282"/>
      <c r="F4" s="282"/>
      <c r="G4" s="282"/>
      <c r="H4" s="282"/>
    </row>
    <row r="5" spans="1:8" ht="52.5" customHeight="1" x14ac:dyDescent="0.25">
      <c r="A5" s="475"/>
      <c r="B5" s="664" t="s">
        <v>760</v>
      </c>
      <c r="C5" s="664"/>
      <c r="D5" s="664"/>
      <c r="E5" s="664"/>
      <c r="F5" s="664"/>
      <c r="G5" s="664"/>
      <c r="H5" s="664"/>
    </row>
    <row r="6" spans="1:8" ht="15.75" x14ac:dyDescent="0.25">
      <c r="A6" s="282"/>
      <c r="B6" s="282"/>
      <c r="C6" s="282"/>
      <c r="D6" s="282"/>
      <c r="E6" s="282"/>
      <c r="F6" s="282"/>
      <c r="G6" s="282"/>
      <c r="H6" s="282"/>
    </row>
    <row r="7" spans="1:8" ht="32.25" customHeight="1" x14ac:dyDescent="0.25">
      <c r="A7" s="475"/>
      <c r="B7" s="664" t="s">
        <v>761</v>
      </c>
      <c r="C7" s="664"/>
      <c r="D7" s="664"/>
      <c r="E7" s="664"/>
      <c r="F7" s="664"/>
      <c r="G7" s="664"/>
      <c r="H7" s="664"/>
    </row>
    <row r="8" spans="1:8" ht="15.75" x14ac:dyDescent="0.25">
      <c r="A8" s="282"/>
      <c r="B8" s="282"/>
      <c r="C8" s="282"/>
      <c r="D8" s="282"/>
      <c r="E8" s="282"/>
      <c r="F8" s="282"/>
      <c r="G8" s="282"/>
      <c r="H8" s="282"/>
    </row>
    <row r="9" spans="1:8" ht="15.75" x14ac:dyDescent="0.25">
      <c r="A9" s="665" t="s">
        <v>762</v>
      </c>
      <c r="B9" s="665"/>
      <c r="C9" s="665"/>
      <c r="D9" s="665"/>
      <c r="E9" s="665"/>
      <c r="F9" s="665"/>
      <c r="G9" s="665"/>
      <c r="H9" s="665"/>
    </row>
    <row r="10" spans="1:8" ht="15.75" x14ac:dyDescent="0.25">
      <c r="A10" s="282"/>
      <c r="B10" s="282"/>
      <c r="C10" s="282"/>
      <c r="D10" s="282"/>
      <c r="E10" s="282"/>
      <c r="F10" s="282"/>
      <c r="G10" s="282"/>
      <c r="H10" s="282"/>
    </row>
    <row r="11" spans="1:8" ht="15.75" x14ac:dyDescent="0.25">
      <c r="A11" s="282"/>
      <c r="B11" s="282"/>
      <c r="C11" s="282"/>
      <c r="D11" s="282"/>
      <c r="E11" s="282"/>
      <c r="F11" s="282"/>
      <c r="G11" s="282"/>
      <c r="H11" s="282"/>
    </row>
    <row r="12" spans="1:8" ht="15.75" x14ac:dyDescent="0.25">
      <c r="A12" s="282"/>
      <c r="B12" s="282"/>
      <c r="C12" s="282"/>
      <c r="D12" s="282"/>
      <c r="E12" s="282"/>
      <c r="F12" s="282"/>
      <c r="G12" s="282"/>
      <c r="H12" s="282"/>
    </row>
    <row r="13" spans="1:8" ht="15.75" x14ac:dyDescent="0.25">
      <c r="A13" s="282" t="s">
        <v>763</v>
      </c>
      <c r="B13" s="282"/>
      <c r="C13" s="282"/>
      <c r="D13" s="282"/>
      <c r="E13" s="282"/>
      <c r="F13" s="475"/>
      <c r="G13" s="475"/>
      <c r="H13" s="475"/>
    </row>
    <row r="14" spans="1:8" ht="15.75" x14ac:dyDescent="0.25">
      <c r="A14" s="282"/>
      <c r="B14" s="282"/>
      <c r="C14" s="282"/>
      <c r="D14" s="282"/>
      <c r="E14" s="282"/>
      <c r="F14" s="282" t="s">
        <v>764</v>
      </c>
    </row>
  </sheetData>
  <sheetProtection sheet="1" objects="1" scenarios="1"/>
  <mergeCells count="5">
    <mergeCell ref="A1:H1"/>
    <mergeCell ref="A3:H3"/>
    <mergeCell ref="B5:H5"/>
    <mergeCell ref="B7:H7"/>
    <mergeCell ref="A9:H9"/>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640C-F3C7-4B23-8D38-887EE8A18F13}">
  <dimension ref="A1:G20"/>
  <sheetViews>
    <sheetView workbookViewId="0">
      <selection activeCell="O29" sqref="O29"/>
    </sheetView>
  </sheetViews>
  <sheetFormatPr defaultRowHeight="15.75" x14ac:dyDescent="0.25"/>
  <cols>
    <col min="1" max="4" width="11.5546875" style="673" customWidth="1"/>
    <col min="5" max="7" width="10.5546875" style="673" customWidth="1"/>
    <col min="8" max="256" width="8.88671875" style="673"/>
    <col min="257" max="260" width="11.5546875" style="673" customWidth="1"/>
    <col min="261" max="263" width="10.5546875" style="673" customWidth="1"/>
    <col min="264" max="512" width="8.88671875" style="673"/>
    <col min="513" max="516" width="11.5546875" style="673" customWidth="1"/>
    <col min="517" max="519" width="10.5546875" style="673" customWidth="1"/>
    <col min="520" max="768" width="8.88671875" style="673"/>
    <col min="769" max="772" width="11.5546875" style="673" customWidth="1"/>
    <col min="773" max="775" width="10.5546875" style="673" customWidth="1"/>
    <col min="776" max="1024" width="8.88671875" style="673"/>
    <col min="1025" max="1028" width="11.5546875" style="673" customWidth="1"/>
    <col min="1029" max="1031" width="10.5546875" style="673" customWidth="1"/>
    <col min="1032" max="1280" width="8.88671875" style="673"/>
    <col min="1281" max="1284" width="11.5546875" style="673" customWidth="1"/>
    <col min="1285" max="1287" width="10.5546875" style="673" customWidth="1"/>
    <col min="1288" max="1536" width="8.88671875" style="673"/>
    <col min="1537" max="1540" width="11.5546875" style="673" customWidth="1"/>
    <col min="1541" max="1543" width="10.5546875" style="673" customWidth="1"/>
    <col min="1544" max="1792" width="8.88671875" style="673"/>
    <col min="1793" max="1796" width="11.5546875" style="673" customWidth="1"/>
    <col min="1797" max="1799" width="10.5546875" style="673" customWidth="1"/>
    <col min="1800" max="2048" width="8.88671875" style="673"/>
    <col min="2049" max="2052" width="11.5546875" style="673" customWidth="1"/>
    <col min="2053" max="2055" width="10.5546875" style="673" customWidth="1"/>
    <col min="2056" max="2304" width="8.88671875" style="673"/>
    <col min="2305" max="2308" width="11.5546875" style="673" customWidth="1"/>
    <col min="2309" max="2311" width="10.5546875" style="673" customWidth="1"/>
    <col min="2312" max="2560" width="8.88671875" style="673"/>
    <col min="2561" max="2564" width="11.5546875" style="673" customWidth="1"/>
    <col min="2565" max="2567" width="10.5546875" style="673" customWidth="1"/>
    <col min="2568" max="2816" width="8.88671875" style="673"/>
    <col min="2817" max="2820" width="11.5546875" style="673" customWidth="1"/>
    <col min="2821" max="2823" width="10.5546875" style="673" customWidth="1"/>
    <col min="2824" max="3072" width="8.88671875" style="673"/>
    <col min="3073" max="3076" width="11.5546875" style="673" customWidth="1"/>
    <col min="3077" max="3079" width="10.5546875" style="673" customWidth="1"/>
    <col min="3080" max="3328" width="8.88671875" style="673"/>
    <col min="3329" max="3332" width="11.5546875" style="673" customWidth="1"/>
    <col min="3333" max="3335" width="10.5546875" style="673" customWidth="1"/>
    <col min="3336" max="3584" width="8.88671875" style="673"/>
    <col min="3585" max="3588" width="11.5546875" style="673" customWidth="1"/>
    <col min="3589" max="3591" width="10.5546875" style="673" customWidth="1"/>
    <col min="3592" max="3840" width="8.88671875" style="673"/>
    <col min="3841" max="3844" width="11.5546875" style="673" customWidth="1"/>
    <col min="3845" max="3847" width="10.5546875" style="673" customWidth="1"/>
    <col min="3848" max="4096" width="8.88671875" style="673"/>
    <col min="4097" max="4100" width="11.5546875" style="673" customWidth="1"/>
    <col min="4101" max="4103" width="10.5546875" style="673" customWidth="1"/>
    <col min="4104" max="4352" width="8.88671875" style="673"/>
    <col min="4353" max="4356" width="11.5546875" style="673" customWidth="1"/>
    <col min="4357" max="4359" width="10.5546875" style="673" customWidth="1"/>
    <col min="4360" max="4608" width="8.88671875" style="673"/>
    <col min="4609" max="4612" width="11.5546875" style="673" customWidth="1"/>
    <col min="4613" max="4615" width="10.5546875" style="673" customWidth="1"/>
    <col min="4616" max="4864" width="8.88671875" style="673"/>
    <col min="4865" max="4868" width="11.5546875" style="673" customWidth="1"/>
    <col min="4869" max="4871" width="10.5546875" style="673" customWidth="1"/>
    <col min="4872" max="5120" width="8.88671875" style="673"/>
    <col min="5121" max="5124" width="11.5546875" style="673" customWidth="1"/>
    <col min="5125" max="5127" width="10.5546875" style="673" customWidth="1"/>
    <col min="5128" max="5376" width="8.88671875" style="673"/>
    <col min="5377" max="5380" width="11.5546875" style="673" customWidth="1"/>
    <col min="5381" max="5383" width="10.5546875" style="673" customWidth="1"/>
    <col min="5384" max="5632" width="8.88671875" style="673"/>
    <col min="5633" max="5636" width="11.5546875" style="673" customWidth="1"/>
    <col min="5637" max="5639" width="10.5546875" style="673" customWidth="1"/>
    <col min="5640" max="5888" width="8.88671875" style="673"/>
    <col min="5889" max="5892" width="11.5546875" style="673" customWidth="1"/>
    <col min="5893" max="5895" width="10.5546875" style="673" customWidth="1"/>
    <col min="5896" max="6144" width="8.88671875" style="673"/>
    <col min="6145" max="6148" width="11.5546875" style="673" customWidth="1"/>
    <col min="6149" max="6151" width="10.5546875" style="673" customWidth="1"/>
    <col min="6152" max="6400" width="8.88671875" style="673"/>
    <col min="6401" max="6404" width="11.5546875" style="673" customWidth="1"/>
    <col min="6405" max="6407" width="10.5546875" style="673" customWidth="1"/>
    <col min="6408" max="6656" width="8.88671875" style="673"/>
    <col min="6657" max="6660" width="11.5546875" style="673" customWidth="1"/>
    <col min="6661" max="6663" width="10.5546875" style="673" customWidth="1"/>
    <col min="6664" max="6912" width="8.88671875" style="673"/>
    <col min="6913" max="6916" width="11.5546875" style="673" customWidth="1"/>
    <col min="6917" max="6919" width="10.5546875" style="673" customWidth="1"/>
    <col min="6920" max="7168" width="8.88671875" style="673"/>
    <col min="7169" max="7172" width="11.5546875" style="673" customWidth="1"/>
    <col min="7173" max="7175" width="10.5546875" style="673" customWidth="1"/>
    <col min="7176" max="7424" width="8.88671875" style="673"/>
    <col min="7425" max="7428" width="11.5546875" style="673" customWidth="1"/>
    <col min="7429" max="7431" width="10.5546875" style="673" customWidth="1"/>
    <col min="7432" max="7680" width="8.88671875" style="673"/>
    <col min="7681" max="7684" width="11.5546875" style="673" customWidth="1"/>
    <col min="7685" max="7687" width="10.5546875" style="673" customWidth="1"/>
    <col min="7688" max="7936" width="8.88671875" style="673"/>
    <col min="7937" max="7940" width="11.5546875" style="673" customWidth="1"/>
    <col min="7941" max="7943" width="10.5546875" style="673" customWidth="1"/>
    <col min="7944" max="8192" width="8.88671875" style="673"/>
    <col min="8193" max="8196" width="11.5546875" style="673" customWidth="1"/>
    <col min="8197" max="8199" width="10.5546875" style="673" customWidth="1"/>
    <col min="8200" max="8448" width="8.88671875" style="673"/>
    <col min="8449" max="8452" width="11.5546875" style="673" customWidth="1"/>
    <col min="8453" max="8455" width="10.5546875" style="673" customWidth="1"/>
    <col min="8456" max="8704" width="8.88671875" style="673"/>
    <col min="8705" max="8708" width="11.5546875" style="673" customWidth="1"/>
    <col min="8709" max="8711" width="10.5546875" style="673" customWidth="1"/>
    <col min="8712" max="8960" width="8.88671875" style="673"/>
    <col min="8961" max="8964" width="11.5546875" style="673" customWidth="1"/>
    <col min="8965" max="8967" width="10.5546875" style="673" customWidth="1"/>
    <col min="8968" max="9216" width="8.88671875" style="673"/>
    <col min="9217" max="9220" width="11.5546875" style="673" customWidth="1"/>
    <col min="9221" max="9223" width="10.5546875" style="673" customWidth="1"/>
    <col min="9224" max="9472" width="8.88671875" style="673"/>
    <col min="9473" max="9476" width="11.5546875" style="673" customWidth="1"/>
    <col min="9477" max="9479" width="10.5546875" style="673" customWidth="1"/>
    <col min="9480" max="9728" width="8.88671875" style="673"/>
    <col min="9729" max="9732" width="11.5546875" style="673" customWidth="1"/>
    <col min="9733" max="9735" width="10.5546875" style="673" customWidth="1"/>
    <col min="9736" max="9984" width="8.88671875" style="673"/>
    <col min="9985" max="9988" width="11.5546875" style="673" customWidth="1"/>
    <col min="9989" max="9991" width="10.5546875" style="673" customWidth="1"/>
    <col min="9992" max="10240" width="8.88671875" style="673"/>
    <col min="10241" max="10244" width="11.5546875" style="673" customWidth="1"/>
    <col min="10245" max="10247" width="10.5546875" style="673" customWidth="1"/>
    <col min="10248" max="10496" width="8.88671875" style="673"/>
    <col min="10497" max="10500" width="11.5546875" style="673" customWidth="1"/>
    <col min="10501" max="10503" width="10.5546875" style="673" customWidth="1"/>
    <col min="10504" max="10752" width="8.88671875" style="673"/>
    <col min="10753" max="10756" width="11.5546875" style="673" customWidth="1"/>
    <col min="10757" max="10759" width="10.5546875" style="673" customWidth="1"/>
    <col min="10760" max="11008" width="8.88671875" style="673"/>
    <col min="11009" max="11012" width="11.5546875" style="673" customWidth="1"/>
    <col min="11013" max="11015" width="10.5546875" style="673" customWidth="1"/>
    <col min="11016" max="11264" width="8.88671875" style="673"/>
    <col min="11265" max="11268" width="11.5546875" style="673" customWidth="1"/>
    <col min="11269" max="11271" width="10.5546875" style="673" customWidth="1"/>
    <col min="11272" max="11520" width="8.88671875" style="673"/>
    <col min="11521" max="11524" width="11.5546875" style="673" customWidth="1"/>
    <col min="11525" max="11527" width="10.5546875" style="673" customWidth="1"/>
    <col min="11528" max="11776" width="8.88671875" style="673"/>
    <col min="11777" max="11780" width="11.5546875" style="673" customWidth="1"/>
    <col min="11781" max="11783" width="10.5546875" style="673" customWidth="1"/>
    <col min="11784" max="12032" width="8.88671875" style="673"/>
    <col min="12033" max="12036" width="11.5546875" style="673" customWidth="1"/>
    <col min="12037" max="12039" width="10.5546875" style="673" customWidth="1"/>
    <col min="12040" max="12288" width="8.88671875" style="673"/>
    <col min="12289" max="12292" width="11.5546875" style="673" customWidth="1"/>
    <col min="12293" max="12295" width="10.5546875" style="673" customWidth="1"/>
    <col min="12296" max="12544" width="8.88671875" style="673"/>
    <col min="12545" max="12548" width="11.5546875" style="673" customWidth="1"/>
    <col min="12549" max="12551" width="10.5546875" style="673" customWidth="1"/>
    <col min="12552" max="12800" width="8.88671875" style="673"/>
    <col min="12801" max="12804" width="11.5546875" style="673" customWidth="1"/>
    <col min="12805" max="12807" width="10.5546875" style="673" customWidth="1"/>
    <col min="12808" max="13056" width="8.88671875" style="673"/>
    <col min="13057" max="13060" width="11.5546875" style="673" customWidth="1"/>
    <col min="13061" max="13063" width="10.5546875" style="673" customWidth="1"/>
    <col min="13064" max="13312" width="8.88671875" style="673"/>
    <col min="13313" max="13316" width="11.5546875" style="673" customWidth="1"/>
    <col min="13317" max="13319" width="10.5546875" style="673" customWidth="1"/>
    <col min="13320" max="13568" width="8.88671875" style="673"/>
    <col min="13569" max="13572" width="11.5546875" style="673" customWidth="1"/>
    <col min="13573" max="13575" width="10.5546875" style="673" customWidth="1"/>
    <col min="13576" max="13824" width="8.88671875" style="673"/>
    <col min="13825" max="13828" width="11.5546875" style="673" customWidth="1"/>
    <col min="13829" max="13831" width="10.5546875" style="673" customWidth="1"/>
    <col min="13832" max="14080" width="8.88671875" style="673"/>
    <col min="14081" max="14084" width="11.5546875" style="673" customWidth="1"/>
    <col min="14085" max="14087" width="10.5546875" style="673" customWidth="1"/>
    <col min="14088" max="14336" width="8.88671875" style="673"/>
    <col min="14337" max="14340" width="11.5546875" style="673" customWidth="1"/>
    <col min="14341" max="14343" width="10.5546875" style="673" customWidth="1"/>
    <col min="14344" max="14592" width="8.88671875" style="673"/>
    <col min="14593" max="14596" width="11.5546875" style="673" customWidth="1"/>
    <col min="14597" max="14599" width="10.5546875" style="673" customWidth="1"/>
    <col min="14600" max="14848" width="8.88671875" style="673"/>
    <col min="14849" max="14852" width="11.5546875" style="673" customWidth="1"/>
    <col min="14853" max="14855" width="10.5546875" style="673" customWidth="1"/>
    <col min="14856" max="15104" width="8.88671875" style="673"/>
    <col min="15105" max="15108" width="11.5546875" style="673" customWidth="1"/>
    <col min="15109" max="15111" width="10.5546875" style="673" customWidth="1"/>
    <col min="15112" max="15360" width="8.88671875" style="673"/>
    <col min="15361" max="15364" width="11.5546875" style="673" customWidth="1"/>
    <col min="15365" max="15367" width="10.5546875" style="673" customWidth="1"/>
    <col min="15368" max="15616" width="8.88671875" style="673"/>
    <col min="15617" max="15620" width="11.5546875" style="673" customWidth="1"/>
    <col min="15621" max="15623" width="10.5546875" style="673" customWidth="1"/>
    <col min="15624" max="15872" width="8.88671875" style="673"/>
    <col min="15873" max="15876" width="11.5546875" style="673" customWidth="1"/>
    <col min="15877" max="15879" width="10.5546875" style="673" customWidth="1"/>
    <col min="15880" max="16128" width="8.88671875" style="673"/>
    <col min="16129" max="16132" width="11.5546875" style="673" customWidth="1"/>
    <col min="16133" max="16135" width="10.5546875" style="673" customWidth="1"/>
    <col min="16136" max="16384" width="8.88671875" style="673"/>
  </cols>
  <sheetData>
    <row r="1" spans="1:7" ht="18.75" x14ac:dyDescent="0.3">
      <c r="A1" s="672" t="s">
        <v>812</v>
      </c>
      <c r="B1" s="672"/>
      <c r="C1" s="672"/>
      <c r="D1" s="672"/>
      <c r="E1" s="672"/>
      <c r="F1" s="672"/>
      <c r="G1" s="672"/>
    </row>
    <row r="2" spans="1:7" x14ac:dyDescent="0.25">
      <c r="A2" s="674"/>
      <c r="B2" s="674"/>
      <c r="C2" s="674"/>
      <c r="D2" s="674"/>
      <c r="E2" s="674"/>
      <c r="F2" s="674"/>
      <c r="G2" s="674"/>
    </row>
    <row r="3" spans="1:7" ht="32.25" customHeight="1" x14ac:dyDescent="0.25">
      <c r="A3" s="675" t="s">
        <v>813</v>
      </c>
      <c r="B3" s="675"/>
      <c r="C3" s="675"/>
      <c r="D3" s="675"/>
      <c r="E3" s="675"/>
      <c r="F3" s="675"/>
      <c r="G3" s="675"/>
    </row>
    <row r="4" spans="1:7" x14ac:dyDescent="0.25">
      <c r="A4" s="676" t="s">
        <v>814</v>
      </c>
      <c r="B4" s="676"/>
      <c r="C4" s="676"/>
      <c r="D4" s="676"/>
      <c r="E4" s="676"/>
      <c r="F4" s="676"/>
      <c r="G4" s="676"/>
    </row>
    <row r="5" spans="1:7" x14ac:dyDescent="0.25">
      <c r="A5" s="676" t="s">
        <v>815</v>
      </c>
      <c r="B5" s="676"/>
      <c r="C5" s="676"/>
      <c r="D5" s="676"/>
      <c r="E5" s="676"/>
      <c r="F5" s="676"/>
      <c r="G5" s="676"/>
    </row>
    <row r="6" spans="1:7" x14ac:dyDescent="0.25">
      <c r="A6" s="677"/>
      <c r="B6" s="677"/>
      <c r="C6" s="677"/>
      <c r="D6" s="677"/>
      <c r="E6" s="677"/>
      <c r="F6" s="677"/>
      <c r="G6" s="677"/>
    </row>
    <row r="7" spans="1:7" ht="22.5" customHeight="1" x14ac:dyDescent="0.25">
      <c r="A7" s="678" t="s">
        <v>816</v>
      </c>
      <c r="B7" s="679"/>
      <c r="C7" s="679"/>
      <c r="D7" s="680"/>
      <c r="E7" s="681" t="s">
        <v>817</v>
      </c>
      <c r="F7" s="681" t="s">
        <v>818</v>
      </c>
      <c r="G7" s="681" t="s">
        <v>819</v>
      </c>
    </row>
    <row r="8" spans="1:7" ht="22.5" customHeight="1" x14ac:dyDescent="0.25">
      <c r="A8" s="682"/>
      <c r="B8" s="683"/>
      <c r="C8" s="683"/>
      <c r="D8" s="684"/>
      <c r="E8" s="685"/>
      <c r="F8" s="685"/>
      <c r="G8" s="685"/>
    </row>
    <row r="9" spans="1:7" ht="22.5" customHeight="1" x14ac:dyDescent="0.25">
      <c r="A9" s="682"/>
      <c r="B9" s="683"/>
      <c r="C9" s="683"/>
      <c r="D9" s="684"/>
      <c r="E9" s="685"/>
      <c r="F9" s="685"/>
      <c r="G9" s="685"/>
    </row>
    <row r="10" spans="1:7" ht="22.5" customHeight="1" x14ac:dyDescent="0.25">
      <c r="A10" s="686"/>
      <c r="B10" s="686"/>
      <c r="C10" s="686"/>
      <c r="D10" s="686"/>
      <c r="E10" s="685"/>
      <c r="F10" s="685"/>
      <c r="G10" s="685"/>
    </row>
    <row r="11" spans="1:7" ht="22.5" customHeight="1" x14ac:dyDescent="0.25">
      <c r="A11" s="686"/>
      <c r="B11" s="686"/>
      <c r="C11" s="686"/>
      <c r="D11" s="686"/>
      <c r="E11" s="685"/>
      <c r="F11" s="685"/>
      <c r="G11" s="685"/>
    </row>
    <row r="12" spans="1:7" ht="22.5" customHeight="1" x14ac:dyDescent="0.25">
      <c r="A12" s="686"/>
      <c r="B12" s="686"/>
      <c r="C12" s="686"/>
      <c r="D12" s="686"/>
      <c r="E12" s="685"/>
      <c r="F12" s="685"/>
      <c r="G12" s="685"/>
    </row>
    <row r="13" spans="1:7" ht="22.5" customHeight="1" x14ac:dyDescent="0.25">
      <c r="A13" s="686"/>
      <c r="B13" s="686"/>
      <c r="C13" s="686"/>
      <c r="D13" s="686"/>
      <c r="E13" s="685"/>
      <c r="F13" s="685"/>
      <c r="G13" s="685"/>
    </row>
    <row r="14" spans="1:7" ht="22.5" customHeight="1" x14ac:dyDescent="0.25">
      <c r="A14" s="686"/>
      <c r="B14" s="686"/>
      <c r="C14" s="686"/>
      <c r="D14" s="686"/>
      <c r="E14" s="685"/>
      <c r="F14" s="685"/>
      <c r="G14" s="685"/>
    </row>
    <row r="15" spans="1:7" ht="22.5" customHeight="1" x14ac:dyDescent="0.25">
      <c r="A15" s="686"/>
      <c r="B15" s="686"/>
      <c r="C15" s="686"/>
      <c r="D15" s="686"/>
      <c r="E15" s="685"/>
      <c r="F15" s="685"/>
      <c r="G15" s="685"/>
    </row>
    <row r="16" spans="1:7" ht="22.5" customHeight="1" thickBot="1" x14ac:dyDescent="0.3">
      <c r="A16" s="687"/>
      <c r="B16" s="687"/>
      <c r="C16" s="687"/>
      <c r="D16" s="687"/>
      <c r="E16" s="688"/>
      <c r="F16" s="688"/>
      <c r="G16" s="688"/>
    </row>
    <row r="17" spans="1:7" ht="22.5" customHeight="1" thickTop="1" x14ac:dyDescent="0.25">
      <c r="A17" s="689" t="s">
        <v>122</v>
      </c>
      <c r="B17" s="689"/>
      <c r="C17" s="689"/>
      <c r="D17" s="689"/>
      <c r="E17" s="690"/>
      <c r="F17" s="690"/>
      <c r="G17" s="690"/>
    </row>
    <row r="19" spans="1:7" x14ac:dyDescent="0.25">
      <c r="A19" s="691" t="s">
        <v>820</v>
      </c>
      <c r="B19" s="692"/>
    </row>
    <row r="20" spans="1:7" x14ac:dyDescent="0.25">
      <c r="A20" s="693"/>
      <c r="B20" s="693"/>
    </row>
  </sheetData>
  <sheetProtection sheet="1" objects="1" scenarios="1"/>
  <mergeCells count="16">
    <mergeCell ref="A15:D15"/>
    <mergeCell ref="A16:D16"/>
    <mergeCell ref="A17:D17"/>
    <mergeCell ref="A20:B20"/>
    <mergeCell ref="A9:D9"/>
    <mergeCell ref="A10:D10"/>
    <mergeCell ref="A11:D11"/>
    <mergeCell ref="A12:D12"/>
    <mergeCell ref="A13:D13"/>
    <mergeCell ref="A14:D14"/>
    <mergeCell ref="A1:G1"/>
    <mergeCell ref="A3:G3"/>
    <mergeCell ref="A4:G4"/>
    <mergeCell ref="A5:G5"/>
    <mergeCell ref="A7:D7"/>
    <mergeCell ref="A8:D8"/>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1F814-77EF-48EE-93A6-C94C1297B435}">
  <sheetPr codeName="Sheet22"/>
  <dimension ref="A1:G24"/>
  <sheetViews>
    <sheetView workbookViewId="0">
      <selection sqref="A1:G1"/>
    </sheetView>
  </sheetViews>
  <sheetFormatPr defaultRowHeight="15.75" x14ac:dyDescent="0.25"/>
  <cols>
    <col min="1" max="1" width="8.88671875" style="282"/>
    <col min="4" max="4" width="18" customWidth="1"/>
    <col min="7" max="7" width="12.77734375" customWidth="1"/>
  </cols>
  <sheetData>
    <row r="1" spans="1:7" x14ac:dyDescent="0.25">
      <c r="A1" s="665" t="s">
        <v>765</v>
      </c>
      <c r="B1" s="665"/>
      <c r="C1" s="665"/>
      <c r="D1" s="665"/>
      <c r="E1" s="665"/>
      <c r="F1" s="665"/>
      <c r="G1" s="665"/>
    </row>
    <row r="3" spans="1:7" ht="55.5" customHeight="1" x14ac:dyDescent="0.25">
      <c r="A3" s="666" t="s">
        <v>766</v>
      </c>
      <c r="B3" s="666"/>
      <c r="C3" s="666"/>
      <c r="D3" s="666"/>
      <c r="E3" s="666"/>
      <c r="F3" s="666"/>
      <c r="G3" s="666"/>
    </row>
    <row r="4" spans="1:7" ht="55.5" customHeight="1" x14ac:dyDescent="0.25">
      <c r="A4" s="667" t="s">
        <v>767</v>
      </c>
      <c r="B4" s="667"/>
      <c r="C4" s="667"/>
      <c r="D4" s="667"/>
      <c r="E4" s="667"/>
      <c r="F4" s="667"/>
      <c r="G4" s="667"/>
    </row>
    <row r="5" spans="1:7" ht="55.5" customHeight="1" x14ac:dyDescent="0.25">
      <c r="A5" s="667" t="s">
        <v>768</v>
      </c>
      <c r="B5" s="667"/>
      <c r="C5" s="667"/>
      <c r="D5" s="667"/>
      <c r="E5" s="667"/>
      <c r="F5" s="667"/>
      <c r="G5" s="667"/>
    </row>
    <row r="6" spans="1:7" ht="55.5" customHeight="1" x14ac:dyDescent="0.25">
      <c r="A6" s="667" t="s">
        <v>769</v>
      </c>
      <c r="B6" s="667"/>
      <c r="C6" s="667"/>
      <c r="D6" s="667"/>
      <c r="E6" s="667"/>
      <c r="F6" s="667"/>
      <c r="G6" s="667"/>
    </row>
    <row r="7" spans="1:7" ht="55.5" customHeight="1" x14ac:dyDescent="0.25">
      <c r="A7" s="667" t="s">
        <v>770</v>
      </c>
      <c r="B7" s="667"/>
      <c r="C7" s="667"/>
      <c r="D7" s="667"/>
      <c r="E7" s="667"/>
      <c r="F7" s="667"/>
      <c r="G7" s="667"/>
    </row>
    <row r="8" spans="1:7" ht="55.5" customHeight="1" x14ac:dyDescent="0.25">
      <c r="A8" s="666" t="s">
        <v>771</v>
      </c>
      <c r="B8" s="666"/>
      <c r="C8" s="666"/>
      <c r="D8" s="666"/>
      <c r="E8" s="666"/>
      <c r="F8" s="666"/>
      <c r="G8" s="666"/>
    </row>
    <row r="9" spans="1:7" ht="55.5" customHeight="1" x14ac:dyDescent="0.25">
      <c r="A9" s="667" t="s">
        <v>772</v>
      </c>
      <c r="B9" s="667"/>
      <c r="C9" s="667"/>
      <c r="D9" s="667"/>
      <c r="E9" s="667"/>
      <c r="F9" s="667"/>
      <c r="G9" s="667"/>
    </row>
    <row r="10" spans="1:7" ht="55.5" customHeight="1" x14ac:dyDescent="0.25">
      <c r="A10" s="667" t="s">
        <v>773</v>
      </c>
      <c r="B10" s="667"/>
      <c r="C10" s="667"/>
      <c r="D10" s="667"/>
      <c r="E10" s="667"/>
      <c r="F10" s="667"/>
      <c r="G10" s="667"/>
    </row>
    <row r="11" spans="1:7" ht="55.5" customHeight="1" x14ac:dyDescent="0.25">
      <c r="A11" s="667" t="s">
        <v>774</v>
      </c>
      <c r="B11" s="667"/>
      <c r="C11" s="667"/>
      <c r="D11" s="667"/>
      <c r="E11" s="667"/>
      <c r="F11" s="667"/>
      <c r="G11" s="667"/>
    </row>
    <row r="12" spans="1:7" ht="15.75" customHeight="1" x14ac:dyDescent="0.25">
      <c r="A12" s="664" t="s">
        <v>775</v>
      </c>
      <c r="B12" s="664"/>
      <c r="C12" s="664"/>
      <c r="D12" s="664"/>
      <c r="E12" s="664"/>
      <c r="F12" s="664"/>
      <c r="G12" s="664"/>
    </row>
    <row r="13" spans="1:7" ht="15.75" customHeight="1" x14ac:dyDescent="0.25">
      <c r="A13" s="664" t="s">
        <v>775</v>
      </c>
      <c r="B13" s="664"/>
      <c r="C13" s="664"/>
      <c r="D13" s="664"/>
      <c r="E13" s="664"/>
      <c r="F13" s="664"/>
      <c r="G13" s="664"/>
    </row>
    <row r="14" spans="1:7" ht="15.75" customHeight="1" x14ac:dyDescent="0.25">
      <c r="A14" s="664" t="s">
        <v>775</v>
      </c>
      <c r="B14" s="664"/>
      <c r="C14" s="664"/>
      <c r="D14" s="664"/>
      <c r="E14" s="664"/>
      <c r="F14" s="664"/>
      <c r="G14" s="664"/>
    </row>
    <row r="15" spans="1:7" ht="15.75" customHeight="1" x14ac:dyDescent="0.25">
      <c r="A15" s="664" t="s">
        <v>775</v>
      </c>
      <c r="B15" s="664"/>
      <c r="C15" s="664"/>
      <c r="D15" s="664"/>
      <c r="E15" s="664"/>
      <c r="F15" s="664"/>
      <c r="G15" s="664"/>
    </row>
    <row r="16" spans="1:7" x14ac:dyDescent="0.25">
      <c r="A16" s="664" t="s">
        <v>775</v>
      </c>
      <c r="B16" s="664"/>
      <c r="C16" s="664"/>
      <c r="D16" s="664"/>
      <c r="E16" s="664"/>
      <c r="F16" s="664"/>
      <c r="G16" s="664"/>
    </row>
    <row r="17" spans="1:7" x14ac:dyDescent="0.25">
      <c r="A17" s="664" t="s">
        <v>775</v>
      </c>
      <c r="B17" s="664"/>
      <c r="C17" s="664"/>
      <c r="D17" s="664"/>
      <c r="E17" s="664"/>
      <c r="F17" s="664"/>
      <c r="G17" s="664"/>
    </row>
    <row r="18" spans="1:7" x14ac:dyDescent="0.25">
      <c r="A18" s="664" t="s">
        <v>775</v>
      </c>
      <c r="B18" s="664"/>
      <c r="C18" s="664"/>
      <c r="D18" s="664"/>
      <c r="E18" s="664"/>
      <c r="F18" s="664"/>
      <c r="G18" s="664"/>
    </row>
    <row r="19" spans="1:7" x14ac:dyDescent="0.25">
      <c r="A19" s="664" t="s">
        <v>775</v>
      </c>
      <c r="B19" s="664"/>
      <c r="C19" s="664"/>
      <c r="D19" s="664"/>
      <c r="E19" s="664"/>
      <c r="F19" s="664"/>
      <c r="G19" s="664"/>
    </row>
    <row r="20" spans="1:7" x14ac:dyDescent="0.25">
      <c r="A20" s="664"/>
      <c r="B20" s="664"/>
      <c r="C20" s="664"/>
      <c r="D20" s="664"/>
      <c r="E20" s="664"/>
      <c r="F20" s="664"/>
      <c r="G20" s="664"/>
    </row>
    <row r="21" spans="1:7" x14ac:dyDescent="0.25">
      <c r="A21" s="476"/>
      <c r="B21" s="476"/>
      <c r="C21" s="476"/>
      <c r="D21" s="476"/>
      <c r="E21" s="476"/>
      <c r="F21" s="476"/>
      <c r="G21" s="476"/>
    </row>
    <row r="22" spans="1:7" x14ac:dyDescent="0.25">
      <c r="A22" s="664" t="s">
        <v>776</v>
      </c>
      <c r="B22" s="664"/>
      <c r="C22" s="664"/>
      <c r="D22" s="664"/>
      <c r="E22" s="664"/>
      <c r="F22" s="664"/>
      <c r="G22" s="664"/>
    </row>
    <row r="23" spans="1:7" x14ac:dyDescent="0.25">
      <c r="A23" s="664" t="s">
        <v>777</v>
      </c>
      <c r="B23" s="664"/>
      <c r="C23" s="664"/>
      <c r="D23" s="664"/>
      <c r="E23" s="664"/>
      <c r="F23" s="664"/>
      <c r="G23" s="664"/>
    </row>
    <row r="24" spans="1:7" x14ac:dyDescent="0.25">
      <c r="A24" s="664"/>
      <c r="B24" s="664"/>
      <c r="C24" s="664"/>
      <c r="D24" s="664"/>
      <c r="E24" s="664"/>
      <c r="F24" s="664"/>
      <c r="G24" s="664"/>
    </row>
  </sheetData>
  <sheetProtection sheet="1" objects="1" scenarios="1"/>
  <mergeCells count="22">
    <mergeCell ref="A20:G20"/>
    <mergeCell ref="A22:G22"/>
    <mergeCell ref="A23:G23"/>
    <mergeCell ref="A24:G24"/>
    <mergeCell ref="A14:G14"/>
    <mergeCell ref="A15:G15"/>
    <mergeCell ref="A16:G16"/>
    <mergeCell ref="A17:G17"/>
    <mergeCell ref="A18:G18"/>
    <mergeCell ref="A19:G19"/>
    <mergeCell ref="A13:G13"/>
    <mergeCell ref="A1:G1"/>
    <mergeCell ref="A3:G3"/>
    <mergeCell ref="A4:G4"/>
    <mergeCell ref="A5:G5"/>
    <mergeCell ref="A6:G6"/>
    <mergeCell ref="A7:G7"/>
    <mergeCell ref="A8:G8"/>
    <mergeCell ref="A9:G9"/>
    <mergeCell ref="A10:G10"/>
    <mergeCell ref="A11:G11"/>
    <mergeCell ref="A12:G1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tabColor rgb="FFFF0000"/>
  </sheetPr>
  <dimension ref="A1:L72"/>
  <sheetViews>
    <sheetView workbookViewId="0"/>
  </sheetViews>
  <sheetFormatPr defaultRowHeight="15.75" x14ac:dyDescent="0.25"/>
  <cols>
    <col min="1" max="1" width="71.33203125" style="282" customWidth="1"/>
  </cols>
  <sheetData>
    <row r="1" spans="1:12" ht="20.25" x14ac:dyDescent="0.3">
      <c r="A1" s="484" t="s">
        <v>789</v>
      </c>
    </row>
    <row r="3" spans="1:12" x14ac:dyDescent="0.25">
      <c r="A3" s="480" t="s">
        <v>196</v>
      </c>
      <c r="B3" s="248"/>
      <c r="C3" s="248"/>
      <c r="D3" s="248"/>
      <c r="E3" s="248"/>
      <c r="F3" s="248"/>
      <c r="G3" s="248"/>
      <c r="H3" s="248"/>
      <c r="I3" s="248"/>
      <c r="J3" s="248"/>
      <c r="K3" s="248"/>
      <c r="L3" s="248"/>
    </row>
    <row r="5" spans="1:12" x14ac:dyDescent="0.25">
      <c r="A5" s="282" t="s">
        <v>197</v>
      </c>
    </row>
    <row r="6" spans="1:12" x14ac:dyDescent="0.25">
      <c r="A6" s="282" t="str">
        <f>CONCATENATE(inputPrYr!D6-2," 'total expenditures' exceed your ",inputPrYr!D6-2," 'budget authority.'")</f>
        <v>2022 'total expenditures' exceed your 2022 'budget authority.'</v>
      </c>
    </row>
    <row r="8" spans="1:12" x14ac:dyDescent="0.25">
      <c r="A8" s="282" t="s">
        <v>198</v>
      </c>
    </row>
    <row r="9" spans="1:12" x14ac:dyDescent="0.25">
      <c r="A9" s="282" t="s">
        <v>199</v>
      </c>
    </row>
    <row r="10" spans="1:12" x14ac:dyDescent="0.25">
      <c r="A10" s="282" t="s">
        <v>200</v>
      </c>
    </row>
    <row r="13" spans="1:12" x14ac:dyDescent="0.25">
      <c r="A13" s="482" t="s">
        <v>201</v>
      </c>
    </row>
    <row r="15" spans="1:12" x14ac:dyDescent="0.25">
      <c r="A15" s="282" t="s">
        <v>788</v>
      </c>
    </row>
    <row r="16" spans="1:12" x14ac:dyDescent="0.25">
      <c r="A16" s="282" t="str">
        <f>CONCATENATE("(i.e. an audit has not been completed, or the ",inputPrYr!D6," adopted")</f>
        <v>(i.e. an audit has not been completed, or the 2024 adopted</v>
      </c>
    </row>
    <row r="17" spans="1:1" x14ac:dyDescent="0.25">
      <c r="A17" s="282" t="s">
        <v>202</v>
      </c>
    </row>
    <row r="18" spans="1:1" x14ac:dyDescent="0.25">
      <c r="A18" s="282" t="s">
        <v>203</v>
      </c>
    </row>
    <row r="19" spans="1:1" x14ac:dyDescent="0.25">
      <c r="A19" s="282" t="s">
        <v>204</v>
      </c>
    </row>
    <row r="21" spans="1:1" x14ac:dyDescent="0.25">
      <c r="A21" s="482" t="s">
        <v>205</v>
      </c>
    </row>
    <row r="22" spans="1:1" x14ac:dyDescent="0.25">
      <c r="A22" s="482"/>
    </row>
    <row r="23" spans="1:1" x14ac:dyDescent="0.25">
      <c r="A23" s="282" t="s">
        <v>206</v>
      </c>
    </row>
    <row r="24" spans="1:1" x14ac:dyDescent="0.25">
      <c r="A24" s="282" t="s">
        <v>207</v>
      </c>
    </row>
    <row r="25" spans="1:1" x14ac:dyDescent="0.25">
      <c r="A25" s="282" t="str">
        <f>CONCATENATE("particular fund.  If your ",inputPrYr!D6-2," budget was amended, did you")</f>
        <v>particular fund.  If your 2022 budget was amended, did you</v>
      </c>
    </row>
    <row r="26" spans="1:1" x14ac:dyDescent="0.25">
      <c r="A26" s="282" t="s">
        <v>208</v>
      </c>
    </row>
    <row r="28" spans="1:1" x14ac:dyDescent="0.25">
      <c r="A28" s="282" t="str">
        <f>CONCATENATE("Next, look to see if any of your ",inputPrYr!D6-2," expenditures can be")</f>
        <v>Next, look to see if any of your 2022 expenditures can be</v>
      </c>
    </row>
    <row r="29" spans="1:1" x14ac:dyDescent="0.25">
      <c r="A29" s="282" t="s">
        <v>209</v>
      </c>
    </row>
    <row r="30" spans="1:1" x14ac:dyDescent="0.25">
      <c r="A30" s="282" t="s">
        <v>210</v>
      </c>
    </row>
    <row r="31" spans="1:1" x14ac:dyDescent="0.25">
      <c r="A31" s="282" t="s">
        <v>211</v>
      </c>
    </row>
    <row r="33" spans="1:1" x14ac:dyDescent="0.25">
      <c r="A33" s="282" t="str">
        <f>CONCATENATE("Additionally, do your ",inputPrYr!D6-2," receipts contain a reimbursement")</f>
        <v>Additionally, do your 2022 receipts contain a reimbursement</v>
      </c>
    </row>
    <row r="34" spans="1:1" x14ac:dyDescent="0.25">
      <c r="A34" s="282" t="s">
        <v>212</v>
      </c>
    </row>
    <row r="35" spans="1:1" x14ac:dyDescent="0.25">
      <c r="A35" s="282" t="s">
        <v>786</v>
      </c>
    </row>
    <row r="37" spans="1:1" x14ac:dyDescent="0.25">
      <c r="A37" s="282" t="s">
        <v>213</v>
      </c>
    </row>
    <row r="38" spans="1:1" x14ac:dyDescent="0.25">
      <c r="A38" s="282" t="s">
        <v>214</v>
      </c>
    </row>
    <row r="39" spans="1:1" x14ac:dyDescent="0.25">
      <c r="A39" s="282" t="s">
        <v>215</v>
      </c>
    </row>
    <row r="41" spans="1:1" x14ac:dyDescent="0.25">
      <c r="A41" s="482" t="s">
        <v>216</v>
      </c>
    </row>
    <row r="43" spans="1:1" x14ac:dyDescent="0.25">
      <c r="A43" s="282" t="s">
        <v>217</v>
      </c>
    </row>
    <row r="44" spans="1:1" x14ac:dyDescent="0.25">
      <c r="A44" s="282" t="s">
        <v>218</v>
      </c>
    </row>
    <row r="45" spans="1:1" x14ac:dyDescent="0.25">
      <c r="A45" s="282" t="s">
        <v>219</v>
      </c>
    </row>
    <row r="46" spans="1:1" x14ac:dyDescent="0.25">
      <c r="A46" s="282" t="s">
        <v>220</v>
      </c>
    </row>
    <row r="47" spans="1:1" x14ac:dyDescent="0.25">
      <c r="A47" s="282" t="s">
        <v>221</v>
      </c>
    </row>
    <row r="48" spans="1:1" x14ac:dyDescent="0.25">
      <c r="A48" s="282" t="s">
        <v>222</v>
      </c>
    </row>
    <row r="49" spans="1:1" x14ac:dyDescent="0.25">
      <c r="A49" s="282" t="s">
        <v>223</v>
      </c>
    </row>
    <row r="50" spans="1:1" x14ac:dyDescent="0.25">
      <c r="A50" s="282" t="s">
        <v>224</v>
      </c>
    </row>
    <row r="51" spans="1:1" x14ac:dyDescent="0.25">
      <c r="A51" s="282" t="s">
        <v>225</v>
      </c>
    </row>
    <row r="52" spans="1:1" x14ac:dyDescent="0.25">
      <c r="A52" s="282" t="s">
        <v>226</v>
      </c>
    </row>
    <row r="53" spans="1:1" x14ac:dyDescent="0.25">
      <c r="A53" s="282" t="s">
        <v>227</v>
      </c>
    </row>
    <row r="54" spans="1:1" x14ac:dyDescent="0.25">
      <c r="A54" s="282" t="s">
        <v>228</v>
      </c>
    </row>
    <row r="55" spans="1:1" x14ac:dyDescent="0.25">
      <c r="A55" s="282" t="s">
        <v>229</v>
      </c>
    </row>
    <row r="57" spans="1:1" x14ac:dyDescent="0.25">
      <c r="A57" s="282" t="s">
        <v>230</v>
      </c>
    </row>
    <row r="58" spans="1:1" x14ac:dyDescent="0.25">
      <c r="A58" s="282" t="s">
        <v>231</v>
      </c>
    </row>
    <row r="59" spans="1:1" x14ac:dyDescent="0.25">
      <c r="A59" s="282" t="s">
        <v>232</v>
      </c>
    </row>
    <row r="61" spans="1:1" x14ac:dyDescent="0.25">
      <c r="A61" s="482" t="str">
        <f>CONCATENATE("What if the ",inputPrYr!D6-2," financial records have been closed?")</f>
        <v>What if the 2022 financial records have been closed?</v>
      </c>
    </row>
    <row r="63" spans="1:1" x14ac:dyDescent="0.25">
      <c r="A63" s="282" t="s">
        <v>233</v>
      </c>
    </row>
    <row r="64" spans="1:1" x14ac:dyDescent="0.25">
      <c r="A64" s="282" t="str">
        <f>CONCATENATE("(i.e. an audit for ",inputPrYr!D6-2," has been completed, or the ",inputPrYr!D6)</f>
        <v>(i.e. an audit for 2022 has been completed, or the 2024</v>
      </c>
    </row>
    <row r="65" spans="1:1" x14ac:dyDescent="0.25">
      <c r="A65" s="282" t="s">
        <v>234</v>
      </c>
    </row>
    <row r="66" spans="1:1" x14ac:dyDescent="0.25">
      <c r="A66" s="282" t="s">
        <v>235</v>
      </c>
    </row>
    <row r="68" spans="1:1" x14ac:dyDescent="0.25">
      <c r="A68" s="282" t="s">
        <v>236</v>
      </c>
    </row>
    <row r="69" spans="1:1" x14ac:dyDescent="0.25">
      <c r="A69" s="282" t="s">
        <v>237</v>
      </c>
    </row>
    <row r="70" spans="1:1" x14ac:dyDescent="0.25">
      <c r="A70" s="282" t="s">
        <v>238</v>
      </c>
    </row>
    <row r="72" spans="1:1" x14ac:dyDescent="0.25">
      <c r="A72" s="282" t="s">
        <v>239</v>
      </c>
    </row>
  </sheetData>
  <sheetProtection sheet="1" objects="1" scenarios="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tabColor rgb="FFFF0000"/>
  </sheetPr>
  <dimension ref="A1:J109"/>
  <sheetViews>
    <sheetView workbookViewId="0"/>
  </sheetViews>
  <sheetFormatPr defaultRowHeight="15.75" x14ac:dyDescent="0.25"/>
  <cols>
    <col min="1" max="1" width="71.33203125" style="282" customWidth="1"/>
  </cols>
  <sheetData>
    <row r="1" spans="1:10" ht="20.25" x14ac:dyDescent="0.3">
      <c r="A1" s="484" t="s">
        <v>790</v>
      </c>
    </row>
    <row r="3" spans="1:10" x14ac:dyDescent="0.25">
      <c r="A3" s="480" t="s">
        <v>240</v>
      </c>
      <c r="B3" s="248"/>
      <c r="C3" s="248"/>
      <c r="D3" s="248"/>
      <c r="E3" s="248"/>
      <c r="F3" s="248"/>
      <c r="G3" s="248"/>
      <c r="H3" s="250"/>
      <c r="I3" s="250"/>
      <c r="J3" s="250"/>
    </row>
    <row r="5" spans="1:10" x14ac:dyDescent="0.25">
      <c r="A5" s="282" t="s">
        <v>241</v>
      </c>
    </row>
    <row r="6" spans="1:10" x14ac:dyDescent="0.25">
      <c r="A6" s="282" t="str">
        <f>CONCATENATE(inputPrYr!D6-2," expenditures show that you finished the year with a ")</f>
        <v xml:space="preserve">2022 expenditures show that you finished the year with a </v>
      </c>
    </row>
    <row r="7" spans="1:10" x14ac:dyDescent="0.25">
      <c r="A7" s="282" t="s">
        <v>242</v>
      </c>
    </row>
    <row r="9" spans="1:10" x14ac:dyDescent="0.25">
      <c r="A9" s="282" t="s">
        <v>243</v>
      </c>
    </row>
    <row r="10" spans="1:10" x14ac:dyDescent="0.25">
      <c r="A10" s="282" t="s">
        <v>244</v>
      </c>
    </row>
    <row r="11" spans="1:10" x14ac:dyDescent="0.25">
      <c r="A11" s="282" t="s">
        <v>245</v>
      </c>
    </row>
    <row r="13" spans="1:10" x14ac:dyDescent="0.25">
      <c r="A13" s="482" t="s">
        <v>246</v>
      </c>
    </row>
    <row r="14" spans="1:10" x14ac:dyDescent="0.25">
      <c r="A14" s="482"/>
    </row>
    <row r="15" spans="1:10" x14ac:dyDescent="0.25">
      <c r="A15" s="282" t="s">
        <v>247</v>
      </c>
    </row>
    <row r="16" spans="1:10" x14ac:dyDescent="0.25">
      <c r="A16" s="282" t="s">
        <v>248</v>
      </c>
    </row>
    <row r="17" spans="1:1" x14ac:dyDescent="0.25">
      <c r="A17" s="282" t="s">
        <v>249</v>
      </c>
    </row>
    <row r="19" spans="1:1" x14ac:dyDescent="0.25">
      <c r="A19" s="482" t="s">
        <v>250</v>
      </c>
    </row>
    <row r="20" spans="1:1" x14ac:dyDescent="0.25">
      <c r="A20" s="482"/>
    </row>
    <row r="21" spans="1:1" x14ac:dyDescent="0.25">
      <c r="A21" s="282" t="s">
        <v>251</v>
      </c>
    </row>
    <row r="22" spans="1:1" x14ac:dyDescent="0.25">
      <c r="A22" s="282" t="s">
        <v>252</v>
      </c>
    </row>
    <row r="23" spans="1:1" x14ac:dyDescent="0.25">
      <c r="A23" s="282" t="s">
        <v>787</v>
      </c>
    </row>
    <row r="25" spans="1:1" x14ac:dyDescent="0.25">
      <c r="A25" s="482" t="s">
        <v>253</v>
      </c>
    </row>
    <row r="26" spans="1:1" x14ac:dyDescent="0.25">
      <c r="A26" s="482"/>
    </row>
    <row r="27" spans="1:1" x14ac:dyDescent="0.25">
      <c r="A27" s="282" t="s">
        <v>254</v>
      </c>
    </row>
    <row r="28" spans="1:1" x14ac:dyDescent="0.25">
      <c r="A28" s="282" t="s">
        <v>255</v>
      </c>
    </row>
    <row r="29" spans="1:1" x14ac:dyDescent="0.25">
      <c r="A29" s="282" t="s">
        <v>256</v>
      </c>
    </row>
    <row r="31" spans="1:1" x14ac:dyDescent="0.25">
      <c r="A31" s="482" t="s">
        <v>257</v>
      </c>
    </row>
    <row r="32" spans="1:1" x14ac:dyDescent="0.25">
      <c r="A32" s="482"/>
    </row>
    <row r="33" spans="1:8" x14ac:dyDescent="0.25">
      <c r="A33" s="282" t="str">
        <f>CONCATENATE("If your financial records for ",inputPrYr!D6-2," are not closed")</f>
        <v>If your financial records for 2022 are not closed</v>
      </c>
      <c r="B33" s="249"/>
      <c r="C33" s="249"/>
      <c r="D33" s="249"/>
      <c r="E33" s="249"/>
      <c r="F33" s="249"/>
      <c r="G33" s="249"/>
      <c r="H33" s="249"/>
    </row>
    <row r="34" spans="1:8" x14ac:dyDescent="0.25">
      <c r="A34" s="282" t="str">
        <f>CONCATENATE("(i.e. an audit has not been completed, or the ",inputPrYr!D6," adopted ")</f>
        <v xml:space="preserve">(i.e. an audit has not been completed, or the 2024 adopted </v>
      </c>
      <c r="B34" s="249"/>
      <c r="C34" s="249"/>
      <c r="D34" s="249"/>
      <c r="E34" s="249"/>
      <c r="F34" s="249"/>
      <c r="G34" s="249"/>
      <c r="H34" s="249"/>
    </row>
    <row r="35" spans="1:8" x14ac:dyDescent="0.25">
      <c r="A35" s="282" t="s">
        <v>258</v>
      </c>
      <c r="B35" s="249"/>
      <c r="C35" s="249"/>
      <c r="D35" s="249"/>
      <c r="E35" s="249"/>
      <c r="F35" s="249"/>
      <c r="G35" s="249"/>
      <c r="H35" s="249"/>
    </row>
    <row r="36" spans="1:8" x14ac:dyDescent="0.25">
      <c r="A36" s="282" t="s">
        <v>259</v>
      </c>
      <c r="B36" s="249"/>
      <c r="C36" s="249"/>
      <c r="D36" s="249"/>
      <c r="E36" s="249"/>
      <c r="F36" s="249"/>
      <c r="G36" s="249"/>
      <c r="H36" s="249"/>
    </row>
    <row r="37" spans="1:8" x14ac:dyDescent="0.25">
      <c r="A37" s="282" t="s">
        <v>260</v>
      </c>
      <c r="B37" s="249"/>
      <c r="C37" s="249"/>
      <c r="D37" s="249"/>
      <c r="E37" s="249"/>
      <c r="F37" s="249"/>
      <c r="G37" s="249"/>
      <c r="H37" s="249"/>
    </row>
    <row r="38" spans="1:8" x14ac:dyDescent="0.25">
      <c r="A38" s="282" t="s">
        <v>261</v>
      </c>
      <c r="B38" s="249"/>
      <c r="C38" s="249"/>
      <c r="D38" s="249"/>
      <c r="E38" s="249"/>
      <c r="F38" s="249"/>
      <c r="G38" s="249"/>
      <c r="H38" s="249"/>
    </row>
    <row r="39" spans="1:8" x14ac:dyDescent="0.25">
      <c r="A39" s="282" t="s">
        <v>262</v>
      </c>
      <c r="B39" s="249"/>
      <c r="C39" s="249"/>
      <c r="D39" s="249"/>
      <c r="E39" s="249"/>
      <c r="F39" s="249"/>
      <c r="G39" s="249"/>
      <c r="H39" s="249"/>
    </row>
    <row r="40" spans="1:8" x14ac:dyDescent="0.25">
      <c r="B40" s="249"/>
      <c r="C40" s="249"/>
      <c r="D40" s="249"/>
      <c r="E40" s="249"/>
      <c r="F40" s="249"/>
      <c r="G40" s="249"/>
      <c r="H40" s="249"/>
    </row>
    <row r="41" spans="1:8" x14ac:dyDescent="0.25">
      <c r="A41" s="282" t="s">
        <v>263</v>
      </c>
      <c r="B41" s="249"/>
      <c r="C41" s="249"/>
      <c r="D41" s="249"/>
      <c r="E41" s="249"/>
      <c r="F41" s="249"/>
      <c r="G41" s="249"/>
      <c r="H41" s="249"/>
    </row>
    <row r="42" spans="1:8" x14ac:dyDescent="0.25">
      <c r="A42" s="282" t="s">
        <v>264</v>
      </c>
      <c r="B42" s="249"/>
      <c r="C42" s="249"/>
      <c r="D42" s="249"/>
      <c r="E42" s="249"/>
      <c r="F42" s="249"/>
      <c r="G42" s="249"/>
      <c r="H42" s="249"/>
    </row>
    <row r="43" spans="1:8" x14ac:dyDescent="0.25">
      <c r="A43" s="282" t="s">
        <v>265</v>
      </c>
      <c r="B43" s="249"/>
      <c r="C43" s="249"/>
      <c r="D43" s="249"/>
      <c r="E43" s="249"/>
      <c r="F43" s="249"/>
      <c r="G43" s="249"/>
      <c r="H43" s="249"/>
    </row>
    <row r="44" spans="1:8" x14ac:dyDescent="0.25">
      <c r="A44" s="282" t="s">
        <v>266</v>
      </c>
      <c r="B44" s="249"/>
      <c r="C44" s="249"/>
      <c r="D44" s="249"/>
      <c r="E44" s="249"/>
      <c r="F44" s="249"/>
      <c r="G44" s="249"/>
      <c r="H44" s="249"/>
    </row>
    <row r="45" spans="1:8" x14ac:dyDescent="0.25">
      <c r="B45" s="249"/>
      <c r="C45" s="249"/>
      <c r="D45" s="249"/>
      <c r="E45" s="249"/>
      <c r="F45" s="249"/>
      <c r="G45" s="249"/>
      <c r="H45" s="249"/>
    </row>
    <row r="46" spans="1:8" x14ac:dyDescent="0.25">
      <c r="A46" s="282" t="s">
        <v>267</v>
      </c>
      <c r="B46" s="249"/>
      <c r="C46" s="249"/>
      <c r="D46" s="249"/>
      <c r="E46" s="249"/>
      <c r="F46" s="249"/>
      <c r="G46" s="249"/>
      <c r="H46" s="249"/>
    </row>
    <row r="47" spans="1:8" x14ac:dyDescent="0.25">
      <c r="A47" s="282" t="s">
        <v>268</v>
      </c>
      <c r="B47" s="249"/>
      <c r="C47" s="249"/>
      <c r="D47" s="249"/>
      <c r="E47" s="249"/>
      <c r="F47" s="249"/>
      <c r="G47" s="249"/>
      <c r="H47" s="249"/>
    </row>
    <row r="48" spans="1:8" x14ac:dyDescent="0.25">
      <c r="A48" s="282" t="s">
        <v>269</v>
      </c>
      <c r="B48" s="249"/>
      <c r="C48" s="249"/>
      <c r="D48" s="249"/>
      <c r="E48" s="249"/>
      <c r="F48" s="249"/>
      <c r="G48" s="249"/>
      <c r="H48" s="249"/>
    </row>
    <row r="49" spans="1:8" x14ac:dyDescent="0.25">
      <c r="A49" s="282" t="s">
        <v>270</v>
      </c>
      <c r="B49" s="249"/>
      <c r="C49" s="249"/>
      <c r="D49" s="249"/>
      <c r="E49" s="249"/>
      <c r="F49" s="249"/>
      <c r="G49" s="249"/>
      <c r="H49" s="249"/>
    </row>
    <row r="50" spans="1:8" x14ac:dyDescent="0.25">
      <c r="A50" s="282" t="s">
        <v>271</v>
      </c>
      <c r="B50" s="249"/>
      <c r="C50" s="249"/>
      <c r="D50" s="249"/>
      <c r="E50" s="249"/>
      <c r="F50" s="249"/>
      <c r="G50" s="249"/>
      <c r="H50" s="249"/>
    </row>
    <row r="51" spans="1:8" x14ac:dyDescent="0.25">
      <c r="B51" s="249"/>
      <c r="C51" s="249"/>
      <c r="D51" s="249"/>
      <c r="E51" s="249"/>
      <c r="F51" s="249"/>
      <c r="G51" s="249"/>
      <c r="H51" s="249"/>
    </row>
    <row r="52" spans="1:8" x14ac:dyDescent="0.25">
      <c r="A52" s="482" t="s">
        <v>272</v>
      </c>
      <c r="B52" s="250"/>
      <c r="C52" s="250"/>
      <c r="D52" s="250"/>
      <c r="E52" s="250"/>
      <c r="F52" s="250"/>
      <c r="G52" s="250"/>
      <c r="H52" s="249"/>
    </row>
    <row r="53" spans="1:8" x14ac:dyDescent="0.25">
      <c r="A53" s="482" t="s">
        <v>273</v>
      </c>
      <c r="B53" s="250"/>
      <c r="C53" s="250"/>
      <c r="D53" s="250"/>
      <c r="E53" s="250"/>
      <c r="F53" s="250"/>
      <c r="G53" s="250"/>
      <c r="H53" s="249"/>
    </row>
    <row r="54" spans="1:8" x14ac:dyDescent="0.25">
      <c r="B54" s="249"/>
      <c r="C54" s="249"/>
      <c r="D54" s="249"/>
      <c r="E54" s="249"/>
      <c r="F54" s="249"/>
      <c r="G54" s="249"/>
      <c r="H54" s="249"/>
    </row>
    <row r="55" spans="1:8" x14ac:dyDescent="0.25">
      <c r="A55" s="282" t="s">
        <v>274</v>
      </c>
      <c r="B55" s="249"/>
      <c r="C55" s="249"/>
      <c r="D55" s="249"/>
      <c r="E55" s="249"/>
      <c r="F55" s="249"/>
      <c r="G55" s="249"/>
      <c r="H55" s="249"/>
    </row>
    <row r="56" spans="1:8" x14ac:dyDescent="0.25">
      <c r="A56" s="282" t="s">
        <v>275</v>
      </c>
      <c r="B56" s="249"/>
      <c r="C56" s="249"/>
      <c r="D56" s="249"/>
      <c r="E56" s="249"/>
      <c r="F56" s="249"/>
      <c r="G56" s="249"/>
      <c r="H56" s="249"/>
    </row>
    <row r="57" spans="1:8" x14ac:dyDescent="0.25">
      <c r="A57" s="282" t="s">
        <v>276</v>
      </c>
      <c r="B57" s="249"/>
      <c r="C57" s="249"/>
      <c r="D57" s="249"/>
      <c r="E57" s="249"/>
      <c r="F57" s="249"/>
      <c r="G57" s="249"/>
      <c r="H57" s="249"/>
    </row>
    <row r="58" spans="1:8" x14ac:dyDescent="0.25">
      <c r="A58" s="282" t="s">
        <v>277</v>
      </c>
      <c r="B58" s="249"/>
      <c r="C58" s="249"/>
      <c r="D58" s="249"/>
      <c r="E58" s="249"/>
      <c r="F58" s="249"/>
      <c r="G58" s="249"/>
      <c r="H58" s="249"/>
    </row>
    <row r="59" spans="1:8" x14ac:dyDescent="0.25">
      <c r="B59" s="249"/>
      <c r="C59" s="249"/>
      <c r="D59" s="249"/>
      <c r="E59" s="249"/>
      <c r="F59" s="249"/>
      <c r="G59" s="249"/>
      <c r="H59" s="249"/>
    </row>
    <row r="60" spans="1:8" x14ac:dyDescent="0.25">
      <c r="A60" s="282" t="s">
        <v>278</v>
      </c>
      <c r="B60" s="249"/>
      <c r="C60" s="249"/>
      <c r="D60" s="249"/>
      <c r="E60" s="249"/>
      <c r="F60" s="249"/>
      <c r="G60" s="249"/>
      <c r="H60" s="249"/>
    </row>
    <row r="61" spans="1:8" x14ac:dyDescent="0.25">
      <c r="A61" s="282" t="s">
        <v>279</v>
      </c>
      <c r="B61" s="249"/>
      <c r="C61" s="249"/>
      <c r="D61" s="249"/>
      <c r="E61" s="249"/>
      <c r="F61" s="249"/>
      <c r="G61" s="249"/>
      <c r="H61" s="249"/>
    </row>
    <row r="62" spans="1:8" x14ac:dyDescent="0.25">
      <c r="A62" s="282" t="s">
        <v>280</v>
      </c>
      <c r="B62" s="249"/>
      <c r="C62" s="249"/>
      <c r="D62" s="249"/>
      <c r="E62" s="249"/>
      <c r="F62" s="249"/>
      <c r="G62" s="249"/>
      <c r="H62" s="249"/>
    </row>
    <row r="63" spans="1:8" x14ac:dyDescent="0.25">
      <c r="A63" s="282" t="s">
        <v>281</v>
      </c>
      <c r="B63" s="249"/>
      <c r="C63" s="249"/>
      <c r="D63" s="249"/>
      <c r="E63" s="249"/>
      <c r="F63" s="249"/>
      <c r="G63" s="249"/>
      <c r="H63" s="249"/>
    </row>
    <row r="64" spans="1:8" x14ac:dyDescent="0.25">
      <c r="A64" s="282" t="s">
        <v>282</v>
      </c>
      <c r="B64" s="249"/>
      <c r="C64" s="249"/>
      <c r="D64" s="249"/>
      <c r="E64" s="249"/>
      <c r="F64" s="249"/>
      <c r="G64" s="249"/>
      <c r="H64" s="249"/>
    </row>
    <row r="65" spans="1:8" x14ac:dyDescent="0.25">
      <c r="A65" s="282" t="s">
        <v>283</v>
      </c>
      <c r="B65" s="249"/>
      <c r="C65" s="249"/>
      <c r="D65" s="249"/>
      <c r="E65" s="249"/>
      <c r="F65" s="249"/>
      <c r="G65" s="249"/>
      <c r="H65" s="249"/>
    </row>
    <row r="66" spans="1:8" x14ac:dyDescent="0.25">
      <c r="B66" s="249"/>
      <c r="C66" s="249"/>
      <c r="D66" s="249"/>
      <c r="E66" s="249"/>
      <c r="F66" s="249"/>
      <c r="G66" s="249"/>
      <c r="H66" s="249"/>
    </row>
    <row r="67" spans="1:8" x14ac:dyDescent="0.25">
      <c r="A67" s="282" t="s">
        <v>284</v>
      </c>
      <c r="B67" s="249"/>
      <c r="C67" s="249"/>
      <c r="D67" s="249"/>
      <c r="E67" s="249"/>
      <c r="F67" s="249"/>
      <c r="G67" s="249"/>
      <c r="H67" s="249"/>
    </row>
    <row r="68" spans="1:8" x14ac:dyDescent="0.25">
      <c r="A68" s="282" t="s">
        <v>285</v>
      </c>
      <c r="B68" s="249"/>
      <c r="C68" s="249"/>
      <c r="D68" s="249"/>
      <c r="E68" s="249"/>
      <c r="F68" s="249"/>
      <c r="G68" s="249"/>
      <c r="H68" s="249"/>
    </row>
    <row r="69" spans="1:8" x14ac:dyDescent="0.25">
      <c r="A69" s="282" t="s">
        <v>286</v>
      </c>
      <c r="B69" s="249"/>
      <c r="C69" s="249"/>
      <c r="D69" s="249"/>
      <c r="E69" s="249"/>
      <c r="F69" s="249"/>
      <c r="G69" s="249"/>
      <c r="H69" s="249"/>
    </row>
    <row r="70" spans="1:8" x14ac:dyDescent="0.25">
      <c r="A70" s="282" t="s">
        <v>287</v>
      </c>
      <c r="B70" s="249"/>
      <c r="C70" s="249"/>
      <c r="D70" s="249"/>
      <c r="E70" s="249"/>
      <c r="F70" s="249"/>
      <c r="G70" s="249"/>
      <c r="H70" s="249"/>
    </row>
    <row r="71" spans="1:8" x14ac:dyDescent="0.25">
      <c r="A71" s="282" t="s">
        <v>288</v>
      </c>
      <c r="B71" s="249"/>
      <c r="C71" s="249"/>
      <c r="D71" s="249"/>
      <c r="E71" s="249"/>
      <c r="F71" s="249"/>
      <c r="G71" s="249"/>
      <c r="H71" s="249"/>
    </row>
    <row r="72" spans="1:8" x14ac:dyDescent="0.25">
      <c r="A72" s="282" t="s">
        <v>289</v>
      </c>
      <c r="B72" s="249"/>
      <c r="C72" s="249"/>
      <c r="D72" s="249"/>
      <c r="E72" s="249"/>
      <c r="F72" s="249"/>
      <c r="G72" s="249"/>
      <c r="H72" s="249"/>
    </row>
    <row r="73" spans="1:8" x14ac:dyDescent="0.25">
      <c r="A73" s="282" t="s">
        <v>290</v>
      </c>
      <c r="B73" s="249"/>
      <c r="C73" s="249"/>
      <c r="D73" s="249"/>
      <c r="E73" s="249"/>
      <c r="F73" s="249"/>
      <c r="G73" s="249"/>
      <c r="H73" s="249"/>
    </row>
    <row r="74" spans="1:8" x14ac:dyDescent="0.25">
      <c r="B74" s="249"/>
      <c r="C74" s="249"/>
      <c r="D74" s="249"/>
      <c r="E74" s="249"/>
      <c r="F74" s="249"/>
      <c r="G74" s="249"/>
      <c r="H74" s="249"/>
    </row>
    <row r="75" spans="1:8" x14ac:dyDescent="0.25">
      <c r="A75" s="282" t="s">
        <v>291</v>
      </c>
      <c r="B75" s="249"/>
      <c r="C75" s="249"/>
      <c r="D75" s="249"/>
      <c r="E75" s="249"/>
      <c r="F75" s="249"/>
      <c r="G75" s="249"/>
      <c r="H75" s="249"/>
    </row>
    <row r="76" spans="1:8" x14ac:dyDescent="0.25">
      <c r="A76" s="282" t="s">
        <v>292</v>
      </c>
      <c r="B76" s="249"/>
      <c r="C76" s="249"/>
      <c r="D76" s="249"/>
      <c r="E76" s="249"/>
      <c r="F76" s="249"/>
      <c r="G76" s="249"/>
      <c r="H76" s="249"/>
    </row>
    <row r="77" spans="1:8" x14ac:dyDescent="0.25">
      <c r="A77" s="282" t="s">
        <v>293</v>
      </c>
      <c r="B77" s="249"/>
      <c r="C77" s="249"/>
      <c r="D77" s="249"/>
      <c r="E77" s="249"/>
      <c r="F77" s="249"/>
      <c r="G77" s="249"/>
      <c r="H77" s="249"/>
    </row>
    <row r="78" spans="1:8" x14ac:dyDescent="0.25">
      <c r="B78" s="249"/>
      <c r="C78" s="249"/>
      <c r="D78" s="249"/>
      <c r="E78" s="249"/>
      <c r="F78" s="249"/>
      <c r="G78" s="249"/>
      <c r="H78" s="249"/>
    </row>
    <row r="79" spans="1:8" x14ac:dyDescent="0.25">
      <c r="A79" s="282" t="s">
        <v>239</v>
      </c>
    </row>
    <row r="80" spans="1:8" x14ac:dyDescent="0.25">
      <c r="A80" s="482"/>
    </row>
    <row r="107" spans="1:1" x14ac:dyDescent="0.25">
      <c r="A107" s="482"/>
    </row>
    <row r="108" spans="1:1" x14ac:dyDescent="0.25">
      <c r="A108" s="482"/>
    </row>
    <row r="109" spans="1:1" x14ac:dyDescent="0.25">
      <c r="A109" s="482"/>
    </row>
  </sheetData>
  <sheetProtection sheet="1" objects="1" scenarios="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rgb="FFFF0000"/>
  </sheetPr>
  <dimension ref="A1:L62"/>
  <sheetViews>
    <sheetView workbookViewId="0"/>
  </sheetViews>
  <sheetFormatPr defaultRowHeight="15.75" x14ac:dyDescent="0.25"/>
  <cols>
    <col min="1" max="1" width="71.33203125" style="282" customWidth="1"/>
  </cols>
  <sheetData>
    <row r="1" spans="1:12" ht="20.25" x14ac:dyDescent="0.3">
      <c r="A1" s="484" t="s">
        <v>791</v>
      </c>
    </row>
    <row r="3" spans="1:12" x14ac:dyDescent="0.25">
      <c r="A3" s="480" t="s">
        <v>294</v>
      </c>
      <c r="B3" s="248"/>
      <c r="C3" s="248"/>
      <c r="D3" s="248"/>
      <c r="E3" s="248"/>
      <c r="F3" s="248"/>
      <c r="G3" s="248"/>
      <c r="H3" s="248"/>
      <c r="I3" s="248"/>
      <c r="J3" s="248"/>
      <c r="K3" s="248"/>
      <c r="L3" s="248"/>
    </row>
    <row r="4" spans="1:12" x14ac:dyDescent="0.25">
      <c r="A4" s="480"/>
      <c r="B4" s="248"/>
      <c r="C4" s="248"/>
      <c r="D4" s="248"/>
      <c r="E4" s="248"/>
      <c r="F4" s="248"/>
      <c r="G4" s="248"/>
      <c r="H4" s="248"/>
      <c r="I4" s="248"/>
      <c r="J4" s="248"/>
      <c r="K4" s="248"/>
      <c r="L4" s="248"/>
    </row>
    <row r="5" spans="1:12" x14ac:dyDescent="0.25">
      <c r="A5" s="282" t="s">
        <v>197</v>
      </c>
      <c r="I5" s="248"/>
      <c r="J5" s="248"/>
      <c r="K5" s="248"/>
      <c r="L5" s="248"/>
    </row>
    <row r="6" spans="1:12" x14ac:dyDescent="0.25">
      <c r="A6" s="282" t="str">
        <f>CONCATENATE("estimated ",inputPrYr!D6-1," 'total expenditures' exceed your ",inputPrYr!D6-1,"")</f>
        <v>estimated 2023 'total expenditures' exceed your 2023</v>
      </c>
      <c r="I6" s="248"/>
      <c r="J6" s="248"/>
      <c r="K6" s="248"/>
      <c r="L6" s="248"/>
    </row>
    <row r="7" spans="1:12" x14ac:dyDescent="0.25">
      <c r="A7" s="481" t="s">
        <v>295</v>
      </c>
      <c r="I7" s="248"/>
      <c r="J7" s="248"/>
      <c r="K7" s="248"/>
      <c r="L7" s="248"/>
    </row>
    <row r="8" spans="1:12" x14ac:dyDescent="0.25">
      <c r="I8" s="248"/>
      <c r="J8" s="248"/>
      <c r="K8" s="248"/>
      <c r="L8" s="248"/>
    </row>
    <row r="9" spans="1:12" x14ac:dyDescent="0.25">
      <c r="A9" s="282" t="s">
        <v>296</v>
      </c>
      <c r="I9" s="248"/>
      <c r="J9" s="248"/>
      <c r="K9" s="248"/>
      <c r="L9" s="248"/>
    </row>
    <row r="10" spans="1:12" x14ac:dyDescent="0.25">
      <c r="A10" s="282" t="s">
        <v>297</v>
      </c>
      <c r="I10" s="248"/>
      <c r="J10" s="248"/>
      <c r="K10" s="248"/>
      <c r="L10" s="248"/>
    </row>
    <row r="11" spans="1:12" x14ac:dyDescent="0.25">
      <c r="A11" s="282" t="s">
        <v>298</v>
      </c>
      <c r="I11" s="248"/>
      <c r="J11" s="248"/>
      <c r="K11" s="248"/>
      <c r="L11" s="248"/>
    </row>
    <row r="12" spans="1:12" x14ac:dyDescent="0.25">
      <c r="A12" s="282" t="s">
        <v>299</v>
      </c>
      <c r="I12" s="248"/>
      <c r="J12" s="248"/>
      <c r="K12" s="248"/>
      <c r="L12" s="248"/>
    </row>
    <row r="13" spans="1:12" x14ac:dyDescent="0.25">
      <c r="A13" s="282" t="s">
        <v>300</v>
      </c>
      <c r="I13" s="248"/>
      <c r="J13" s="248"/>
      <c r="K13" s="248"/>
      <c r="L13" s="248"/>
    </row>
    <row r="14" spans="1:12" x14ac:dyDescent="0.25">
      <c r="A14" s="480"/>
      <c r="B14" s="248"/>
      <c r="C14" s="248"/>
      <c r="D14" s="248"/>
      <c r="E14" s="248"/>
      <c r="F14" s="248"/>
      <c r="G14" s="248"/>
      <c r="H14" s="248"/>
      <c r="I14" s="248"/>
      <c r="J14" s="248"/>
      <c r="K14" s="248"/>
      <c r="L14" s="248"/>
    </row>
    <row r="15" spans="1:12" x14ac:dyDescent="0.25">
      <c r="A15" s="482" t="s">
        <v>301</v>
      </c>
    </row>
    <row r="16" spans="1:12" x14ac:dyDescent="0.25">
      <c r="A16" s="482" t="s">
        <v>302</v>
      </c>
    </row>
    <row r="17" spans="1:7" x14ac:dyDescent="0.25">
      <c r="A17" s="482"/>
    </row>
    <row r="18" spans="1:7" x14ac:dyDescent="0.25">
      <c r="A18" s="282" t="s">
        <v>303</v>
      </c>
      <c r="B18" s="249"/>
      <c r="C18" s="249"/>
      <c r="D18" s="249"/>
      <c r="E18" s="249"/>
      <c r="F18" s="249"/>
      <c r="G18" s="249"/>
    </row>
    <row r="19" spans="1:7" x14ac:dyDescent="0.25">
      <c r="A19" s="282" t="str">
        <f>CONCATENATE("your ",inputPrYr!D6-1," numbers to see what steps might be necessary to")</f>
        <v>your 2023 numbers to see what steps might be necessary to</v>
      </c>
      <c r="B19" s="249"/>
      <c r="C19" s="249"/>
      <c r="D19" s="249"/>
      <c r="E19" s="249"/>
      <c r="F19" s="249"/>
      <c r="G19" s="249"/>
    </row>
    <row r="20" spans="1:7" x14ac:dyDescent="0.25">
      <c r="A20" s="282" t="s">
        <v>304</v>
      </c>
      <c r="B20" s="249"/>
      <c r="C20" s="249"/>
      <c r="D20" s="249"/>
      <c r="E20" s="249"/>
      <c r="F20" s="249"/>
      <c r="G20" s="249"/>
    </row>
    <row r="21" spans="1:7" x14ac:dyDescent="0.25">
      <c r="A21" s="282" t="s">
        <v>305</v>
      </c>
      <c r="B21" s="249"/>
      <c r="C21" s="249"/>
      <c r="D21" s="249"/>
      <c r="E21" s="249"/>
      <c r="F21" s="249"/>
      <c r="G21" s="249"/>
    </row>
    <row r="23" spans="1:7" x14ac:dyDescent="0.25">
      <c r="A23" s="482" t="s">
        <v>306</v>
      </c>
    </row>
    <row r="24" spans="1:7" x14ac:dyDescent="0.25">
      <c r="A24" s="482"/>
    </row>
    <row r="25" spans="1:7" x14ac:dyDescent="0.25">
      <c r="A25" s="282" t="s">
        <v>307</v>
      </c>
    </row>
    <row r="26" spans="1:7" x14ac:dyDescent="0.25">
      <c r="A26" s="282" t="s">
        <v>308</v>
      </c>
      <c r="B26" s="249"/>
      <c r="C26" s="249"/>
      <c r="D26" s="249"/>
      <c r="E26" s="249"/>
      <c r="F26" s="249"/>
    </row>
    <row r="27" spans="1:7" x14ac:dyDescent="0.25">
      <c r="A27" s="282" t="s">
        <v>309</v>
      </c>
      <c r="B27" s="249"/>
      <c r="C27" s="249"/>
      <c r="D27" s="249"/>
      <c r="E27" s="249"/>
      <c r="F27" s="249"/>
    </row>
    <row r="28" spans="1:7" x14ac:dyDescent="0.25">
      <c r="A28" s="282" t="s">
        <v>310</v>
      </c>
      <c r="B28" s="249"/>
      <c r="C28" s="249"/>
      <c r="D28" s="249"/>
      <c r="E28" s="249"/>
      <c r="F28" s="249"/>
    </row>
    <row r="29" spans="1:7" x14ac:dyDescent="0.25">
      <c r="B29" s="249"/>
      <c r="C29" s="249"/>
      <c r="D29" s="249"/>
      <c r="E29" s="249"/>
      <c r="F29" s="249"/>
    </row>
    <row r="30" spans="1:7" x14ac:dyDescent="0.25">
      <c r="A30" s="482" t="s">
        <v>311</v>
      </c>
      <c r="B30" s="250"/>
      <c r="C30" s="250"/>
      <c r="D30" s="250"/>
      <c r="E30" s="250"/>
      <c r="F30" s="250"/>
      <c r="G30" s="250"/>
    </row>
    <row r="31" spans="1:7" x14ac:dyDescent="0.25">
      <c r="A31" s="482" t="s">
        <v>312</v>
      </c>
      <c r="B31" s="250"/>
      <c r="C31" s="250"/>
      <c r="D31" s="250"/>
      <c r="E31" s="250"/>
      <c r="F31" s="250"/>
      <c r="G31" s="250"/>
    </row>
    <row r="32" spans="1:7" x14ac:dyDescent="0.25">
      <c r="B32" s="249"/>
      <c r="C32" s="249"/>
      <c r="D32" s="249"/>
      <c r="E32" s="249"/>
      <c r="F32" s="249"/>
    </row>
    <row r="33" spans="1:6" x14ac:dyDescent="0.25">
      <c r="A33" s="483" t="str">
        <f>CONCATENATE("Well, let's look to see if any of your ",inputPrYr!D6-1," expenditures can")</f>
        <v>Well, let's look to see if any of your 2023 expenditures can</v>
      </c>
      <c r="B33" s="249"/>
      <c r="C33" s="249"/>
      <c r="D33" s="249"/>
      <c r="E33" s="249"/>
      <c r="F33" s="249"/>
    </row>
    <row r="34" spans="1:6" x14ac:dyDescent="0.25">
      <c r="A34" s="483" t="s">
        <v>313</v>
      </c>
      <c r="B34" s="249"/>
      <c r="C34" s="249"/>
      <c r="D34" s="249"/>
      <c r="E34" s="249"/>
      <c r="F34" s="249"/>
    </row>
    <row r="35" spans="1:6" x14ac:dyDescent="0.25">
      <c r="A35" s="483" t="s">
        <v>210</v>
      </c>
      <c r="B35" s="249"/>
      <c r="C35" s="249"/>
      <c r="D35" s="249"/>
      <c r="E35" s="249"/>
      <c r="F35" s="249"/>
    </row>
    <row r="36" spans="1:6" x14ac:dyDescent="0.25">
      <c r="A36" s="483" t="s">
        <v>211</v>
      </c>
      <c r="B36" s="249"/>
      <c r="C36" s="249"/>
      <c r="D36" s="249"/>
      <c r="E36" s="249"/>
      <c r="F36" s="249"/>
    </row>
    <row r="37" spans="1:6" x14ac:dyDescent="0.25">
      <c r="A37" s="483"/>
      <c r="B37" s="249"/>
      <c r="C37" s="249"/>
      <c r="D37" s="249"/>
      <c r="E37" s="249"/>
      <c r="F37" s="249"/>
    </row>
    <row r="38" spans="1:6" x14ac:dyDescent="0.25">
      <c r="A38" s="483" t="str">
        <f>CONCATENATE("Additionally, do your ",inputPrYr!D6-1," receipts contain a reimbursement")</f>
        <v>Additionally, do your 2023 receipts contain a reimbursement</v>
      </c>
      <c r="B38" s="249"/>
      <c r="C38" s="249"/>
      <c r="D38" s="249"/>
      <c r="E38" s="249"/>
      <c r="F38" s="249"/>
    </row>
    <row r="39" spans="1:6" x14ac:dyDescent="0.25">
      <c r="A39" s="483" t="s">
        <v>212</v>
      </c>
      <c r="B39" s="249"/>
      <c r="C39" s="249"/>
      <c r="D39" s="249"/>
      <c r="E39" s="249"/>
      <c r="F39" s="249"/>
    </row>
    <row r="40" spans="1:6" x14ac:dyDescent="0.25">
      <c r="A40" s="483" t="s">
        <v>786</v>
      </c>
      <c r="B40" s="249"/>
      <c r="C40" s="249"/>
      <c r="D40" s="249"/>
      <c r="E40" s="249"/>
      <c r="F40" s="249"/>
    </row>
    <row r="41" spans="1:6" x14ac:dyDescent="0.25">
      <c r="A41" s="483"/>
      <c r="B41" s="249"/>
      <c r="C41" s="249"/>
      <c r="D41" s="249"/>
      <c r="E41" s="249"/>
      <c r="F41" s="249"/>
    </row>
    <row r="42" spans="1:6" x14ac:dyDescent="0.25">
      <c r="A42" s="483" t="s">
        <v>314</v>
      </c>
      <c r="B42" s="249"/>
      <c r="C42" s="249"/>
      <c r="D42" s="249"/>
      <c r="E42" s="249"/>
      <c r="F42" s="249"/>
    </row>
    <row r="43" spans="1:6" x14ac:dyDescent="0.25">
      <c r="A43" s="483" t="s">
        <v>315</v>
      </c>
      <c r="B43" s="249"/>
      <c r="C43" s="249"/>
      <c r="D43" s="249"/>
      <c r="E43" s="249"/>
      <c r="F43" s="249"/>
    </row>
    <row r="44" spans="1:6" x14ac:dyDescent="0.25">
      <c r="A44" s="483" t="s">
        <v>316</v>
      </c>
      <c r="B44" s="249"/>
      <c r="C44" s="249"/>
      <c r="D44" s="249"/>
      <c r="E44" s="249"/>
      <c r="F44" s="249"/>
    </row>
    <row r="45" spans="1:6" x14ac:dyDescent="0.25">
      <c r="A45" s="483" t="s">
        <v>317</v>
      </c>
      <c r="B45" s="249"/>
      <c r="C45" s="249"/>
      <c r="D45" s="249"/>
      <c r="E45" s="249"/>
      <c r="F45" s="249"/>
    </row>
    <row r="46" spans="1:6" x14ac:dyDescent="0.25">
      <c r="A46" s="483" t="s">
        <v>318</v>
      </c>
      <c r="B46" s="249"/>
      <c r="C46" s="249"/>
      <c r="D46" s="249"/>
      <c r="E46" s="249"/>
      <c r="F46" s="249"/>
    </row>
    <row r="47" spans="1:6" x14ac:dyDescent="0.25">
      <c r="A47" s="483"/>
      <c r="B47" s="249"/>
      <c r="C47" s="249"/>
      <c r="D47" s="249"/>
      <c r="E47" s="249"/>
      <c r="F47" s="249"/>
    </row>
    <row r="48" spans="1:6" x14ac:dyDescent="0.25">
      <c r="A48" s="483" t="s">
        <v>319</v>
      </c>
      <c r="B48" s="249"/>
      <c r="C48" s="249"/>
      <c r="D48" s="249"/>
      <c r="E48" s="249"/>
      <c r="F48" s="249"/>
    </row>
    <row r="49" spans="1:6" x14ac:dyDescent="0.25">
      <c r="A49" s="483" t="s">
        <v>320</v>
      </c>
      <c r="B49" s="249"/>
      <c r="C49" s="249"/>
      <c r="D49" s="249"/>
      <c r="E49" s="249"/>
      <c r="F49" s="249"/>
    </row>
    <row r="50" spans="1:6" x14ac:dyDescent="0.25">
      <c r="A50" s="483" t="s">
        <v>321</v>
      </c>
      <c r="B50" s="249"/>
      <c r="C50" s="249"/>
      <c r="D50" s="249"/>
      <c r="E50" s="249"/>
      <c r="F50" s="249"/>
    </row>
    <row r="51" spans="1:6" x14ac:dyDescent="0.25">
      <c r="A51" s="483" t="s">
        <v>322</v>
      </c>
    </row>
    <row r="52" spans="1:6" x14ac:dyDescent="0.25">
      <c r="A52" s="483" t="s">
        <v>323</v>
      </c>
    </row>
    <row r="53" spans="1:6" x14ac:dyDescent="0.25">
      <c r="A53" s="483" t="s">
        <v>324</v>
      </c>
    </row>
    <row r="55" spans="1:6" x14ac:dyDescent="0.25">
      <c r="A55" s="282" t="s">
        <v>325</v>
      </c>
    </row>
    <row r="56" spans="1:6" x14ac:dyDescent="0.25">
      <c r="A56" s="282" t="s">
        <v>326</v>
      </c>
    </row>
    <row r="57" spans="1:6" x14ac:dyDescent="0.25">
      <c r="A57" s="282" t="s">
        <v>327</v>
      </c>
    </row>
    <row r="58" spans="1:6" x14ac:dyDescent="0.25">
      <c r="A58" s="282" t="s">
        <v>328</v>
      </c>
    </row>
    <row r="59" spans="1:6" x14ac:dyDescent="0.25">
      <c r="A59" s="282" t="s">
        <v>329</v>
      </c>
    </row>
    <row r="60" spans="1:6" x14ac:dyDescent="0.25">
      <c r="A60" s="282" t="s">
        <v>330</v>
      </c>
    </row>
    <row r="62" spans="1:6" x14ac:dyDescent="0.25">
      <c r="A62" s="282" t="s">
        <v>239</v>
      </c>
    </row>
  </sheetData>
  <sheetProtection sheet="1" objects="1" scenarios="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7">
    <tabColor rgb="FFFF0000"/>
  </sheetPr>
  <dimension ref="A1:G78"/>
  <sheetViews>
    <sheetView workbookViewId="0">
      <selection activeCell="B1" sqref="B1"/>
    </sheetView>
  </sheetViews>
  <sheetFormatPr defaultRowHeight="15.75" x14ac:dyDescent="0.25"/>
  <cols>
    <col min="1" max="1" width="71.33203125" style="282" customWidth="1"/>
  </cols>
  <sheetData>
    <row r="1" spans="1:7" ht="20.25" x14ac:dyDescent="0.3">
      <c r="A1" s="484" t="s">
        <v>792</v>
      </c>
    </row>
    <row r="3" spans="1:7" x14ac:dyDescent="0.25">
      <c r="A3" s="480" t="s">
        <v>331</v>
      </c>
      <c r="B3" s="248"/>
      <c r="C3" s="248"/>
      <c r="D3" s="248"/>
      <c r="E3" s="248"/>
      <c r="F3" s="248"/>
      <c r="G3" s="248"/>
    </row>
    <row r="4" spans="1:7" x14ac:dyDescent="0.25">
      <c r="A4" s="480"/>
      <c r="B4" s="248"/>
      <c r="C4" s="248"/>
      <c r="D4" s="248"/>
      <c r="E4" s="248"/>
      <c r="F4" s="248"/>
      <c r="G4" s="248"/>
    </row>
    <row r="5" spans="1:7" x14ac:dyDescent="0.25">
      <c r="A5" s="282" t="s">
        <v>241</v>
      </c>
    </row>
    <row r="6" spans="1:7" x14ac:dyDescent="0.25">
      <c r="A6" s="282" t="str">
        <f>CONCATENATE(inputPrYr!D6-1," estimated expenditures show that at the end of this year")</f>
        <v>2023 estimated expenditures show that at the end of this year</v>
      </c>
    </row>
    <row r="7" spans="1:7" x14ac:dyDescent="0.25">
      <c r="A7" s="282" t="s">
        <v>332</v>
      </c>
    </row>
    <row r="8" spans="1:7" x14ac:dyDescent="0.25">
      <c r="A8" s="282" t="s">
        <v>333</v>
      </c>
    </row>
    <row r="10" spans="1:7" x14ac:dyDescent="0.25">
      <c r="A10" s="282" t="s">
        <v>243</v>
      </c>
    </row>
    <row r="11" spans="1:7" x14ac:dyDescent="0.25">
      <c r="A11" s="282" t="s">
        <v>244</v>
      </c>
    </row>
    <row r="12" spans="1:7" x14ac:dyDescent="0.25">
      <c r="A12" s="282" t="s">
        <v>245</v>
      </c>
    </row>
    <row r="13" spans="1:7" x14ac:dyDescent="0.25">
      <c r="A13" s="480"/>
      <c r="B13" s="248"/>
      <c r="C13" s="248"/>
      <c r="D13" s="248"/>
      <c r="E13" s="248"/>
      <c r="F13" s="248"/>
      <c r="G13" s="248"/>
    </row>
    <row r="14" spans="1:7" x14ac:dyDescent="0.25">
      <c r="A14" s="482" t="s">
        <v>334</v>
      </c>
    </row>
    <row r="16" spans="1:7" x14ac:dyDescent="0.25">
      <c r="A16" s="282" t="s">
        <v>335</v>
      </c>
    </row>
    <row r="17" spans="1:7" x14ac:dyDescent="0.25">
      <c r="A17" s="282" t="s">
        <v>336</v>
      </c>
    </row>
    <row r="18" spans="1:7" x14ac:dyDescent="0.25">
      <c r="A18" s="282" t="s">
        <v>337</v>
      </c>
    </row>
    <row r="20" spans="1:7" x14ac:dyDescent="0.25">
      <c r="A20" s="282" t="s">
        <v>338</v>
      </c>
    </row>
    <row r="21" spans="1:7" x14ac:dyDescent="0.25">
      <c r="A21" s="282" t="s">
        <v>339</v>
      </c>
    </row>
    <row r="22" spans="1:7" x14ac:dyDescent="0.25">
      <c r="A22" s="282" t="s">
        <v>340</v>
      </c>
    </row>
    <row r="23" spans="1:7" x14ac:dyDescent="0.25">
      <c r="A23" s="282" t="s">
        <v>341</v>
      </c>
    </row>
    <row r="25" spans="1:7" x14ac:dyDescent="0.25">
      <c r="A25" s="482" t="s">
        <v>306</v>
      </c>
    </row>
    <row r="26" spans="1:7" x14ac:dyDescent="0.25">
      <c r="A26" s="482"/>
    </row>
    <row r="27" spans="1:7" x14ac:dyDescent="0.25">
      <c r="A27" s="282" t="s">
        <v>307</v>
      </c>
    </row>
    <row r="28" spans="1:7" x14ac:dyDescent="0.25">
      <c r="A28" s="282" t="s">
        <v>308</v>
      </c>
      <c r="B28" s="249"/>
      <c r="C28" s="249"/>
      <c r="D28" s="249"/>
      <c r="E28" s="249"/>
      <c r="F28" s="249"/>
    </row>
    <row r="29" spans="1:7" x14ac:dyDescent="0.25">
      <c r="A29" s="282" t="s">
        <v>309</v>
      </c>
      <c r="B29" s="249"/>
      <c r="C29" s="249"/>
      <c r="D29" s="249"/>
      <c r="E29" s="249"/>
      <c r="F29" s="249"/>
    </row>
    <row r="30" spans="1:7" x14ac:dyDescent="0.25">
      <c r="A30" s="282" t="s">
        <v>310</v>
      </c>
      <c r="B30" s="249"/>
      <c r="C30" s="249"/>
      <c r="D30" s="249"/>
      <c r="E30" s="249"/>
      <c r="F30" s="249"/>
    </row>
    <row r="32" spans="1:7" x14ac:dyDescent="0.25">
      <c r="A32" s="482" t="s">
        <v>311</v>
      </c>
      <c r="B32" s="250"/>
      <c r="C32" s="250"/>
      <c r="D32" s="250"/>
      <c r="E32" s="250"/>
      <c r="F32" s="250"/>
      <c r="G32" s="250"/>
    </row>
    <row r="33" spans="1:7" x14ac:dyDescent="0.25">
      <c r="A33" s="482" t="s">
        <v>312</v>
      </c>
      <c r="B33" s="250"/>
      <c r="C33" s="250"/>
      <c r="D33" s="250"/>
      <c r="E33" s="250"/>
      <c r="F33" s="250"/>
      <c r="G33" s="250"/>
    </row>
    <row r="34" spans="1:7" x14ac:dyDescent="0.25">
      <c r="A34" s="482"/>
      <c r="B34" s="250"/>
      <c r="C34" s="250"/>
      <c r="D34" s="250"/>
      <c r="E34" s="250"/>
      <c r="F34" s="250"/>
      <c r="G34" s="250"/>
    </row>
    <row r="35" spans="1:7" x14ac:dyDescent="0.25">
      <c r="A35" s="282" t="s">
        <v>342</v>
      </c>
      <c r="B35" s="249"/>
      <c r="C35" s="249"/>
      <c r="D35" s="249"/>
      <c r="E35" s="249"/>
      <c r="F35" s="249"/>
      <c r="G35" s="249"/>
    </row>
    <row r="36" spans="1:7" x14ac:dyDescent="0.25">
      <c r="A36" s="282" t="s">
        <v>343</v>
      </c>
      <c r="B36" s="249"/>
      <c r="C36" s="249"/>
      <c r="D36" s="249"/>
      <c r="E36" s="249"/>
      <c r="F36" s="249"/>
      <c r="G36" s="249"/>
    </row>
    <row r="37" spans="1:7" x14ac:dyDescent="0.25">
      <c r="A37" s="282" t="s">
        <v>344</v>
      </c>
      <c r="B37" s="249"/>
      <c r="C37" s="249"/>
      <c r="D37" s="249"/>
      <c r="E37" s="249"/>
      <c r="F37" s="249"/>
      <c r="G37" s="249"/>
    </row>
    <row r="38" spans="1:7" x14ac:dyDescent="0.25">
      <c r="A38" s="282" t="s">
        <v>345</v>
      </c>
      <c r="B38" s="249"/>
      <c r="C38" s="249"/>
      <c r="D38" s="249"/>
      <c r="E38" s="249"/>
      <c r="F38" s="249"/>
      <c r="G38" s="249"/>
    </row>
    <row r="39" spans="1:7" x14ac:dyDescent="0.25">
      <c r="A39" s="282" t="s">
        <v>346</v>
      </c>
      <c r="B39" s="249"/>
      <c r="C39" s="249"/>
      <c r="D39" s="249"/>
      <c r="E39" s="249"/>
      <c r="F39" s="249"/>
      <c r="G39" s="249"/>
    </row>
    <row r="40" spans="1:7" x14ac:dyDescent="0.25">
      <c r="A40" s="482"/>
      <c r="B40" s="250"/>
      <c r="C40" s="250"/>
      <c r="D40" s="250"/>
      <c r="E40" s="250"/>
      <c r="F40" s="250"/>
      <c r="G40" s="250"/>
    </row>
    <row r="41" spans="1:7" x14ac:dyDescent="0.25">
      <c r="A41" s="483" t="str">
        <f>CONCATENATE("So, let's look to see if any of your ",inputPrYr!D6-1," expenditures can")</f>
        <v>So, let's look to see if any of your 2023 expenditures can</v>
      </c>
      <c r="B41" s="249"/>
      <c r="C41" s="249"/>
      <c r="D41" s="249"/>
      <c r="E41" s="249"/>
      <c r="F41" s="249"/>
    </row>
    <row r="42" spans="1:7" x14ac:dyDescent="0.25">
      <c r="A42" s="483" t="s">
        <v>313</v>
      </c>
      <c r="B42" s="249"/>
      <c r="C42" s="249"/>
      <c r="D42" s="249"/>
      <c r="E42" s="249"/>
      <c r="F42" s="249"/>
    </row>
    <row r="43" spans="1:7" x14ac:dyDescent="0.25">
      <c r="A43" s="483" t="s">
        <v>210</v>
      </c>
      <c r="B43" s="249"/>
      <c r="C43" s="249"/>
      <c r="D43" s="249"/>
      <c r="E43" s="249"/>
      <c r="F43" s="249"/>
    </row>
    <row r="44" spans="1:7" x14ac:dyDescent="0.25">
      <c r="A44" s="483" t="s">
        <v>211</v>
      </c>
      <c r="B44" s="249"/>
      <c r="C44" s="249"/>
      <c r="D44" s="249"/>
      <c r="E44" s="249"/>
      <c r="F44" s="249"/>
    </row>
    <row r="46" spans="1:7" x14ac:dyDescent="0.25">
      <c r="A46" s="483" t="str">
        <f>CONCATENATE("Additionally, do your ",inputPrYr!D6-1," receipts contain a reimbursement")</f>
        <v>Additionally, do your 2023 receipts contain a reimbursement</v>
      </c>
      <c r="B46" s="249"/>
      <c r="C46" s="249"/>
      <c r="D46" s="249"/>
      <c r="E46" s="249"/>
      <c r="F46" s="249"/>
    </row>
    <row r="47" spans="1:7" x14ac:dyDescent="0.25">
      <c r="A47" s="483" t="s">
        <v>212</v>
      </c>
      <c r="B47" s="249"/>
      <c r="C47" s="249"/>
      <c r="D47" s="249"/>
      <c r="E47" s="249"/>
      <c r="F47" s="249"/>
    </row>
    <row r="48" spans="1:7" x14ac:dyDescent="0.25">
      <c r="A48" s="483" t="s">
        <v>786</v>
      </c>
      <c r="B48" s="249"/>
      <c r="C48" s="249"/>
      <c r="D48" s="249"/>
      <c r="E48" s="249"/>
      <c r="F48" s="249"/>
    </row>
    <row r="49" spans="1:7" x14ac:dyDescent="0.25">
      <c r="B49" s="249"/>
      <c r="C49" s="249"/>
      <c r="D49" s="249"/>
      <c r="E49" s="249"/>
      <c r="F49" s="249"/>
      <c r="G49" s="249"/>
    </row>
    <row r="50" spans="1:7" x14ac:dyDescent="0.25">
      <c r="A50" s="282" t="s">
        <v>267</v>
      </c>
      <c r="B50" s="249"/>
      <c r="C50" s="249"/>
      <c r="D50" s="249"/>
      <c r="E50" s="249"/>
      <c r="F50" s="249"/>
      <c r="G50" s="249"/>
    </row>
    <row r="51" spans="1:7" x14ac:dyDescent="0.25">
      <c r="A51" s="282" t="s">
        <v>268</v>
      </c>
      <c r="B51" s="249"/>
      <c r="C51" s="249"/>
      <c r="D51" s="249"/>
      <c r="E51" s="249"/>
      <c r="F51" s="249"/>
      <c r="G51" s="249"/>
    </row>
    <row r="52" spans="1:7" x14ac:dyDescent="0.25">
      <c r="A52" s="282" t="s">
        <v>269</v>
      </c>
      <c r="B52" s="249"/>
      <c r="C52" s="249"/>
      <c r="D52" s="249"/>
      <c r="E52" s="249"/>
      <c r="F52" s="249"/>
      <c r="G52" s="249"/>
    </row>
    <row r="53" spans="1:7" x14ac:dyDescent="0.25">
      <c r="A53" s="282" t="s">
        <v>270</v>
      </c>
      <c r="B53" s="249"/>
      <c r="C53" s="249"/>
      <c r="D53" s="249"/>
      <c r="E53" s="249"/>
      <c r="F53" s="249"/>
      <c r="G53" s="249"/>
    </row>
    <row r="54" spans="1:7" x14ac:dyDescent="0.25">
      <c r="A54" s="282" t="s">
        <v>271</v>
      </c>
      <c r="B54" s="249"/>
      <c r="C54" s="249"/>
      <c r="D54" s="249"/>
      <c r="E54" s="249"/>
      <c r="F54" s="249"/>
      <c r="G54" s="249"/>
    </row>
    <row r="55" spans="1:7" x14ac:dyDescent="0.25">
      <c r="B55" s="249"/>
      <c r="C55" s="249"/>
      <c r="D55" s="249"/>
      <c r="E55" s="249"/>
      <c r="F55" s="249"/>
      <c r="G55" s="249"/>
    </row>
    <row r="56" spans="1:7" x14ac:dyDescent="0.25">
      <c r="A56" s="483" t="s">
        <v>347</v>
      </c>
      <c r="B56" s="249"/>
      <c r="C56" s="249"/>
      <c r="D56" s="249"/>
      <c r="E56" s="249"/>
      <c r="F56" s="249"/>
    </row>
    <row r="57" spans="1:7" x14ac:dyDescent="0.25">
      <c r="A57" s="483" t="s">
        <v>348</v>
      </c>
      <c r="B57" s="249"/>
      <c r="C57" s="249"/>
      <c r="D57" s="249"/>
      <c r="E57" s="249"/>
      <c r="F57" s="249"/>
    </row>
    <row r="58" spans="1:7" x14ac:dyDescent="0.25">
      <c r="A58" s="483" t="s">
        <v>349</v>
      </c>
      <c r="B58" s="249"/>
      <c r="C58" s="249"/>
      <c r="D58" s="249"/>
      <c r="E58" s="249"/>
      <c r="F58" s="249"/>
    </row>
    <row r="59" spans="1:7" x14ac:dyDescent="0.25">
      <c r="A59" s="483"/>
      <c r="B59" s="249"/>
      <c r="C59" s="249"/>
      <c r="D59" s="249"/>
      <c r="E59" s="249"/>
      <c r="F59" s="249"/>
    </row>
    <row r="60" spans="1:7" x14ac:dyDescent="0.25">
      <c r="A60" s="282" t="s">
        <v>350</v>
      </c>
      <c r="B60" s="249"/>
      <c r="C60" s="249"/>
      <c r="D60" s="249"/>
      <c r="E60" s="249"/>
      <c r="F60" s="249"/>
      <c r="G60" s="249"/>
    </row>
    <row r="61" spans="1:7" x14ac:dyDescent="0.25">
      <c r="A61" s="282" t="s">
        <v>351</v>
      </c>
      <c r="B61" s="249"/>
      <c r="C61" s="249"/>
      <c r="D61" s="249"/>
      <c r="E61" s="249"/>
      <c r="F61" s="249"/>
      <c r="G61" s="249"/>
    </row>
    <row r="62" spans="1:7" x14ac:dyDescent="0.25">
      <c r="A62" s="282" t="s">
        <v>352</v>
      </c>
      <c r="B62" s="249"/>
      <c r="C62" s="249"/>
      <c r="D62" s="249"/>
      <c r="E62" s="249"/>
      <c r="F62" s="249"/>
      <c r="G62" s="249"/>
    </row>
    <row r="63" spans="1:7" x14ac:dyDescent="0.25">
      <c r="A63" s="282" t="s">
        <v>353</v>
      </c>
      <c r="B63" s="249"/>
      <c r="C63" s="249"/>
      <c r="D63" s="249"/>
      <c r="E63" s="249"/>
      <c r="F63" s="249"/>
      <c r="G63" s="249"/>
    </row>
    <row r="64" spans="1:7" x14ac:dyDescent="0.25">
      <c r="A64" s="282" t="s">
        <v>354</v>
      </c>
      <c r="B64" s="249"/>
      <c r="C64" s="249"/>
      <c r="D64" s="249"/>
      <c r="E64" s="249"/>
      <c r="F64" s="249"/>
      <c r="G64" s="249"/>
    </row>
    <row r="66" spans="1:6" x14ac:dyDescent="0.25">
      <c r="A66" s="483" t="s">
        <v>314</v>
      </c>
      <c r="B66" s="249"/>
      <c r="C66" s="249"/>
      <c r="D66" s="249"/>
      <c r="E66" s="249"/>
      <c r="F66" s="249"/>
    </row>
    <row r="67" spans="1:6" x14ac:dyDescent="0.25">
      <c r="A67" s="483" t="s">
        <v>315</v>
      </c>
      <c r="B67" s="249"/>
      <c r="C67" s="249"/>
      <c r="D67" s="249"/>
      <c r="E67" s="249"/>
      <c r="F67" s="249"/>
    </row>
    <row r="68" spans="1:6" x14ac:dyDescent="0.25">
      <c r="A68" s="483" t="s">
        <v>316</v>
      </c>
      <c r="B68" s="249"/>
      <c r="C68" s="249"/>
      <c r="D68" s="249"/>
      <c r="E68" s="249"/>
      <c r="F68" s="249"/>
    </row>
    <row r="69" spans="1:6" x14ac:dyDescent="0.25">
      <c r="A69" s="483" t="s">
        <v>317</v>
      </c>
      <c r="B69" s="249"/>
      <c r="C69" s="249"/>
      <c r="D69" s="249"/>
      <c r="E69" s="249"/>
      <c r="F69" s="249"/>
    </row>
    <row r="70" spans="1:6" x14ac:dyDescent="0.25">
      <c r="A70" s="483" t="s">
        <v>318</v>
      </c>
      <c r="B70" s="249"/>
      <c r="C70" s="249"/>
      <c r="D70" s="249"/>
      <c r="E70" s="249"/>
      <c r="F70" s="249"/>
    </row>
    <row r="72" spans="1:6" x14ac:dyDescent="0.25">
      <c r="A72" s="282" t="s">
        <v>239</v>
      </c>
    </row>
    <row r="78" spans="1:6" x14ac:dyDescent="0.25">
      <c r="A78" s="482"/>
    </row>
  </sheetData>
  <sheetProtection sheet="1" objects="1" scenarios="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8">
    <tabColor rgb="FFFF0000"/>
  </sheetPr>
  <dimension ref="A1:G52"/>
  <sheetViews>
    <sheetView workbookViewId="0"/>
  </sheetViews>
  <sheetFormatPr defaultRowHeight="15.75" x14ac:dyDescent="0.25"/>
  <cols>
    <col min="1" max="1" width="71.33203125" style="282" customWidth="1"/>
  </cols>
  <sheetData>
    <row r="1" spans="1:7" ht="20.25" x14ac:dyDescent="0.3">
      <c r="A1" s="484" t="s">
        <v>793</v>
      </c>
    </row>
    <row r="3" spans="1:7" x14ac:dyDescent="0.25">
      <c r="A3" s="480" t="s">
        <v>355</v>
      </c>
      <c r="B3" s="248"/>
      <c r="C3" s="248"/>
      <c r="D3" s="248"/>
      <c r="E3" s="248"/>
      <c r="F3" s="248"/>
      <c r="G3" s="248"/>
    </row>
    <row r="4" spans="1:7" x14ac:dyDescent="0.25">
      <c r="A4" s="480" t="s">
        <v>356</v>
      </c>
      <c r="B4" s="248"/>
      <c r="C4" s="248"/>
      <c r="D4" s="248"/>
      <c r="E4" s="248"/>
      <c r="F4" s="248"/>
      <c r="G4" s="248"/>
    </row>
    <row r="5" spans="1:7" x14ac:dyDescent="0.25">
      <c r="A5" s="480"/>
      <c r="B5" s="248"/>
      <c r="C5" s="248"/>
      <c r="D5" s="248"/>
      <c r="E5" s="248"/>
      <c r="F5" s="248"/>
      <c r="G5" s="248"/>
    </row>
    <row r="6" spans="1:7" x14ac:dyDescent="0.25">
      <c r="A6" s="480"/>
      <c r="B6" s="248"/>
      <c r="C6" s="248"/>
      <c r="D6" s="248"/>
      <c r="E6" s="248"/>
      <c r="F6" s="248"/>
      <c r="G6" s="248"/>
    </row>
    <row r="7" spans="1:7" x14ac:dyDescent="0.25">
      <c r="A7" s="282" t="s">
        <v>197</v>
      </c>
    </row>
    <row r="8" spans="1:7" x14ac:dyDescent="0.25">
      <c r="A8" s="282" t="str">
        <f>CONCATENATE("estimated ",inputPrYr!D6," 'total expenditures' exceed your ",inputPrYr!D6,"")</f>
        <v>estimated 2024 'total expenditures' exceed your 2024</v>
      </c>
    </row>
    <row r="9" spans="1:7" x14ac:dyDescent="0.25">
      <c r="A9" s="481" t="s">
        <v>357</v>
      </c>
    </row>
    <row r="11" spans="1:7" x14ac:dyDescent="0.25">
      <c r="A11" s="282" t="s">
        <v>358</v>
      </c>
    </row>
    <row r="12" spans="1:7" x14ac:dyDescent="0.25">
      <c r="A12" s="282" t="s">
        <v>359</v>
      </c>
    </row>
    <row r="13" spans="1:7" x14ac:dyDescent="0.25">
      <c r="A13" s="282" t="s">
        <v>360</v>
      </c>
    </row>
    <row r="15" spans="1:7" x14ac:dyDescent="0.25">
      <c r="A15" s="482" t="s">
        <v>361</v>
      </c>
    </row>
    <row r="16" spans="1:7" x14ac:dyDescent="0.25">
      <c r="A16" s="480"/>
      <c r="B16" s="248"/>
      <c r="C16" s="248"/>
      <c r="D16" s="248"/>
      <c r="E16" s="248"/>
      <c r="F16" s="248"/>
      <c r="G16" s="248"/>
    </row>
    <row r="17" spans="1:7" x14ac:dyDescent="0.25">
      <c r="A17" s="282" t="s">
        <v>362</v>
      </c>
    </row>
    <row r="18" spans="1:7" x14ac:dyDescent="0.25">
      <c r="A18" s="282" t="s">
        <v>363</v>
      </c>
      <c r="B18" s="251"/>
      <c r="C18" s="251"/>
      <c r="D18" s="251"/>
      <c r="E18" s="251"/>
      <c r="F18" s="251"/>
      <c r="G18" s="251"/>
    </row>
    <row r="19" spans="1:7" x14ac:dyDescent="0.25">
      <c r="A19" s="282" t="s">
        <v>364</v>
      </c>
    </row>
    <row r="20" spans="1:7" x14ac:dyDescent="0.25">
      <c r="A20" s="282" t="s">
        <v>365</v>
      </c>
    </row>
    <row r="22" spans="1:7" x14ac:dyDescent="0.25">
      <c r="A22" s="482" t="s">
        <v>366</v>
      </c>
    </row>
    <row r="24" spans="1:7" x14ac:dyDescent="0.25">
      <c r="A24" s="282" t="s">
        <v>367</v>
      </c>
    </row>
    <row r="25" spans="1:7" x14ac:dyDescent="0.25">
      <c r="A25" s="282" t="s">
        <v>368</v>
      </c>
    </row>
    <row r="26" spans="1:7" x14ac:dyDescent="0.25">
      <c r="A26" s="282" t="s">
        <v>369</v>
      </c>
    </row>
    <row r="28" spans="1:7" x14ac:dyDescent="0.25">
      <c r="A28" s="482" t="s">
        <v>370</v>
      </c>
    </row>
    <row r="30" spans="1:7" x14ac:dyDescent="0.25">
      <c r="A30" s="282" t="s">
        <v>371</v>
      </c>
    </row>
    <row r="31" spans="1:7" x14ac:dyDescent="0.25">
      <c r="A31" s="282" t="s">
        <v>372</v>
      </c>
    </row>
    <row r="32" spans="1:7" x14ac:dyDescent="0.25">
      <c r="A32" s="282" t="s">
        <v>373</v>
      </c>
    </row>
    <row r="33" spans="1:1" x14ac:dyDescent="0.25">
      <c r="A33" s="282" t="s">
        <v>374</v>
      </c>
    </row>
    <row r="35" spans="1:1" x14ac:dyDescent="0.25">
      <c r="A35" s="282" t="s">
        <v>375</v>
      </c>
    </row>
    <row r="36" spans="1:1" x14ac:dyDescent="0.25">
      <c r="A36" s="282" t="s">
        <v>376</v>
      </c>
    </row>
    <row r="37" spans="1:1" x14ac:dyDescent="0.25">
      <c r="A37" s="282" t="s">
        <v>377</v>
      </c>
    </row>
    <row r="38" spans="1:1" x14ac:dyDescent="0.25">
      <c r="A38" s="282" t="s">
        <v>378</v>
      </c>
    </row>
    <row r="40" spans="1:1" x14ac:dyDescent="0.25">
      <c r="A40" s="282" t="s">
        <v>379</v>
      </c>
    </row>
    <row r="41" spans="1:1" x14ac:dyDescent="0.25">
      <c r="A41" s="282" t="s">
        <v>380</v>
      </c>
    </row>
    <row r="42" spans="1:1" x14ac:dyDescent="0.25">
      <c r="A42" s="282" t="s">
        <v>381</v>
      </c>
    </row>
    <row r="43" spans="1:1" x14ac:dyDescent="0.25">
      <c r="A43" s="282" t="s">
        <v>382</v>
      </c>
    </row>
    <row r="44" spans="1:1" x14ac:dyDescent="0.25">
      <c r="A44" s="282" t="s">
        <v>383</v>
      </c>
    </row>
    <row r="45" spans="1:1" x14ac:dyDescent="0.25">
      <c r="A45" s="282" t="s">
        <v>384</v>
      </c>
    </row>
    <row r="47" spans="1:1" x14ac:dyDescent="0.25">
      <c r="A47" s="282" t="s">
        <v>385</v>
      </c>
    </row>
    <row r="48" spans="1:1" x14ac:dyDescent="0.25">
      <c r="A48" s="282" t="s">
        <v>386</v>
      </c>
    </row>
    <row r="49" spans="1:1" x14ac:dyDescent="0.25">
      <c r="A49" s="282" t="s">
        <v>387</v>
      </c>
    </row>
    <row r="50" spans="1:1" x14ac:dyDescent="0.25">
      <c r="A50" s="282" t="s">
        <v>388</v>
      </c>
    </row>
    <row r="52" spans="1:1" x14ac:dyDescent="0.25">
      <c r="A52" s="282" t="s">
        <v>239</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49"/>
  <sheetViews>
    <sheetView workbookViewId="0">
      <selection activeCell="F1" sqref="F1"/>
    </sheetView>
  </sheetViews>
  <sheetFormatPr defaultRowHeight="15" x14ac:dyDescent="0.2"/>
  <cols>
    <col min="1" max="1" width="15.77734375" style="32" customWidth="1"/>
    <col min="2" max="2" width="20.77734375" style="32" customWidth="1"/>
    <col min="3" max="3" width="10.77734375" style="32" customWidth="1"/>
    <col min="4" max="4" width="15.6640625" style="32" customWidth="1"/>
    <col min="5" max="5" width="14.21875" style="32" customWidth="1"/>
    <col min="6" max="16384" width="8.88671875" style="32"/>
  </cols>
  <sheetData>
    <row r="1" spans="1:5" ht="15.75" x14ac:dyDescent="0.2">
      <c r="A1" s="1">
        <f>inputPrYr!D3</f>
        <v>0</v>
      </c>
      <c r="B1" s="1"/>
      <c r="C1" s="1"/>
      <c r="D1" s="1"/>
      <c r="E1" s="1">
        <f>inputPrYr!D6</f>
        <v>2024</v>
      </c>
    </row>
    <row r="2" spans="1:5" ht="15.75" x14ac:dyDescent="0.2">
      <c r="A2" s="1">
        <f>inputPrYr!D4</f>
        <v>0</v>
      </c>
      <c r="B2" s="1"/>
      <c r="C2" s="1"/>
      <c r="D2" s="1"/>
      <c r="E2" s="1"/>
    </row>
    <row r="3" spans="1:5" x14ac:dyDescent="0.2">
      <c r="A3" s="80"/>
      <c r="B3" s="80"/>
      <c r="C3" s="80"/>
      <c r="D3" s="80"/>
      <c r="E3" s="80"/>
    </row>
    <row r="4" spans="1:5" ht="15.75" x14ac:dyDescent="0.2">
      <c r="A4" s="528" t="s">
        <v>428</v>
      </c>
      <c r="B4" s="529"/>
      <c r="C4" s="529"/>
      <c r="D4" s="529"/>
      <c r="E4" s="529"/>
    </row>
    <row r="5" spans="1:5" x14ac:dyDescent="0.2">
      <c r="A5" s="80"/>
      <c r="B5" s="80"/>
      <c r="C5" s="80"/>
      <c r="D5" s="80"/>
      <c r="E5" s="80"/>
    </row>
    <row r="6" spans="1:5" ht="15.75" x14ac:dyDescent="0.2">
      <c r="A6" s="385" t="str">
        <f>CONCATENATE("From the County Clerk's ",E1," Budget Information:")</f>
        <v>From the County Clerk's 2024 Budget Information:</v>
      </c>
      <c r="B6" s="386"/>
      <c r="C6" s="387"/>
      <c r="D6" s="1"/>
      <c r="E6" s="117"/>
    </row>
    <row r="7" spans="1:5" ht="15.75" x14ac:dyDescent="0.2">
      <c r="A7" s="218" t="str">
        <f>CONCATENATE("Total Assessed Valuation for ",inputPrYr!D6-1,"")</f>
        <v>Total Assessed Valuation for 2023</v>
      </c>
      <c r="B7" s="119"/>
      <c r="C7" s="119"/>
      <c r="D7" s="119"/>
      <c r="E7" s="54"/>
    </row>
    <row r="8" spans="1:5" ht="15.75" hidden="1" x14ac:dyDescent="0.2">
      <c r="A8" s="219" t="str">
        <f>CONCATENATE("New Improvements for ",inputPrYr!D6-1,"")</f>
        <v>New Improvements for 2023</v>
      </c>
      <c r="B8" s="182"/>
      <c r="C8" s="182"/>
      <c r="D8" s="182"/>
      <c r="E8" s="372"/>
    </row>
    <row r="9" spans="1:5" ht="15.75" hidden="1" x14ac:dyDescent="0.2">
      <c r="A9" s="219" t="str">
        <f>CONCATENATE("Personal Property - ",inputPrYr!D6-1,"")</f>
        <v>Personal Property - 2023</v>
      </c>
      <c r="B9" s="182"/>
      <c r="C9" s="182"/>
      <c r="D9" s="182"/>
      <c r="E9" s="372"/>
    </row>
    <row r="10" spans="1:5" ht="15.75" hidden="1" x14ac:dyDescent="0.2">
      <c r="A10" s="219" t="str">
        <f>CONCATENATE("Property that has changed in use for ",inputPrYr!D6-1,"")</f>
        <v>Property that has changed in use for 2023</v>
      </c>
      <c r="B10" s="182"/>
      <c r="C10" s="182"/>
      <c r="D10" s="182"/>
      <c r="E10" s="372"/>
    </row>
    <row r="11" spans="1:5" ht="15.75" hidden="1" x14ac:dyDescent="0.2">
      <c r="A11" s="218" t="str">
        <f>CONCATENATE("Personal Property - ",inputPrYr!D6-2,"")</f>
        <v>Personal Property - 2022</v>
      </c>
      <c r="B11" s="119"/>
      <c r="C11" s="119"/>
      <c r="D11" s="119"/>
      <c r="E11" s="372"/>
    </row>
    <row r="12" spans="1:5" ht="15.75" x14ac:dyDescent="0.2">
      <c r="A12" s="219" t="str">
        <f>CONCATENATE("Neighborhood Revitalization - ",E1,"")</f>
        <v>Neighborhood Revitalization - 2024</v>
      </c>
      <c r="B12" s="182"/>
      <c r="C12" s="182"/>
      <c r="D12" s="182"/>
      <c r="E12" s="372"/>
    </row>
    <row r="13" spans="1:5" ht="15.75" x14ac:dyDescent="0.2">
      <c r="A13" s="104" t="s">
        <v>167</v>
      </c>
      <c r="B13" s="182"/>
      <c r="C13" s="182"/>
      <c r="D13" s="182"/>
      <c r="E13" s="372"/>
    </row>
    <row r="14" spans="1:5" ht="15.75" x14ac:dyDescent="0.2">
      <c r="A14" s="106" t="s">
        <v>168</v>
      </c>
      <c r="B14" s="119"/>
      <c r="C14" s="119"/>
      <c r="D14" s="119"/>
      <c r="E14" s="373"/>
    </row>
    <row r="15" spans="1:5" ht="15.75" x14ac:dyDescent="0.2">
      <c r="A15" s="103"/>
      <c r="B15" s="1"/>
      <c r="C15" s="1"/>
      <c r="D15" s="1"/>
      <c r="E15" s="157"/>
    </row>
    <row r="16" spans="1:5" ht="15.75" x14ac:dyDescent="0.2">
      <c r="A16" s="220" t="s">
        <v>450</v>
      </c>
      <c r="B16" s="1"/>
      <c r="C16" s="1"/>
      <c r="D16" s="438"/>
      <c r="E16" s="157"/>
    </row>
    <row r="17" spans="1:5" ht="15.75" x14ac:dyDescent="0.2">
      <c r="A17" s="103"/>
      <c r="B17" s="1"/>
      <c r="C17" s="1"/>
      <c r="D17" s="1"/>
      <c r="E17" s="157"/>
    </row>
    <row r="18" spans="1:5" ht="15.75" x14ac:dyDescent="0.2">
      <c r="A18" s="220" t="str">
        <f>CONCATENATE("Actual Tax Rates for the ",E1-1," Budget:")</f>
        <v>Actual Tax Rates for the 2023 Budget:</v>
      </c>
      <c r="B18" s="1"/>
      <c r="C18" s="1"/>
      <c r="D18" s="1"/>
      <c r="E18" s="221"/>
    </row>
    <row r="19" spans="1:5" ht="15.75" x14ac:dyDescent="0.2">
      <c r="A19" s="535" t="s">
        <v>14</v>
      </c>
      <c r="B19" s="536"/>
      <c r="C19" s="80"/>
      <c r="D19" s="222" t="s">
        <v>50</v>
      </c>
      <c r="E19" s="221"/>
    </row>
    <row r="20" spans="1:5" ht="15.75" x14ac:dyDescent="0.2">
      <c r="A20" s="218" t="s">
        <v>2</v>
      </c>
      <c r="B20" s="119"/>
      <c r="C20" s="1"/>
      <c r="D20" s="374"/>
      <c r="E20" s="221"/>
    </row>
    <row r="21" spans="1:5" ht="15.75" x14ac:dyDescent="0.2">
      <c r="A21" s="219" t="s">
        <v>146</v>
      </c>
      <c r="B21" s="182"/>
      <c r="C21" s="1"/>
      <c r="D21" s="374"/>
      <c r="E21" s="221"/>
    </row>
    <row r="22" spans="1:5" ht="15.75" x14ac:dyDescent="0.2">
      <c r="A22" s="219">
        <f>inputPrYr!B22</f>
        <v>0</v>
      </c>
      <c r="B22" s="182"/>
      <c r="C22" s="1"/>
      <c r="D22" s="374"/>
      <c r="E22" s="221"/>
    </row>
    <row r="23" spans="1:5" ht="15.75" x14ac:dyDescent="0.2">
      <c r="A23" s="219">
        <f>inputPrYr!B23</f>
        <v>0</v>
      </c>
      <c r="B23" s="182"/>
      <c r="C23" s="1"/>
      <c r="D23" s="374"/>
      <c r="E23" s="221"/>
    </row>
    <row r="24" spans="1:5" ht="15.75" x14ac:dyDescent="0.2">
      <c r="A24" s="80"/>
      <c r="B24" s="119" t="s">
        <v>119</v>
      </c>
      <c r="C24" s="223"/>
      <c r="D24" s="486">
        <f>SUM(D20:D23)</f>
        <v>0</v>
      </c>
      <c r="E24" s="80"/>
    </row>
    <row r="25" spans="1:5" x14ac:dyDescent="0.2">
      <c r="A25" s="80"/>
      <c r="B25" s="80"/>
      <c r="C25" s="80"/>
      <c r="D25" s="80"/>
      <c r="E25" s="80"/>
    </row>
    <row r="26" spans="1:5" ht="15.75" x14ac:dyDescent="0.2">
      <c r="A26" s="119" t="str">
        <f>CONCATENATE("Final Assessed Valuation from the November 1, ",E1-2," Abstract")</f>
        <v>Final Assessed Valuation from the November 1, 2022 Abstract</v>
      </c>
      <c r="B26" s="224"/>
      <c r="C26" s="224"/>
      <c r="D26" s="224"/>
      <c r="E26" s="50"/>
    </row>
    <row r="27" spans="1:5" x14ac:dyDescent="0.2">
      <c r="A27" s="80"/>
      <c r="B27" s="80"/>
      <c r="C27" s="80"/>
      <c r="D27" s="80"/>
      <c r="E27" s="80"/>
    </row>
    <row r="28" spans="1:5" ht="15.75" x14ac:dyDescent="0.2">
      <c r="A28" s="388" t="str">
        <f>CONCATENATE("From the County Treasurer's Budget Information - ",E1," Budget Year Estimates:")</f>
        <v>From the County Treasurer's Budget Information - 2024 Budget Year Estimates:</v>
      </c>
      <c r="B28" s="239"/>
      <c r="C28" s="239"/>
      <c r="D28" s="389"/>
      <c r="E28" s="117"/>
    </row>
    <row r="29" spans="1:5" ht="15.75" x14ac:dyDescent="0.2">
      <c r="A29" s="218" t="s">
        <v>6</v>
      </c>
      <c r="B29" s="119"/>
      <c r="C29" s="119"/>
      <c r="D29" s="225"/>
      <c r="E29" s="54"/>
    </row>
    <row r="30" spans="1:5" ht="15.75" x14ac:dyDescent="0.2">
      <c r="A30" s="219" t="s">
        <v>7</v>
      </c>
      <c r="B30" s="182"/>
      <c r="C30" s="182"/>
      <c r="D30" s="188"/>
      <c r="E30" s="54"/>
    </row>
    <row r="31" spans="1:5" ht="15.75" x14ac:dyDescent="0.2">
      <c r="A31" s="219" t="s">
        <v>109</v>
      </c>
      <c r="B31" s="182"/>
      <c r="C31" s="182"/>
      <c r="D31" s="188"/>
      <c r="E31" s="54"/>
    </row>
    <row r="32" spans="1:5" ht="15.75" x14ac:dyDescent="0.2">
      <c r="A32" s="219" t="s">
        <v>434</v>
      </c>
      <c r="B32" s="182"/>
      <c r="C32" s="182"/>
      <c r="D32" s="188"/>
      <c r="E32" s="54"/>
    </row>
    <row r="33" spans="1:5" ht="15.75" x14ac:dyDescent="0.2">
      <c r="A33" s="219" t="s">
        <v>435</v>
      </c>
      <c r="B33" s="182"/>
      <c r="C33" s="182"/>
      <c r="D33" s="188"/>
      <c r="E33" s="54"/>
    </row>
    <row r="34" spans="1:5" ht="15.75" x14ac:dyDescent="0.2">
      <c r="A34" s="219" t="s">
        <v>97</v>
      </c>
      <c r="B34" s="182"/>
      <c r="C34" s="182"/>
      <c r="D34" s="188"/>
      <c r="E34" s="54"/>
    </row>
    <row r="35" spans="1:5" ht="15.75" x14ac:dyDescent="0.2">
      <c r="A35" s="1" t="s">
        <v>110</v>
      </c>
      <c r="B35" s="1"/>
      <c r="C35" s="1"/>
      <c r="D35" s="1"/>
      <c r="E35" s="1"/>
    </row>
    <row r="36" spans="1:5" ht="15.75" x14ac:dyDescent="0.2">
      <c r="A36" s="220" t="s">
        <v>74</v>
      </c>
      <c r="B36" s="7"/>
      <c r="C36" s="7"/>
      <c r="D36" s="1"/>
      <c r="E36" s="1"/>
    </row>
    <row r="37" spans="1:5" ht="15.75" x14ac:dyDescent="0.2">
      <c r="A37" s="103" t="str">
        <f>CONCATENATE("Actual Delinquency for ",E1-3," Tax - (e.g. rate .01213 = 1.213%;  key in 1.2)")</f>
        <v>Actual Delinquency for 2021 Tax - (e.g. rate .01213 = 1.213%;  key in 1.2)</v>
      </c>
      <c r="B37" s="1"/>
      <c r="C37" s="1"/>
      <c r="D37" s="1"/>
      <c r="E37" s="1"/>
    </row>
    <row r="38" spans="1:5" ht="15.75" x14ac:dyDescent="0.2">
      <c r="A38" s="103" t="s">
        <v>120</v>
      </c>
      <c r="B38" s="103"/>
      <c r="C38" s="1"/>
      <c r="D38" s="1"/>
      <c r="E38" s="319">
        <v>0</v>
      </c>
    </row>
    <row r="39" spans="1:5" ht="15.75" x14ac:dyDescent="0.2">
      <c r="A39" s="226" t="s">
        <v>111</v>
      </c>
      <c r="B39" s="226"/>
      <c r="C39" s="227"/>
      <c r="D39" s="227"/>
      <c r="E39" s="228"/>
    </row>
    <row r="40" spans="1:5" x14ac:dyDescent="0.2">
      <c r="A40" s="80"/>
      <c r="B40" s="80"/>
      <c r="C40" s="80"/>
      <c r="D40" s="80"/>
      <c r="E40" s="80"/>
    </row>
    <row r="41" spans="1:5" ht="15.75" x14ac:dyDescent="0.2">
      <c r="A41" s="537" t="str">
        <f>CONCATENATE("From the ",E1-2," Budget Certificate Page")</f>
        <v>From the 2022 Budget Certificate Page</v>
      </c>
      <c r="B41" s="538"/>
      <c r="C41" s="80"/>
      <c r="D41" s="80"/>
      <c r="E41" s="80"/>
    </row>
    <row r="42" spans="1:5" ht="15.75" x14ac:dyDescent="0.2">
      <c r="A42" s="229"/>
      <c r="B42" s="229" t="str">
        <f>CONCATENATE("",E1-2," Expenditure Amounts")</f>
        <v>2022 Expenditure Amounts</v>
      </c>
      <c r="C42" s="539" t="str">
        <f>CONCATENATE("Note: If the ",E1-2," budget was amended, then the")</f>
        <v>Note: If the 2022 budget was amended, then the</v>
      </c>
      <c r="D42" s="540"/>
      <c r="E42" s="540"/>
    </row>
    <row r="43" spans="1:5" ht="15.75" x14ac:dyDescent="0.2">
      <c r="A43" s="230" t="s">
        <v>123</v>
      </c>
      <c r="B43" s="230" t="s">
        <v>124</v>
      </c>
      <c r="C43" s="231" t="s">
        <v>125</v>
      </c>
      <c r="D43" s="232"/>
      <c r="E43" s="232"/>
    </row>
    <row r="44" spans="1:5" ht="15.75" x14ac:dyDescent="0.2">
      <c r="A44" s="12" t="str">
        <f>inputPrYr!B19</f>
        <v>General</v>
      </c>
      <c r="B44" s="50"/>
      <c r="C44" s="231" t="s">
        <v>126</v>
      </c>
      <c r="D44" s="232"/>
      <c r="E44" s="232"/>
    </row>
    <row r="45" spans="1:5" ht="15.75" x14ac:dyDescent="0.2">
      <c r="A45" s="12" t="str">
        <f>inputPrYr!B20</f>
        <v>Debt Service</v>
      </c>
      <c r="B45" s="50"/>
      <c r="C45" s="231"/>
      <c r="D45" s="232"/>
      <c r="E45" s="232"/>
    </row>
    <row r="46" spans="1:5" ht="15.75" x14ac:dyDescent="0.2">
      <c r="A46" s="12">
        <f>inputPrYr!B22</f>
        <v>0</v>
      </c>
      <c r="B46" s="50"/>
      <c r="C46" s="80"/>
      <c r="D46" s="80"/>
      <c r="E46" s="80"/>
    </row>
    <row r="47" spans="1:5" ht="15.75" x14ac:dyDescent="0.2">
      <c r="A47" s="12">
        <f>inputPrYr!B23</f>
        <v>0</v>
      </c>
      <c r="B47" s="50"/>
      <c r="C47" s="80"/>
      <c r="D47" s="80"/>
      <c r="E47" s="80"/>
    </row>
    <row r="48" spans="1:5" ht="15.75" x14ac:dyDescent="0.2">
      <c r="A48" s="12">
        <f>inputPrYr!B26</f>
        <v>0</v>
      </c>
      <c r="B48" s="50"/>
      <c r="C48" s="80"/>
      <c r="D48" s="80"/>
      <c r="E48" s="80"/>
    </row>
    <row r="49" spans="1:5" ht="15.75" x14ac:dyDescent="0.2">
      <c r="A49" s="12">
        <f>inputPrYr!B27</f>
        <v>0</v>
      </c>
      <c r="B49" s="50"/>
      <c r="C49" s="80"/>
      <c r="D49" s="80"/>
      <c r="E49" s="80"/>
    </row>
  </sheetData>
  <sheetProtection sheet="1" objects="1" scenarios="1"/>
  <mergeCells count="4">
    <mergeCell ref="A19:B19"/>
    <mergeCell ref="A4:E4"/>
    <mergeCell ref="A41:B41"/>
    <mergeCell ref="C42:E42"/>
  </mergeCells>
  <phoneticPr fontId="11" type="noConversion"/>
  <pageMargins left="0.75" right="0.75" top="1" bottom="1" header="0.5" footer="0.5"/>
  <pageSetup scale="86"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6B6AB-BD97-4F9B-968D-FED642CA7599}">
  <dimension ref="A1:N245"/>
  <sheetViews>
    <sheetView workbookViewId="0">
      <selection activeCell="P24" sqref="P23:P24"/>
    </sheetView>
  </sheetViews>
  <sheetFormatPr defaultRowHeight="15" x14ac:dyDescent="0.2"/>
  <cols>
    <col min="1" max="1" width="3.44140625" style="695" customWidth="1"/>
    <col min="2" max="2" width="8" style="695" customWidth="1"/>
    <col min="3" max="16384" width="8.88671875" style="695"/>
  </cols>
  <sheetData>
    <row r="1" spans="1:14" ht="15.75" customHeight="1" x14ac:dyDescent="0.2">
      <c r="A1" s="694" t="s">
        <v>821</v>
      </c>
      <c r="B1" s="694"/>
      <c r="C1" s="694"/>
      <c r="D1" s="694"/>
      <c r="E1" s="694"/>
      <c r="F1" s="694"/>
      <c r="G1" s="694"/>
      <c r="H1" s="694"/>
      <c r="I1" s="694"/>
      <c r="J1" s="694"/>
      <c r="K1" s="694"/>
      <c r="L1" s="694"/>
      <c r="M1" s="694"/>
      <c r="N1" s="694"/>
    </row>
    <row r="2" spans="1:14" ht="9.75" customHeight="1" x14ac:dyDescent="0.2">
      <c r="A2" s="694"/>
      <c r="B2" s="694"/>
      <c r="C2" s="694"/>
      <c r="D2" s="694"/>
      <c r="E2" s="694"/>
      <c r="F2" s="694"/>
      <c r="G2" s="694"/>
      <c r="H2" s="694"/>
      <c r="I2" s="694"/>
      <c r="J2" s="694"/>
      <c r="K2" s="694"/>
      <c r="L2" s="694"/>
      <c r="M2" s="694"/>
      <c r="N2" s="694"/>
    </row>
    <row r="3" spans="1:14" ht="18" x14ac:dyDescent="0.25">
      <c r="A3" s="696" t="s">
        <v>450</v>
      </c>
    </row>
    <row r="4" spans="1:14" ht="9.75" customHeight="1" x14ac:dyDescent="0.55000000000000004">
      <c r="B4" s="697"/>
    </row>
    <row r="5" spans="1:14" ht="15.75" x14ac:dyDescent="0.2">
      <c r="B5" s="698" t="s">
        <v>822</v>
      </c>
    </row>
    <row r="6" spans="1:14" ht="8.1" customHeight="1" x14ac:dyDescent="0.2">
      <c r="B6" s="698"/>
    </row>
    <row r="7" spans="1:14" ht="15.75" x14ac:dyDescent="0.2">
      <c r="B7" s="698" t="s">
        <v>823</v>
      </c>
    </row>
    <row r="8" spans="1:14" ht="15.75" x14ac:dyDescent="0.2">
      <c r="B8" s="699" t="s">
        <v>824</v>
      </c>
    </row>
    <row r="9" spans="1:14" ht="8.1" customHeight="1" x14ac:dyDescent="0.2">
      <c r="B9" s="699"/>
    </row>
    <row r="10" spans="1:14" ht="15.75" x14ac:dyDescent="0.2">
      <c r="C10" s="700" t="s">
        <v>825</v>
      </c>
      <c r="D10" s="698" t="s">
        <v>826</v>
      </c>
    </row>
    <row r="11" spans="1:14" ht="15.75" customHeight="1" x14ac:dyDescent="0.2">
      <c r="B11" s="698"/>
      <c r="D11" s="698" t="s">
        <v>827</v>
      </c>
    </row>
    <row r="12" spans="1:14" ht="15.75" customHeight="1" x14ac:dyDescent="0.2">
      <c r="B12" s="698"/>
      <c r="D12" s="698"/>
    </row>
    <row r="13" spans="1:14" ht="15.75" customHeight="1" x14ac:dyDescent="0.2">
      <c r="B13" s="698" t="s">
        <v>828</v>
      </c>
      <c r="E13" s="698" t="s">
        <v>829</v>
      </c>
    </row>
    <row r="14" spans="1:14" ht="15.75" customHeight="1" x14ac:dyDescent="0.2">
      <c r="B14" s="698"/>
      <c r="E14" s="698" t="s">
        <v>830</v>
      </c>
    </row>
    <row r="15" spans="1:14" ht="15.75" customHeight="1" x14ac:dyDescent="0.2">
      <c r="B15" s="698"/>
      <c r="E15" s="698" t="s">
        <v>831</v>
      </c>
    </row>
    <row r="16" spans="1:14" ht="15.75" customHeight="1" x14ac:dyDescent="0.2">
      <c r="B16" s="698"/>
      <c r="E16" s="698" t="s">
        <v>832</v>
      </c>
    </row>
    <row r="17" spans="2:5" ht="15.75" customHeight="1" x14ac:dyDescent="0.2">
      <c r="B17" s="698"/>
      <c r="E17" s="698"/>
    </row>
    <row r="18" spans="2:5" ht="15.75" customHeight="1" x14ac:dyDescent="0.2">
      <c r="B18" s="698"/>
      <c r="E18" s="698"/>
    </row>
    <row r="19" spans="2:5" ht="15.75" customHeight="1" x14ac:dyDescent="0.2">
      <c r="B19" s="698"/>
      <c r="E19" s="698"/>
    </row>
    <row r="20" spans="2:5" ht="15.75" customHeight="1" x14ac:dyDescent="0.2">
      <c r="B20" s="698"/>
      <c r="E20" s="698"/>
    </row>
    <row r="21" spans="2:5" ht="15.75" customHeight="1" x14ac:dyDescent="0.2">
      <c r="B21" s="698"/>
      <c r="E21" s="698"/>
    </row>
    <row r="22" spans="2:5" ht="15.75" customHeight="1" x14ac:dyDescent="0.2">
      <c r="B22" s="698"/>
      <c r="E22" s="698"/>
    </row>
    <row r="23" spans="2:5" ht="15.75" customHeight="1" x14ac:dyDescent="0.2">
      <c r="B23" s="698"/>
      <c r="E23" s="698"/>
    </row>
    <row r="24" spans="2:5" ht="15.75" customHeight="1" x14ac:dyDescent="0.2">
      <c r="B24" s="698"/>
      <c r="E24" s="698"/>
    </row>
    <row r="25" spans="2:5" ht="15.75" customHeight="1" x14ac:dyDescent="0.2">
      <c r="B25" s="698"/>
      <c r="E25" s="698"/>
    </row>
    <row r="26" spans="2:5" ht="15.75" customHeight="1" x14ac:dyDescent="0.2">
      <c r="B26" s="698"/>
      <c r="E26" s="698"/>
    </row>
    <row r="27" spans="2:5" ht="15.75" customHeight="1" x14ac:dyDescent="0.2">
      <c r="B27" s="698"/>
      <c r="E27" s="698"/>
    </row>
    <row r="28" spans="2:5" ht="15.75" customHeight="1" x14ac:dyDescent="0.2">
      <c r="B28" s="698"/>
      <c r="E28" s="698"/>
    </row>
    <row r="29" spans="2:5" ht="15.75" customHeight="1" x14ac:dyDescent="0.2">
      <c r="B29" s="698"/>
      <c r="E29" s="698"/>
    </row>
    <row r="30" spans="2:5" ht="15.75" customHeight="1" x14ac:dyDescent="0.2">
      <c r="B30" s="698"/>
      <c r="E30" s="698"/>
    </row>
    <row r="31" spans="2:5" ht="15.75" customHeight="1" x14ac:dyDescent="0.2">
      <c r="B31" s="698"/>
      <c r="E31" s="698"/>
    </row>
    <row r="32" spans="2:5" ht="15.75" customHeight="1" x14ac:dyDescent="0.2">
      <c r="B32" s="698"/>
      <c r="E32" s="698"/>
    </row>
    <row r="33" spans="2:5" ht="15.75" customHeight="1" x14ac:dyDescent="0.2">
      <c r="B33" s="698"/>
      <c r="E33" s="698"/>
    </row>
    <row r="34" spans="2:5" ht="15.75" customHeight="1" x14ac:dyDescent="0.2">
      <c r="B34" s="698"/>
      <c r="E34" s="698"/>
    </row>
    <row r="35" spans="2:5" ht="15.75" customHeight="1" x14ac:dyDescent="0.2">
      <c r="B35" s="698"/>
      <c r="E35" s="698"/>
    </row>
    <row r="36" spans="2:5" ht="15.75" customHeight="1" x14ac:dyDescent="0.2">
      <c r="B36" s="698" t="s">
        <v>833</v>
      </c>
      <c r="D36" s="698"/>
      <c r="E36" s="698" t="s">
        <v>834</v>
      </c>
    </row>
    <row r="37" spans="2:5" ht="15.75" customHeight="1" x14ac:dyDescent="0.2">
      <c r="B37" s="698"/>
      <c r="D37" s="698"/>
      <c r="E37" s="698" t="s">
        <v>835</v>
      </c>
    </row>
    <row r="38" spans="2:5" ht="15.75" customHeight="1" x14ac:dyDescent="0.2">
      <c r="B38" s="698"/>
      <c r="D38" s="698"/>
      <c r="E38" s="698" t="s">
        <v>836</v>
      </c>
    </row>
    <row r="39" spans="2:5" ht="15.75" customHeight="1" x14ac:dyDescent="0.2">
      <c r="B39" s="698"/>
      <c r="D39" s="698"/>
      <c r="E39" s="698" t="s">
        <v>837</v>
      </c>
    </row>
    <row r="40" spans="2:5" ht="15.75" customHeight="1" x14ac:dyDescent="0.2"/>
    <row r="41" spans="2:5" ht="15.75" customHeight="1" x14ac:dyDescent="0.2">
      <c r="B41" s="698" t="s">
        <v>450</v>
      </c>
      <c r="E41" s="701" t="s">
        <v>838</v>
      </c>
    </row>
    <row r="42" spans="2:5" ht="15.75" customHeight="1" x14ac:dyDescent="0.2">
      <c r="B42" s="698"/>
      <c r="E42" s="701"/>
    </row>
    <row r="43" spans="2:5" ht="15.75" customHeight="1" x14ac:dyDescent="0.2">
      <c r="E43" s="701"/>
    </row>
    <row r="44" spans="2:5" ht="15.75" customHeight="1" x14ac:dyDescent="0.2">
      <c r="B44" s="698" t="s">
        <v>839</v>
      </c>
      <c r="D44" s="698"/>
      <c r="E44" s="701" t="s">
        <v>840</v>
      </c>
    </row>
    <row r="45" spans="2:5" ht="15.75" customHeight="1" x14ac:dyDescent="0.2">
      <c r="B45" s="698"/>
      <c r="D45" s="698"/>
      <c r="E45" s="698"/>
    </row>
    <row r="46" spans="2:5" ht="15.75" customHeight="1" x14ac:dyDescent="0.2">
      <c r="B46" s="698"/>
      <c r="D46" s="698"/>
    </row>
    <row r="47" spans="2:5" ht="15.75" customHeight="1" x14ac:dyDescent="0.2">
      <c r="B47" s="698"/>
      <c r="D47" s="698"/>
    </row>
    <row r="48" spans="2:5" ht="15.75" customHeight="1" x14ac:dyDescent="0.2">
      <c r="B48" s="698"/>
      <c r="D48" s="698"/>
    </row>
    <row r="49" spans="1:14" ht="15.75" customHeight="1" x14ac:dyDescent="0.2">
      <c r="B49" s="698"/>
      <c r="D49" s="698"/>
    </row>
    <row r="50" spans="1:14" ht="15.75" customHeight="1" x14ac:dyDescent="0.2">
      <c r="B50" s="698"/>
      <c r="D50" s="698"/>
    </row>
    <row r="51" spans="1:14" ht="15.75" customHeight="1" x14ac:dyDescent="0.2">
      <c r="B51" s="698"/>
      <c r="D51" s="698"/>
    </row>
    <row r="52" spans="1:14" ht="15.75" customHeight="1" x14ac:dyDescent="0.2">
      <c r="B52" s="698"/>
      <c r="D52" s="698"/>
    </row>
    <row r="53" spans="1:14" ht="15.75" customHeight="1" x14ac:dyDescent="0.2">
      <c r="B53" s="698"/>
      <c r="D53" s="698"/>
    </row>
    <row r="54" spans="1:14" ht="15.75" customHeight="1" x14ac:dyDescent="0.2">
      <c r="B54" s="698"/>
      <c r="D54" s="698"/>
    </row>
    <row r="55" spans="1:14" ht="15.75" customHeight="1" x14ac:dyDescent="0.2">
      <c r="B55" s="698"/>
    </row>
    <row r="56" spans="1:14" ht="15.75" customHeight="1" x14ac:dyDescent="0.2">
      <c r="B56" s="698"/>
    </row>
    <row r="57" spans="1:14" ht="15.75" customHeight="1" x14ac:dyDescent="0.2">
      <c r="B57" s="698"/>
    </row>
    <row r="58" spans="1:14" ht="15.75" customHeight="1" x14ac:dyDescent="0.2">
      <c r="B58" s="698"/>
    </row>
    <row r="59" spans="1:14" ht="3" customHeight="1" x14ac:dyDescent="0.2">
      <c r="A59" s="702"/>
      <c r="B59" s="703"/>
      <c r="C59" s="702"/>
      <c r="D59" s="702"/>
      <c r="E59" s="702"/>
      <c r="F59" s="702"/>
      <c r="G59" s="702"/>
      <c r="H59" s="702"/>
      <c r="I59" s="702"/>
      <c r="J59" s="702"/>
      <c r="K59" s="702"/>
      <c r="L59" s="702"/>
      <c r="M59" s="702"/>
      <c r="N59" s="702"/>
    </row>
    <row r="60" spans="1:14" ht="15.75" customHeight="1" x14ac:dyDescent="0.2">
      <c r="B60" s="698"/>
    </row>
    <row r="61" spans="1:14" ht="15.75" customHeight="1" x14ac:dyDescent="0.25">
      <c r="A61" s="704" t="s">
        <v>431</v>
      </c>
      <c r="B61" s="704"/>
      <c r="C61" s="704"/>
      <c r="D61" s="704"/>
      <c r="E61" s="704"/>
      <c r="F61" s="704"/>
      <c r="G61" s="704"/>
      <c r="H61" s="704"/>
      <c r="I61" s="704"/>
      <c r="J61" s="704"/>
      <c r="K61" s="705"/>
    </row>
    <row r="62" spans="1:14" ht="21.75" customHeight="1" x14ac:dyDescent="0.25">
      <c r="A62" s="704"/>
      <c r="B62" s="704"/>
      <c r="C62" s="704"/>
      <c r="D62" s="704"/>
      <c r="E62" s="704"/>
      <c r="F62" s="704"/>
      <c r="G62" s="704"/>
      <c r="H62" s="704"/>
      <c r="I62" s="704"/>
      <c r="J62" s="704"/>
      <c r="K62" s="705"/>
    </row>
    <row r="63" spans="1:14" ht="15.75" customHeight="1" x14ac:dyDescent="0.2">
      <c r="B63" s="698"/>
    </row>
    <row r="64" spans="1:14" ht="15.75" x14ac:dyDescent="0.2">
      <c r="B64" s="698"/>
    </row>
    <row r="65" spans="2:2" ht="18.75" customHeight="1" x14ac:dyDescent="0.2">
      <c r="B65" s="698"/>
    </row>
    <row r="66" spans="2:2" ht="13.5" customHeight="1" x14ac:dyDescent="0.2">
      <c r="B66" s="698"/>
    </row>
    <row r="67" spans="2:2" ht="15.75" x14ac:dyDescent="0.2">
      <c r="B67" s="698"/>
    </row>
    <row r="82" spans="12:12" x14ac:dyDescent="0.2">
      <c r="L82" s="706"/>
    </row>
    <row r="214" spans="1:14" ht="3" customHeight="1" x14ac:dyDescent="0.2">
      <c r="A214" s="702"/>
      <c r="B214" s="703"/>
      <c r="C214" s="702"/>
      <c r="D214" s="702"/>
      <c r="E214" s="702"/>
      <c r="F214" s="702"/>
      <c r="G214" s="702"/>
      <c r="H214" s="702"/>
      <c r="I214" s="702"/>
      <c r="J214" s="702"/>
      <c r="K214" s="702"/>
      <c r="L214" s="702"/>
      <c r="M214" s="702"/>
      <c r="N214" s="702"/>
    </row>
    <row r="217" spans="1:14" ht="18" x14ac:dyDescent="0.25">
      <c r="A217" s="707" t="s">
        <v>739</v>
      </c>
      <c r="B217" s="708"/>
    </row>
    <row r="218" spans="1:14" ht="15.75" x14ac:dyDescent="0.25">
      <c r="B218" s="709"/>
    </row>
    <row r="219" spans="1:14" ht="30" customHeight="1" x14ac:dyDescent="0.25">
      <c r="B219" s="710" t="s">
        <v>740</v>
      </c>
      <c r="C219" s="710"/>
      <c r="D219" s="710"/>
      <c r="E219" s="710"/>
      <c r="F219" s="710"/>
      <c r="G219" s="710"/>
      <c r="H219" s="710"/>
      <c r="I219" s="710"/>
      <c r="J219" s="711"/>
    </row>
    <row r="220" spans="1:14" ht="15.75" x14ac:dyDescent="0.25">
      <c r="B220" s="474" t="s">
        <v>741</v>
      </c>
    </row>
    <row r="221" spans="1:14" ht="15.75" x14ac:dyDescent="0.25">
      <c r="B221" s="709"/>
    </row>
    <row r="222" spans="1:14" ht="45.75" customHeight="1" x14ac:dyDescent="0.25">
      <c r="B222" s="710" t="s">
        <v>742</v>
      </c>
      <c r="C222" s="710"/>
      <c r="D222" s="710"/>
      <c r="E222" s="710"/>
      <c r="F222" s="710"/>
      <c r="G222" s="710"/>
      <c r="H222" s="710"/>
    </row>
    <row r="223" spans="1:14" ht="15.75" x14ac:dyDescent="0.25">
      <c r="B223" s="474" t="s">
        <v>743</v>
      </c>
    </row>
    <row r="224" spans="1:14" ht="15.75" x14ac:dyDescent="0.25">
      <c r="B224" s="709"/>
    </row>
    <row r="225" spans="2:2" ht="15.75" x14ac:dyDescent="0.25">
      <c r="B225" s="709" t="s">
        <v>744</v>
      </c>
    </row>
    <row r="226" spans="2:2" ht="15.75" x14ac:dyDescent="0.25">
      <c r="B226" s="474" t="s">
        <v>745</v>
      </c>
    </row>
    <row r="227" spans="2:2" ht="15.75" x14ac:dyDescent="0.25">
      <c r="B227" s="709"/>
    </row>
    <row r="228" spans="2:2" ht="15.75" x14ac:dyDescent="0.25">
      <c r="B228" s="709" t="s">
        <v>746</v>
      </c>
    </row>
    <row r="229" spans="2:2" ht="15.75" x14ac:dyDescent="0.25">
      <c r="B229" s="474" t="s">
        <v>747</v>
      </c>
    </row>
    <row r="230" spans="2:2" ht="15.75" x14ac:dyDescent="0.25">
      <c r="B230" s="709"/>
    </row>
    <row r="231" spans="2:2" ht="15.75" x14ac:dyDescent="0.25">
      <c r="B231" s="709" t="s">
        <v>748</v>
      </c>
    </row>
    <row r="232" spans="2:2" ht="15.75" x14ac:dyDescent="0.25">
      <c r="B232" s="474" t="s">
        <v>749</v>
      </c>
    </row>
    <row r="233" spans="2:2" ht="15.75" x14ac:dyDescent="0.25">
      <c r="B233" s="709"/>
    </row>
    <row r="234" spans="2:2" ht="15.75" x14ac:dyDescent="0.25">
      <c r="B234" s="709" t="s">
        <v>750</v>
      </c>
    </row>
    <row r="235" spans="2:2" ht="15.75" x14ac:dyDescent="0.25">
      <c r="B235" s="474" t="s">
        <v>751</v>
      </c>
    </row>
    <row r="236" spans="2:2" ht="15.75" x14ac:dyDescent="0.25">
      <c r="B236" s="709"/>
    </row>
    <row r="237" spans="2:2" ht="15.75" x14ac:dyDescent="0.25">
      <c r="B237" s="709" t="s">
        <v>752</v>
      </c>
    </row>
    <row r="238" spans="2:2" ht="15.75" x14ac:dyDescent="0.25">
      <c r="B238" s="474" t="s">
        <v>753</v>
      </c>
    </row>
    <row r="239" spans="2:2" ht="15.75" x14ac:dyDescent="0.25">
      <c r="B239" s="709"/>
    </row>
    <row r="240" spans="2:2" ht="15.75" x14ac:dyDescent="0.25">
      <c r="B240" s="709" t="s">
        <v>754</v>
      </c>
    </row>
    <row r="241" spans="2:2" ht="15.75" x14ac:dyDescent="0.25">
      <c r="B241" s="474" t="s">
        <v>755</v>
      </c>
    </row>
    <row r="242" spans="2:2" ht="15.75" x14ac:dyDescent="0.25">
      <c r="B242" s="709"/>
    </row>
    <row r="243" spans="2:2" ht="15.75" x14ac:dyDescent="0.25">
      <c r="B243" s="709" t="s">
        <v>756</v>
      </c>
    </row>
    <row r="244" spans="2:2" ht="15.75" x14ac:dyDescent="0.25">
      <c r="B244" s="474" t="s">
        <v>757</v>
      </c>
    </row>
    <row r="245" spans="2:2" ht="15.75" x14ac:dyDescent="0.25">
      <c r="B245" s="709"/>
    </row>
  </sheetData>
  <mergeCells count="4">
    <mergeCell ref="A1:N2"/>
    <mergeCell ref="A61:J62"/>
    <mergeCell ref="B219:I219"/>
    <mergeCell ref="B222:H222"/>
  </mergeCells>
  <hyperlinks>
    <hyperlink ref="B244" r:id="rId1" xr:uid="{EF2B442D-4F71-4185-8BAE-05B211125080}"/>
  </hyperlinks>
  <pageMargins left="0.7" right="0.7" top="0.75" bottom="0.75" header="0.3" footer="0.3"/>
  <pageSetup orientation="landscape"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2BE2-D3FA-4A82-868B-BB15FF6C7545}">
  <sheetPr codeName="Sheet31"/>
  <dimension ref="A1:A219"/>
  <sheetViews>
    <sheetView workbookViewId="0">
      <selection activeCell="A3" sqref="A3:XFD3"/>
    </sheetView>
  </sheetViews>
  <sheetFormatPr defaultRowHeight="15.75" x14ac:dyDescent="0.2"/>
  <cols>
    <col min="1" max="1" width="84.88671875" style="66" customWidth="1"/>
    <col min="2" max="2" width="14.5546875" style="66" customWidth="1"/>
    <col min="3" max="3" width="14.21875" style="66" customWidth="1"/>
    <col min="4" max="16384" width="8.88671875" style="66"/>
  </cols>
  <sheetData>
    <row r="1" spans="1:1" x14ac:dyDescent="0.25">
      <c r="A1" s="712" t="s">
        <v>841</v>
      </c>
    </row>
    <row r="2" spans="1:1" x14ac:dyDescent="0.25">
      <c r="A2" s="282" t="s">
        <v>842</v>
      </c>
    </row>
    <row r="3" spans="1:1" x14ac:dyDescent="0.25">
      <c r="A3" s="282" t="s">
        <v>843</v>
      </c>
    </row>
    <row r="4" spans="1:1" x14ac:dyDescent="0.25">
      <c r="A4" s="282" t="s">
        <v>844</v>
      </c>
    </row>
    <row r="5" spans="1:1" x14ac:dyDescent="0.25">
      <c r="A5" s="282"/>
    </row>
    <row r="6" spans="1:1" x14ac:dyDescent="0.2">
      <c r="A6" s="461" t="s">
        <v>554</v>
      </c>
    </row>
    <row r="7" spans="1:1" x14ac:dyDescent="0.2">
      <c r="A7" s="437" t="s">
        <v>555</v>
      </c>
    </row>
    <row r="8" spans="1:1" x14ac:dyDescent="0.2">
      <c r="A8" s="437" t="s">
        <v>556</v>
      </c>
    </row>
    <row r="9" spans="1:1" ht="31.5" x14ac:dyDescent="0.2">
      <c r="A9" s="437" t="s">
        <v>557</v>
      </c>
    </row>
    <row r="10" spans="1:1" ht="31.5" x14ac:dyDescent="0.2">
      <c r="A10" s="437" t="s">
        <v>558</v>
      </c>
    </row>
    <row r="11" spans="1:1" x14ac:dyDescent="0.2">
      <c r="A11" s="437" t="s">
        <v>559</v>
      </c>
    </row>
    <row r="12" spans="1:1" ht="31.5" x14ac:dyDescent="0.2">
      <c r="A12" s="437" t="s">
        <v>560</v>
      </c>
    </row>
    <row r="13" spans="1:1" x14ac:dyDescent="0.2">
      <c r="A13" s="437" t="s">
        <v>561</v>
      </c>
    </row>
    <row r="14" spans="1:1" x14ac:dyDescent="0.2">
      <c r="A14" s="437" t="s">
        <v>562</v>
      </c>
    </row>
    <row r="15" spans="1:1" x14ac:dyDescent="0.2">
      <c r="A15" s="437" t="s">
        <v>563</v>
      </c>
    </row>
    <row r="17" spans="1:1" x14ac:dyDescent="0.2">
      <c r="A17" s="462" t="s">
        <v>564</v>
      </c>
    </row>
    <row r="18" spans="1:1" x14ac:dyDescent="0.2">
      <c r="A18" s="66" t="s">
        <v>565</v>
      </c>
    </row>
    <row r="19" spans="1:1" x14ac:dyDescent="0.2">
      <c r="A19" s="66" t="s">
        <v>566</v>
      </c>
    </row>
    <row r="20" spans="1:1" x14ac:dyDescent="0.2">
      <c r="A20" s="66" t="s">
        <v>567</v>
      </c>
    </row>
    <row r="21" spans="1:1" x14ac:dyDescent="0.2">
      <c r="A21" s="66" t="s">
        <v>568</v>
      </c>
    </row>
    <row r="22" spans="1:1" x14ac:dyDescent="0.2">
      <c r="A22" s="66" t="s">
        <v>569</v>
      </c>
    </row>
    <row r="24" spans="1:1" x14ac:dyDescent="0.25">
      <c r="A24" s="463" t="s">
        <v>570</v>
      </c>
    </row>
    <row r="25" spans="1:1" x14ac:dyDescent="0.25">
      <c r="A25" s="282" t="s">
        <v>571</v>
      </c>
    </row>
    <row r="26" spans="1:1" x14ac:dyDescent="0.25">
      <c r="A26" s="282" t="s">
        <v>572</v>
      </c>
    </row>
    <row r="28" spans="1:1" x14ac:dyDescent="0.2">
      <c r="A28" s="462" t="s">
        <v>573</v>
      </c>
    </row>
    <row r="29" spans="1:1" x14ac:dyDescent="0.2">
      <c r="A29" s="66" t="s">
        <v>574</v>
      </c>
    </row>
    <row r="30" spans="1:1" x14ac:dyDescent="0.2">
      <c r="A30" s="66" t="s">
        <v>575</v>
      </c>
    </row>
    <row r="31" spans="1:1" x14ac:dyDescent="0.2">
      <c r="A31" s="66" t="s">
        <v>576</v>
      </c>
    </row>
    <row r="33" spans="1:1" x14ac:dyDescent="0.2">
      <c r="A33" s="462" t="s">
        <v>577</v>
      </c>
    </row>
    <row r="34" spans="1:1" x14ac:dyDescent="0.2">
      <c r="A34" s="66" t="s">
        <v>578</v>
      </c>
    </row>
    <row r="35" spans="1:1" x14ac:dyDescent="0.2">
      <c r="A35" s="66" t="s">
        <v>579</v>
      </c>
    </row>
    <row r="36" spans="1:1" x14ac:dyDescent="0.2">
      <c r="A36" s="66" t="s">
        <v>580</v>
      </c>
    </row>
    <row r="37" spans="1:1" x14ac:dyDescent="0.2">
      <c r="A37" s="66" t="s">
        <v>581</v>
      </c>
    </row>
    <row r="39" spans="1:1" x14ac:dyDescent="0.25">
      <c r="A39" s="463" t="s">
        <v>582</v>
      </c>
    </row>
    <row r="40" spans="1:1" x14ac:dyDescent="0.25">
      <c r="A40" s="464" t="s">
        <v>583</v>
      </c>
    </row>
    <row r="42" spans="1:1" x14ac:dyDescent="0.25">
      <c r="A42" s="463" t="s">
        <v>584</v>
      </c>
    </row>
    <row r="43" spans="1:1" x14ac:dyDescent="0.25">
      <c r="A43" s="465" t="s">
        <v>585</v>
      </c>
    </row>
    <row r="45" spans="1:1" x14ac:dyDescent="0.25">
      <c r="A45" s="463" t="s">
        <v>586</v>
      </c>
    </row>
    <row r="46" spans="1:1" x14ac:dyDescent="0.25">
      <c r="A46" s="465" t="s">
        <v>587</v>
      </c>
    </row>
    <row r="48" spans="1:1" x14ac:dyDescent="0.25">
      <c r="A48" s="463" t="s">
        <v>588</v>
      </c>
    </row>
    <row r="49" spans="1:1" x14ac:dyDescent="0.25">
      <c r="A49" s="465" t="s">
        <v>589</v>
      </c>
    </row>
    <row r="51" spans="1:1" x14ac:dyDescent="0.25">
      <c r="A51" s="463" t="s">
        <v>590</v>
      </c>
    </row>
    <row r="52" spans="1:1" x14ac:dyDescent="0.25">
      <c r="A52" s="465" t="s">
        <v>591</v>
      </c>
    </row>
    <row r="53" spans="1:1" x14ac:dyDescent="0.25">
      <c r="A53" s="465" t="s">
        <v>592</v>
      </c>
    </row>
    <row r="54" spans="1:1" x14ac:dyDescent="0.25">
      <c r="A54" s="465" t="s">
        <v>593</v>
      </c>
    </row>
    <row r="55" spans="1:1" x14ac:dyDescent="0.25">
      <c r="A55" s="465" t="s">
        <v>594</v>
      </c>
    </row>
    <row r="56" spans="1:1" x14ac:dyDescent="0.25">
      <c r="A56" s="465" t="s">
        <v>595</v>
      </c>
    </row>
    <row r="58" spans="1:1" x14ac:dyDescent="0.2">
      <c r="A58" s="466" t="s">
        <v>596</v>
      </c>
    </row>
    <row r="59" spans="1:1" x14ac:dyDescent="0.2">
      <c r="A59" s="467" t="s">
        <v>597</v>
      </c>
    </row>
    <row r="60" spans="1:1" x14ac:dyDescent="0.2">
      <c r="A60" s="66" t="s">
        <v>598</v>
      </c>
    </row>
    <row r="62" spans="1:1" x14ac:dyDescent="0.2">
      <c r="A62" s="466" t="s">
        <v>599</v>
      </c>
    </row>
    <row r="63" spans="1:1" x14ac:dyDescent="0.2">
      <c r="A63" s="467" t="s">
        <v>600</v>
      </c>
    </row>
    <row r="65" spans="1:1" x14ac:dyDescent="0.2">
      <c r="A65" s="462" t="s">
        <v>601</v>
      </c>
    </row>
    <row r="66" spans="1:1" x14ac:dyDescent="0.2">
      <c r="A66" s="66" t="s">
        <v>602</v>
      </c>
    </row>
    <row r="68" spans="1:1" x14ac:dyDescent="0.2">
      <c r="A68" s="466" t="s">
        <v>603</v>
      </c>
    </row>
    <row r="69" spans="1:1" x14ac:dyDescent="0.2">
      <c r="A69" s="467" t="s">
        <v>604</v>
      </c>
    </row>
    <row r="71" spans="1:1" x14ac:dyDescent="0.2">
      <c r="A71" s="466" t="s">
        <v>605</v>
      </c>
    </row>
    <row r="72" spans="1:1" x14ac:dyDescent="0.2">
      <c r="A72" s="468" t="s">
        <v>606</v>
      </c>
    </row>
    <row r="74" spans="1:1" x14ac:dyDescent="0.2">
      <c r="A74" s="466" t="s">
        <v>607</v>
      </c>
    </row>
    <row r="75" spans="1:1" x14ac:dyDescent="0.2">
      <c r="A75" s="66" t="s">
        <v>608</v>
      </c>
    </row>
    <row r="77" spans="1:1" x14ac:dyDescent="0.2">
      <c r="A77" s="466" t="s">
        <v>609</v>
      </c>
    </row>
    <row r="78" spans="1:1" x14ac:dyDescent="0.2">
      <c r="A78" s="467" t="s">
        <v>610</v>
      </c>
    </row>
    <row r="80" spans="1:1" x14ac:dyDescent="0.2">
      <c r="A80" s="466" t="s">
        <v>611</v>
      </c>
    </row>
    <row r="81" spans="1:1" x14ac:dyDescent="0.2">
      <c r="A81" s="469" t="s">
        <v>612</v>
      </c>
    </row>
    <row r="83" spans="1:1" x14ac:dyDescent="0.2">
      <c r="A83" s="466" t="s">
        <v>613</v>
      </c>
    </row>
    <row r="84" spans="1:1" x14ac:dyDescent="0.2">
      <c r="A84" s="469" t="s">
        <v>614</v>
      </c>
    </row>
    <row r="85" spans="1:1" x14ac:dyDescent="0.2">
      <c r="A85" s="469" t="s">
        <v>615</v>
      </c>
    </row>
    <row r="86" spans="1:1" x14ac:dyDescent="0.2">
      <c r="A86" s="66" t="s">
        <v>616</v>
      </c>
    </row>
    <row r="87" spans="1:1" x14ac:dyDescent="0.2">
      <c r="A87" s="66" t="s">
        <v>617</v>
      </c>
    </row>
    <row r="88" spans="1:1" x14ac:dyDescent="0.2">
      <c r="A88" s="66" t="s">
        <v>618</v>
      </c>
    </row>
    <row r="89" spans="1:1" x14ac:dyDescent="0.2">
      <c r="A89" s="66" t="s">
        <v>619</v>
      </c>
    </row>
    <row r="90" spans="1:1" x14ac:dyDescent="0.2">
      <c r="A90" s="66" t="s">
        <v>620</v>
      </c>
    </row>
    <row r="91" spans="1:1" x14ac:dyDescent="0.2">
      <c r="A91" s="66" t="s">
        <v>621</v>
      </c>
    </row>
    <row r="92" spans="1:1" x14ac:dyDescent="0.2">
      <c r="A92" s="66" t="s">
        <v>622</v>
      </c>
    </row>
    <row r="93" spans="1:1" x14ac:dyDescent="0.2">
      <c r="A93" s="66" t="s">
        <v>623</v>
      </c>
    </row>
    <row r="94" spans="1:1" ht="47.25" x14ac:dyDescent="0.2">
      <c r="A94" s="437" t="s">
        <v>624</v>
      </c>
    </row>
    <row r="95" spans="1:1" ht="31.5" x14ac:dyDescent="0.2">
      <c r="A95" s="437" t="s">
        <v>625</v>
      </c>
    </row>
    <row r="96" spans="1:1" x14ac:dyDescent="0.2">
      <c r="A96" s="66" t="s">
        <v>626</v>
      </c>
    </row>
    <row r="97" spans="1:1" x14ac:dyDescent="0.2">
      <c r="A97" s="66" t="s">
        <v>627</v>
      </c>
    </row>
    <row r="98" spans="1:1" x14ac:dyDescent="0.2">
      <c r="A98" s="66" t="s">
        <v>628</v>
      </c>
    </row>
    <row r="99" spans="1:1" x14ac:dyDescent="0.2">
      <c r="A99" s="66" t="s">
        <v>629</v>
      </c>
    </row>
    <row r="100" spans="1:1" x14ac:dyDescent="0.2">
      <c r="A100" s="66" t="s">
        <v>630</v>
      </c>
    </row>
    <row r="101" spans="1:1" x14ac:dyDescent="0.2">
      <c r="A101" s="66" t="s">
        <v>631</v>
      </c>
    </row>
    <row r="102" spans="1:1" x14ac:dyDescent="0.2">
      <c r="A102" s="66" t="s">
        <v>632</v>
      </c>
    </row>
    <row r="103" spans="1:1" x14ac:dyDescent="0.2">
      <c r="A103" s="66" t="s">
        <v>633</v>
      </c>
    </row>
    <row r="104" spans="1:1" x14ac:dyDescent="0.2">
      <c r="A104" s="66" t="s">
        <v>634</v>
      </c>
    </row>
    <row r="105" spans="1:1" x14ac:dyDescent="0.2">
      <c r="A105" s="66" t="s">
        <v>635</v>
      </c>
    </row>
    <row r="107" spans="1:1" x14ac:dyDescent="0.2">
      <c r="A107" s="466" t="s">
        <v>636</v>
      </c>
    </row>
    <row r="108" spans="1:1" x14ac:dyDescent="0.2">
      <c r="A108" s="470" t="s">
        <v>637</v>
      </c>
    </row>
    <row r="109" spans="1:1" x14ac:dyDescent="0.2">
      <c r="A109" s="470" t="s">
        <v>638</v>
      </c>
    </row>
    <row r="111" spans="1:1" x14ac:dyDescent="0.2">
      <c r="A111" s="466" t="s">
        <v>639</v>
      </c>
    </row>
    <row r="112" spans="1:1" x14ac:dyDescent="0.2">
      <c r="A112" s="470" t="s">
        <v>640</v>
      </c>
    </row>
    <row r="113" spans="1:1" x14ac:dyDescent="0.2">
      <c r="A113" s="470" t="s">
        <v>641</v>
      </c>
    </row>
    <row r="114" spans="1:1" ht="31.5" x14ac:dyDescent="0.2">
      <c r="A114" s="471" t="s">
        <v>642</v>
      </c>
    </row>
    <row r="115" spans="1:1" x14ac:dyDescent="0.2">
      <c r="A115" s="470" t="s">
        <v>643</v>
      </c>
    </row>
    <row r="116" spans="1:1" x14ac:dyDescent="0.2">
      <c r="A116" s="470" t="s">
        <v>644</v>
      </c>
    </row>
    <row r="117" spans="1:1" x14ac:dyDescent="0.2">
      <c r="A117" s="470" t="s">
        <v>645</v>
      </c>
    </row>
    <row r="118" spans="1:1" x14ac:dyDescent="0.2">
      <c r="A118" s="470" t="s">
        <v>646</v>
      </c>
    </row>
    <row r="119" spans="1:1" x14ac:dyDescent="0.2">
      <c r="A119" s="470" t="s">
        <v>647</v>
      </c>
    </row>
    <row r="120" spans="1:1" x14ac:dyDescent="0.2">
      <c r="A120" s="470" t="s">
        <v>648</v>
      </c>
    </row>
    <row r="121" spans="1:1" x14ac:dyDescent="0.2">
      <c r="A121" s="470" t="s">
        <v>649</v>
      </c>
    </row>
    <row r="122" spans="1:1" x14ac:dyDescent="0.2">
      <c r="A122" s="470" t="s">
        <v>650</v>
      </c>
    </row>
    <row r="123" spans="1:1" x14ac:dyDescent="0.2">
      <c r="A123" s="470" t="s">
        <v>651</v>
      </c>
    </row>
    <row r="124" spans="1:1" x14ac:dyDescent="0.2">
      <c r="A124" s="470" t="s">
        <v>652</v>
      </c>
    </row>
    <row r="125" spans="1:1" x14ac:dyDescent="0.2">
      <c r="A125" s="470" t="s">
        <v>653</v>
      </c>
    </row>
    <row r="126" spans="1:1" x14ac:dyDescent="0.2">
      <c r="A126" s="470" t="s">
        <v>654</v>
      </c>
    </row>
    <row r="127" spans="1:1" x14ac:dyDescent="0.2">
      <c r="A127" s="470" t="s">
        <v>655</v>
      </c>
    </row>
    <row r="128" spans="1:1" x14ac:dyDescent="0.2">
      <c r="A128" s="470" t="s">
        <v>656</v>
      </c>
    </row>
    <row r="129" spans="1:1" x14ac:dyDescent="0.2">
      <c r="A129" s="470" t="s">
        <v>657</v>
      </c>
    </row>
    <row r="130" spans="1:1" x14ac:dyDescent="0.2">
      <c r="A130" s="470" t="s">
        <v>658</v>
      </c>
    </row>
    <row r="131" spans="1:1" x14ac:dyDescent="0.2">
      <c r="A131" s="470" t="s">
        <v>659</v>
      </c>
    </row>
    <row r="132" spans="1:1" x14ac:dyDescent="0.2">
      <c r="A132" s="470" t="s">
        <v>660</v>
      </c>
    </row>
    <row r="133" spans="1:1" x14ac:dyDescent="0.2">
      <c r="A133" s="470" t="s">
        <v>661</v>
      </c>
    </row>
    <row r="134" spans="1:1" x14ac:dyDescent="0.2">
      <c r="A134" s="470" t="s">
        <v>662</v>
      </c>
    </row>
    <row r="136" spans="1:1" x14ac:dyDescent="0.2">
      <c r="A136" s="466" t="s">
        <v>663</v>
      </c>
    </row>
    <row r="137" spans="1:1" x14ac:dyDescent="0.2">
      <c r="A137" s="66" t="s">
        <v>664</v>
      </c>
    </row>
    <row r="138" spans="1:1" x14ac:dyDescent="0.2">
      <c r="A138" s="66" t="s">
        <v>665</v>
      </c>
    </row>
    <row r="139" spans="1:1" x14ac:dyDescent="0.2">
      <c r="A139" s="66" t="s">
        <v>666</v>
      </c>
    </row>
    <row r="141" spans="1:1" x14ac:dyDescent="0.2">
      <c r="A141" s="472" t="s">
        <v>667</v>
      </c>
    </row>
    <row r="142" spans="1:1" x14ac:dyDescent="0.2">
      <c r="A142" s="66" t="s">
        <v>668</v>
      </c>
    </row>
    <row r="144" spans="1:1" x14ac:dyDescent="0.2">
      <c r="A144" s="466" t="s">
        <v>669</v>
      </c>
    </row>
    <row r="145" spans="1:1" x14ac:dyDescent="0.2">
      <c r="A145" s="473" t="s">
        <v>670</v>
      </c>
    </row>
    <row r="146" spans="1:1" x14ac:dyDescent="0.2">
      <c r="A146" s="473" t="s">
        <v>671</v>
      </c>
    </row>
    <row r="147" spans="1:1" x14ac:dyDescent="0.2">
      <c r="A147" s="473" t="s">
        <v>672</v>
      </c>
    </row>
    <row r="148" spans="1:1" x14ac:dyDescent="0.2">
      <c r="A148" s="66" t="s">
        <v>673</v>
      </c>
    </row>
    <row r="150" spans="1:1" x14ac:dyDescent="0.2">
      <c r="A150" s="462" t="s">
        <v>674</v>
      </c>
    </row>
    <row r="151" spans="1:1" x14ac:dyDescent="0.2">
      <c r="A151" s="66" t="s">
        <v>675</v>
      </c>
    </row>
    <row r="152" spans="1:1" x14ac:dyDescent="0.2">
      <c r="A152" s="66" t="s">
        <v>676</v>
      </c>
    </row>
    <row r="153" spans="1:1" x14ac:dyDescent="0.2">
      <c r="A153" s="66" t="s">
        <v>677</v>
      </c>
    </row>
    <row r="154" spans="1:1" x14ac:dyDescent="0.2">
      <c r="A154" s="66" t="s">
        <v>678</v>
      </c>
    </row>
    <row r="155" spans="1:1" x14ac:dyDescent="0.2">
      <c r="A155" s="66" t="s">
        <v>679</v>
      </c>
    </row>
    <row r="156" spans="1:1" x14ac:dyDescent="0.2">
      <c r="A156" s="66" t="s">
        <v>680</v>
      </c>
    </row>
    <row r="157" spans="1:1" ht="36" customHeight="1" x14ac:dyDescent="0.2">
      <c r="A157" s="66" t="s">
        <v>681</v>
      </c>
    </row>
    <row r="158" spans="1:1" x14ac:dyDescent="0.2">
      <c r="A158" s="66" t="s">
        <v>682</v>
      </c>
    </row>
    <row r="159" spans="1:1" ht="18.75" customHeight="1" x14ac:dyDescent="0.2">
      <c r="A159" s="66" t="s">
        <v>683</v>
      </c>
    </row>
    <row r="160" spans="1:1" x14ac:dyDescent="0.2">
      <c r="A160" s="66" t="s">
        <v>684</v>
      </c>
    </row>
    <row r="161" spans="1:1" ht="24.75" customHeight="1" x14ac:dyDescent="0.2">
      <c r="A161" s="66" t="s">
        <v>685</v>
      </c>
    </row>
    <row r="162" spans="1:1" ht="39" customHeight="1" x14ac:dyDescent="0.2">
      <c r="A162" s="66" t="s">
        <v>686</v>
      </c>
    </row>
    <row r="163" spans="1:1" ht="38.25" customHeight="1" x14ac:dyDescent="0.2"/>
    <row r="164" spans="1:1" ht="37.5" customHeight="1" x14ac:dyDescent="0.2">
      <c r="A164" s="462" t="s">
        <v>687</v>
      </c>
    </row>
    <row r="165" spans="1:1" ht="21" customHeight="1" x14ac:dyDescent="0.2">
      <c r="A165" s="66" t="s">
        <v>688</v>
      </c>
    </row>
    <row r="166" spans="1:1" ht="35.25" customHeight="1" x14ac:dyDescent="0.2">
      <c r="A166" s="66" t="s">
        <v>689</v>
      </c>
    </row>
    <row r="167" spans="1:1" x14ac:dyDescent="0.2">
      <c r="A167" s="66" t="s">
        <v>690</v>
      </c>
    </row>
    <row r="169" spans="1:1" x14ac:dyDescent="0.2">
      <c r="A169" s="462" t="s">
        <v>691</v>
      </c>
    </row>
    <row r="170" spans="1:1" x14ac:dyDescent="0.2">
      <c r="A170" s="66" t="s">
        <v>692</v>
      </c>
    </row>
    <row r="171" spans="1:1" x14ac:dyDescent="0.2">
      <c r="A171" s="66" t="s">
        <v>693</v>
      </c>
    </row>
    <row r="173" spans="1:1" x14ac:dyDescent="0.2">
      <c r="A173" s="462" t="s">
        <v>694</v>
      </c>
    </row>
    <row r="174" spans="1:1" x14ac:dyDescent="0.2">
      <c r="A174" s="66" t="s">
        <v>695</v>
      </c>
    </row>
    <row r="175" spans="1:1" ht="31.5" x14ac:dyDescent="0.2">
      <c r="A175" s="437" t="s">
        <v>696</v>
      </c>
    </row>
    <row r="176" spans="1:1" x14ac:dyDescent="0.2">
      <c r="A176" s="66" t="s">
        <v>697</v>
      </c>
    </row>
    <row r="177" spans="1:1" x14ac:dyDescent="0.2">
      <c r="A177" s="66" t="s">
        <v>698</v>
      </c>
    </row>
    <row r="178" spans="1:1" x14ac:dyDescent="0.2">
      <c r="A178" s="66" t="s">
        <v>699</v>
      </c>
    </row>
    <row r="179" spans="1:1" x14ac:dyDescent="0.2">
      <c r="A179" s="66" t="s">
        <v>700</v>
      </c>
    </row>
    <row r="180" spans="1:1" ht="31.5" x14ac:dyDescent="0.2">
      <c r="A180" s="437" t="s">
        <v>701</v>
      </c>
    </row>
    <row r="181" spans="1:1" ht="31.5" x14ac:dyDescent="0.2">
      <c r="A181" s="437" t="s">
        <v>702</v>
      </c>
    </row>
    <row r="182" spans="1:1" ht="31.5" x14ac:dyDescent="0.2">
      <c r="A182" s="437" t="s">
        <v>703</v>
      </c>
    </row>
    <row r="183" spans="1:1" x14ac:dyDescent="0.2">
      <c r="A183" s="437" t="s">
        <v>704</v>
      </c>
    </row>
    <row r="184" spans="1:1" x14ac:dyDescent="0.2">
      <c r="A184" s="437" t="s">
        <v>705</v>
      </c>
    </row>
    <row r="185" spans="1:1" x14ac:dyDescent="0.2">
      <c r="A185" s="66" t="s">
        <v>706</v>
      </c>
    </row>
    <row r="186" spans="1:1" x14ac:dyDescent="0.2">
      <c r="A186" s="66" t="s">
        <v>707</v>
      </c>
    </row>
    <row r="187" spans="1:1" x14ac:dyDescent="0.2">
      <c r="A187" s="66" t="s">
        <v>708</v>
      </c>
    </row>
    <row r="188" spans="1:1" x14ac:dyDescent="0.2">
      <c r="A188" s="66" t="s">
        <v>709</v>
      </c>
    </row>
    <row r="189" spans="1:1" x14ac:dyDescent="0.2">
      <c r="A189" s="66" t="s">
        <v>710</v>
      </c>
    </row>
    <row r="192" spans="1:1" x14ac:dyDescent="0.2">
      <c r="A192" s="462" t="s">
        <v>711</v>
      </c>
    </row>
    <row r="193" spans="1:1" x14ac:dyDescent="0.2">
      <c r="A193" s="66" t="s">
        <v>712</v>
      </c>
    </row>
    <row r="194" spans="1:1" x14ac:dyDescent="0.2">
      <c r="A194" s="66" t="s">
        <v>713</v>
      </c>
    </row>
    <row r="195" spans="1:1" x14ac:dyDescent="0.2">
      <c r="A195" s="66" t="s">
        <v>714</v>
      </c>
    </row>
    <row r="196" spans="1:1" x14ac:dyDescent="0.2">
      <c r="A196" s="66" t="s">
        <v>715</v>
      </c>
    </row>
    <row r="197" spans="1:1" x14ac:dyDescent="0.2">
      <c r="A197" s="66" t="s">
        <v>716</v>
      </c>
    </row>
    <row r="198" spans="1:1" x14ac:dyDescent="0.2">
      <c r="A198" s="66" t="s">
        <v>717</v>
      </c>
    </row>
    <row r="199" spans="1:1" x14ac:dyDescent="0.2">
      <c r="A199" s="66" t="s">
        <v>718</v>
      </c>
    </row>
    <row r="200" spans="1:1" x14ac:dyDescent="0.2">
      <c r="A200" s="66" t="s">
        <v>719</v>
      </c>
    </row>
    <row r="201" spans="1:1" x14ac:dyDescent="0.2">
      <c r="A201" s="66" t="s">
        <v>720</v>
      </c>
    </row>
    <row r="202" spans="1:1" x14ac:dyDescent="0.2">
      <c r="A202" s="66" t="s">
        <v>721</v>
      </c>
    </row>
    <row r="203" spans="1:1" x14ac:dyDescent="0.2">
      <c r="A203" s="66" t="s">
        <v>722</v>
      </c>
    </row>
    <row r="204" spans="1:1" x14ac:dyDescent="0.2">
      <c r="A204" s="66" t="s">
        <v>723</v>
      </c>
    </row>
    <row r="205" spans="1:1" x14ac:dyDescent="0.2">
      <c r="A205" s="66" t="s">
        <v>724</v>
      </c>
    </row>
    <row r="206" spans="1:1" x14ac:dyDescent="0.2">
      <c r="A206" s="66" t="s">
        <v>725</v>
      </c>
    </row>
    <row r="207" spans="1:1" x14ac:dyDescent="0.2">
      <c r="A207" s="66" t="s">
        <v>726</v>
      </c>
    </row>
    <row r="208" spans="1:1" x14ac:dyDescent="0.2">
      <c r="A208" s="66" t="s">
        <v>727</v>
      </c>
    </row>
    <row r="209" spans="1:1" x14ac:dyDescent="0.2">
      <c r="A209" s="66" t="s">
        <v>728</v>
      </c>
    </row>
    <row r="210" spans="1:1" x14ac:dyDescent="0.2">
      <c r="A210" s="66" t="s">
        <v>729</v>
      </c>
    </row>
    <row r="211" spans="1:1" x14ac:dyDescent="0.2">
      <c r="A211" s="66" t="s">
        <v>730</v>
      </c>
    </row>
    <row r="212" spans="1:1" x14ac:dyDescent="0.2">
      <c r="A212" s="66" t="s">
        <v>731</v>
      </c>
    </row>
    <row r="213" spans="1:1" x14ac:dyDescent="0.2">
      <c r="A213" s="66" t="s">
        <v>732</v>
      </c>
    </row>
    <row r="214" spans="1:1" x14ac:dyDescent="0.2">
      <c r="A214" s="66" t="s">
        <v>733</v>
      </c>
    </row>
    <row r="215" spans="1:1" x14ac:dyDescent="0.2">
      <c r="A215" s="66" t="s">
        <v>734</v>
      </c>
    </row>
    <row r="216" spans="1:1" x14ac:dyDescent="0.2">
      <c r="A216" s="66" t="s">
        <v>735</v>
      </c>
    </row>
    <row r="217" spans="1:1" x14ac:dyDescent="0.2">
      <c r="A217" s="66" t="s">
        <v>736</v>
      </c>
    </row>
    <row r="218" spans="1:1" x14ac:dyDescent="0.2">
      <c r="A218" s="66" t="s">
        <v>737</v>
      </c>
    </row>
    <row r="219" spans="1:1" x14ac:dyDescent="0.2">
      <c r="A219" s="66" t="s">
        <v>738</v>
      </c>
    </row>
  </sheetData>
  <sheetProtection sheet="1"/>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CABE1-1CE3-47EE-8F67-C40D3FEE2ECC}">
  <sheetPr codeName="Sheet4"/>
  <dimension ref="A1:N49"/>
  <sheetViews>
    <sheetView zoomScale="80" zoomScaleNormal="80" workbookViewId="0">
      <selection activeCell="L1" sqref="L1"/>
    </sheetView>
  </sheetViews>
  <sheetFormatPr defaultRowHeight="15.75" x14ac:dyDescent="0.25"/>
  <cols>
    <col min="1" max="1" width="17.21875" customWidth="1"/>
    <col min="2" max="2" width="16.109375" customWidth="1"/>
    <col min="8" max="8" width="12.6640625" style="282" customWidth="1"/>
    <col min="9" max="9" width="12.44140625" style="282" customWidth="1"/>
    <col min="10" max="11" width="8.88671875" style="282"/>
  </cols>
  <sheetData>
    <row r="1" spans="1:14" ht="15" x14ac:dyDescent="0.2">
      <c r="A1" s="541" t="s">
        <v>532</v>
      </c>
      <c r="B1" s="541"/>
      <c r="C1" s="541"/>
      <c r="D1" s="541"/>
      <c r="E1" s="541"/>
      <c r="F1" s="541"/>
      <c r="H1" s="542" t="s">
        <v>533</v>
      </c>
      <c r="I1" s="542"/>
      <c r="J1" s="542"/>
      <c r="K1" s="542"/>
    </row>
    <row r="2" spans="1:14" ht="20.25" customHeight="1" x14ac:dyDescent="0.2">
      <c r="A2" s="541"/>
      <c r="B2" s="541"/>
      <c r="C2" s="541"/>
      <c r="D2" s="541"/>
      <c r="E2" s="541"/>
      <c r="F2" s="541"/>
      <c r="H2" s="542"/>
      <c r="I2" s="542"/>
      <c r="J2" s="542"/>
      <c r="K2" s="542"/>
    </row>
    <row r="3" spans="1:14" ht="18" customHeight="1" x14ac:dyDescent="0.2">
      <c r="A3" s="543" t="s">
        <v>534</v>
      </c>
      <c r="B3" s="543"/>
      <c r="C3" s="543"/>
      <c r="D3" s="543"/>
      <c r="E3" s="543"/>
      <c r="F3" s="543"/>
      <c r="H3" s="451" t="s">
        <v>535</v>
      </c>
      <c r="I3" s="544" t="s">
        <v>536</v>
      </c>
      <c r="J3" s="545"/>
      <c r="K3" s="546"/>
    </row>
    <row r="4" spans="1:14" ht="18" customHeight="1" x14ac:dyDescent="0.25">
      <c r="A4" s="543"/>
      <c r="B4" s="543"/>
      <c r="C4" s="543"/>
      <c r="D4" s="543"/>
      <c r="E4" s="543"/>
      <c r="F4" s="543"/>
      <c r="H4" s="451"/>
      <c r="I4" s="451"/>
    </row>
    <row r="5" spans="1:14" ht="18" customHeight="1" x14ac:dyDescent="0.2">
      <c r="A5" s="543"/>
      <c r="B5" s="543"/>
      <c r="C5" s="543"/>
      <c r="D5" s="543"/>
      <c r="E5" s="543"/>
      <c r="F5" s="543"/>
      <c r="H5" s="451" t="s">
        <v>537</v>
      </c>
      <c r="I5" s="544" t="s">
        <v>538</v>
      </c>
      <c r="J5" s="545"/>
      <c r="K5" s="546"/>
    </row>
    <row r="6" spans="1:14" ht="18" customHeight="1" x14ac:dyDescent="0.25">
      <c r="A6" s="543"/>
      <c r="B6" s="543"/>
      <c r="C6" s="543"/>
      <c r="D6" s="543"/>
      <c r="E6" s="543"/>
      <c r="F6" s="543"/>
      <c r="H6" s="451"/>
      <c r="I6" s="451"/>
    </row>
    <row r="7" spans="1:14" ht="18" customHeight="1" x14ac:dyDescent="0.2">
      <c r="A7" s="543"/>
      <c r="B7" s="543"/>
      <c r="C7" s="543"/>
      <c r="D7" s="543"/>
      <c r="E7" s="543"/>
      <c r="F7" s="543"/>
      <c r="H7" s="451" t="s">
        <v>539</v>
      </c>
      <c r="I7" s="544" t="s">
        <v>540</v>
      </c>
      <c r="J7" s="545"/>
      <c r="K7" s="546"/>
    </row>
    <row r="8" spans="1:14" ht="18" customHeight="1" x14ac:dyDescent="0.25">
      <c r="A8" s="543"/>
      <c r="B8" s="543"/>
      <c r="C8" s="543"/>
      <c r="D8" s="543"/>
      <c r="E8" s="543"/>
      <c r="F8" s="543"/>
      <c r="H8" s="451"/>
      <c r="I8" s="451"/>
    </row>
    <row r="9" spans="1:14" ht="18" customHeight="1" x14ac:dyDescent="0.2">
      <c r="A9" s="543"/>
      <c r="B9" s="543"/>
      <c r="C9" s="543"/>
      <c r="D9" s="543"/>
      <c r="E9" s="543"/>
      <c r="F9" s="543"/>
      <c r="H9" s="451" t="s">
        <v>541</v>
      </c>
      <c r="I9" s="544" t="s">
        <v>542</v>
      </c>
      <c r="J9" s="545"/>
      <c r="K9" s="546"/>
    </row>
    <row r="10" spans="1:14" ht="18" customHeight="1" x14ac:dyDescent="0.25">
      <c r="A10" s="543"/>
      <c r="B10" s="543"/>
      <c r="C10" s="543"/>
      <c r="D10" s="543"/>
      <c r="E10" s="543"/>
      <c r="F10" s="543"/>
      <c r="H10" s="451"/>
      <c r="I10" s="451"/>
    </row>
    <row r="11" spans="1:14" ht="18" customHeight="1" x14ac:dyDescent="0.2">
      <c r="A11" s="543"/>
      <c r="B11" s="543"/>
      <c r="C11" s="543"/>
      <c r="D11" s="543"/>
      <c r="E11" s="543"/>
      <c r="F11" s="543"/>
      <c r="H11" s="451" t="s">
        <v>543</v>
      </c>
      <c r="I11" s="544" t="s">
        <v>542</v>
      </c>
      <c r="J11" s="545"/>
      <c r="K11" s="546"/>
    </row>
    <row r="12" spans="1:14" ht="18" customHeight="1" x14ac:dyDescent="0.25">
      <c r="A12" s="543"/>
      <c r="B12" s="543"/>
      <c r="C12" s="543"/>
      <c r="D12" s="543"/>
      <c r="E12" s="543"/>
      <c r="F12" s="543"/>
    </row>
    <row r="13" spans="1:14" ht="21" customHeight="1" x14ac:dyDescent="0.3">
      <c r="A13" s="542" t="s">
        <v>544</v>
      </c>
      <c r="B13" s="542"/>
      <c r="C13" s="542"/>
      <c r="D13" s="542"/>
      <c r="E13" s="542"/>
      <c r="F13" s="542"/>
      <c r="G13" s="542"/>
      <c r="H13" s="542"/>
      <c r="I13" s="542"/>
      <c r="J13" s="542"/>
      <c r="K13" s="542"/>
      <c r="M13" s="452"/>
      <c r="N13" s="452"/>
    </row>
    <row r="14" spans="1:14" x14ac:dyDescent="0.25">
      <c r="A14" s="453" t="s">
        <v>545</v>
      </c>
      <c r="B14" s="544"/>
      <c r="C14" s="545"/>
      <c r="D14" s="545"/>
      <c r="E14" s="546"/>
      <c r="H14" s="547" t="s">
        <v>546</v>
      </c>
      <c r="I14" s="547"/>
      <c r="J14" s="547"/>
      <c r="K14" s="547"/>
    </row>
    <row r="15" spans="1:14" x14ac:dyDescent="0.25">
      <c r="A15" s="453"/>
      <c r="B15" s="454"/>
      <c r="C15" s="455"/>
      <c r="D15" s="455"/>
      <c r="E15" s="455"/>
      <c r="H15" s="547"/>
      <c r="I15" s="547"/>
      <c r="J15" s="547"/>
      <c r="K15" s="547"/>
    </row>
    <row r="16" spans="1:14" x14ac:dyDescent="0.25">
      <c r="A16" s="453" t="s">
        <v>535</v>
      </c>
      <c r="B16" s="544"/>
      <c r="C16" s="545"/>
      <c r="D16" s="545"/>
      <c r="E16" s="546"/>
      <c r="H16" s="547"/>
      <c r="I16" s="547"/>
      <c r="J16" s="547"/>
      <c r="K16" s="547"/>
    </row>
    <row r="17" spans="1:13" x14ac:dyDescent="0.25">
      <c r="A17" s="456"/>
      <c r="B17" s="457"/>
      <c r="C17" s="457"/>
      <c r="D17" s="455"/>
      <c r="E17" s="457"/>
      <c r="F17" s="458"/>
      <c r="H17" s="547"/>
      <c r="I17" s="547"/>
      <c r="J17" s="547"/>
      <c r="K17" s="547"/>
    </row>
    <row r="18" spans="1:13" x14ac:dyDescent="0.25">
      <c r="A18" s="459" t="s">
        <v>537</v>
      </c>
      <c r="B18" s="544"/>
      <c r="C18" s="545"/>
      <c r="D18" s="545"/>
      <c r="E18" s="546"/>
      <c r="F18" s="458"/>
      <c r="H18" s="547"/>
      <c r="I18" s="547"/>
      <c r="J18" s="547"/>
      <c r="K18" s="547"/>
    </row>
    <row r="19" spans="1:13" x14ac:dyDescent="0.25">
      <c r="A19" s="460" t="s">
        <v>547</v>
      </c>
      <c r="B19" s="455"/>
      <c r="C19" s="455"/>
      <c r="D19" s="451"/>
      <c r="E19" s="457"/>
      <c r="F19" s="458"/>
      <c r="H19" s="547"/>
      <c r="I19" s="547"/>
      <c r="J19" s="547"/>
      <c r="K19" s="547"/>
    </row>
    <row r="20" spans="1:13" x14ac:dyDescent="0.25">
      <c r="A20" s="459" t="s">
        <v>539</v>
      </c>
      <c r="B20" s="544"/>
      <c r="C20" s="545"/>
      <c r="D20" s="545"/>
      <c r="E20" s="546"/>
      <c r="F20" s="458"/>
      <c r="H20" s="547"/>
      <c r="I20" s="547"/>
      <c r="J20" s="547"/>
      <c r="K20" s="547"/>
    </row>
    <row r="21" spans="1:13" x14ac:dyDescent="0.25">
      <c r="A21" s="459"/>
      <c r="B21" s="451"/>
      <c r="C21" s="451"/>
      <c r="D21" s="451"/>
      <c r="E21" s="457"/>
      <c r="F21" s="458"/>
      <c r="H21" s="547"/>
      <c r="I21" s="547"/>
      <c r="J21" s="547"/>
      <c r="K21" s="547"/>
    </row>
    <row r="22" spans="1:13" x14ac:dyDescent="0.25">
      <c r="A22" s="459" t="s">
        <v>541</v>
      </c>
      <c r="B22" s="548"/>
      <c r="C22" s="549"/>
      <c r="D22" s="549"/>
      <c r="E22" s="550"/>
      <c r="F22" s="458"/>
      <c r="H22" s="547"/>
      <c r="I22" s="547"/>
      <c r="J22" s="547"/>
      <c r="K22" s="547"/>
    </row>
    <row r="23" spans="1:13" x14ac:dyDescent="0.25">
      <c r="A23" s="459"/>
      <c r="B23" s="451"/>
      <c r="C23" s="451"/>
      <c r="D23" s="451"/>
      <c r="E23" s="457"/>
      <c r="F23" s="458"/>
      <c r="H23" s="547"/>
      <c r="I23" s="547"/>
      <c r="J23" s="547"/>
      <c r="K23" s="547"/>
    </row>
    <row r="24" spans="1:13" x14ac:dyDescent="0.25">
      <c r="A24" s="459" t="s">
        <v>548</v>
      </c>
      <c r="B24" s="548"/>
      <c r="C24" s="549"/>
      <c r="D24" s="549"/>
      <c r="E24" s="550"/>
      <c r="F24" s="458"/>
      <c r="H24" s="547"/>
      <c r="I24" s="547"/>
      <c r="J24" s="547"/>
      <c r="K24" s="547"/>
    </row>
    <row r="27" spans="1:13" ht="21" customHeight="1" x14ac:dyDescent="0.2">
      <c r="A27" s="542" t="s">
        <v>549</v>
      </c>
      <c r="B27" s="542"/>
      <c r="C27" s="542"/>
      <c r="D27" s="542"/>
      <c r="E27" s="542"/>
      <c r="F27" s="542"/>
      <c r="G27" s="542"/>
      <c r="H27" s="542"/>
      <c r="I27" s="542"/>
      <c r="J27" s="542"/>
      <c r="K27" s="542"/>
    </row>
    <row r="28" spans="1:13" ht="15.75" customHeight="1" x14ac:dyDescent="0.25">
      <c r="A28" s="453" t="s">
        <v>545</v>
      </c>
      <c r="B28" s="544"/>
      <c r="C28" s="545"/>
      <c r="D28" s="545"/>
      <c r="E28" s="546"/>
      <c r="H28" s="547" t="s">
        <v>550</v>
      </c>
      <c r="I28" s="547"/>
      <c r="J28" s="547"/>
      <c r="K28" s="547"/>
      <c r="M28" t="s">
        <v>551</v>
      </c>
    </row>
    <row r="29" spans="1:13" x14ac:dyDescent="0.25">
      <c r="A29" s="453"/>
      <c r="B29" s="454"/>
      <c r="H29" s="547"/>
      <c r="I29" s="547"/>
      <c r="J29" s="547"/>
      <c r="K29" s="547"/>
    </row>
    <row r="30" spans="1:13" x14ac:dyDescent="0.25">
      <c r="A30" s="453" t="s">
        <v>535</v>
      </c>
      <c r="B30" s="544"/>
      <c r="C30" s="545"/>
      <c r="D30" s="545"/>
      <c r="E30" s="546"/>
      <c r="H30" s="547"/>
      <c r="I30" s="547"/>
      <c r="J30" s="547"/>
      <c r="K30" s="547"/>
    </row>
    <row r="31" spans="1:13" x14ac:dyDescent="0.25">
      <c r="A31" s="456"/>
      <c r="B31" s="458"/>
      <c r="C31" s="458"/>
      <c r="E31" s="458"/>
      <c r="F31" s="458"/>
      <c r="H31" s="547"/>
      <c r="I31" s="547"/>
      <c r="J31" s="547"/>
      <c r="K31" s="547"/>
    </row>
    <row r="32" spans="1:13" x14ac:dyDescent="0.25">
      <c r="A32" s="459" t="s">
        <v>537</v>
      </c>
      <c r="B32" s="544"/>
      <c r="C32" s="545"/>
      <c r="D32" s="545"/>
      <c r="E32" s="546"/>
      <c r="F32" s="458"/>
      <c r="H32" s="547"/>
      <c r="I32" s="547"/>
      <c r="J32" s="547"/>
      <c r="K32" s="547"/>
    </row>
    <row r="33" spans="1:11" x14ac:dyDescent="0.25">
      <c r="A33" s="460" t="s">
        <v>547</v>
      </c>
      <c r="D33" s="451"/>
      <c r="E33" s="458"/>
      <c r="F33" s="458"/>
      <c r="H33" s="547"/>
      <c r="I33" s="547"/>
      <c r="J33" s="547"/>
      <c r="K33" s="547"/>
    </row>
    <row r="34" spans="1:11" x14ac:dyDescent="0.25">
      <c r="A34" s="459" t="s">
        <v>539</v>
      </c>
      <c r="B34" s="544"/>
      <c r="C34" s="545"/>
      <c r="D34" s="545"/>
      <c r="E34" s="546"/>
      <c r="F34" s="458"/>
      <c r="H34" s="547"/>
      <c r="I34" s="547"/>
      <c r="J34" s="547"/>
      <c r="K34" s="547"/>
    </row>
    <row r="35" spans="1:11" x14ac:dyDescent="0.25">
      <c r="A35" s="459"/>
      <c r="B35" s="451"/>
      <c r="C35" s="451"/>
      <c r="D35" s="451"/>
      <c r="E35" s="458"/>
      <c r="F35" s="458"/>
      <c r="H35" s="547"/>
      <c r="I35" s="547"/>
      <c r="J35" s="547"/>
      <c r="K35" s="547"/>
    </row>
    <row r="36" spans="1:11" x14ac:dyDescent="0.25">
      <c r="A36" s="459" t="s">
        <v>541</v>
      </c>
      <c r="B36" s="548"/>
      <c r="C36" s="549"/>
      <c r="D36" s="549"/>
      <c r="E36" s="550"/>
      <c r="F36" s="458"/>
      <c r="H36" s="547"/>
      <c r="I36" s="547"/>
      <c r="J36" s="547"/>
      <c r="K36" s="547"/>
    </row>
    <row r="37" spans="1:11" x14ac:dyDescent="0.25">
      <c r="A37" s="459"/>
      <c r="B37" s="451"/>
      <c r="C37" s="451"/>
      <c r="D37" s="451"/>
      <c r="E37" s="458"/>
      <c r="F37" s="458"/>
      <c r="H37" s="547"/>
      <c r="I37" s="547"/>
      <c r="J37" s="547"/>
      <c r="K37" s="547"/>
    </row>
    <row r="38" spans="1:11" x14ac:dyDescent="0.25">
      <c r="A38" s="459" t="s">
        <v>548</v>
      </c>
      <c r="B38" s="548"/>
      <c r="C38" s="549"/>
      <c r="D38" s="549"/>
      <c r="E38" s="550"/>
      <c r="F38" s="458"/>
      <c r="H38" s="547"/>
      <c r="I38" s="547"/>
      <c r="J38" s="547"/>
      <c r="K38" s="547"/>
    </row>
    <row r="39" spans="1:11" ht="15.75" customHeight="1" x14ac:dyDescent="0.2">
      <c r="H39" s="547"/>
      <c r="I39" s="547"/>
      <c r="J39" s="547"/>
      <c r="K39" s="547"/>
    </row>
    <row r="41" spans="1:11" ht="21" customHeight="1" x14ac:dyDescent="0.2">
      <c r="A41" s="542" t="s">
        <v>552</v>
      </c>
      <c r="B41" s="542"/>
      <c r="C41" s="542"/>
      <c r="D41" s="542"/>
      <c r="E41" s="542"/>
      <c r="F41" s="542"/>
      <c r="G41" s="542"/>
      <c r="H41" s="542"/>
      <c r="I41" s="542"/>
      <c r="J41" s="542"/>
      <c r="K41" s="542"/>
    </row>
    <row r="42" spans="1:11" ht="15.75" customHeight="1" x14ac:dyDescent="0.25">
      <c r="A42" s="459" t="s">
        <v>537</v>
      </c>
      <c r="B42" s="544"/>
      <c r="C42" s="545"/>
      <c r="D42" s="545"/>
      <c r="E42" s="546"/>
      <c r="F42" s="458"/>
      <c r="H42" s="547" t="s">
        <v>553</v>
      </c>
      <c r="I42" s="547"/>
      <c r="J42" s="547"/>
      <c r="K42" s="547"/>
    </row>
    <row r="43" spans="1:11" x14ac:dyDescent="0.25">
      <c r="A43" s="460" t="s">
        <v>547</v>
      </c>
      <c r="B43" s="455"/>
      <c r="C43" s="455"/>
      <c r="D43" s="451"/>
      <c r="E43" s="457"/>
      <c r="F43" s="458"/>
      <c r="H43" s="547"/>
      <c r="I43" s="547"/>
      <c r="J43" s="547"/>
      <c r="K43" s="547"/>
    </row>
    <row r="44" spans="1:11" x14ac:dyDescent="0.25">
      <c r="A44" s="459" t="s">
        <v>539</v>
      </c>
      <c r="B44" s="544"/>
      <c r="C44" s="545"/>
      <c r="D44" s="545"/>
      <c r="E44" s="546"/>
      <c r="F44" s="458"/>
      <c r="H44" s="547"/>
      <c r="I44" s="547"/>
      <c r="J44" s="547"/>
      <c r="K44" s="547"/>
    </row>
    <row r="45" spans="1:11" x14ac:dyDescent="0.25">
      <c r="A45" s="459"/>
      <c r="B45" s="451"/>
      <c r="C45" s="451"/>
      <c r="D45" s="451"/>
      <c r="E45" s="457"/>
      <c r="F45" s="458"/>
      <c r="H45" s="547"/>
      <c r="I45" s="547"/>
      <c r="J45" s="547"/>
      <c r="K45" s="547"/>
    </row>
    <row r="46" spans="1:11" x14ac:dyDescent="0.25">
      <c r="A46" s="459" t="s">
        <v>541</v>
      </c>
      <c r="B46" s="548"/>
      <c r="C46" s="549"/>
      <c r="D46" s="549"/>
      <c r="E46" s="550"/>
      <c r="F46" s="458"/>
      <c r="H46" s="547"/>
      <c r="I46" s="547"/>
      <c r="J46" s="547"/>
      <c r="K46" s="547"/>
    </row>
    <row r="47" spans="1:11" ht="15.75" customHeight="1" x14ac:dyDescent="0.2">
      <c r="H47" s="547"/>
      <c r="I47" s="547"/>
      <c r="J47" s="547"/>
      <c r="K47" s="547"/>
    </row>
    <row r="48" spans="1:11" ht="15.75" customHeight="1" x14ac:dyDescent="0.2">
      <c r="H48" s="547"/>
      <c r="I48" s="547"/>
      <c r="J48" s="547"/>
      <c r="K48" s="547"/>
    </row>
    <row r="49" spans="8:11" ht="15.75" customHeight="1" x14ac:dyDescent="0.2">
      <c r="H49" s="547"/>
      <c r="I49" s="547"/>
      <c r="J49" s="547"/>
      <c r="K49" s="547"/>
    </row>
  </sheetData>
  <sheetProtection sheet="1"/>
  <mergeCells count="29">
    <mergeCell ref="A41:K41"/>
    <mergeCell ref="B42:E42"/>
    <mergeCell ref="H42:K49"/>
    <mergeCell ref="B44:E44"/>
    <mergeCell ref="B46:E46"/>
    <mergeCell ref="A27:K27"/>
    <mergeCell ref="B28:E28"/>
    <mergeCell ref="H28:K39"/>
    <mergeCell ref="B30:E30"/>
    <mergeCell ref="B32:E32"/>
    <mergeCell ref="B34:E34"/>
    <mergeCell ref="B36:E36"/>
    <mergeCell ref="B38:E38"/>
    <mergeCell ref="A13:K13"/>
    <mergeCell ref="B14:E14"/>
    <mergeCell ref="H14:K24"/>
    <mergeCell ref="B16:E16"/>
    <mergeCell ref="B18:E18"/>
    <mergeCell ref="B20:E20"/>
    <mergeCell ref="B22:E22"/>
    <mergeCell ref="B24:E24"/>
    <mergeCell ref="A1:F2"/>
    <mergeCell ref="H1:K2"/>
    <mergeCell ref="A3:F12"/>
    <mergeCell ref="I3:K3"/>
    <mergeCell ref="I5:K5"/>
    <mergeCell ref="I7:K7"/>
    <mergeCell ref="I9:K9"/>
    <mergeCell ref="I11:K11"/>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F0"/>
  </sheetPr>
  <dimension ref="A1:A46"/>
  <sheetViews>
    <sheetView workbookViewId="0">
      <selection activeCell="B1" sqref="B1"/>
    </sheetView>
  </sheetViews>
  <sheetFormatPr defaultRowHeight="15" x14ac:dyDescent="0.2"/>
  <cols>
    <col min="1" max="1" width="97.6640625" customWidth="1"/>
  </cols>
  <sheetData>
    <row r="1" spans="1:1" ht="15.75" customHeight="1" x14ac:dyDescent="0.2">
      <c r="A1" s="551" t="s">
        <v>449</v>
      </c>
    </row>
    <row r="2" spans="1:1" ht="15.75" customHeight="1" x14ac:dyDescent="0.2">
      <c r="A2" s="551"/>
    </row>
    <row r="3" spans="1:1" ht="15.75" customHeight="1" x14ac:dyDescent="0.2">
      <c r="A3" s="551"/>
    </row>
    <row r="4" spans="1:1" ht="15.75" customHeight="1" x14ac:dyDescent="0.2">
      <c r="A4" s="551"/>
    </row>
    <row r="5" spans="1:1" ht="15.75" customHeight="1" x14ac:dyDescent="0.2">
      <c r="A5" s="551"/>
    </row>
    <row r="6" spans="1:1" ht="15.75" customHeight="1" x14ac:dyDescent="0.2">
      <c r="A6" s="551"/>
    </row>
    <row r="7" spans="1:1" ht="15.75" customHeight="1" x14ac:dyDescent="0.2">
      <c r="A7" s="551"/>
    </row>
    <row r="8" spans="1:1" ht="15.75" customHeight="1" x14ac:dyDescent="0.2">
      <c r="A8" s="551"/>
    </row>
    <row r="9" spans="1:1" ht="15.75" customHeight="1" x14ac:dyDescent="0.2">
      <c r="A9" s="551"/>
    </row>
    <row r="10" spans="1:1" ht="15.75" customHeight="1" x14ac:dyDescent="0.2">
      <c r="A10" s="551"/>
    </row>
    <row r="11" spans="1:1" ht="15.75" customHeight="1" x14ac:dyDescent="0.2">
      <c r="A11" s="551"/>
    </row>
    <row r="12" spans="1:1" ht="15.75" customHeight="1" x14ac:dyDescent="0.2">
      <c r="A12" s="551"/>
    </row>
    <row r="13" spans="1:1" ht="15.75" customHeight="1" x14ac:dyDescent="0.2">
      <c r="A13" s="551"/>
    </row>
    <row r="14" spans="1:1" ht="15.75" customHeight="1" x14ac:dyDescent="0.2">
      <c r="A14" s="551"/>
    </row>
    <row r="15" spans="1:1" ht="15.75" customHeight="1" x14ac:dyDescent="0.2">
      <c r="A15" s="551"/>
    </row>
    <row r="16" spans="1:1" ht="15.75" customHeight="1" x14ac:dyDescent="0.2">
      <c r="A16" s="551"/>
    </row>
    <row r="17" spans="1:1" ht="15.75" customHeight="1" x14ac:dyDescent="0.2">
      <c r="A17" s="551"/>
    </row>
    <row r="18" spans="1:1" ht="15.75" customHeight="1" x14ac:dyDescent="0.2">
      <c r="A18" s="551"/>
    </row>
    <row r="19" spans="1:1" ht="15.75" customHeight="1" x14ac:dyDescent="0.2">
      <c r="A19" s="551"/>
    </row>
    <row r="20" spans="1:1" ht="15.75" customHeight="1" x14ac:dyDescent="0.2">
      <c r="A20" s="551"/>
    </row>
    <row r="21" spans="1:1" ht="15.75" customHeight="1" x14ac:dyDescent="0.2">
      <c r="A21" s="551"/>
    </row>
    <row r="22" spans="1:1" ht="15.75" customHeight="1" x14ac:dyDescent="0.2">
      <c r="A22" s="551"/>
    </row>
    <row r="23" spans="1:1" ht="15.75" customHeight="1" x14ac:dyDescent="0.2">
      <c r="A23" s="551"/>
    </row>
    <row r="24" spans="1:1" ht="15.75" customHeight="1" x14ac:dyDescent="0.2">
      <c r="A24" s="551"/>
    </row>
    <row r="25" spans="1:1" ht="15.75" customHeight="1" x14ac:dyDescent="0.2">
      <c r="A25" s="551"/>
    </row>
    <row r="26" spans="1:1" ht="15.75" customHeight="1" x14ac:dyDescent="0.2">
      <c r="A26" s="551"/>
    </row>
    <row r="27" spans="1:1" ht="15.75" customHeight="1" x14ac:dyDescent="0.2">
      <c r="A27" s="551"/>
    </row>
    <row r="28" spans="1:1" ht="15.75" customHeight="1" x14ac:dyDescent="0.2">
      <c r="A28" s="551"/>
    </row>
    <row r="29" spans="1:1" ht="15.75" customHeight="1" x14ac:dyDescent="0.2">
      <c r="A29" s="551"/>
    </row>
    <row r="30" spans="1:1" ht="15.75" customHeight="1" x14ac:dyDescent="0.2">
      <c r="A30" s="551"/>
    </row>
    <row r="31" spans="1:1" ht="15.75" customHeight="1" x14ac:dyDescent="0.2">
      <c r="A31" s="551"/>
    </row>
    <row r="32" spans="1:1" ht="15.75" customHeight="1" x14ac:dyDescent="0.2">
      <c r="A32" s="551"/>
    </row>
    <row r="33" spans="1:1" ht="15.75" customHeight="1" x14ac:dyDescent="0.2">
      <c r="A33" s="551"/>
    </row>
    <row r="34" spans="1:1" ht="15.75" customHeight="1" x14ac:dyDescent="0.2">
      <c r="A34" s="551"/>
    </row>
    <row r="35" spans="1:1" ht="15.75" customHeight="1" x14ac:dyDescent="0.2">
      <c r="A35" s="551"/>
    </row>
    <row r="36" spans="1:1" ht="15.75" customHeight="1" x14ac:dyDescent="0.2">
      <c r="A36" s="551"/>
    </row>
    <row r="37" spans="1:1" ht="15.75" customHeight="1" x14ac:dyDescent="0.2">
      <c r="A37" s="551"/>
    </row>
    <row r="38" spans="1:1" ht="15.75" customHeight="1" x14ac:dyDescent="0.2">
      <c r="A38" s="551"/>
    </row>
    <row r="39" spans="1:1" ht="15.75" customHeight="1" x14ac:dyDescent="0.2">
      <c r="A39" s="551"/>
    </row>
    <row r="40" spans="1:1" ht="15.75" customHeight="1" x14ac:dyDescent="0.2">
      <c r="A40" s="551"/>
    </row>
    <row r="41" spans="1:1" ht="15.75" x14ac:dyDescent="0.2">
      <c r="A41" s="437"/>
    </row>
    <row r="42" spans="1:1" ht="15.75" x14ac:dyDescent="0.2">
      <c r="A42" s="437"/>
    </row>
    <row r="43" spans="1:1" ht="15.75" x14ac:dyDescent="0.2">
      <c r="A43" s="437"/>
    </row>
    <row r="44" spans="1:1" ht="15.75" x14ac:dyDescent="0.2">
      <c r="A44" s="437"/>
    </row>
    <row r="45" spans="1:1" ht="15.75" x14ac:dyDescent="0.2">
      <c r="A45" s="437"/>
    </row>
    <row r="46" spans="1:1" ht="15.75" x14ac:dyDescent="0.2">
      <c r="A46" s="437"/>
    </row>
  </sheetData>
  <sheetProtection sheet="1" objects="1" scenarios="1"/>
  <mergeCells count="1">
    <mergeCell ref="A1:A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B0F0"/>
    <pageSetUpPr fitToPage="1"/>
  </sheetPr>
  <dimension ref="A1:H65"/>
  <sheetViews>
    <sheetView workbookViewId="0">
      <selection activeCell="G31" sqref="G31:G32"/>
    </sheetView>
  </sheetViews>
  <sheetFormatPr defaultRowHeight="15.75" x14ac:dyDescent="0.2"/>
  <cols>
    <col min="1" max="1" width="11.77734375" style="66" customWidth="1"/>
    <col min="2" max="3" width="9.77734375" style="66" customWidth="1"/>
    <col min="4" max="4" width="8.77734375" style="66" customWidth="1"/>
    <col min="5" max="5" width="14.77734375" style="66" customWidth="1"/>
    <col min="6" max="6" width="13.5546875" style="66" customWidth="1"/>
    <col min="7" max="7" width="15.109375" style="66" customWidth="1"/>
    <col min="8" max="8" width="2.6640625" style="66" customWidth="1"/>
    <col min="9" max="9" width="3.21875" style="66" customWidth="1"/>
    <col min="10" max="16384" width="8.88671875" style="66"/>
  </cols>
  <sheetData>
    <row r="1" spans="1:8" x14ac:dyDescent="0.2">
      <c r="A1" s="1"/>
      <c r="B1" s="1"/>
      <c r="C1" s="1"/>
      <c r="D1" s="1"/>
      <c r="E1" s="1"/>
      <c r="F1" s="1"/>
      <c r="G1" s="1">
        <f>inputPrYr!D6</f>
        <v>2024</v>
      </c>
    </row>
    <row r="2" spans="1:8" x14ac:dyDescent="0.2">
      <c r="A2" s="559" t="s">
        <v>63</v>
      </c>
      <c r="B2" s="559"/>
      <c r="C2" s="559"/>
      <c r="D2" s="559"/>
      <c r="E2" s="559"/>
      <c r="F2" s="559"/>
      <c r="G2" s="559"/>
    </row>
    <row r="3" spans="1:8" x14ac:dyDescent="0.2">
      <c r="A3" s="1"/>
      <c r="B3" s="1"/>
      <c r="C3" s="1"/>
      <c r="D3" s="1"/>
      <c r="E3" s="1"/>
      <c r="F3" s="1"/>
      <c r="G3" s="13"/>
    </row>
    <row r="4" spans="1:8" x14ac:dyDescent="0.2">
      <c r="A4" s="560" t="str">
        <f>CONCATENATE("To the Clerk of ",inputPrYr!D4,", State of Kansas")</f>
        <v>To the Clerk of , State of Kansas</v>
      </c>
      <c r="B4" s="560"/>
      <c r="C4" s="560"/>
      <c r="D4" s="560"/>
      <c r="E4" s="560"/>
      <c r="F4" s="560"/>
      <c r="G4" s="560"/>
    </row>
    <row r="5" spans="1:8" x14ac:dyDescent="0.2">
      <c r="A5" s="146" t="s">
        <v>94</v>
      </c>
      <c r="B5" s="7"/>
      <c r="C5" s="7"/>
      <c r="D5" s="7"/>
      <c r="E5" s="7"/>
      <c r="F5" s="7"/>
      <c r="G5" s="7"/>
    </row>
    <row r="6" spans="1:8" x14ac:dyDescent="0.2">
      <c r="A6" s="530">
        <f>inputPrYr!D3</f>
        <v>0</v>
      </c>
      <c r="B6" s="530"/>
      <c r="C6" s="530"/>
      <c r="D6" s="530"/>
      <c r="E6" s="530"/>
      <c r="F6" s="530"/>
      <c r="G6" s="530"/>
    </row>
    <row r="7" spans="1:8" x14ac:dyDescent="0.2">
      <c r="A7" s="1"/>
      <c r="B7" s="1"/>
      <c r="C7" s="1"/>
      <c r="D7" s="1"/>
      <c r="E7" s="1"/>
      <c r="F7" s="1"/>
      <c r="G7" s="1"/>
    </row>
    <row r="8" spans="1:8" x14ac:dyDescent="0.2">
      <c r="A8" s="146" t="s">
        <v>8</v>
      </c>
      <c r="B8" s="7"/>
      <c r="C8" s="7"/>
      <c r="D8" s="7"/>
      <c r="E8" s="7"/>
      <c r="F8" s="7"/>
      <c r="G8" s="7"/>
    </row>
    <row r="9" spans="1:8" x14ac:dyDescent="0.2">
      <c r="A9" s="146" t="s">
        <v>9</v>
      </c>
      <c r="B9" s="7"/>
      <c r="C9" s="7"/>
      <c r="D9" s="7"/>
      <c r="E9" s="7"/>
      <c r="F9" s="7"/>
      <c r="G9" s="7"/>
    </row>
    <row r="10" spans="1:8" x14ac:dyDescent="0.2">
      <c r="A10" s="146" t="str">
        <f>CONCATENATE("maximum expenditures for the various funds for the year ",G1,"; and (3) the")</f>
        <v>maximum expenditures for the various funds for the year 2024; and (3) the</v>
      </c>
      <c r="B10" s="7"/>
      <c r="C10" s="7"/>
      <c r="D10" s="7"/>
      <c r="E10" s="7"/>
      <c r="F10" s="7"/>
      <c r="G10" s="7"/>
    </row>
    <row r="11" spans="1:8" x14ac:dyDescent="0.2">
      <c r="A11" s="146" t="str">
        <f>CONCATENATE("Amount(s) of ",G1-1," Ad Valorem Tax are within statutory  limitations for the ",G1," Budget.")</f>
        <v>Amount(s) of 2023 Ad Valorem Tax are within statutory  limitations for the 2024 Budget.</v>
      </c>
      <c r="B11" s="7"/>
      <c r="C11" s="7"/>
      <c r="D11" s="7"/>
      <c r="E11" s="7"/>
      <c r="F11" s="7"/>
      <c r="G11" s="7"/>
    </row>
    <row r="12" spans="1:8" x14ac:dyDescent="0.2">
      <c r="A12" s="15"/>
      <c r="B12" s="1"/>
      <c r="C12" s="1"/>
      <c r="D12" s="13"/>
      <c r="E12" s="13"/>
      <c r="F12" s="13"/>
      <c r="G12" s="13"/>
    </row>
    <row r="13" spans="1:8" x14ac:dyDescent="0.2">
      <c r="A13" s="1"/>
      <c r="B13" s="1"/>
      <c r="C13" s="1"/>
      <c r="D13" s="1"/>
      <c r="E13" s="561" t="str">
        <f>CONCATENATE("",G1," Adopted Budget")</f>
        <v>2024 Adopted Budget</v>
      </c>
      <c r="F13" s="562"/>
      <c r="G13" s="563"/>
    </row>
    <row r="14" spans="1:8" x14ac:dyDescent="0.2">
      <c r="A14" s="15"/>
      <c r="B14" s="1"/>
      <c r="C14" s="1"/>
      <c r="D14" s="119"/>
      <c r="E14" s="565" t="s">
        <v>794</v>
      </c>
      <c r="F14" s="565" t="str">
        <f>CONCATENATE("Amount of ",G1-1," Ad Valorem Tax")</f>
        <v>Amount of 2023 Ad Valorem Tax</v>
      </c>
      <c r="G14" s="565" t="s">
        <v>795</v>
      </c>
      <c r="H14" s="172"/>
    </row>
    <row r="15" spans="1:8" ht="15.75" customHeight="1" x14ac:dyDescent="0.2">
      <c r="A15" s="1"/>
      <c r="B15" s="1"/>
      <c r="C15" s="1"/>
      <c r="D15" s="40" t="s">
        <v>10</v>
      </c>
      <c r="E15" s="566"/>
      <c r="F15" s="566"/>
      <c r="G15" s="566"/>
    </row>
    <row r="16" spans="1:8" x14ac:dyDescent="0.2">
      <c r="A16" s="15" t="s">
        <v>11</v>
      </c>
      <c r="B16" s="1"/>
      <c r="C16" s="1"/>
      <c r="D16" s="43" t="s">
        <v>12</v>
      </c>
      <c r="E16" s="566"/>
      <c r="F16" s="566"/>
      <c r="G16" s="566"/>
    </row>
    <row r="17" spans="1:7" ht="4.5" customHeight="1" x14ac:dyDescent="0.2">
      <c r="A17" s="70"/>
      <c r="B17" s="70"/>
      <c r="C17" s="70"/>
      <c r="D17" s="173"/>
      <c r="E17" s="567"/>
      <c r="F17" s="174"/>
      <c r="G17" s="175"/>
    </row>
    <row r="18" spans="1:7" x14ac:dyDescent="0.2">
      <c r="A18" s="104" t="s">
        <v>423</v>
      </c>
      <c r="B18" s="70"/>
      <c r="C18" s="70"/>
      <c r="D18" s="10">
        <v>2</v>
      </c>
      <c r="E18" s="13"/>
      <c r="F18" s="13"/>
      <c r="G18" s="177"/>
    </row>
    <row r="19" spans="1:7" x14ac:dyDescent="0.2">
      <c r="A19" s="104" t="s">
        <v>85</v>
      </c>
      <c r="B19" s="70"/>
      <c r="C19" s="70"/>
      <c r="D19" s="9">
        <v>3</v>
      </c>
      <c r="E19" s="13"/>
      <c r="F19" s="13"/>
      <c r="G19" s="177"/>
    </row>
    <row r="20" spans="1:7" x14ac:dyDescent="0.2">
      <c r="A20" s="176" t="s">
        <v>84</v>
      </c>
      <c r="B20" s="70"/>
      <c r="C20" s="70"/>
      <c r="D20" s="9">
        <v>4</v>
      </c>
      <c r="E20" s="13"/>
      <c r="F20" s="13"/>
      <c r="G20" s="177"/>
    </row>
    <row r="21" spans="1:7" x14ac:dyDescent="0.2">
      <c r="A21" s="178" t="s">
        <v>14</v>
      </c>
      <c r="B21" s="98"/>
      <c r="C21" s="179" t="s">
        <v>15</v>
      </c>
      <c r="D21" s="10"/>
      <c r="E21" s="180"/>
      <c r="F21" s="119"/>
      <c r="G21" s="181"/>
    </row>
    <row r="22" spans="1:7" x14ac:dyDescent="0.2">
      <c r="A22" s="85" t="s">
        <v>2</v>
      </c>
      <c r="B22" s="98"/>
      <c r="C22" s="10">
        <f>inputPrYr!C19</f>
        <v>0</v>
      </c>
      <c r="D22" s="163">
        <v>5</v>
      </c>
      <c r="E22" s="313" t="str">
        <f>IF(General!$E$45&lt;&gt;0,General!$E$45,"  ")</f>
        <v xml:space="preserve">  </v>
      </c>
      <c r="F22" s="313" t="str">
        <f>IF(General!$E$52&lt;&gt;0,General!$E$52,"  ")</f>
        <v xml:space="preserve">  </v>
      </c>
      <c r="G22" s="314" t="str">
        <f>IF(AND(General!E52=0,G31&gt;=0)," ",IF(AND(F22&gt;0,G31=0)," ",IF(AND(F22&gt;0,G31&gt;0),ROUND(F22/G31*1000,3))))</f>
        <v xml:space="preserve"> </v>
      </c>
    </row>
    <row r="23" spans="1:7" x14ac:dyDescent="0.2">
      <c r="A23" s="85" t="s">
        <v>146</v>
      </c>
      <c r="B23" s="98"/>
      <c r="C23" s="10" t="s">
        <v>95</v>
      </c>
      <c r="D23" s="163" t="str">
        <f>IF('Debt Service'!C65&gt;0,'Debt Service'!C65," ")</f>
        <v xml:space="preserve"> </v>
      </c>
      <c r="E23" s="109" t="str">
        <f>IF('Debt Service'!$E$52&lt;&gt;0,'Debt Service'!$E$52,"  ")</f>
        <v xml:space="preserve">  </v>
      </c>
      <c r="F23" s="109" t="str">
        <f>IF('Debt Service'!$E$59&lt;&gt;0,'Debt Service'!$E$59,"  ")</f>
        <v xml:space="preserve">  </v>
      </c>
      <c r="G23" s="314" t="str">
        <f>IF(AND('Debt Service'!E59=0,G31&gt;=0)," ",IF(AND(F23&gt;0,G31=0)," ",IF(AND(F23&gt;0,G31&gt;0),ROUND(F23/G31*1000,3))))</f>
        <v xml:space="preserve"> </v>
      </c>
    </row>
    <row r="24" spans="1:7" x14ac:dyDescent="0.2">
      <c r="A24" s="97" t="str">
        <f>IF(inputPrYr!$B$22&gt;"  ",inputPrYr!$B$22,"  ")</f>
        <v xml:space="preserve">  </v>
      </c>
      <c r="B24" s="98"/>
      <c r="C24" s="10" t="str">
        <f>IF(inputPrYr!C22&gt;0,inputPrYr!C22,"  ")</f>
        <v xml:space="preserve">  </v>
      </c>
      <c r="D24" s="163" t="str">
        <f>IF('Levy Page 7'!C86&gt;0,'Levy Page 7'!C86," ")</f>
        <v xml:space="preserve"> </v>
      </c>
      <c r="E24" s="109" t="str">
        <f>IF('Levy Page 7'!$E$34&lt;&gt;0,'Levy Page 7'!$E$34,"  ")</f>
        <v xml:space="preserve">  </v>
      </c>
      <c r="F24" s="109" t="str">
        <f>IF('Levy Page 7'!$E$41&lt;&gt;0,'Levy Page 7'!$E$41,"  ")</f>
        <v xml:space="preserve">  </v>
      </c>
      <c r="G24" s="314" t="str">
        <f>IF(AND('Levy Page 7'!E41=0,G31&gt;=0)," ",IF(AND(F24&gt;0,G31=0)," ",IF(AND(F24&gt;0,G31&gt;0),ROUND(F24/G31*1000,3))))</f>
        <v xml:space="preserve"> </v>
      </c>
    </row>
    <row r="25" spans="1:7" x14ac:dyDescent="0.2">
      <c r="A25" s="97" t="str">
        <f>IF(inputPrYr!$B$23&gt;"  ",inputPrYr!$B$23,"  ")</f>
        <v xml:space="preserve">  </v>
      </c>
      <c r="B25" s="98"/>
      <c r="C25" s="10" t="str">
        <f>IF(inputPrYr!C23&gt;0,inputPrYr!C23,"  ")</f>
        <v xml:space="preserve">  </v>
      </c>
      <c r="D25" s="163" t="str">
        <f>IF('Levy Page 7'!C86&gt;0,'Levy Page 7'!C86," ")</f>
        <v xml:space="preserve"> </v>
      </c>
      <c r="E25" s="109" t="str">
        <f>IF('Levy Page 7'!$E$73&lt;&gt;0,'Levy Page 7'!$E$73,"  ")</f>
        <v xml:space="preserve">  </v>
      </c>
      <c r="F25" s="109" t="str">
        <f>IF('Levy Page 7'!$E$80&lt;&gt;0,'Levy Page 7'!$E$80,"  ")</f>
        <v xml:space="preserve">  </v>
      </c>
      <c r="G25" s="314" t="str">
        <f>IF(AND('Levy Page 7'!E80=0,G31&gt;=0)," ",IF(AND(F25&gt;0,G31=0)," ",IF(AND(F25&gt;0,G31&gt;0),ROUND(F25/G31*1000,3))))</f>
        <v xml:space="preserve"> </v>
      </c>
    </row>
    <row r="26" spans="1:7" x14ac:dyDescent="0.2">
      <c r="A26" s="97" t="str">
        <f>IF(inputPrYr!$B$26&gt;"  ",inputPrYr!$B$26,"  ")</f>
        <v xml:space="preserve">  </v>
      </c>
      <c r="B26" s="182"/>
      <c r="C26" s="124"/>
      <c r="D26" s="163" t="str">
        <f>IF('No Levy Page 8'!C70&gt;0,'No Levy Page 8'!C70," ")</f>
        <v xml:space="preserve"> </v>
      </c>
      <c r="E26" s="109" t="str">
        <f>IF('No Levy Page 8'!$E$30&lt;&gt;0,'No Levy Page 8'!$E$30,"  ")</f>
        <v xml:space="preserve">  </v>
      </c>
      <c r="F26" s="315"/>
      <c r="G26" s="314"/>
    </row>
    <row r="27" spans="1:7" x14ac:dyDescent="0.2">
      <c r="A27" s="153" t="str">
        <f>IF(inputPrYr!$B$27&gt;"  ",inputPrYr!$B$27,"  ")</f>
        <v xml:space="preserve">  </v>
      </c>
      <c r="B27" s="183"/>
      <c r="C27" s="124"/>
      <c r="D27" s="163" t="str">
        <f>IF('No Levy Page 8'!C70&gt;0,'No Levy Page 8'!C70," ")</f>
        <v xml:space="preserve"> </v>
      </c>
      <c r="E27" s="109" t="str">
        <f>IF('No Levy Page 8'!$E$62&lt;&gt;0,'No Levy Page 8'!$E$62,"  ")</f>
        <v xml:space="preserve">  </v>
      </c>
      <c r="F27" s="315"/>
      <c r="G27" s="314"/>
    </row>
    <row r="28" spans="1:7" x14ac:dyDescent="0.2">
      <c r="A28" s="153" t="str">
        <f>IF((inputPrYr!$B$30&gt;" "),('Non-Budgeted Funds'!$A$3),"")</f>
        <v/>
      </c>
      <c r="B28" s="183"/>
      <c r="C28" s="171"/>
      <c r="D28" s="163" t="str">
        <f>IF('Non-Budgeted Funds'!F37&gt;0,'Non-Budgeted Funds'!F37,"")</f>
        <v/>
      </c>
      <c r="E28" s="316"/>
      <c r="F28" s="317"/>
      <c r="G28" s="318"/>
    </row>
    <row r="29" spans="1:7" x14ac:dyDescent="0.2">
      <c r="A29" s="184" t="s">
        <v>81</v>
      </c>
      <c r="B29" s="182"/>
      <c r="C29" s="98"/>
      <c r="D29" s="89" t="s">
        <v>16</v>
      </c>
      <c r="E29" s="109">
        <f>SUM(E22:E27)</f>
        <v>0</v>
      </c>
      <c r="F29" s="109">
        <f>SUM(F22:F27)</f>
        <v>0</v>
      </c>
      <c r="G29" s="109"/>
    </row>
    <row r="30" spans="1:7" x14ac:dyDescent="0.2">
      <c r="A30" s="85" t="s">
        <v>796</v>
      </c>
      <c r="B30" s="182"/>
      <c r="C30" s="98"/>
      <c r="D30" s="487" t="str">
        <f>IF('Budget Hearing Notice'!E42&gt;0, 'Budget Hearing Notice'!E42, " ")</f>
        <v xml:space="preserve"> </v>
      </c>
      <c r="E30" s="488"/>
      <c r="F30" s="407"/>
      <c r="G30" s="489" t="s">
        <v>83</v>
      </c>
    </row>
    <row r="31" spans="1:7" x14ac:dyDescent="0.2">
      <c r="A31" s="490" t="s">
        <v>797</v>
      </c>
      <c r="B31" s="183"/>
      <c r="C31" s="491"/>
      <c r="D31" s="492" t="str">
        <f>IF('Combined Rate-Bud Hearing Notic'!E42&gt;0, 'Combined Rate-Bud Hearing Notic'!E42, " ")</f>
        <v xml:space="preserve"> </v>
      </c>
      <c r="E31" s="493"/>
      <c r="F31" s="407"/>
      <c r="G31" s="670"/>
    </row>
    <row r="32" spans="1:7" ht="15.75" customHeight="1" x14ac:dyDescent="0.2">
      <c r="A32" s="490" t="s">
        <v>798</v>
      </c>
      <c r="B32" s="183"/>
      <c r="C32" s="491"/>
      <c r="D32" s="492" t="str">
        <f>IF('Rate Hearing Notice'!E17&gt;0, 'Rate Hearing Notice'!E17, " ")</f>
        <v xml:space="preserve"> </v>
      </c>
      <c r="E32" s="493"/>
      <c r="F32" s="407"/>
      <c r="G32" s="671"/>
    </row>
    <row r="33" spans="1:7" x14ac:dyDescent="0.2">
      <c r="A33" s="490" t="s">
        <v>128</v>
      </c>
      <c r="B33" s="494"/>
      <c r="C33" s="495"/>
      <c r="D33" s="496" t="str">
        <f>IF('NR Rebate'!C37&gt;0, 'NR Rebate'!C37, " ")</f>
        <v xml:space="preserve"> </v>
      </c>
      <c r="E33" s="493"/>
      <c r="F33" s="407"/>
      <c r="G33" s="568" t="str">
        <f>CONCATENATE("Nov. 1, ",G1-1," Total Assessed Valuation")</f>
        <v>Nov. 1, 2023 Total Assessed Valuation</v>
      </c>
    </row>
    <row r="34" spans="1:7" x14ac:dyDescent="0.2">
      <c r="A34" s="183"/>
      <c r="B34" s="183"/>
      <c r="C34" s="183"/>
      <c r="D34" s="497"/>
      <c r="E34" s="498"/>
      <c r="F34" s="1"/>
      <c r="G34" s="569"/>
    </row>
    <row r="35" spans="1:7" x14ac:dyDescent="0.2">
      <c r="A35" s="15" t="s">
        <v>800</v>
      </c>
      <c r="B35" s="1"/>
      <c r="C35" s="1"/>
      <c r="D35" s="499"/>
      <c r="E35" s="1"/>
      <c r="F35" s="1"/>
      <c r="G35" s="1"/>
    </row>
    <row r="36" spans="1:7" x14ac:dyDescent="0.2">
      <c r="A36" s="570"/>
      <c r="B36" s="570"/>
      <c r="C36" s="1"/>
      <c r="D36" s="1"/>
      <c r="E36" s="1"/>
      <c r="F36" s="4" t="s">
        <v>799</v>
      </c>
      <c r="G36" s="478">
        <f>inputOth!D16</f>
        <v>0</v>
      </c>
    </row>
    <row r="37" spans="1:7" x14ac:dyDescent="0.2">
      <c r="A37" s="573"/>
      <c r="B37" s="573"/>
      <c r="C37" s="169"/>
      <c r="D37" s="185"/>
      <c r="E37" s="557"/>
      <c r="F37" s="185"/>
      <c r="G37" s="1"/>
    </row>
    <row r="38" spans="1:7" x14ac:dyDescent="0.2">
      <c r="A38" s="15" t="s">
        <v>88</v>
      </c>
      <c r="B38" s="169"/>
      <c r="C38" s="169"/>
      <c r="D38" s="185"/>
      <c r="E38" s="558"/>
      <c r="F38" s="185"/>
      <c r="G38" s="1"/>
    </row>
    <row r="39" spans="1:7" x14ac:dyDescent="0.2">
      <c r="A39" s="552"/>
      <c r="B39" s="553"/>
      <c r="C39" s="169"/>
      <c r="D39" s="1" t="s">
        <v>422</v>
      </c>
      <c r="E39" s="185"/>
      <c r="F39" s="185"/>
      <c r="G39" s="1"/>
    </row>
    <row r="40" spans="1:7" x14ac:dyDescent="0.2">
      <c r="A40" s="554"/>
      <c r="B40" s="555"/>
      <c r="C40" s="169"/>
      <c r="D40" s="1"/>
      <c r="E40" s="185"/>
      <c r="F40" s="185"/>
      <c r="G40" s="1"/>
    </row>
    <row r="41" spans="1:7" x14ac:dyDescent="0.2">
      <c r="A41" s="554"/>
      <c r="B41" s="555"/>
      <c r="C41" s="1"/>
      <c r="D41" s="1" t="s">
        <v>422</v>
      </c>
      <c r="E41" s="1"/>
      <c r="F41" s="1"/>
      <c r="G41" s="1"/>
    </row>
    <row r="42" spans="1:7" x14ac:dyDescent="0.2">
      <c r="A42" s="564"/>
      <c r="B42" s="555"/>
      <c r="C42" s="15"/>
      <c r="D42" s="115"/>
      <c r="E42" s="6"/>
      <c r="F42" s="1"/>
      <c r="G42" s="1"/>
    </row>
    <row r="43" spans="1:7" x14ac:dyDescent="0.2">
      <c r="A43" s="15" t="s">
        <v>421</v>
      </c>
      <c r="B43" s="1"/>
      <c r="C43" s="1"/>
      <c r="D43" s="1" t="s">
        <v>422</v>
      </c>
      <c r="E43" s="6"/>
      <c r="F43" s="311"/>
      <c r="G43" s="311"/>
    </row>
    <row r="44" spans="1:7" x14ac:dyDescent="0.2">
      <c r="A44" s="552"/>
      <c r="B44" s="553"/>
      <c r="C44" s="1"/>
      <c r="D44" s="6"/>
      <c r="E44" s="6"/>
      <c r="F44" s="6"/>
      <c r="G44" s="6"/>
    </row>
    <row r="45" spans="1:7" x14ac:dyDescent="0.2">
      <c r="A45" s="15"/>
      <c r="B45" s="1"/>
      <c r="C45" s="1"/>
      <c r="D45" s="1" t="s">
        <v>422</v>
      </c>
      <c r="E45" s="6"/>
      <c r="F45" s="311"/>
      <c r="G45" s="311"/>
    </row>
    <row r="46" spans="1:7" x14ac:dyDescent="0.2">
      <c r="A46" s="1"/>
      <c r="B46" s="1"/>
      <c r="C46" s="1"/>
      <c r="D46" s="6"/>
      <c r="E46" s="6"/>
      <c r="F46" s="6"/>
      <c r="G46" s="6"/>
    </row>
    <row r="47" spans="1:7" x14ac:dyDescent="0.2">
      <c r="A47" s="15" t="s">
        <v>118</v>
      </c>
      <c r="B47" s="1"/>
      <c r="C47" s="15">
        <f>G1-1</f>
        <v>2023</v>
      </c>
      <c r="D47" s="1" t="s">
        <v>422</v>
      </c>
      <c r="E47" s="1"/>
      <c r="F47" s="311"/>
      <c r="G47" s="311"/>
    </row>
    <row r="48" spans="1:7" x14ac:dyDescent="0.2">
      <c r="A48" s="185"/>
      <c r="B48" s="185"/>
      <c r="C48" s="185"/>
      <c r="D48" s="1"/>
      <c r="E48" s="1"/>
      <c r="F48" s="7"/>
      <c r="G48" s="7"/>
    </row>
    <row r="49" spans="1:7" x14ac:dyDescent="0.2">
      <c r="A49" s="571"/>
      <c r="B49" s="572"/>
      <c r="C49" s="1"/>
      <c r="D49" s="1" t="s">
        <v>422</v>
      </c>
      <c r="E49" s="1"/>
      <c r="F49" s="1"/>
      <c r="G49" s="1"/>
    </row>
    <row r="50" spans="1:7" x14ac:dyDescent="0.2">
      <c r="A50" s="7" t="s">
        <v>18</v>
      </c>
      <c r="B50" s="7"/>
      <c r="C50" s="1"/>
      <c r="D50" s="556" t="s">
        <v>17</v>
      </c>
      <c r="E50" s="556"/>
      <c r="F50" s="556"/>
      <c r="G50" s="556"/>
    </row>
    <row r="51" spans="1:7" x14ac:dyDescent="0.2">
      <c r="A51" s="1"/>
      <c r="B51" s="1"/>
      <c r="C51" s="1"/>
      <c r="D51" s="1"/>
      <c r="E51" s="1"/>
      <c r="F51" s="1"/>
      <c r="G51" s="1"/>
    </row>
    <row r="52" spans="1:7" x14ac:dyDescent="0.2">
      <c r="A52" s="421" t="s">
        <v>449</v>
      </c>
      <c r="B52" s="414"/>
      <c r="C52" s="414"/>
      <c r="D52" s="414"/>
      <c r="E52" s="414"/>
      <c r="F52" s="414"/>
      <c r="G52" s="415"/>
    </row>
    <row r="53" spans="1:7" x14ac:dyDescent="0.2">
      <c r="A53" s="416"/>
      <c r="B53" s="413"/>
      <c r="C53" s="413"/>
      <c r="D53" s="413"/>
      <c r="E53" s="413"/>
      <c r="F53" s="413"/>
      <c r="G53" s="417"/>
    </row>
    <row r="54" spans="1:7" x14ac:dyDescent="0.2">
      <c r="A54" s="416"/>
      <c r="B54" s="413"/>
      <c r="C54" s="413"/>
      <c r="D54" s="413"/>
      <c r="E54" s="413"/>
      <c r="F54" s="413"/>
      <c r="G54" s="417"/>
    </row>
    <row r="55" spans="1:7" x14ac:dyDescent="0.2">
      <c r="A55" s="418"/>
      <c r="B55" s="419"/>
      <c r="C55" s="419"/>
      <c r="D55" s="419"/>
      <c r="E55" s="419"/>
      <c r="F55" s="419"/>
      <c r="G55" s="420"/>
    </row>
    <row r="56" spans="1:7" x14ac:dyDescent="0.2">
      <c r="A56" s="3"/>
      <c r="B56" s="3"/>
      <c r="C56" s="3"/>
      <c r="D56" s="3"/>
      <c r="E56" s="3"/>
      <c r="F56" s="3"/>
      <c r="G56" s="412"/>
    </row>
    <row r="57" spans="1:7" x14ac:dyDescent="0.2">
      <c r="A57" s="3"/>
      <c r="B57" s="3"/>
      <c r="C57" s="3"/>
      <c r="D57" s="186"/>
      <c r="E57" s="3"/>
      <c r="F57" s="3"/>
      <c r="G57" s="412"/>
    </row>
    <row r="58" spans="1:7" x14ac:dyDescent="0.2">
      <c r="G58" s="412"/>
    </row>
    <row r="59" spans="1:7" x14ac:dyDescent="0.2">
      <c r="G59" s="412"/>
    </row>
    <row r="60" spans="1:7" x14ac:dyDescent="0.2">
      <c r="G60" s="412"/>
    </row>
    <row r="61" spans="1:7" x14ac:dyDescent="0.2">
      <c r="G61" s="412"/>
    </row>
    <row r="62" spans="1:7" x14ac:dyDescent="0.2">
      <c r="G62" s="412"/>
    </row>
    <row r="63" spans="1:7" x14ac:dyDescent="0.2">
      <c r="G63" s="412"/>
    </row>
    <row r="64" spans="1:7" x14ac:dyDescent="0.2">
      <c r="G64" s="412"/>
    </row>
    <row r="65" spans="7:7" x14ac:dyDescent="0.2">
      <c r="G65" s="412"/>
    </row>
  </sheetData>
  <sheetProtection sheet="1" objects="1" scenarios="1"/>
  <mergeCells count="19">
    <mergeCell ref="A2:G2"/>
    <mergeCell ref="A4:G4"/>
    <mergeCell ref="A6:G6"/>
    <mergeCell ref="E13:G13"/>
    <mergeCell ref="A41:B41"/>
    <mergeCell ref="E14:E17"/>
    <mergeCell ref="G14:G16"/>
    <mergeCell ref="F14:F16"/>
    <mergeCell ref="G31:G32"/>
    <mergeCell ref="G33:G34"/>
    <mergeCell ref="A36:B36"/>
    <mergeCell ref="A37:B37"/>
    <mergeCell ref="A39:B39"/>
    <mergeCell ref="A40:B40"/>
    <mergeCell ref="A44:B44"/>
    <mergeCell ref="D50:G50"/>
    <mergeCell ref="E37:E38"/>
    <mergeCell ref="A42:B42"/>
    <mergeCell ref="A49:B49"/>
  </mergeCells>
  <phoneticPr fontId="0" type="noConversion"/>
  <pageMargins left="0.5" right="0.5" top="0" bottom="0.5" header="0" footer="0.5"/>
  <pageSetup scale="80" orientation="portrait" blackAndWhite="1" horizontalDpi="120" verticalDpi="144" r:id="rId1"/>
  <headerFooter alignWithMargins="0">
    <oddHeader xml:space="preserve">&amp;RState of Kansas
Special District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00B0F0"/>
    <pageSetUpPr fitToPage="1"/>
  </sheetPr>
  <dimension ref="A1:I38"/>
  <sheetViews>
    <sheetView workbookViewId="0">
      <selection activeCell="E17" sqref="E17"/>
    </sheetView>
  </sheetViews>
  <sheetFormatPr defaultRowHeight="15.75" x14ac:dyDescent="0.2"/>
  <cols>
    <col min="1" max="1" width="8.88671875" style="3"/>
    <col min="2" max="2" width="17.77734375" style="3" customWidth="1"/>
    <col min="3" max="3" width="15.77734375" style="3" customWidth="1"/>
    <col min="4" max="4" width="12.77734375" style="3" customWidth="1"/>
    <col min="5" max="5" width="13.109375" style="3" customWidth="1"/>
    <col min="6" max="8" width="12.77734375" style="3" customWidth="1"/>
    <col min="9" max="9" width="10.77734375" style="3" customWidth="1"/>
    <col min="10" max="16384" width="8.88671875" style="3"/>
  </cols>
  <sheetData>
    <row r="1" spans="1:9" x14ac:dyDescent="0.2">
      <c r="A1" s="1"/>
      <c r="B1" s="1">
        <f>inputPrYr!D3</f>
        <v>0</v>
      </c>
      <c r="C1" s="1"/>
      <c r="D1" s="1"/>
      <c r="E1" s="1"/>
      <c r="F1" s="1"/>
      <c r="G1" s="1"/>
      <c r="H1" s="1"/>
      <c r="I1" s="1"/>
    </row>
    <row r="2" spans="1:9" x14ac:dyDescent="0.2">
      <c r="A2" s="1"/>
      <c r="B2" s="1">
        <f>inputPrYr!D4</f>
        <v>0</v>
      </c>
      <c r="C2" s="1"/>
      <c r="D2" s="1"/>
      <c r="E2" s="1"/>
      <c r="F2" s="1"/>
      <c r="G2" s="1"/>
      <c r="H2" s="1"/>
      <c r="I2" s="1">
        <f>inputPrYr!D6</f>
        <v>2024</v>
      </c>
    </row>
    <row r="3" spans="1:9" x14ac:dyDescent="0.2">
      <c r="A3" s="1"/>
      <c r="B3" s="1"/>
      <c r="C3" s="5"/>
      <c r="D3" s="5"/>
      <c r="E3" s="5"/>
      <c r="F3" s="5"/>
      <c r="G3" s="5"/>
      <c r="H3" s="5"/>
      <c r="I3" s="1"/>
    </row>
    <row r="4" spans="1:9" x14ac:dyDescent="0.2">
      <c r="A4" s="6"/>
      <c r="B4" s="1"/>
      <c r="C4" s="1"/>
      <c r="D4" s="1"/>
      <c r="E4" s="1"/>
      <c r="F4" s="1"/>
      <c r="G4" s="1"/>
      <c r="H4" s="1"/>
      <c r="I4" s="1"/>
    </row>
    <row r="5" spans="1:9" x14ac:dyDescent="0.2">
      <c r="A5" s="6"/>
      <c r="B5" s="1"/>
      <c r="C5" s="7"/>
      <c r="D5" s="7"/>
      <c r="E5" s="7"/>
      <c r="F5" s="1"/>
      <c r="G5" s="1"/>
      <c r="H5" s="1"/>
      <c r="I5" s="1"/>
    </row>
    <row r="6" spans="1:9" x14ac:dyDescent="0.2">
      <c r="A6" s="578" t="s">
        <v>445</v>
      </c>
      <c r="B6" s="578"/>
      <c r="C6" s="578"/>
      <c r="D6" s="578"/>
      <c r="E6" s="578"/>
      <c r="F6" s="578"/>
      <c r="G6" s="578"/>
      <c r="H6" s="578"/>
      <c r="I6" s="578"/>
    </row>
    <row r="7" spans="1:9" x14ac:dyDescent="0.2">
      <c r="A7" s="252"/>
      <c r="B7" s="400"/>
      <c r="C7" s="400"/>
      <c r="D7" s="400"/>
      <c r="E7" s="400"/>
      <c r="F7" s="400"/>
      <c r="G7" s="1"/>
      <c r="H7" s="1"/>
      <c r="I7" s="1"/>
    </row>
    <row r="8" spans="1:9" x14ac:dyDescent="0.2">
      <c r="A8" s="1"/>
      <c r="B8" s="1"/>
      <c r="C8" s="1"/>
      <c r="D8" s="1"/>
      <c r="E8" s="1"/>
      <c r="F8" s="1"/>
      <c r="G8" s="1"/>
      <c r="H8" s="1"/>
      <c r="I8" s="1"/>
    </row>
    <row r="9" spans="1:9" x14ac:dyDescent="0.2">
      <c r="A9" s="1"/>
      <c r="B9" s="575" t="str">
        <f>CONCATENATE("",I2-1,"                    Budgeted Funds")</f>
        <v>2023                    Budgeted Funds</v>
      </c>
      <c r="C9" s="574" t="str">
        <f>CONCATENATE("Tax Levy Amount in ",I2-1," Budget")</f>
        <v>Tax Levy Amount in 2023 Budget</v>
      </c>
      <c r="D9" s="561" t="str">
        <f>CONCATENATE("Allocation for Year ",I2,"")</f>
        <v>Allocation for Year 2024</v>
      </c>
      <c r="E9" s="576"/>
      <c r="F9" s="576"/>
      <c r="G9" s="576"/>
      <c r="H9" s="577"/>
      <c r="I9" s="1"/>
    </row>
    <row r="10" spans="1:9" x14ac:dyDescent="0.2">
      <c r="A10" s="1"/>
      <c r="B10" s="569"/>
      <c r="C10" s="569"/>
      <c r="D10" s="9" t="s">
        <v>33</v>
      </c>
      <c r="E10" s="9" t="s">
        <v>34</v>
      </c>
      <c r="F10" s="9" t="s">
        <v>70</v>
      </c>
      <c r="G10" s="408" t="s">
        <v>436</v>
      </c>
      <c r="H10" s="408" t="s">
        <v>437</v>
      </c>
      <c r="I10" s="1"/>
    </row>
    <row r="11" spans="1:9" x14ac:dyDescent="0.2">
      <c r="A11" s="1"/>
      <c r="B11" s="11" t="str">
        <f>inputPrYr!B19</f>
        <v>General</v>
      </c>
      <c r="C11" s="12">
        <f>inputPrYr!E19</f>
        <v>0</v>
      </c>
      <c r="D11" s="12">
        <f>IF(E17=0,0,E17-SUM(D12:D14))</f>
        <v>0</v>
      </c>
      <c r="E11" s="12">
        <f>IF(E19=0,0,E19-SUM(E12:E14))</f>
        <v>0</v>
      </c>
      <c r="F11" s="12">
        <f>IF(E21=0,0,E21-SUM(F12:F14))</f>
        <v>0</v>
      </c>
      <c r="G11" s="12">
        <f>IF(E23=0,0,E23-SUM(G12:G14))</f>
        <v>0</v>
      </c>
      <c r="H11" s="12">
        <f>IF(E25=0,0,E25-SUM(H12:H14))</f>
        <v>0</v>
      </c>
      <c r="I11" s="1"/>
    </row>
    <row r="12" spans="1:9" x14ac:dyDescent="0.2">
      <c r="A12" s="1"/>
      <c r="B12" s="11" t="str">
        <f>inputPrYr!B20</f>
        <v>Debt Service</v>
      </c>
      <c r="C12" s="12">
        <f>inputPrYr!E20</f>
        <v>0</v>
      </c>
      <c r="D12" s="12">
        <f>IF($E$17=0,0,ROUND(C12*$C$28,0))</f>
        <v>0</v>
      </c>
      <c r="E12" s="12">
        <f>IF($E$19=0,0,ROUND(C12*$D$30,0))</f>
        <v>0</v>
      </c>
      <c r="F12" s="12">
        <f>IF($E21=0,0,ROUND(C12*$E$32,0))</f>
        <v>0</v>
      </c>
      <c r="G12" s="12">
        <f>IF($E23=0,0,ROUND(C12*$F$34,0))</f>
        <v>0</v>
      </c>
      <c r="H12" s="12">
        <f>IF($E25=0,0,ROUND(C12*$G$36,0))</f>
        <v>0</v>
      </c>
      <c r="I12" s="1"/>
    </row>
    <row r="13" spans="1:9" x14ac:dyDescent="0.2">
      <c r="A13" s="1"/>
      <c r="B13" s="11" t="str">
        <f>IF(inputPrYr!$B$22&gt;"  ",inputPrYr!$B$22,"  ")</f>
        <v xml:space="preserve">  </v>
      </c>
      <c r="C13" s="12">
        <f>inputPrYr!E22</f>
        <v>0</v>
      </c>
      <c r="D13" s="12">
        <f>IF($E$17=0,0,ROUND(C13*$C$28,0))</f>
        <v>0</v>
      </c>
      <c r="E13" s="12">
        <f>IF($E$19=0,0,ROUND(C13*$D$30,0))</f>
        <v>0</v>
      </c>
      <c r="F13" s="12">
        <f>IF($E21=0,0,ROUND(C13*$E$32,0))</f>
        <v>0</v>
      </c>
      <c r="G13" s="12">
        <f>IF($E23=0,0,ROUND(C13*$F$34,0))</f>
        <v>0</v>
      </c>
      <c r="H13" s="12">
        <f>IF($E25=0,0,ROUND(C13*$G$36,0))</f>
        <v>0</v>
      </c>
      <c r="I13" s="1"/>
    </row>
    <row r="14" spans="1:9" x14ac:dyDescent="0.2">
      <c r="A14" s="1"/>
      <c r="B14" s="11" t="str">
        <f>IF(inputPrYr!$B$23&gt;"  ",inputPrYr!$B$23,"  ")</f>
        <v xml:space="preserve">  </v>
      </c>
      <c r="C14" s="12">
        <f>inputPrYr!E23</f>
        <v>0</v>
      </c>
      <c r="D14" s="12">
        <f>IF($E$17=0,0,ROUND(C14*$C$28,0))</f>
        <v>0</v>
      </c>
      <c r="E14" s="12">
        <f>IF($E$19=0,0,ROUND(C14*$D$30,0))</f>
        <v>0</v>
      </c>
      <c r="F14" s="12">
        <f>IF($E21=0,0,ROUND(C14*$E$32,0))</f>
        <v>0</v>
      </c>
      <c r="G14" s="12">
        <f>IF($E23=0,0,ROUND(C14*$F$34,0))</f>
        <v>0</v>
      </c>
      <c r="H14" s="12">
        <f>IF($E25=0,0,ROUND(C14*$G$36,0))</f>
        <v>0</v>
      </c>
      <c r="I14" s="1"/>
    </row>
    <row r="15" spans="1:9" ht="16.5" thickBot="1" x14ac:dyDescent="0.25">
      <c r="A15" s="1"/>
      <c r="B15" s="14" t="s">
        <v>5</v>
      </c>
      <c r="C15" s="500">
        <f t="shared" ref="C15:H15" si="0">SUM(C11:C14)</f>
        <v>0</v>
      </c>
      <c r="D15" s="500">
        <f t="shared" si="0"/>
        <v>0</v>
      </c>
      <c r="E15" s="500">
        <f t="shared" si="0"/>
        <v>0</v>
      </c>
      <c r="F15" s="500">
        <f t="shared" si="0"/>
        <v>0</v>
      </c>
      <c r="G15" s="500">
        <f t="shared" si="0"/>
        <v>0</v>
      </c>
      <c r="H15" s="500">
        <f t="shared" si="0"/>
        <v>0</v>
      </c>
      <c r="I15" s="1"/>
    </row>
    <row r="16" spans="1:9" ht="16.5" thickTop="1" x14ac:dyDescent="0.2">
      <c r="A16" s="1"/>
      <c r="B16" s="1"/>
      <c r="C16" s="1"/>
      <c r="D16" s="1"/>
      <c r="E16" s="1"/>
      <c r="F16" s="1"/>
      <c r="G16" s="1"/>
      <c r="H16" s="1"/>
      <c r="I16" s="1"/>
    </row>
    <row r="17" spans="1:9" x14ac:dyDescent="0.2">
      <c r="A17" s="1"/>
      <c r="B17" s="409" t="s">
        <v>438</v>
      </c>
      <c r="C17" s="1"/>
      <c r="D17" s="1"/>
      <c r="E17" s="16">
        <f>inputOth!E29</f>
        <v>0</v>
      </c>
      <c r="F17" s="1"/>
      <c r="G17" s="1"/>
      <c r="H17" s="1"/>
      <c r="I17" s="1"/>
    </row>
    <row r="18" spans="1:9" x14ac:dyDescent="0.2">
      <c r="A18" s="1"/>
      <c r="B18" s="377"/>
      <c r="C18" s="1"/>
      <c r="D18" s="5"/>
      <c r="E18" s="5"/>
      <c r="F18" s="1"/>
      <c r="G18" s="1"/>
      <c r="H18" s="1"/>
      <c r="I18" s="1"/>
    </row>
    <row r="19" spans="1:9" x14ac:dyDescent="0.2">
      <c r="A19" s="1"/>
      <c r="B19" s="409" t="s">
        <v>439</v>
      </c>
      <c r="C19" s="1"/>
      <c r="D19" s="5"/>
      <c r="E19" s="16">
        <f>inputOth!E30</f>
        <v>0</v>
      </c>
      <c r="F19" s="1"/>
      <c r="G19" s="1"/>
      <c r="H19" s="1"/>
      <c r="I19" s="1"/>
    </row>
    <row r="20" spans="1:9" x14ac:dyDescent="0.2">
      <c r="A20" s="1"/>
      <c r="B20" s="377"/>
      <c r="C20" s="1"/>
      <c r="D20" s="1"/>
      <c r="E20" s="1"/>
      <c r="F20" s="1"/>
      <c r="G20" s="1"/>
      <c r="H20" s="1"/>
      <c r="I20" s="1"/>
    </row>
    <row r="21" spans="1:9" x14ac:dyDescent="0.2">
      <c r="A21" s="1"/>
      <c r="B21" s="409" t="s">
        <v>440</v>
      </c>
      <c r="C21" s="1"/>
      <c r="D21" s="1"/>
      <c r="E21" s="16">
        <f>inputOth!E31</f>
        <v>0</v>
      </c>
      <c r="F21" s="1"/>
      <c r="G21" s="1"/>
      <c r="H21" s="1"/>
      <c r="I21" s="1"/>
    </row>
    <row r="22" spans="1:9" x14ac:dyDescent="0.2">
      <c r="A22" s="1"/>
      <c r="B22" s="377"/>
      <c r="C22" s="1"/>
      <c r="D22" s="1"/>
      <c r="E22" s="5"/>
      <c r="F22" s="1"/>
      <c r="G22" s="1"/>
      <c r="H22" s="1"/>
      <c r="I22" s="1"/>
    </row>
    <row r="23" spans="1:9" x14ac:dyDescent="0.2">
      <c r="A23" s="1"/>
      <c r="B23" s="377" t="s">
        <v>441</v>
      </c>
      <c r="C23" s="1"/>
      <c r="D23" s="1"/>
      <c r="E23" s="16">
        <f>inputOth!E32</f>
        <v>0</v>
      </c>
      <c r="F23" s="1"/>
      <c r="G23" s="1"/>
      <c r="H23" s="1"/>
      <c r="I23" s="1"/>
    </row>
    <row r="24" spans="1:9" x14ac:dyDescent="0.2">
      <c r="A24" s="1"/>
      <c r="B24" s="377"/>
      <c r="C24" s="1"/>
      <c r="D24" s="1"/>
      <c r="E24" s="5"/>
      <c r="F24" s="1"/>
      <c r="G24" s="1"/>
      <c r="H24" s="1"/>
      <c r="I24" s="1"/>
    </row>
    <row r="25" spans="1:9" x14ac:dyDescent="0.2">
      <c r="A25" s="1"/>
      <c r="B25" s="377" t="s">
        <v>442</v>
      </c>
      <c r="C25" s="1"/>
      <c r="D25" s="1"/>
      <c r="E25" s="16">
        <f>inputOth!E33</f>
        <v>0</v>
      </c>
      <c r="F25" s="1"/>
      <c r="G25" s="1"/>
      <c r="H25" s="1"/>
      <c r="I25" s="1"/>
    </row>
    <row r="26" spans="1:9" x14ac:dyDescent="0.2">
      <c r="A26" s="1"/>
      <c r="B26" s="1"/>
      <c r="C26" s="1"/>
      <c r="D26" s="1"/>
      <c r="E26" s="1"/>
      <c r="F26" s="1"/>
      <c r="G26" s="1"/>
      <c r="H26" s="1"/>
      <c r="I26" s="1"/>
    </row>
    <row r="27" spans="1:9" x14ac:dyDescent="0.2">
      <c r="A27" s="1"/>
      <c r="B27" s="407"/>
      <c r="C27" s="407"/>
      <c r="D27" s="407"/>
      <c r="E27" s="407"/>
      <c r="F27" s="407"/>
      <c r="G27" s="1"/>
      <c r="H27" s="1"/>
      <c r="I27" s="1"/>
    </row>
    <row r="28" spans="1:9" x14ac:dyDescent="0.2">
      <c r="A28" s="1"/>
      <c r="B28" s="406" t="s">
        <v>35</v>
      </c>
      <c r="C28" s="405">
        <f>IF(C15=0,0,E17/C15)</f>
        <v>0</v>
      </c>
      <c r="D28" s="407"/>
      <c r="E28" s="407"/>
      <c r="F28" s="407"/>
      <c r="G28" s="1"/>
      <c r="H28" s="1"/>
      <c r="I28" s="1"/>
    </row>
    <row r="29" spans="1:9" x14ac:dyDescent="0.2">
      <c r="A29" s="1"/>
      <c r="B29" s="404"/>
      <c r="C29" s="403"/>
      <c r="D29" s="407"/>
      <c r="E29" s="407"/>
      <c r="F29" s="407"/>
      <c r="G29" s="1"/>
      <c r="H29" s="1"/>
      <c r="I29" s="1"/>
    </row>
    <row r="30" spans="1:9" x14ac:dyDescent="0.2">
      <c r="A30" s="1"/>
      <c r="B30" s="407"/>
      <c r="C30" s="406" t="s">
        <v>36</v>
      </c>
      <c r="D30" s="402">
        <f>IF(C15=0,0,E19/C15)</f>
        <v>0</v>
      </c>
      <c r="E30" s="407"/>
      <c r="F30" s="407"/>
      <c r="G30" s="1"/>
      <c r="H30" s="1"/>
      <c r="I30" s="1"/>
    </row>
    <row r="31" spans="1:9" x14ac:dyDescent="0.2">
      <c r="A31" s="1"/>
      <c r="B31" s="407"/>
      <c r="C31" s="404"/>
      <c r="D31" s="401"/>
      <c r="E31" s="407"/>
      <c r="F31" s="407"/>
      <c r="G31" s="1"/>
      <c r="H31" s="1"/>
      <c r="I31" s="1"/>
    </row>
    <row r="32" spans="1:9" x14ac:dyDescent="0.2">
      <c r="A32" s="1"/>
      <c r="B32" s="407"/>
      <c r="C32" s="407"/>
      <c r="D32" s="406" t="s">
        <v>71</v>
      </c>
      <c r="E32" s="402">
        <f>IF(C15=0,0,E21/C15)</f>
        <v>0</v>
      </c>
      <c r="F32" s="407"/>
      <c r="G32" s="1"/>
      <c r="H32" s="1"/>
      <c r="I32" s="1"/>
    </row>
    <row r="33" spans="1:9" x14ac:dyDescent="0.2">
      <c r="A33" s="1"/>
      <c r="B33" s="407"/>
      <c r="C33" s="407"/>
      <c r="D33" s="406"/>
      <c r="E33" s="401"/>
      <c r="F33" s="407"/>
      <c r="G33" s="1"/>
      <c r="H33" s="1"/>
      <c r="I33" s="1"/>
    </row>
    <row r="34" spans="1:9" x14ac:dyDescent="0.2">
      <c r="A34" s="1"/>
      <c r="B34" s="407"/>
      <c r="C34" s="407"/>
      <c r="D34" s="406"/>
      <c r="E34" s="410" t="s">
        <v>443</v>
      </c>
      <c r="F34" s="402">
        <f>IF(C15=0,0,E23/C15)</f>
        <v>0</v>
      </c>
      <c r="G34" s="1"/>
      <c r="H34" s="1"/>
      <c r="I34" s="1"/>
    </row>
    <row r="35" spans="1:9" x14ac:dyDescent="0.2">
      <c r="A35" s="1"/>
      <c r="B35" s="407"/>
      <c r="C35" s="407"/>
      <c r="D35" s="406"/>
      <c r="E35" s="401"/>
      <c r="F35" s="407"/>
      <c r="G35" s="1"/>
      <c r="H35" s="1"/>
      <c r="I35" s="1"/>
    </row>
    <row r="36" spans="1:9" x14ac:dyDescent="0.2">
      <c r="A36" s="1"/>
      <c r="B36" s="407"/>
      <c r="C36" s="407"/>
      <c r="D36" s="406"/>
      <c r="E36" s="401"/>
      <c r="F36" s="411" t="s">
        <v>444</v>
      </c>
      <c r="G36" s="402">
        <f>IF(C15=0,0,E25/C15)</f>
        <v>0</v>
      </c>
      <c r="H36" s="1"/>
      <c r="I36" s="1"/>
    </row>
    <row r="37" spans="1:9" x14ac:dyDescent="0.2">
      <c r="A37" s="1"/>
      <c r="B37" s="1"/>
      <c r="C37" s="1"/>
      <c r="D37" s="1"/>
      <c r="E37" s="1"/>
      <c r="F37" s="1"/>
      <c r="G37" s="1"/>
      <c r="H37" s="1"/>
      <c r="I37" s="1"/>
    </row>
    <row r="38" spans="1:9" x14ac:dyDescent="0.2">
      <c r="A38" s="1"/>
      <c r="B38" s="1"/>
      <c r="C38" s="6"/>
      <c r="D38" s="6"/>
      <c r="E38" s="6"/>
      <c r="F38" s="6"/>
      <c r="G38" s="6"/>
      <c r="H38" s="6"/>
      <c r="I38" s="1"/>
    </row>
  </sheetData>
  <sheetProtection sheet="1" objects="1" scenarios="1"/>
  <mergeCells count="4">
    <mergeCell ref="C9:C10"/>
    <mergeCell ref="B9:B10"/>
    <mergeCell ref="D9:H9"/>
    <mergeCell ref="A6:I6"/>
  </mergeCells>
  <phoneticPr fontId="0" type="noConversion"/>
  <pageMargins left="0.5" right="0.5" top="1" bottom="0.5" header="0.5" footer="0.5"/>
  <pageSetup scale="85" orientation="landscape" blackAndWhite="1" horizontalDpi="120" verticalDpi="144" r:id="rId1"/>
  <headerFooter alignWithMargins="0">
    <oddHeader xml:space="preserve">&amp;RState of Kansas
Special District
</oddHeader>
    <oddFooter xml:space="preserve">&amp;CPage No. 2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00B0F0"/>
    <pageSetUpPr fitToPage="1"/>
  </sheetPr>
  <dimension ref="A1:G30"/>
  <sheetViews>
    <sheetView workbookViewId="0"/>
  </sheetViews>
  <sheetFormatPr defaultRowHeight="15.75" x14ac:dyDescent="0.2"/>
  <cols>
    <col min="1" max="2" width="17.77734375" style="3" customWidth="1"/>
    <col min="3" max="5" width="12.77734375" style="3" customWidth="1"/>
    <col min="6" max="6" width="13.77734375" style="3" customWidth="1"/>
    <col min="7" max="16384" width="8.88671875" style="3"/>
  </cols>
  <sheetData>
    <row r="1" spans="1:6" x14ac:dyDescent="0.2">
      <c r="A1" s="5"/>
      <c r="B1" s="1"/>
      <c r="C1" s="1"/>
      <c r="D1" s="1"/>
      <c r="E1" s="2"/>
      <c r="F1" s="1">
        <f>inputPrYr!D6</f>
        <v>2024</v>
      </c>
    </row>
    <row r="2" spans="1:6" x14ac:dyDescent="0.2">
      <c r="A2" s="5">
        <f>inputPrYr!D3</f>
        <v>0</v>
      </c>
      <c r="B2" s="5"/>
      <c r="C2" s="1"/>
      <c r="D2" s="1"/>
      <c r="E2" s="2"/>
      <c r="F2" s="1"/>
    </row>
    <row r="3" spans="1:6" x14ac:dyDescent="0.2">
      <c r="A3" s="5">
        <f>inputPrYr!D4</f>
        <v>0</v>
      </c>
      <c r="B3" s="5"/>
      <c r="C3" s="1"/>
      <c r="D3" s="1"/>
      <c r="E3" s="2"/>
      <c r="F3" s="1"/>
    </row>
    <row r="4" spans="1:6" x14ac:dyDescent="0.2">
      <c r="A4" s="5"/>
      <c r="B4" s="1"/>
      <c r="C4" s="1"/>
      <c r="D4" s="1"/>
      <c r="E4" s="2"/>
      <c r="F4" s="1"/>
    </row>
    <row r="5" spans="1:6" ht="15" customHeight="1" x14ac:dyDescent="0.2">
      <c r="A5" s="559" t="s">
        <v>85</v>
      </c>
      <c r="B5" s="559"/>
      <c r="C5" s="559"/>
      <c r="D5" s="559"/>
      <c r="E5" s="559"/>
      <c r="F5" s="559"/>
    </row>
    <row r="6" spans="1:6" ht="14.25" customHeight="1" x14ac:dyDescent="0.2">
      <c r="A6" s="17"/>
      <c r="B6" s="18"/>
      <c r="C6" s="18"/>
      <c r="D6" s="18"/>
      <c r="E6" s="18"/>
      <c r="F6" s="18"/>
    </row>
    <row r="7" spans="1:6" ht="17.25" customHeight="1" x14ac:dyDescent="0.2">
      <c r="A7" s="19" t="s">
        <v>13</v>
      </c>
      <c r="B7" s="19" t="s">
        <v>392</v>
      </c>
      <c r="C7" s="19" t="s">
        <v>37</v>
      </c>
      <c r="D7" s="19" t="s">
        <v>86</v>
      </c>
      <c r="E7" s="19" t="s">
        <v>87</v>
      </c>
      <c r="F7" s="19" t="s">
        <v>98</v>
      </c>
    </row>
    <row r="8" spans="1:6" ht="17.25" customHeight="1" x14ac:dyDescent="0.2">
      <c r="A8" s="20" t="s">
        <v>393</v>
      </c>
      <c r="B8" s="20" t="s">
        <v>394</v>
      </c>
      <c r="C8" s="20" t="s">
        <v>99</v>
      </c>
      <c r="D8" s="20" t="s">
        <v>99</v>
      </c>
      <c r="E8" s="20" t="s">
        <v>99</v>
      </c>
      <c r="F8" s="20" t="s">
        <v>100</v>
      </c>
    </row>
    <row r="9" spans="1:6" s="23" customFormat="1" ht="18" customHeight="1" x14ac:dyDescent="0.2">
      <c r="A9" s="21" t="s">
        <v>101</v>
      </c>
      <c r="B9" s="21" t="s">
        <v>102</v>
      </c>
      <c r="C9" s="22">
        <f>F1-2</f>
        <v>2022</v>
      </c>
      <c r="D9" s="22">
        <f>F1-1</f>
        <v>2023</v>
      </c>
      <c r="E9" s="22">
        <f>F1</f>
        <v>2024</v>
      </c>
      <c r="F9" s="21" t="s">
        <v>103</v>
      </c>
    </row>
    <row r="10" spans="1:6" ht="15" customHeight="1" x14ac:dyDescent="0.2">
      <c r="A10" s="24"/>
      <c r="B10" s="24"/>
      <c r="C10" s="25"/>
      <c r="D10" s="25"/>
      <c r="E10" s="25"/>
      <c r="F10" s="24"/>
    </row>
    <row r="11" spans="1:6" ht="15" customHeight="1" x14ac:dyDescent="0.2">
      <c r="A11" s="26"/>
      <c r="B11" s="26"/>
      <c r="C11" s="27"/>
      <c r="D11" s="27"/>
      <c r="E11" s="27"/>
      <c r="F11" s="26"/>
    </row>
    <row r="12" spans="1:6" ht="15" customHeight="1" x14ac:dyDescent="0.2">
      <c r="A12" s="26"/>
      <c r="B12" s="26"/>
      <c r="C12" s="27"/>
      <c r="D12" s="27"/>
      <c r="E12" s="27"/>
      <c r="F12" s="26"/>
    </row>
    <row r="13" spans="1:6" ht="15" customHeight="1" x14ac:dyDescent="0.2">
      <c r="A13" s="26"/>
      <c r="B13" s="26"/>
      <c r="C13" s="27"/>
      <c r="D13" s="27"/>
      <c r="E13" s="27"/>
      <c r="F13" s="26"/>
    </row>
    <row r="14" spans="1:6" ht="15" customHeight="1" x14ac:dyDescent="0.2">
      <c r="A14" s="26"/>
      <c r="B14" s="26"/>
      <c r="C14" s="27"/>
      <c r="D14" s="27"/>
      <c r="E14" s="27"/>
      <c r="F14" s="26"/>
    </row>
    <row r="15" spans="1:6" ht="15" customHeight="1" x14ac:dyDescent="0.2">
      <c r="A15" s="26"/>
      <c r="B15" s="26"/>
      <c r="C15" s="27"/>
      <c r="D15" s="27"/>
      <c r="E15" s="27"/>
      <c r="F15" s="26"/>
    </row>
    <row r="16" spans="1:6" ht="15" customHeight="1" x14ac:dyDescent="0.2">
      <c r="A16" s="26"/>
      <c r="B16" s="28"/>
      <c r="C16" s="27"/>
      <c r="D16" s="27"/>
      <c r="E16" s="27"/>
      <c r="F16" s="26"/>
    </row>
    <row r="17" spans="1:7" ht="15" customHeight="1" x14ac:dyDescent="0.2">
      <c r="A17" s="26"/>
      <c r="B17" s="26"/>
      <c r="C17" s="27"/>
      <c r="D17" s="27"/>
      <c r="E17" s="27"/>
      <c r="F17" s="26"/>
    </row>
    <row r="18" spans="1:7" ht="15" customHeight="1" x14ac:dyDescent="0.2">
      <c r="A18" s="26"/>
      <c r="B18" s="26"/>
      <c r="C18" s="27"/>
      <c r="D18" s="27"/>
      <c r="E18" s="27"/>
      <c r="F18" s="26"/>
    </row>
    <row r="19" spans="1:7" ht="15" customHeight="1" x14ac:dyDescent="0.2">
      <c r="A19" s="26"/>
      <c r="B19" s="26"/>
      <c r="C19" s="27"/>
      <c r="D19" s="27"/>
      <c r="E19" s="27"/>
      <c r="F19" s="26"/>
    </row>
    <row r="20" spans="1:7" ht="15" customHeight="1" x14ac:dyDescent="0.2">
      <c r="A20" s="26"/>
      <c r="B20" s="26"/>
      <c r="C20" s="27"/>
      <c r="D20" s="27"/>
      <c r="E20" s="27"/>
      <c r="F20" s="26"/>
    </row>
    <row r="21" spans="1:7" ht="15" customHeight="1" x14ac:dyDescent="0.2">
      <c r="A21" s="26"/>
      <c r="B21" s="26"/>
      <c r="C21" s="27"/>
      <c r="D21" s="27"/>
      <c r="E21" s="27"/>
      <c r="F21" s="26"/>
    </row>
    <row r="22" spans="1:7" ht="15" customHeight="1" x14ac:dyDescent="0.2">
      <c r="A22" s="26"/>
      <c r="B22" s="26"/>
      <c r="C22" s="27"/>
      <c r="D22" s="27"/>
      <c r="E22" s="27"/>
      <c r="F22" s="26"/>
    </row>
    <row r="23" spans="1:7" ht="15" customHeight="1" x14ac:dyDescent="0.2">
      <c r="A23" s="26"/>
      <c r="B23" s="26"/>
      <c r="C23" s="27"/>
      <c r="D23" s="27"/>
      <c r="E23" s="27"/>
      <c r="F23" s="26"/>
    </row>
    <row r="24" spans="1:7" x14ac:dyDescent="0.2">
      <c r="A24" s="29"/>
      <c r="B24" s="30" t="s">
        <v>81</v>
      </c>
      <c r="C24" s="34">
        <f>SUM(C10:C23)</f>
        <v>0</v>
      </c>
      <c r="D24" s="34">
        <f>SUM(D10:D23)</f>
        <v>0</v>
      </c>
      <c r="E24" s="34">
        <f>SUM(E10:E23)</f>
        <v>0</v>
      </c>
      <c r="F24" s="31"/>
      <c r="G24" s="32"/>
    </row>
    <row r="25" spans="1:7" x14ac:dyDescent="0.2">
      <c r="A25" s="29"/>
      <c r="B25" s="33" t="s">
        <v>390</v>
      </c>
      <c r="C25" s="34"/>
      <c r="D25" s="35"/>
      <c r="E25" s="35"/>
      <c r="F25" s="31"/>
      <c r="G25" s="32"/>
    </row>
    <row r="26" spans="1:7" x14ac:dyDescent="0.2">
      <c r="A26" s="29"/>
      <c r="B26" s="30" t="s">
        <v>104</v>
      </c>
      <c r="C26" s="34">
        <f>C24</f>
        <v>0</v>
      </c>
      <c r="D26" s="34">
        <f>SUM(D24-D25)</f>
        <v>0</v>
      </c>
      <c r="E26" s="34">
        <f>SUM(E24-E25)</f>
        <v>0</v>
      </c>
      <c r="F26" s="31"/>
      <c r="G26" s="32"/>
    </row>
    <row r="27" spans="1:7" x14ac:dyDescent="0.2">
      <c r="A27" s="1"/>
      <c r="B27" s="1"/>
      <c r="C27" s="1"/>
      <c r="D27" s="6"/>
      <c r="E27" s="6"/>
      <c r="F27" s="6"/>
      <c r="G27" s="32"/>
    </row>
    <row r="28" spans="1:7" x14ac:dyDescent="0.2">
      <c r="A28" s="1"/>
      <c r="B28" s="1"/>
      <c r="C28" s="1"/>
      <c r="D28" s="6"/>
      <c r="E28" s="6"/>
      <c r="F28" s="6"/>
      <c r="G28" s="32"/>
    </row>
    <row r="29" spans="1:7" x14ac:dyDescent="0.2">
      <c r="A29" s="257" t="s">
        <v>391</v>
      </c>
      <c r="B29" s="258" t="str">
        <f>CONCATENATE("Adjustments are required only if the transfer is being made in ",D9," and/or ",E9," from a non-budgeted fund.")</f>
        <v>Adjustments are required only if the transfer is being made in 2023 and/or 2024 from a non-budgeted fund.</v>
      </c>
      <c r="C29" s="6"/>
      <c r="D29" s="6"/>
      <c r="E29" s="6"/>
      <c r="F29" s="6"/>
      <c r="G29" s="32"/>
    </row>
    <row r="30" spans="1:7" x14ac:dyDescent="0.2">
      <c r="A30" s="32"/>
      <c r="B30" s="32"/>
      <c r="C30" s="32"/>
      <c r="D30" s="32"/>
      <c r="E30" s="32"/>
      <c r="F30" s="32"/>
      <c r="G30" s="32"/>
    </row>
  </sheetData>
  <sheetProtection sheet="1" objects="1" scenarios="1"/>
  <mergeCells count="1">
    <mergeCell ref="A5:F5"/>
  </mergeCells>
  <phoneticPr fontId="11" type="noConversion"/>
  <pageMargins left="0.75" right="0.75" top="1" bottom="1" header="0.5" footer="0.5"/>
  <pageSetup scale="78" orientation="portrait" blackAndWhite="1" r:id="rId1"/>
  <headerFooter alignWithMargins="0">
    <oddHeader>&amp;RState of Kansas
Special District</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41"/>
  <sheetViews>
    <sheetView workbookViewId="0">
      <selection activeCell="N85" sqref="N85"/>
    </sheetView>
  </sheetViews>
  <sheetFormatPr defaultRowHeight="15" x14ac:dyDescent="0.2"/>
  <cols>
    <col min="1" max="1" width="71.109375" style="32" customWidth="1"/>
    <col min="2" max="16384" width="8.88671875" style="32"/>
  </cols>
  <sheetData>
    <row r="1" spans="1:1" ht="18.75" x14ac:dyDescent="0.2">
      <c r="A1" s="270" t="s">
        <v>169</v>
      </c>
    </row>
    <row r="2" spans="1:1" ht="15.75" x14ac:dyDescent="0.2">
      <c r="A2" s="66"/>
    </row>
    <row r="3" spans="1:1" ht="47.25" x14ac:dyDescent="0.2">
      <c r="A3" s="271" t="s">
        <v>170</v>
      </c>
    </row>
    <row r="4" spans="1:1" ht="15.75" x14ac:dyDescent="0.2">
      <c r="A4" s="272"/>
    </row>
    <row r="5" spans="1:1" ht="15.75" x14ac:dyDescent="0.2">
      <c r="A5" s="66"/>
    </row>
    <row r="6" spans="1:1" ht="63" x14ac:dyDescent="0.2">
      <c r="A6" s="271" t="s">
        <v>171</v>
      </c>
    </row>
    <row r="7" spans="1:1" ht="15.75" x14ac:dyDescent="0.2">
      <c r="A7" s="272"/>
    </row>
    <row r="8" spans="1:1" ht="15.75" x14ac:dyDescent="0.2">
      <c r="A8" s="66"/>
    </row>
    <row r="9" spans="1:1" ht="47.25" x14ac:dyDescent="0.2">
      <c r="A9" s="271" t="s">
        <v>172</v>
      </c>
    </row>
    <row r="10" spans="1:1" ht="15.75" x14ac:dyDescent="0.2">
      <c r="A10" s="272"/>
    </row>
    <row r="11" spans="1:1" ht="15.75" x14ac:dyDescent="0.2">
      <c r="A11" s="272"/>
    </row>
    <row r="12" spans="1:1" ht="31.5" x14ac:dyDescent="0.2">
      <c r="A12" s="271" t="s">
        <v>173</v>
      </c>
    </row>
    <row r="13" spans="1:1" ht="15.75" x14ac:dyDescent="0.2">
      <c r="A13" s="66"/>
    </row>
    <row r="14" spans="1:1" ht="15.75" x14ac:dyDescent="0.2">
      <c r="A14" s="66"/>
    </row>
    <row r="15" spans="1:1" ht="47.25" x14ac:dyDescent="0.2">
      <c r="A15" s="271" t="s">
        <v>174</v>
      </c>
    </row>
    <row r="16" spans="1:1" ht="15.75" x14ac:dyDescent="0.2">
      <c r="A16" s="66"/>
    </row>
    <row r="17" spans="1:1" ht="15.75" x14ac:dyDescent="0.2">
      <c r="A17" s="66"/>
    </row>
    <row r="18" spans="1:1" ht="63" x14ac:dyDescent="0.25">
      <c r="A18" s="273" t="s">
        <v>401</v>
      </c>
    </row>
    <row r="19" spans="1:1" ht="15.75" x14ac:dyDescent="0.2">
      <c r="A19" s="66"/>
    </row>
    <row r="20" spans="1:1" ht="15.75" x14ac:dyDescent="0.2">
      <c r="A20" s="66"/>
    </row>
    <row r="21" spans="1:1" ht="63" x14ac:dyDescent="0.2">
      <c r="A21" s="276" t="s">
        <v>175</v>
      </c>
    </row>
    <row r="22" spans="1:1" ht="15.75" x14ac:dyDescent="0.2">
      <c r="A22" s="272"/>
    </row>
    <row r="23" spans="1:1" ht="15.75" x14ac:dyDescent="0.2">
      <c r="A23" s="66"/>
    </row>
    <row r="24" spans="1:1" ht="63" x14ac:dyDescent="0.2">
      <c r="A24" s="271" t="s">
        <v>176</v>
      </c>
    </row>
    <row r="25" spans="1:1" ht="47.25" x14ac:dyDescent="0.2">
      <c r="A25" s="274" t="s">
        <v>177</v>
      </c>
    </row>
    <row r="26" spans="1:1" ht="15.75" x14ac:dyDescent="0.2">
      <c r="A26" s="272"/>
    </row>
    <row r="27" spans="1:1" ht="15.75" x14ac:dyDescent="0.2">
      <c r="A27" s="66"/>
    </row>
    <row r="28" spans="1:1" ht="63" x14ac:dyDescent="0.25">
      <c r="A28" s="273" t="s">
        <v>402</v>
      </c>
    </row>
    <row r="29" spans="1:1" ht="15.75" x14ac:dyDescent="0.2">
      <c r="A29" s="66"/>
    </row>
    <row r="30" spans="1:1" ht="15.75" x14ac:dyDescent="0.2">
      <c r="A30" s="66"/>
    </row>
    <row r="31" spans="1:1" ht="78.75" x14ac:dyDescent="0.25">
      <c r="A31" s="273" t="s">
        <v>403</v>
      </c>
    </row>
    <row r="32" spans="1:1" ht="15.75" x14ac:dyDescent="0.2">
      <c r="A32" s="66"/>
    </row>
    <row r="33" spans="1:1" ht="15.75" x14ac:dyDescent="0.2">
      <c r="A33" s="66"/>
    </row>
    <row r="34" spans="1:1" ht="47.25" x14ac:dyDescent="0.25">
      <c r="A34" s="275" t="s">
        <v>404</v>
      </c>
    </row>
    <row r="35" spans="1:1" ht="15.75" x14ac:dyDescent="0.2">
      <c r="A35" s="66"/>
    </row>
    <row r="36" spans="1:1" ht="15.75" x14ac:dyDescent="0.2">
      <c r="A36" s="66"/>
    </row>
    <row r="37" spans="1:1" ht="78.75" x14ac:dyDescent="0.2">
      <c r="A37" s="271" t="s">
        <v>178</v>
      </c>
    </row>
    <row r="38" spans="1:1" ht="15.75" x14ac:dyDescent="0.2">
      <c r="A38" s="272"/>
    </row>
    <row r="39" spans="1:1" ht="15.75" x14ac:dyDescent="0.2">
      <c r="A39" s="272"/>
    </row>
    <row r="40" spans="1:1" ht="47.25" x14ac:dyDescent="0.2">
      <c r="A40" s="276" t="s">
        <v>179</v>
      </c>
    </row>
    <row r="41" spans="1:1" ht="15.75" x14ac:dyDescent="0.2">
      <c r="A41" s="272"/>
    </row>
  </sheetData>
  <sheetProtection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da53aa1-44b3-4cd7-9bce-6d7e34741e4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12" ma:contentTypeDescription="Create a new document." ma:contentTypeScope="" ma:versionID="7651c3249043c5a1de3dbca765d0b8ca">
  <xsd:schema xmlns:xsd="http://www.w3.org/2001/XMLSchema" xmlns:xs="http://www.w3.org/2001/XMLSchema" xmlns:p="http://schemas.microsoft.com/office/2006/metadata/properties" xmlns:ns2="1895758b-fcac-4748-aa0a-5720d2d7d486" xmlns:ns3="7e2d0d8f-ac74-4d4c-8884-aff3748a733a" xmlns:ns4="a9343af4-2466-41a9-9238-9dddcc3e6066" xmlns:ns5="eda53aa1-44b3-4cd7-9bce-6d7e34741e47" targetNamespace="http://schemas.microsoft.com/office/2006/metadata/properties" ma:root="true" ma:fieldsID="db0d394f9a5513f0d824e2dca6eb113c" ns2:_="" ns3:_="" ns4:_="" ns5:_="">
    <xsd:import namespace="1895758b-fcac-4748-aa0a-5720d2d7d486"/>
    <xsd:import namespace="7e2d0d8f-ac74-4d4c-8884-aff3748a733a"/>
    <xsd:import namespace="a9343af4-2466-41a9-9238-9dddcc3e6066"/>
    <xsd:import namespace="eda53aa1-44b3-4cd7-9bce-6d7e34741e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a53aa1-44b3-4cd7-9bce-6d7e34741e4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e2891e4-6779-4a5a-9225-82d50eb2cf56}" ma:internalName="TaxCatchAll" ma:showField="CatchAllData" ma:web="eda53aa1-44b3-4cd7-9bce-6d7e34741e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B6EF21-784B-460A-8821-59DE9525F411}">
  <ds:schemaRefs>
    <ds:schemaRef ds:uri="http://schemas.microsoft.com/sharepoint/v3/contenttype/forms"/>
  </ds:schemaRefs>
</ds:datastoreItem>
</file>

<file path=customXml/itemProps2.xml><?xml version="1.0" encoding="utf-8"?>
<ds:datastoreItem xmlns:ds="http://schemas.openxmlformats.org/officeDocument/2006/customXml" ds:itemID="{0389D39B-4A93-4594-B786-9078B2D04C0F}">
  <ds:schemaRefs>
    <ds:schemaRef ds:uri="http://schemas.microsoft.com/office/2006/documentManagement/types"/>
    <ds:schemaRef ds:uri="http://purl.org/dc/elements/1.1/"/>
    <ds:schemaRef ds:uri="7e2d0d8f-ac74-4d4c-8884-aff3748a733a"/>
    <ds:schemaRef ds:uri="1895758b-fcac-4748-aa0a-5720d2d7d486"/>
    <ds:schemaRef ds:uri="http://schemas.microsoft.com/office/infopath/2007/PartnerControls"/>
    <ds:schemaRef ds:uri="http://purl.org/dc/terms/"/>
    <ds:schemaRef ds:uri="a9343af4-2466-41a9-9238-9dddcc3e6066"/>
    <ds:schemaRef ds:uri="http://schemas.microsoft.com/office/2006/metadata/properties"/>
    <ds:schemaRef ds:uri="http://schemas.openxmlformats.org/package/2006/metadata/core-properties"/>
    <ds:schemaRef ds:uri="http://www.w3.org/XML/1998/namespace"/>
    <ds:schemaRef ds:uri="http://purl.org/dc/dcmitype/"/>
    <ds:schemaRef ds:uri="eda53aa1-44b3-4cd7-9bce-6d7e34741e47"/>
  </ds:schemaRefs>
</ds:datastoreItem>
</file>

<file path=customXml/itemProps3.xml><?xml version="1.0" encoding="utf-8"?>
<ds:datastoreItem xmlns:ds="http://schemas.openxmlformats.org/officeDocument/2006/customXml" ds:itemID="{22417F52-A548-46DE-A74E-4A65055778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eda53aa1-44b3-4cd7-9bce-6d7e34741e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10</vt:i4>
      </vt:variant>
    </vt:vector>
  </HeadingPairs>
  <TitlesOfParts>
    <vt:vector size="41" baseType="lpstr">
      <vt:lpstr>instructions</vt:lpstr>
      <vt:lpstr>inputPrYr</vt:lpstr>
      <vt:lpstr>inputOth</vt:lpstr>
      <vt:lpstr>inputHearing</vt:lpstr>
      <vt:lpstr>CPA Summary</vt:lpstr>
      <vt:lpstr>Cert</vt:lpstr>
      <vt:lpstr>Mvalloc</vt:lpstr>
      <vt:lpstr>Transfers</vt:lpstr>
      <vt:lpstr>Transfer Statutes</vt:lpstr>
      <vt:lpstr>Debt-LP Form</vt:lpstr>
      <vt:lpstr>General</vt:lpstr>
      <vt:lpstr>Debt Service</vt:lpstr>
      <vt:lpstr>Levy Page 7</vt:lpstr>
      <vt:lpstr>No Levy Page 8</vt:lpstr>
      <vt:lpstr>Non-Budgeted Funds</vt:lpstr>
      <vt:lpstr>Non-Bud Funds Statutes</vt:lpstr>
      <vt:lpstr>Budget Hearing Notice</vt:lpstr>
      <vt:lpstr>Combined Rate-Bud Hearing Notic</vt:lpstr>
      <vt:lpstr>Rate Hearing Notice</vt:lpstr>
      <vt:lpstr>TIF CountyClerk</vt:lpstr>
      <vt:lpstr>NR Rebate</vt:lpstr>
      <vt:lpstr>SAMPLE Notice to County Clerk</vt:lpstr>
      <vt:lpstr>SAMPLE Roll Call to Exceed RNR</vt:lpstr>
      <vt:lpstr>SAMPLE Res to Exceed RNR</vt:lpstr>
      <vt:lpstr>Tab A</vt:lpstr>
      <vt:lpstr>Tab B</vt:lpstr>
      <vt:lpstr>Tab C</vt:lpstr>
      <vt:lpstr>Tab D</vt:lpstr>
      <vt:lpstr>Tab E</vt:lpstr>
      <vt:lpstr>Budget Tools</vt:lpstr>
      <vt:lpstr>Legend</vt:lpstr>
      <vt:lpstr>'Budget Hearing Notice'!Print_Area</vt:lpstr>
      <vt:lpstr>'Combined Rate-Bud Hearing Notic'!Print_Area</vt:lpstr>
      <vt:lpstr>'CPA Summary'!Print_Area</vt:lpstr>
      <vt:lpstr>'Debt Service'!Print_Area</vt:lpstr>
      <vt:lpstr>'Debt-LP Form'!Print_Area</vt:lpstr>
      <vt:lpstr>General!Print_Area</vt:lpstr>
      <vt:lpstr>inputPrYr!Print_Area</vt:lpstr>
      <vt:lpstr>instructions!Print_Area</vt:lpstr>
      <vt:lpstr>'Levy Page 7'!Print_Area</vt:lpstr>
      <vt:lpstr>Mvalloc!Print_Area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Jaramillo, Stacy [DAAR]</cp:lastModifiedBy>
  <cp:lastPrinted>2022-03-28T13:59:32Z</cp:lastPrinted>
  <dcterms:created xsi:type="dcterms:W3CDTF">1999-08-06T13:59:57Z</dcterms:created>
  <dcterms:modified xsi:type="dcterms:W3CDTF">2023-04-19T21:35:09Z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