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sokansas-my.sharepoint.com/personal/lindsay_a_olson_doa_ks_gov/Documents/Desktop/2025 Workbooks/"/>
    </mc:Choice>
  </mc:AlternateContent>
  <xr:revisionPtr revIDLastSave="44" documentId="8_{FBDBEC88-467E-4699-B333-5990C2142E04}" xr6:coauthVersionLast="47" xr6:coauthVersionMax="47" xr10:uidLastSave="{9DFA7655-3702-4FE8-9BDE-D1C1F9DE8A40}"/>
  <bookViews>
    <workbookView xWindow="4200" yWindow="1500" windowWidth="17715" windowHeight="13905" tabRatio="869" xr2:uid="{00000000-000D-0000-FFFF-FFFF00000000}"/>
  </bookViews>
  <sheets>
    <sheet name="Instructions" sheetId="1" r:id="rId1"/>
    <sheet name="inputPrYr" sheetId="2" r:id="rId2"/>
    <sheet name="inputOth" sheetId="14" r:id="rId3"/>
    <sheet name="inputHearing" sheetId="25" r:id="rId4"/>
    <sheet name="CPA Summary" sheetId="32" r:id="rId5"/>
    <sheet name="Cert" sheetId="3" r:id="rId6"/>
    <sheet name="Mvalloc" sheetId="7" r:id="rId7"/>
    <sheet name="Transfers" sheetId="13" r:id="rId8"/>
    <sheet name="Transfer Statutes" sheetId="18" r:id="rId9"/>
    <sheet name="Debt - LP Form" sheetId="9" r:id="rId10"/>
    <sheet name="General" sheetId="4" r:id="rId11"/>
    <sheet name="Debt Service" sheetId="15" r:id="rId12"/>
    <sheet name="Levy Page 7" sheetId="5" r:id="rId13"/>
    <sheet name="No Levy Page 8" sheetId="6" r:id="rId14"/>
    <sheet name="Non-Budgeted Funds" sheetId="17" r:id="rId15"/>
    <sheet name="Non-Bud Fund Statutes" sheetId="19" r:id="rId16"/>
    <sheet name="Budget Hearing Notice" sheetId="8" r:id="rId17"/>
    <sheet name="Combined Rate-Bud Hearing Notic" sheetId="33" r:id="rId18"/>
    <sheet name="Rate Hearing Notice" sheetId="34" r:id="rId19"/>
    <sheet name="NR Rebate" sheetId="16" r:id="rId20"/>
    <sheet name="SAMPLE Notice to County Clerk" sheetId="36" r:id="rId21"/>
    <sheet name="SAMPLE Roll Call to Exceed RNR" sheetId="38" r:id="rId22"/>
    <sheet name="SAMPLE Res to Exceed RNR" sheetId="35" r:id="rId23"/>
    <sheet name="Tab A" sheetId="20" r:id="rId24"/>
    <sheet name="Tab B" sheetId="21" r:id="rId25"/>
    <sheet name="Tab C" sheetId="22" r:id="rId26"/>
    <sheet name="Tab D" sheetId="23" r:id="rId27"/>
    <sheet name="Tab E" sheetId="24" r:id="rId28"/>
    <sheet name="Budget Tools" sheetId="37" r:id="rId29"/>
    <sheet name="Legend" sheetId="11" r:id="rId30"/>
  </sheets>
  <definedNames>
    <definedName name="_xlnm.Print_Area" localSheetId="16">'Budget Hearing Notice'!$A$1:$I$41</definedName>
    <definedName name="_xlnm.Print_Area" localSheetId="17">'Combined Rate-Bud Hearing Notic'!$A$1:$I$41</definedName>
    <definedName name="_xlnm.Print_Area" localSheetId="11">'Debt Service'!$B$1:$E$65</definedName>
    <definedName name="_xlnm.Print_Area" localSheetId="10">General!$B$1:$F$76</definedName>
    <definedName name="_xlnm.Print_Area" localSheetId="1">inputPrYr!$A$1:$E$46</definedName>
    <definedName name="_xlnm.Print_Area" localSheetId="0">Instructions!$A$1:$A$86</definedName>
    <definedName name="_xlnm.Print_Area" localSheetId="12">'Levy Page 7'!$A$1:$E$97</definedName>
    <definedName name="_xlnm.Print_Area" localSheetId="6">Mvalloc!$A$1:$I$38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3" l="1"/>
  <c r="F29" i="3"/>
  <c r="B59" i="6" l="1"/>
  <c r="B27" i="6"/>
  <c r="B70" i="5"/>
  <c r="B31" i="5"/>
  <c r="B59" i="4"/>
  <c r="B49" i="15"/>
  <c r="D33" i="3"/>
  <c r="D30" i="3" l="1"/>
  <c r="D32" i="3" l="1"/>
  <c r="D31" i="3"/>
  <c r="G36" i="3"/>
  <c r="A10" i="34"/>
  <c r="A6" i="34"/>
  <c r="A5" i="34"/>
  <c r="H1" i="34"/>
  <c r="A8" i="33"/>
  <c r="A42" i="33"/>
  <c r="A41" i="33"/>
  <c r="A6" i="33"/>
  <c r="D35" i="33"/>
  <c r="B35" i="33"/>
  <c r="M34" i="33"/>
  <c r="F34" i="33"/>
  <c r="D34" i="33"/>
  <c r="B34" i="33"/>
  <c r="D33" i="33"/>
  <c r="D36" i="33" s="1"/>
  <c r="B33" i="33"/>
  <c r="F32" i="33"/>
  <c r="D32" i="33"/>
  <c r="B32" i="33"/>
  <c r="B36" i="33"/>
  <c r="F28" i="33"/>
  <c r="M33" i="33"/>
  <c r="D28" i="33"/>
  <c r="B28" i="33"/>
  <c r="D27" i="33"/>
  <c r="B27" i="33"/>
  <c r="H24" i="33"/>
  <c r="M30" i="33" s="1"/>
  <c r="A22" i="33"/>
  <c r="A21" i="33"/>
  <c r="A20" i="33"/>
  <c r="E19" i="33"/>
  <c r="C19" i="33"/>
  <c r="A19" i="33"/>
  <c r="E18" i="33"/>
  <c r="C18" i="33"/>
  <c r="A18" i="33"/>
  <c r="E17" i="33"/>
  <c r="C17" i="33"/>
  <c r="E16" i="33"/>
  <c r="C16" i="33"/>
  <c r="C23" i="33" s="1"/>
  <c r="A16" i="33"/>
  <c r="A5" i="33"/>
  <c r="A4" i="33"/>
  <c r="H2" i="33"/>
  <c r="J19" i="33" s="1"/>
  <c r="J33" i="33"/>
  <c r="A8" i="8"/>
  <c r="A6" i="8"/>
  <c r="A42" i="8"/>
  <c r="A41" i="8"/>
  <c r="H22" i="5"/>
  <c r="H24" i="8"/>
  <c r="M30" i="8" s="1"/>
  <c r="G28" i="5"/>
  <c r="A11" i="14"/>
  <c r="A9" i="14"/>
  <c r="E11" i="16"/>
  <c r="E7" i="16"/>
  <c r="E32" i="4" s="1"/>
  <c r="E25" i="7"/>
  <c r="H14" i="7" s="1"/>
  <c r="E23" i="7"/>
  <c r="G13" i="7" s="1"/>
  <c r="E14" i="5" s="1"/>
  <c r="E1" i="6"/>
  <c r="C6" i="6" s="1"/>
  <c r="C38" i="6" s="1"/>
  <c r="E1" i="5"/>
  <c r="D6" i="5"/>
  <c r="D45" i="5" s="1"/>
  <c r="B2" i="15"/>
  <c r="B1" i="4"/>
  <c r="B2" i="4"/>
  <c r="D48" i="5"/>
  <c r="D63" i="5"/>
  <c r="D9" i="5"/>
  <c r="D24" i="5"/>
  <c r="D8" i="15"/>
  <c r="D29" i="15" s="1"/>
  <c r="D28" i="15" s="1"/>
  <c r="D9" i="4"/>
  <c r="D35" i="4"/>
  <c r="D34" i="4" s="1"/>
  <c r="E1" i="4"/>
  <c r="H67" i="4" s="1"/>
  <c r="H2" i="7"/>
  <c r="C9" i="7" s="1"/>
  <c r="G23" i="2"/>
  <c r="G22" i="2"/>
  <c r="G20" i="2"/>
  <c r="G19" i="2"/>
  <c r="G18" i="2"/>
  <c r="D40" i="5"/>
  <c r="E40" i="5" s="1"/>
  <c r="D79" i="5"/>
  <c r="E79" i="5"/>
  <c r="D58" i="15"/>
  <c r="E58" i="15" s="1"/>
  <c r="D68" i="4"/>
  <c r="E68" i="4"/>
  <c r="A8" i="24"/>
  <c r="A46" i="23"/>
  <c r="A41" i="23"/>
  <c r="A6" i="23"/>
  <c r="A38" i="22"/>
  <c r="A33" i="22"/>
  <c r="A19" i="22"/>
  <c r="A6" i="22"/>
  <c r="A34" i="21"/>
  <c r="A33" i="21"/>
  <c r="A6" i="21"/>
  <c r="A64" i="20"/>
  <c r="A61" i="20"/>
  <c r="A33" i="20"/>
  <c r="A28" i="20"/>
  <c r="A25" i="20"/>
  <c r="A16" i="20"/>
  <c r="A6" i="20"/>
  <c r="D16" i="16"/>
  <c r="D18" i="16"/>
  <c r="C14" i="7"/>
  <c r="C13" i="7"/>
  <c r="C12" i="7"/>
  <c r="C11" i="7"/>
  <c r="C15" i="7"/>
  <c r="G36" i="7" s="1"/>
  <c r="E24" i="2"/>
  <c r="D36" i="2"/>
  <c r="A45" i="2"/>
  <c r="A44" i="2"/>
  <c r="E1" i="15"/>
  <c r="H53" i="15" s="1"/>
  <c r="E17" i="7"/>
  <c r="D14" i="7" s="1"/>
  <c r="E50" i="5" s="1"/>
  <c r="E19" i="7"/>
  <c r="E14" i="7" s="1"/>
  <c r="E51" i="5" s="1"/>
  <c r="E21" i="7"/>
  <c r="F14" i="7" s="1"/>
  <c r="E52" i="5" s="1"/>
  <c r="C24" i="5"/>
  <c r="C25" i="5" s="1"/>
  <c r="C34" i="5"/>
  <c r="B18" i="33" s="1"/>
  <c r="D34" i="5"/>
  <c r="D18" i="33" s="1"/>
  <c r="D9" i="16"/>
  <c r="E9" i="16"/>
  <c r="E21" i="5" s="1"/>
  <c r="E34" i="5"/>
  <c r="E38" i="5" s="1"/>
  <c r="F18" i="33"/>
  <c r="C63" i="5"/>
  <c r="C64" i="5" s="1"/>
  <c r="C73" i="5"/>
  <c r="B19" i="33" s="1"/>
  <c r="D73" i="5"/>
  <c r="D19" i="33" s="1"/>
  <c r="D10" i="16"/>
  <c r="E10" i="16"/>
  <c r="E60" i="5" s="1"/>
  <c r="E73" i="5"/>
  <c r="E75" i="5" s="1"/>
  <c r="C29" i="15"/>
  <c r="C30" i="15" s="1"/>
  <c r="C52" i="15"/>
  <c r="B17" i="33" s="1"/>
  <c r="D52" i="15"/>
  <c r="D17" i="8" s="1"/>
  <c r="D8" i="16"/>
  <c r="E8" i="16"/>
  <c r="E26" i="15" s="1"/>
  <c r="E52" i="15"/>
  <c r="F55" i="15" s="1"/>
  <c r="E56" i="15"/>
  <c r="D36" i="5"/>
  <c r="C36" i="5"/>
  <c r="D75" i="5"/>
  <c r="C75" i="5"/>
  <c r="D32" i="6"/>
  <c r="C32" i="6"/>
  <c r="C33" i="6"/>
  <c r="C64" i="6"/>
  <c r="D64" i="6"/>
  <c r="C62" i="6"/>
  <c r="B21" i="33" s="1"/>
  <c r="C50" i="6"/>
  <c r="C49" i="6" s="1"/>
  <c r="D62" i="6"/>
  <c r="D61" i="6" s="1"/>
  <c r="E62" i="6"/>
  <c r="F21" i="33" s="1"/>
  <c r="D50" i="6"/>
  <c r="D49" i="6" s="1"/>
  <c r="E50" i="6"/>
  <c r="E49" i="6"/>
  <c r="C30" i="6"/>
  <c r="C29" i="6" s="1"/>
  <c r="C18" i="6"/>
  <c r="C19" i="6" s="1"/>
  <c r="D30" i="6"/>
  <c r="D29" i="6" s="1"/>
  <c r="D18" i="6"/>
  <c r="D17" i="6"/>
  <c r="E18" i="6"/>
  <c r="E17" i="6"/>
  <c r="E30" i="6"/>
  <c r="E29" i="6" s="1"/>
  <c r="D64" i="4"/>
  <c r="D62" i="4"/>
  <c r="D54" i="15"/>
  <c r="C54" i="15"/>
  <c r="C35" i="4"/>
  <c r="C36" i="4" s="1"/>
  <c r="C62" i="4"/>
  <c r="B16" i="8" s="1"/>
  <c r="D7" i="16"/>
  <c r="C64" i="4"/>
  <c r="J28" i="17"/>
  <c r="H28" i="17"/>
  <c r="F28" i="17"/>
  <c r="A22" i="8"/>
  <c r="A28" i="3"/>
  <c r="D28" i="3"/>
  <c r="I5" i="17"/>
  <c r="G5" i="17"/>
  <c r="E5" i="17"/>
  <c r="C5" i="17"/>
  <c r="A5" i="17"/>
  <c r="D28" i="2"/>
  <c r="A28" i="2"/>
  <c r="A24" i="2"/>
  <c r="D17" i="2"/>
  <c r="E17" i="2"/>
  <c r="K1" i="17"/>
  <c r="F2" i="17" s="1"/>
  <c r="A1" i="17"/>
  <c r="K7" i="17"/>
  <c r="B17" i="17"/>
  <c r="B18" i="17" s="1"/>
  <c r="D17" i="17"/>
  <c r="F17" i="17"/>
  <c r="F18" i="17" s="1"/>
  <c r="F29" i="17" s="1"/>
  <c r="F30" i="17" s="1"/>
  <c r="H17" i="17"/>
  <c r="H18" i="17"/>
  <c r="H29" i="17"/>
  <c r="H30" i="17" s="1"/>
  <c r="J17" i="17"/>
  <c r="J18" i="17" s="1"/>
  <c r="J29" i="17" s="1"/>
  <c r="J30" i="17" s="1"/>
  <c r="B28" i="17"/>
  <c r="K28" i="17"/>
  <c r="B22" i="8" s="1"/>
  <c r="D28" i="17"/>
  <c r="D18" i="17"/>
  <c r="D29" i="17" s="1"/>
  <c r="D30" i="17" s="1"/>
  <c r="G41" i="9"/>
  <c r="F35" i="33" s="1"/>
  <c r="F35" i="8"/>
  <c r="F41" i="9"/>
  <c r="D20" i="16"/>
  <c r="D22" i="16" s="1"/>
  <c r="B10" i="16"/>
  <c r="B9" i="16"/>
  <c r="B8" i="16"/>
  <c r="B7" i="16"/>
  <c r="F1" i="16"/>
  <c r="A26" i="16" s="1"/>
  <c r="A1" i="16"/>
  <c r="D11" i="16"/>
  <c r="D12" i="16"/>
  <c r="E12" i="16"/>
  <c r="C13" i="16"/>
  <c r="D23" i="3"/>
  <c r="A48" i="14"/>
  <c r="A47" i="14"/>
  <c r="A46" i="14"/>
  <c r="A45" i="14"/>
  <c r="A44" i="14"/>
  <c r="A43" i="14"/>
  <c r="E1" i="14"/>
  <c r="A28" i="14" s="1"/>
  <c r="B41" i="14"/>
  <c r="A21" i="14"/>
  <c r="A20" i="14"/>
  <c r="D24" i="14"/>
  <c r="E47" i="2"/>
  <c r="D47" i="2"/>
  <c r="H2" i="8"/>
  <c r="J23" i="8" s="1"/>
  <c r="A37" i="2"/>
  <c r="A15" i="2"/>
  <c r="F20" i="9"/>
  <c r="F21" i="9" s="1"/>
  <c r="F34" i="8"/>
  <c r="F16" i="9"/>
  <c r="F33" i="33" s="1"/>
  <c r="F12" i="9"/>
  <c r="F32" i="8"/>
  <c r="F36" i="8" s="1"/>
  <c r="L20" i="9"/>
  <c r="L21" i="9" s="1"/>
  <c r="K20" i="9"/>
  <c r="J20" i="9"/>
  <c r="I20" i="9"/>
  <c r="L16" i="9"/>
  <c r="K16" i="9"/>
  <c r="J16" i="9"/>
  <c r="J21" i="9" s="1"/>
  <c r="I16" i="9"/>
  <c r="I21" i="9" s="1"/>
  <c r="L12" i="9"/>
  <c r="K12" i="9"/>
  <c r="K21" i="9" s="1"/>
  <c r="J12" i="9"/>
  <c r="I12" i="9"/>
  <c r="L1" i="9"/>
  <c r="F28" i="8"/>
  <c r="M33" i="8" s="1"/>
  <c r="M14" i="8"/>
  <c r="E19" i="8"/>
  <c r="G71" i="5" s="1"/>
  <c r="E18" i="8"/>
  <c r="G27" i="5" s="1"/>
  <c r="E17" i="8"/>
  <c r="G50" i="15" s="1"/>
  <c r="E16" i="8"/>
  <c r="G64" i="4" s="1"/>
  <c r="C17" i="8"/>
  <c r="B39" i="2"/>
  <c r="B28" i="8"/>
  <c r="A10" i="14"/>
  <c r="A8" i="14"/>
  <c r="A7" i="14"/>
  <c r="D28" i="8"/>
  <c r="E24" i="13"/>
  <c r="E26" i="13"/>
  <c r="F25" i="33" s="1"/>
  <c r="F25" i="8"/>
  <c r="D24" i="13"/>
  <c r="D26" i="13"/>
  <c r="D25" i="33" s="1"/>
  <c r="C24" i="13"/>
  <c r="C26" i="13"/>
  <c r="B25" i="8" s="1"/>
  <c r="F1" i="13"/>
  <c r="E9" i="13" s="1"/>
  <c r="A3" i="13"/>
  <c r="A2" i="13"/>
  <c r="B12" i="7"/>
  <c r="B1" i="15"/>
  <c r="G3" i="3"/>
  <c r="F15" i="3" s="1"/>
  <c r="A4" i="3"/>
  <c r="D35" i="8"/>
  <c r="B35" i="8"/>
  <c r="D34" i="8"/>
  <c r="D33" i="8"/>
  <c r="D32" i="8"/>
  <c r="D36" i="8" s="1"/>
  <c r="B34" i="8"/>
  <c r="B33" i="8"/>
  <c r="B32" i="8"/>
  <c r="A2" i="14"/>
  <c r="A1" i="14"/>
  <c r="D42" i="2"/>
  <c r="D27" i="3"/>
  <c r="D26" i="3"/>
  <c r="D25" i="3"/>
  <c r="D24" i="3"/>
  <c r="C25" i="3"/>
  <c r="C24" i="3"/>
  <c r="A27" i="3"/>
  <c r="A26" i="3"/>
  <c r="A25" i="3"/>
  <c r="A24" i="3"/>
  <c r="C22" i="3"/>
  <c r="A6" i="3"/>
  <c r="I41" i="9"/>
  <c r="H41" i="9"/>
  <c r="B2" i="9"/>
  <c r="B1" i="9"/>
  <c r="B6" i="4"/>
  <c r="B41" i="2"/>
  <c r="B40" i="2"/>
  <c r="B38" i="2"/>
  <c r="B45" i="5"/>
  <c r="B6" i="5"/>
  <c r="B2" i="5"/>
  <c r="B1" i="5"/>
  <c r="B38" i="6"/>
  <c r="B6" i="6"/>
  <c r="B2" i="6"/>
  <c r="B1" i="6"/>
  <c r="A21" i="8"/>
  <c r="A20" i="8"/>
  <c r="A19" i="8"/>
  <c r="A18" i="8"/>
  <c r="A5" i="8"/>
  <c r="C19" i="8"/>
  <c r="C18" i="8"/>
  <c r="C16" i="8"/>
  <c r="B27" i="8"/>
  <c r="A16" i="8"/>
  <c r="A4" i="8"/>
  <c r="B14" i="7"/>
  <c r="B13" i="7"/>
  <c r="B2" i="7"/>
  <c r="B1" i="7"/>
  <c r="B11" i="7"/>
  <c r="J54" i="5"/>
  <c r="J55" i="5"/>
  <c r="J56" i="5"/>
  <c r="J11" i="5"/>
  <c r="J12" i="5"/>
  <c r="J10" i="5"/>
  <c r="J34" i="15"/>
  <c r="J35" i="15"/>
  <c r="J33" i="15"/>
  <c r="M34" i="8"/>
  <c r="J48" i="4"/>
  <c r="J49" i="4"/>
  <c r="J47" i="4"/>
  <c r="G11" i="5"/>
  <c r="G55" i="5"/>
  <c r="H13" i="7"/>
  <c r="E15" i="5"/>
  <c r="E13" i="7"/>
  <c r="H11" i="7"/>
  <c r="E15" i="4"/>
  <c r="E11" i="7"/>
  <c r="E12" i="4" s="1"/>
  <c r="H12" i="7"/>
  <c r="E14" i="15" s="1"/>
  <c r="E12" i="7"/>
  <c r="E11" i="15" s="1"/>
  <c r="C28" i="15"/>
  <c r="E62" i="4"/>
  <c r="F66" i="4" s="1"/>
  <c r="D6" i="6"/>
  <c r="D38" i="6" s="1"/>
  <c r="C51" i="6"/>
  <c r="D20" i="8"/>
  <c r="E12" i="5"/>
  <c r="F33" i="8"/>
  <c r="F11" i="7"/>
  <c r="E13" i="4"/>
  <c r="C9" i="13"/>
  <c r="B36" i="8"/>
  <c r="C6" i="5"/>
  <c r="C45" i="5"/>
  <c r="C34" i="4"/>
  <c r="C59" i="15"/>
  <c r="G11" i="7"/>
  <c r="E14" i="4" s="1"/>
  <c r="F13" i="7"/>
  <c r="E13" i="5" s="1"/>
  <c r="F12" i="7"/>
  <c r="E12" i="15"/>
  <c r="G34" i="15"/>
  <c r="B32" i="6"/>
  <c r="B64" i="6"/>
  <c r="E32" i="7"/>
  <c r="D23" i="5"/>
  <c r="D62" i="5"/>
  <c r="D27" i="8"/>
  <c r="D9" i="13"/>
  <c r="E33" i="5"/>
  <c r="E24" i="3"/>
  <c r="F18" i="8"/>
  <c r="M14" i="33"/>
  <c r="J32" i="33"/>
  <c r="D31" i="33"/>
  <c r="J34" i="33"/>
  <c r="D13" i="33"/>
  <c r="F13" i="33"/>
  <c r="J25" i="33"/>
  <c r="F31" i="33"/>
  <c r="J31" i="33"/>
  <c r="C23" i="8"/>
  <c r="E51" i="15"/>
  <c r="E23" i="3"/>
  <c r="G37" i="15"/>
  <c r="D5" i="15"/>
  <c r="H40" i="15"/>
  <c r="G30" i="15"/>
  <c r="H44" i="15"/>
  <c r="B31" i="8"/>
  <c r="H39" i="15"/>
  <c r="F13" i="8"/>
  <c r="H41" i="15"/>
  <c r="J26" i="8"/>
  <c r="C61" i="4" l="1"/>
  <c r="D12" i="7"/>
  <c r="E10" i="15" s="1"/>
  <c r="D13" i="16"/>
  <c r="D11" i="7"/>
  <c r="E11" i="4" s="1"/>
  <c r="E35" i="4" s="1"/>
  <c r="G51" i="15"/>
  <c r="G72" i="5"/>
  <c r="G65" i="4"/>
  <c r="D12" i="34"/>
  <c r="E23" i="8"/>
  <c r="G74" i="5" s="1"/>
  <c r="C82" i="4"/>
  <c r="E23" i="33"/>
  <c r="M18" i="33" s="1"/>
  <c r="M26" i="33" s="1"/>
  <c r="F15" i="7"/>
  <c r="D13" i="7"/>
  <c r="E11" i="5" s="1"/>
  <c r="B4" i="16"/>
  <c r="A16" i="16"/>
  <c r="E6" i="16"/>
  <c r="C6" i="16"/>
  <c r="B31" i="33"/>
  <c r="B13" i="33"/>
  <c r="A40" i="14"/>
  <c r="J26" i="33"/>
  <c r="H21" i="5"/>
  <c r="C41" i="5"/>
  <c r="C80" i="5"/>
  <c r="J12" i="33"/>
  <c r="D6" i="16"/>
  <c r="A11" i="33"/>
  <c r="J23" i="33"/>
  <c r="E6" i="6"/>
  <c r="E38" i="6" s="1"/>
  <c r="J18" i="33"/>
  <c r="J16" i="33"/>
  <c r="H59" i="4"/>
  <c r="A10" i="33"/>
  <c r="H45" i="15"/>
  <c r="B6" i="16"/>
  <c r="C63" i="6"/>
  <c r="E64" i="6"/>
  <c r="E27" i="3"/>
  <c r="E61" i="6"/>
  <c r="F21" i="8"/>
  <c r="D65" i="6"/>
  <c r="B21" i="8"/>
  <c r="C65" i="6"/>
  <c r="C61" i="6"/>
  <c r="B20" i="33"/>
  <c r="E26" i="3"/>
  <c r="C31" i="6"/>
  <c r="C34" i="6" s="1"/>
  <c r="B20" i="8"/>
  <c r="E61" i="4"/>
  <c r="E64" i="4"/>
  <c r="E22" i="3"/>
  <c r="D16" i="33"/>
  <c r="D61" i="4"/>
  <c r="D16" i="8"/>
  <c r="D82" i="4"/>
  <c r="B66" i="4" s="1"/>
  <c r="D51" i="15"/>
  <c r="D71" i="15"/>
  <c r="D17" i="33"/>
  <c r="G44" i="15"/>
  <c r="C53" i="15"/>
  <c r="C72" i="15" s="1"/>
  <c r="E66" i="4"/>
  <c r="F16" i="8"/>
  <c r="C63" i="4"/>
  <c r="C83" i="4" s="1"/>
  <c r="C62" i="5"/>
  <c r="D95" i="5"/>
  <c r="D72" i="5"/>
  <c r="D19" i="8"/>
  <c r="C95" i="5"/>
  <c r="C74" i="5"/>
  <c r="C72" i="5"/>
  <c r="G65" i="5"/>
  <c r="B19" i="8"/>
  <c r="E36" i="5"/>
  <c r="F37" i="5"/>
  <c r="D33" i="5"/>
  <c r="D93" i="5"/>
  <c r="C93" i="5"/>
  <c r="B38" i="5" s="1"/>
  <c r="C33" i="5"/>
  <c r="B18" i="8"/>
  <c r="C35" i="5"/>
  <c r="C94" i="5" s="1"/>
  <c r="B29" i="13"/>
  <c r="J31" i="8"/>
  <c r="G44" i="4"/>
  <c r="C69" i="4"/>
  <c r="A36" i="14"/>
  <c r="G51" i="5"/>
  <c r="G7" i="5"/>
  <c r="H18" i="5"/>
  <c r="H55" i="4"/>
  <c r="J25" i="8"/>
  <c r="B54" i="15"/>
  <c r="H42" i="15"/>
  <c r="B36" i="5"/>
  <c r="J32" i="8"/>
  <c r="H26" i="5"/>
  <c r="E6" i="4"/>
  <c r="B64" i="4"/>
  <c r="A10" i="8"/>
  <c r="C6" i="4"/>
  <c r="G48" i="4"/>
  <c r="B13" i="8"/>
  <c r="A11" i="8"/>
  <c r="H53" i="4"/>
  <c r="E5" i="15"/>
  <c r="H54" i="4"/>
  <c r="B75" i="5"/>
  <c r="J33" i="8"/>
  <c r="D13" i="8"/>
  <c r="D31" i="8"/>
  <c r="J12" i="8"/>
  <c r="E6" i="5"/>
  <c r="E45" i="5" s="1"/>
  <c r="D6" i="4"/>
  <c r="K7" i="9"/>
  <c r="F8" i="9"/>
  <c r="G28" i="9" s="1"/>
  <c r="J34" i="8"/>
  <c r="G14" i="8"/>
  <c r="H56" i="4"/>
  <c r="H66" i="4"/>
  <c r="J19" i="8"/>
  <c r="J18" i="8"/>
  <c r="G51" i="4"/>
  <c r="J16" i="8"/>
  <c r="F31" i="8"/>
  <c r="H58" i="4"/>
  <c r="H49" i="15"/>
  <c r="H70" i="5"/>
  <c r="H74" i="5"/>
  <c r="H60" i="5"/>
  <c r="H65" i="5"/>
  <c r="F36" i="33"/>
  <c r="E13" i="3"/>
  <c r="K18" i="17"/>
  <c r="B29" i="17"/>
  <c r="E24" i="5"/>
  <c r="G54" i="4"/>
  <c r="D15" i="7"/>
  <c r="G53" i="15"/>
  <c r="C68" i="6"/>
  <c r="D39" i="6"/>
  <c r="D51" i="6" s="1"/>
  <c r="D63" i="6" s="1"/>
  <c r="C96" i="5"/>
  <c r="D46" i="5"/>
  <c r="D64" i="5" s="1"/>
  <c r="D74" i="5" s="1"/>
  <c r="E54" i="5"/>
  <c r="H15" i="7"/>
  <c r="D9" i="7"/>
  <c r="C28" i="7"/>
  <c r="I28" i="9"/>
  <c r="H28" i="9"/>
  <c r="E32" i="6"/>
  <c r="D25" i="8"/>
  <c r="G58" i="4"/>
  <c r="D33" i="6"/>
  <c r="D18" i="8"/>
  <c r="C5" i="15"/>
  <c r="H50" i="15"/>
  <c r="H61" i="5"/>
  <c r="G14" i="5"/>
  <c r="H27" i="5"/>
  <c r="G14" i="33"/>
  <c r="D20" i="33"/>
  <c r="F17" i="8"/>
  <c r="F76" i="5"/>
  <c r="D21" i="8"/>
  <c r="A6" i="14"/>
  <c r="C17" i="6"/>
  <c r="H63" i="4"/>
  <c r="H52" i="15"/>
  <c r="H62" i="5"/>
  <c r="H16" i="5"/>
  <c r="H29" i="5"/>
  <c r="F17" i="33"/>
  <c r="F20" i="33"/>
  <c r="E15" i="7"/>
  <c r="B22" i="33"/>
  <c r="C71" i="15"/>
  <c r="F16" i="33"/>
  <c r="G14" i="7"/>
  <c r="E53" i="5" s="1"/>
  <c r="E72" i="5"/>
  <c r="E77" i="5"/>
  <c r="G21" i="5"/>
  <c r="H64" i="4"/>
  <c r="H63" i="5"/>
  <c r="H17" i="5"/>
  <c r="H30" i="5"/>
  <c r="B25" i="33"/>
  <c r="B17" i="8"/>
  <c r="A12" i="14"/>
  <c r="A16" i="14"/>
  <c r="I7" i="9"/>
  <c r="K17" i="17"/>
  <c r="K30" i="17" s="1"/>
  <c r="E54" i="15"/>
  <c r="F34" i="7"/>
  <c r="E13" i="16"/>
  <c r="C23" i="5"/>
  <c r="G33" i="3"/>
  <c r="F20" i="8"/>
  <c r="E25" i="3"/>
  <c r="B9" i="7"/>
  <c r="H71" i="5"/>
  <c r="H66" i="5"/>
  <c r="H19" i="5"/>
  <c r="B16" i="33"/>
  <c r="B23" i="33" s="1"/>
  <c r="B26" i="33" s="1"/>
  <c r="F19" i="33"/>
  <c r="D21" i="33"/>
  <c r="D30" i="7"/>
  <c r="C49" i="3"/>
  <c r="A11" i="3"/>
  <c r="A10" i="3"/>
  <c r="C41" i="14"/>
  <c r="G12" i="7"/>
  <c r="E13" i="15" s="1"/>
  <c r="E29" i="15" s="1"/>
  <c r="F19" i="8"/>
  <c r="A26" i="14"/>
  <c r="C51" i="15"/>
  <c r="H73" i="5"/>
  <c r="G58" i="5"/>
  <c r="G67" i="4" l="1"/>
  <c r="E63" i="5"/>
  <c r="M18" i="8"/>
  <c r="M26" i="8" s="1"/>
  <c r="G30" i="5"/>
  <c r="D7" i="6"/>
  <c r="D19" i="6" s="1"/>
  <c r="D31" i="6" s="1"/>
  <c r="E7" i="6" s="1"/>
  <c r="E19" i="6" s="1"/>
  <c r="E31" i="6" s="1"/>
  <c r="E33" i="6" s="1"/>
  <c r="E29" i="3"/>
  <c r="B56" i="15"/>
  <c r="D23" i="33"/>
  <c r="D26" i="33" s="1"/>
  <c r="D6" i="15"/>
  <c r="D30" i="15" s="1"/>
  <c r="D53" i="15" s="1"/>
  <c r="E6" i="15" s="1"/>
  <c r="E30" i="15" s="1"/>
  <c r="E57" i="15" s="1"/>
  <c r="E59" i="15" s="1"/>
  <c r="D7" i="4"/>
  <c r="D36" i="4" s="1"/>
  <c r="D63" i="4" s="1"/>
  <c r="G53" i="4" s="1"/>
  <c r="B77" i="5"/>
  <c r="D7" i="5"/>
  <c r="D25" i="5" s="1"/>
  <c r="D35" i="5" s="1"/>
  <c r="E7" i="5" s="1"/>
  <c r="E25" i="5" s="1"/>
  <c r="E39" i="5" s="1"/>
  <c r="E41" i="5" s="1"/>
  <c r="B23" i="8"/>
  <c r="B26" i="8" s="1"/>
  <c r="D23" i="8"/>
  <c r="D26" i="8" s="1"/>
  <c r="G61" i="5"/>
  <c r="G17" i="5"/>
  <c r="E46" i="5"/>
  <c r="E64" i="5" s="1"/>
  <c r="E78" i="5" s="1"/>
  <c r="E80" i="5" s="1"/>
  <c r="G60" i="5"/>
  <c r="D96" i="5"/>
  <c r="B78" i="5" s="1"/>
  <c r="G15" i="7"/>
  <c r="F23" i="8"/>
  <c r="F26" i="8" s="1"/>
  <c r="B30" i="17"/>
  <c r="K29" i="17"/>
  <c r="G40" i="15"/>
  <c r="F23" i="33"/>
  <c r="F26" i="33" s="1"/>
  <c r="D68" i="6"/>
  <c r="E39" i="6"/>
  <c r="E51" i="6" s="1"/>
  <c r="E63" i="6" s="1"/>
  <c r="E65" i="6" s="1"/>
  <c r="D34" i="6" l="1"/>
  <c r="G39" i="15"/>
  <c r="D72" i="15"/>
  <c r="B57" i="15" s="1"/>
  <c r="E7" i="4"/>
  <c r="E36" i="4" s="1"/>
  <c r="E67" i="4" s="1"/>
  <c r="E69" i="4" s="1"/>
  <c r="F22" i="3" s="1"/>
  <c r="D83" i="4"/>
  <c r="B67" i="4" s="1"/>
  <c r="G24" i="3"/>
  <c r="D94" i="5"/>
  <c r="B39" i="5" s="1"/>
  <c r="G16" i="5"/>
  <c r="G62" i="5"/>
  <c r="K62" i="5" s="1"/>
  <c r="G19" i="33"/>
  <c r="H19" i="33" s="1"/>
  <c r="G19" i="8"/>
  <c r="H19" i="8" s="1"/>
  <c r="G70" i="5" s="1"/>
  <c r="F25" i="3"/>
  <c r="G25" i="3" s="1"/>
  <c r="E62" i="5"/>
  <c r="G18" i="8"/>
  <c r="H18" i="8" s="1"/>
  <c r="G26" i="5" s="1"/>
  <c r="G18" i="33"/>
  <c r="F24" i="3"/>
  <c r="H18" i="33"/>
  <c r="G18" i="5"/>
  <c r="K18" i="5" s="1"/>
  <c r="E23" i="5"/>
  <c r="G41" i="15"/>
  <c r="K41" i="15" s="1"/>
  <c r="G17" i="8"/>
  <c r="H17" i="8" s="1"/>
  <c r="G49" i="15" s="1"/>
  <c r="G17" i="33"/>
  <c r="H17" i="33" s="1"/>
  <c r="F23" i="3"/>
  <c r="G23" i="3" s="1"/>
  <c r="E28" i="15"/>
  <c r="E34" i="4" l="1"/>
  <c r="G55" i="4"/>
  <c r="K55" i="4" s="1"/>
  <c r="G22" i="3"/>
  <c r="G29" i="3" s="1"/>
  <c r="G16" i="8"/>
  <c r="H16" i="8" s="1"/>
  <c r="G16" i="33"/>
  <c r="H16" i="33" s="1"/>
  <c r="H23" i="33" s="1"/>
  <c r="G19" i="5"/>
  <c r="G22" i="5" s="1"/>
  <c r="G63" i="5"/>
  <c r="G66" i="5" s="1"/>
  <c r="G42" i="15"/>
  <c r="G45" i="15" s="1"/>
  <c r="G56" i="4" l="1"/>
  <c r="G59" i="4" s="1"/>
  <c r="G23" i="33"/>
  <c r="M25" i="33" s="1"/>
  <c r="M27" i="33" s="1"/>
  <c r="M20" i="33" s="1"/>
  <c r="J20" i="33" s="1"/>
  <c r="G23" i="8"/>
  <c r="M25" i="8" s="1"/>
  <c r="M27" i="8" s="1"/>
  <c r="M21" i="8" s="1"/>
  <c r="J21" i="8" s="1"/>
  <c r="H23" i="8"/>
  <c r="M36" i="8" s="1"/>
  <c r="G63" i="4"/>
  <c r="M31" i="33"/>
  <c r="M36" i="33"/>
  <c r="M20" i="8" l="1"/>
  <c r="J20" i="8" s="1"/>
  <c r="M21" i="33"/>
  <c r="J21" i="33" s="1"/>
  <c r="G29" i="5"/>
  <c r="J32" i="5" s="1"/>
  <c r="G34" i="5" s="1"/>
  <c r="G73" i="5"/>
  <c r="J76" i="5" s="1"/>
  <c r="G78" i="5" s="1"/>
  <c r="G66" i="4"/>
  <c r="J69" i="4" s="1"/>
  <c r="G71" i="4" s="1"/>
  <c r="G12" i="34"/>
  <c r="G52" i="15"/>
  <c r="J55" i="15" s="1"/>
  <c r="G57" i="15" s="1"/>
  <c r="M31" i="8"/>
  <c r="J38" i="8" s="1"/>
  <c r="J38" i="33"/>
</calcChain>
</file>

<file path=xl/sharedStrings.xml><?xml version="1.0" encoding="utf-8"?>
<sst xmlns="http://schemas.openxmlformats.org/spreadsheetml/2006/main" count="1170" uniqueCount="832">
  <si>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</si>
  <si>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</si>
  <si>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</si>
  <si>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</si>
  <si>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</si>
  <si>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</si>
  <si>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</si>
  <si>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</si>
  <si>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</si>
  <si>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</si>
  <si>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</si>
  <si>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</si>
  <si>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</si>
  <si>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</si>
  <si>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</si>
  <si>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</si>
  <si>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</si>
  <si>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Page</t>
  </si>
  <si>
    <t>Table of Contents:</t>
  </si>
  <si>
    <t>No.</t>
  </si>
  <si>
    <t>Expenditure</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</si>
  <si>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</si>
  <si>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</si>
  <si>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</si>
  <si>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</si>
  <si>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</si>
  <si>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</si>
  <si>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</si>
  <si>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</si>
  <si>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</si>
  <si>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</si>
  <si>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</si>
  <si>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</si>
  <si>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</si>
  <si>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</si>
  <si>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</si>
  <si>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</si>
  <si>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</si>
  <si>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</si>
  <si>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</si>
  <si>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</si>
  <si>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</si>
  <si>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</si>
  <si>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</si>
  <si>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</si>
  <si>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</si>
  <si>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</si>
  <si>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</si>
  <si>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</si>
  <si>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</si>
  <si>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</si>
  <si>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</si>
  <si>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</si>
  <si>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</si>
  <si>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</si>
  <si>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</si>
  <si>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</si>
  <si>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</si>
  <si>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</si>
  <si>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</si>
  <si>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</si>
  <si>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</si>
  <si>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</si>
  <si>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</si>
  <si>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</si>
  <si>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</si>
  <si>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</si>
  <si>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</si>
  <si>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</si>
  <si>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</si>
  <si>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</si>
  <si>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</si>
  <si>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</si>
  <si>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</si>
  <si>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</si>
  <si>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</si>
  <si>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</si>
  <si>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</si>
  <si>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16/20M Factor</t>
  </si>
  <si>
    <t>16/20M Vehicle Tax</t>
  </si>
  <si>
    <t xml:space="preserve">The governing body of </t>
  </si>
  <si>
    <t>Computation of Delinquency</t>
  </si>
  <si>
    <t>Balance On</t>
  </si>
  <si>
    <t>Unencumbered Cash Balance Jan 1</t>
  </si>
  <si>
    <t>Unencumbered Cash Balance Dec 31</t>
  </si>
  <si>
    <t>Receipts:</t>
  </si>
  <si>
    <t xml:space="preserve">Outstanding </t>
  </si>
  <si>
    <t>(Beginning Principal)</t>
  </si>
  <si>
    <t>Totals</t>
  </si>
  <si>
    <t>Lease Pur. Princ.</t>
  </si>
  <si>
    <t>County Clerk's Use Only</t>
  </si>
  <si>
    <t>Statement of Indebt. &amp; Lease/Purchase</t>
  </si>
  <si>
    <t>Schedule of Transfers</t>
  </si>
  <si>
    <t>Current</t>
  </si>
  <si>
    <t>Proposed</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</si>
  <si>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</si>
  <si>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</si>
  <si>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</si>
  <si>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</si>
  <si>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</si>
  <si>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</si>
  <si>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</si>
  <si>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</si>
  <si>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</si>
  <si>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</si>
  <si>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</si>
  <si>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</si>
  <si>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</si>
  <si>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</si>
  <si>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</si>
  <si>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</si>
  <si>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</si>
  <si>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</si>
  <si>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</si>
  <si>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</si>
  <si>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</si>
  <si>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</si>
  <si>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</si>
  <si>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General Obligation:</t>
  </si>
  <si>
    <t>Total G.O.</t>
  </si>
  <si>
    <t>Revenue Bonds:</t>
  </si>
  <si>
    <t>Total Revenue</t>
  </si>
  <si>
    <t>Other:</t>
  </si>
  <si>
    <t>Total Other</t>
  </si>
  <si>
    <t xml:space="preserve">10. Hard coded the Bond &amp; Interest fund to the Certificate and Budget Summary pages. Also made the </t>
  </si>
  <si>
    <t>Attest: _________________,</t>
  </si>
  <si>
    <t>Tax Rate*</t>
  </si>
  <si>
    <t>Total Tax Rates</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</si>
  <si>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</si>
  <si>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</si>
  <si>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</si>
  <si>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</si>
  <si>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</si>
  <si>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</si>
  <si>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</si>
  <si>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</si>
  <si>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</si>
  <si>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Miscellaneous</t>
  </si>
  <si>
    <t>Neighborhood Revitalization Rebate</t>
  </si>
  <si>
    <t>24. Expanded on the preparation of budget note 12 for instructions for the Notice of Budget Hearing.</t>
  </si>
  <si>
    <t>25. Added to instruction for submission that deadline for submission to clerk Aug 25.</t>
  </si>
  <si>
    <t>26. Added 'excluding oil, gas, and mobile homes' to lines 9 and 11 on Clerks budget info on tab inputoth.</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</si>
  <si>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</si>
  <si>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</si>
  <si>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</si>
  <si>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</si>
  <si>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</si>
  <si>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</si>
  <si>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</si>
  <si>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</si>
  <si>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</si>
  <si>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</si>
  <si>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</si>
  <si>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</si>
  <si>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</si>
  <si>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</si>
  <si>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</si>
  <si>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</si>
  <si>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</si>
  <si>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</si>
  <si>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</si>
  <si>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</si>
  <si>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</si>
  <si>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</si>
  <si>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</si>
  <si>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</si>
  <si>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</si>
  <si>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</si>
  <si>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</si>
  <si>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</si>
  <si>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</si>
  <si>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</si>
  <si>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</si>
  <si>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</si>
  <si>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</si>
  <si>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</si>
  <si>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</si>
  <si>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1. Instruction under Submitting of Budget ….required electronic submission.</t>
  </si>
  <si>
    <t>2. Input other tab line 39 change from Budget Summary to Budget Certificate.</t>
  </si>
  <si>
    <t>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</si>
  <si>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</si>
  <si>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</si>
  <si>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</si>
  <si>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</si>
  <si>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</si>
  <si>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</si>
  <si>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</si>
  <si>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</si>
  <si>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</si>
  <si>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</si>
  <si>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</si>
  <si>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</si>
  <si>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</si>
  <si>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</si>
  <si>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</si>
  <si>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</si>
  <si>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</si>
  <si>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</si>
  <si>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</si>
  <si>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</si>
  <si>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</si>
  <si>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</si>
  <si>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</si>
  <si>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</si>
  <si>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</si>
  <si>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</si>
  <si>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</si>
  <si>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</si>
  <si>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</si>
  <si>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</si>
  <si>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Date:</t>
  </si>
  <si>
    <t>Time:</t>
  </si>
  <si>
    <t>Location:</t>
  </si>
  <si>
    <t>Available at:</t>
  </si>
  <si>
    <t>7:00 PM or 7:00 AM</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</si>
  <si>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</si>
  <si>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</si>
  <si>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</si>
  <si>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</si>
  <si>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</si>
  <si>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</si>
  <si>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</si>
  <si>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</si>
  <si>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</si>
  <si>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</si>
  <si>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</si>
  <si>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</si>
  <si>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</si>
  <si>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</si>
  <si>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</si>
  <si>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</si>
  <si>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</si>
  <si>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</si>
  <si>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</si>
  <si>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</si>
  <si>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</si>
  <si>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</si>
  <si>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</si>
  <si>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</si>
  <si>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</si>
  <si>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</si>
  <si>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</si>
  <si>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</si>
  <si>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</si>
  <si>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</si>
  <si>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</si>
  <si>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</si>
  <si>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</si>
  <si>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</si>
  <si>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</si>
  <si>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</si>
  <si>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</si>
  <si>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</si>
  <si>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</si>
  <si>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</si>
  <si>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</si>
  <si>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</si>
  <si>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</si>
  <si>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</si>
  <si>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</si>
  <si>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</si>
  <si>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</si>
  <si>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</si>
  <si>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</si>
  <si>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</si>
  <si>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</si>
  <si>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</si>
  <si>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</si>
  <si>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</si>
  <si>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</si>
  <si>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</si>
  <si>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</si>
  <si>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</si>
  <si>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</si>
  <si>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</si>
  <si>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</si>
  <si>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</si>
  <si>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</si>
  <si>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</si>
  <si>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</si>
  <si>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</si>
  <si>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</si>
  <si>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</si>
  <si>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</si>
  <si>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</si>
  <si>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</si>
  <si>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</si>
  <si>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</si>
  <si>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</si>
  <si>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</si>
  <si>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</si>
  <si>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</si>
  <si>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</si>
  <si>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</si>
  <si>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</si>
  <si>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</si>
  <si>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</si>
  <si>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</si>
  <si>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</si>
  <si>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</si>
  <si>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</si>
  <si>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</si>
  <si>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</si>
  <si>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</si>
  <si>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</si>
  <si>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</si>
  <si>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</si>
  <si>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</si>
  <si>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</si>
  <si>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</si>
  <si>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</si>
  <si>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</si>
  <si>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</si>
  <si>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</si>
  <si>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</si>
  <si>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</si>
  <si>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</si>
  <si>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</si>
  <si>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</si>
  <si>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</si>
  <si>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</si>
  <si>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</si>
  <si>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</si>
  <si>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</si>
  <si>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</si>
  <si>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</si>
  <si>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</si>
  <si>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</si>
  <si>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</si>
  <si>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</si>
  <si>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</si>
  <si>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</si>
  <si>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</si>
  <si>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</si>
  <si>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</si>
  <si>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</si>
  <si>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</si>
  <si>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</si>
  <si>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</si>
  <si>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</si>
  <si>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</si>
  <si>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</si>
  <si>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</si>
  <si>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</si>
  <si>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</si>
  <si>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</si>
  <si>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</si>
  <si>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</si>
  <si>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</si>
  <si>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</si>
  <si>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</si>
  <si>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</si>
  <si>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</si>
  <si>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</si>
  <si>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</si>
  <si>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</si>
  <si>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</si>
  <si>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</si>
  <si>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</si>
  <si>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</si>
  <si>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</si>
  <si>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</si>
  <si>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</si>
  <si>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</si>
  <si>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</si>
  <si>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</si>
  <si>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</si>
  <si>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</si>
  <si>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</si>
  <si>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</si>
  <si>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</si>
  <si>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</si>
  <si>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</si>
  <si>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</si>
  <si>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</si>
  <si>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</si>
  <si>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</si>
  <si>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</si>
  <si>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</si>
  <si>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</si>
  <si>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</si>
  <si>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</si>
  <si>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</si>
  <si>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</si>
  <si>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</si>
  <si>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</si>
  <si>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</si>
  <si>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</si>
  <si>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</si>
  <si>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</si>
  <si>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</si>
  <si>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</si>
  <si>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</si>
  <si>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</si>
  <si>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</si>
  <si>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</si>
  <si>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</si>
  <si>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</si>
  <si>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</si>
  <si>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</si>
  <si>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</si>
  <si>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</si>
  <si>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</si>
  <si>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</si>
  <si>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</si>
  <si>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</si>
  <si>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</si>
  <si>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</si>
  <si>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</si>
  <si>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Neighborhood Revitalization Rebate table.</t>
  </si>
  <si>
    <r>
      <t>Adjustments</t>
    </r>
    <r>
      <rPr>
        <b/>
        <sz val="12"/>
        <color indexed="10"/>
        <rFont val="Times New Roman"/>
        <family val="1"/>
      </rPr>
      <t>*</t>
    </r>
  </si>
  <si>
    <t>Receipt</t>
  </si>
  <si>
    <t xml:space="preserve">Fund Transferred </t>
  </si>
  <si>
    <t>Fund Transferred</t>
  </si>
  <si>
    <t>*Note:</t>
  </si>
  <si>
    <t>for Expenditures</t>
  </si>
  <si>
    <t>Does misc. exceed 10% Total Expenditures</t>
  </si>
  <si>
    <t>Does misc. exceed 10% of Total Receipts</t>
  </si>
  <si>
    <t>Assisted by:</t>
  </si>
  <si>
    <t>Address:</t>
  </si>
  <si>
    <t>Helpful Links</t>
  </si>
  <si>
    <t>Municipal Services (Kansas Department of Administration, Accounts and Reports) – Budget forms, confirmation of payments, transfer statutes, non-budgeted fund statutes, etc.</t>
  </si>
  <si>
    <t>State Debt Setoff Program (Kansas Department of Administration, Accounts and Reports) – Passive collection tool to assist municipalities with collection of unpaid utility bills, etc.</t>
  </si>
  <si>
    <t>Kansas Legislature – Kansas Statutes (usually updated in January), House and Senate Bills, etc.</t>
  </si>
  <si>
    <t>Kansas Attorney General Opinions</t>
  </si>
  <si>
    <t>Kansas Department of Revenue</t>
  </si>
  <si>
    <t>Kansas Department of Revenue – Property Valuation</t>
  </si>
  <si>
    <t>Kansas Pooled Money Investment Board – Investment of Idle Funds in the Municipal Investment Pool</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</si>
  <si>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</si>
  <si>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</si>
  <si>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</si>
  <si>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</si>
  <si>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</si>
  <si>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</si>
  <si>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</si>
  <si>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</si>
  <si>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</si>
  <si>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</si>
  <si>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</si>
  <si>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</si>
  <si>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</si>
  <si>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</si>
  <si>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</si>
  <si>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</si>
  <si>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</si>
  <si>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</si>
  <si>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</si>
  <si>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 xml:space="preserve">Amounts used in lieu of </t>
  </si>
  <si>
    <t>Delinquency % used in this budget will be shown on all fund pages with a tax levy**</t>
  </si>
  <si>
    <t>Official Name:</t>
  </si>
  <si>
    <t>Official Title:</t>
  </si>
  <si>
    <t>Type</t>
  </si>
  <si>
    <t>Debt</t>
  </si>
  <si>
    <t>Items</t>
  </si>
  <si>
    <t>Purchased</t>
  </si>
  <si>
    <t>Email:</t>
  </si>
  <si>
    <t>_____________________________  _____________________________</t>
  </si>
  <si>
    <t>Allocation MVT, RVT,16/20M Vehicle Tax</t>
  </si>
  <si>
    <t>Expenditures Must Be Changed by:</t>
  </si>
  <si>
    <t>1.  "Budget Authority Amount" cell added to budget year column of all funds.</t>
  </si>
  <si>
    <t>1.  Several changes to workbook associated with 2014 HB 2047.</t>
  </si>
  <si>
    <t>The following changes were made to this workbook on 7/14/2014</t>
  </si>
  <si>
    <t>Note:  All amounts are to be entered as whole numbers only.</t>
  </si>
  <si>
    <t>How to Compute the Value of One Mill, and the Impact of Tax Dollars and Assessed Valuation on Mill Rates</t>
  </si>
  <si>
    <t>Input Sheet for Special District Budget Workbook</t>
  </si>
  <si>
    <t>Enter special district name (may be Longer than green cell):</t>
  </si>
  <si>
    <t xml:space="preserve">Enter year being budgeted (YYYY): </t>
  </si>
  <si>
    <t xml:space="preserve">Enter the following information from the sources shown.  This information will flow throughout the budget worksheets to the appropriate locations. </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</si>
  <si>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</si>
  <si>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Enter county name followed by "County":</t>
  </si>
  <si>
    <t>Commercial Vehicle Tax Estimate</t>
  </si>
  <si>
    <t>Watercraft Tax Estimate</t>
  </si>
  <si>
    <t>Comm Veh</t>
  </si>
  <si>
    <t>Watercraft</t>
  </si>
  <si>
    <t>County Treas Motor Vehicle Estimate</t>
  </si>
  <si>
    <t>County Treas Recreational Vehicle Estimate</t>
  </si>
  <si>
    <t>County Treas 16/20M Vehicle Estimate</t>
  </si>
  <si>
    <t>County Treas Commercial Vehicle Tax Estimate</t>
  </si>
  <si>
    <t>County Treas Watercraft Tax Estimate</t>
  </si>
  <si>
    <t>Comm Veh Factor</t>
  </si>
  <si>
    <t>Watercraft Factor</t>
  </si>
  <si>
    <t xml:space="preserve">Allocation of MV, RV, 16/20M, Commercial Vehicle, and Watercraft Tax Estimates </t>
  </si>
  <si>
    <t>Commercial Vehicle Tax</t>
  </si>
  <si>
    <t>Watercraft Tax</t>
  </si>
  <si>
    <t>1.  Various workbook changes associated with commercial vehicle and watercraft tax estimates.</t>
  </si>
  <si>
    <t>1.  Inserted 2014 CPI percentage on computation tab.</t>
  </si>
  <si>
    <t>2.  Corrected formula in cell d24 of library grant tab.</t>
  </si>
  <si>
    <t>The following changes were made to this workbook on 9/30/2015</t>
  </si>
  <si>
    <t>The following changes were made to this workbook on 1/21/2016</t>
  </si>
  <si>
    <t>The following changes were made to this workbook on 2/2/2016</t>
  </si>
  <si>
    <t>1.  Inserted 2015 CPI percentage on computation tab.</t>
  </si>
  <si>
    <t>1.  On tax levy funds NR estimate shown as a negative receipt.</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</si>
  <si>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</si>
  <si>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</si>
  <si>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</si>
  <si>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</si>
  <si>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</si>
  <si>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1/22/2015</t>
  </si>
  <si>
    <t>The following changes were made to this workbook on 10/24/2014</t>
  </si>
  <si>
    <t>1.  Included the ROUND function to cell J38 in the computation tab so result will be a whole number.</t>
  </si>
  <si>
    <t>The following changes were made to this workbook on 5/22/2014</t>
  </si>
  <si>
    <t>The following changes were made to this workbook on 4/21/2014</t>
  </si>
  <si>
    <t>The following changes were made to this workbook on 3/27/2013</t>
  </si>
  <si>
    <t>1.  Instruction tab narrative modification.</t>
  </si>
  <si>
    <t>The following changes were made to this workbook on 3/6/2013</t>
  </si>
  <si>
    <t>1. Correction to the total assessed valuation year formula on the certificate tab.</t>
  </si>
  <si>
    <t>The following changes were made to this workbook on 10/10/2012</t>
  </si>
  <si>
    <t>1.  Added "resolution required?  yes/no" message to area adjacent to each tax levy fund.</t>
  </si>
  <si>
    <t>The following changes were made to this workbook on 12/29/2011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</si>
  <si>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</si>
  <si>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</si>
  <si>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</si>
  <si>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</si>
  <si>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</si>
  <si>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</si>
  <si>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</si>
  <si>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</si>
  <si>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</si>
  <si>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</si>
  <si>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11. InputPrYr tab, added column for adjusting ad valorem taxes to reflect a better picture of actual taxes received, allow a rate to be used to compute the new amount, and links the new amounts to the appropriate fund page, if used, otherwise used the original amounts.</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</si>
  <si>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</si>
  <si>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</si>
  <si>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right-justified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</si>
  <si>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</si>
  <si>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</si>
  <si>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</si>
  <si>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</si>
  <si>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</si>
  <si>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20. Change out the 'Mill Rate Computation' tab so to agree with the website.</t>
  </si>
  <si>
    <t>21. All tax levy fund pages added 'Mill Rate Comparison' table.</t>
  </si>
  <si>
    <t>22. Certificate tab added a place for the email address of the assisted by.</t>
  </si>
  <si>
    <t>The following changes were made to this workbook on 4/19/2011</t>
  </si>
  <si>
    <t>1. Summ tab changed proposed year expenditure column to 'Budget Authority for Expenditures.'</t>
  </si>
  <si>
    <t>2. Summ tab actual total computation amended.</t>
  </si>
  <si>
    <t>The following changes were made to this workbook on 10/27/2010</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</si>
  <si>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</si>
  <si>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</si>
  <si>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</si>
  <si>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</si>
  <si>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</si>
  <si>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</si>
  <si>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</si>
  <si>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</si>
  <si>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</si>
  <si>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</si>
  <si>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</si>
  <si>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</si>
  <si>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</si>
  <si>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</si>
  <si>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</si>
  <si>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</si>
  <si>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</si>
  <si>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</si>
  <si>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</si>
  <si>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</si>
  <si>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</si>
  <si>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</si>
  <si>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</si>
  <si>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The following changes were made to this workbook on 1/05/2010</t>
  </si>
  <si>
    <t>1. Instruction tab added line 8b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</si>
  <si>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</si>
  <si>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</si>
  <si>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</si>
  <si>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</si>
  <si>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</si>
  <si>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</si>
  <si>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</si>
  <si>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</si>
  <si>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</si>
  <si>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The following changes were made to this workbook on 9/25/2009</t>
  </si>
  <si>
    <t>1. InputPryr tab added line a16 'If amend . . . .'</t>
  </si>
  <si>
    <t>2. InputPryr tab change Bond &amp; Interest to Debt Service.</t>
  </si>
  <si>
    <t>3. InputOth tab change Bond &amp; Interest to Debt Service.</t>
  </si>
  <si>
    <t>4. Levypage8 tab cell C31, C32, E31 added rule.</t>
  </si>
  <si>
    <t>5. Nolevypage9 tab cell C31, C32, D31 add rule.</t>
  </si>
  <si>
    <t>6. Mvalloc tab change cells C11-14 from D to E reference inputpryr tab for ad valorem tax.</t>
  </si>
  <si>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</si>
  <si>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</si>
  <si>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</si>
  <si>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</si>
  <si>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</si>
  <si>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</si>
  <si>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The following were changed to this spreadsheet on 3/19/2009</t>
  </si>
  <si>
    <t>1. Certificate page change Bond &amp; Interest to Debt Service and Adopted to Adopted.</t>
  </si>
  <si>
    <t>2. Debt Service page change the fund name from Bond &amp; Interest to Debt Service.</t>
  </si>
  <si>
    <t>3. Budget Summary change the fund name from Bond &amp; Interest to Debt Service.</t>
  </si>
  <si>
    <t>The following were changed to this spreadsheet on 2/23/2009</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</si>
  <si>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</si>
  <si>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</si>
  <si>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</si>
  <si>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</si>
  <si>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</si>
  <si>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</si>
  <si>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</si>
  <si>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</si>
  <si>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</si>
  <si>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</si>
  <si>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</si>
  <si>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</si>
  <si>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</si>
  <si>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The following changes were made to this workbook on 2/25/2016</t>
  </si>
  <si>
    <r>
      <t>K.S.A. 80-1559.  Township Fire District Reserve Fund.</t>
    </r>
    <r>
      <rPr>
        <sz val="12"/>
        <color indexed="8"/>
        <rFont val="Times New Roman"/>
        <family val="1"/>
      </rPr>
      <t xml:space="preserve">  Authorizes a township fire district to create a</t>
    </r>
    <r>
      <rPr>
        <b/>
        <sz val="12"/>
        <color indexed="8"/>
        <rFont val="Times New Roman"/>
        <family val="1"/>
      </rPr>
      <t xml:space="preserve"> </t>
    </r>
    <r>
      <rPr>
        <sz val="12"/>
        <color indexed="8"/>
        <rFont val="Times New Roman"/>
        <family val="1"/>
      </rPr>
      <t>special fire protection reserve fund to finance the acquisition of fire-fighting equipment, land, and buildings, and to transfer each year to such fund up to 25% of the money credited to the fire fund.</t>
    </r>
  </si>
  <si>
    <t>1.  Added K.S.A. 80-1559 thumbnail to the NonBudFunds tab.</t>
  </si>
  <si>
    <t>The following changes were made to this workbook on 3/7/2017</t>
  </si>
  <si>
    <t>1.  inputPrYr tab, inserted CPI percentage, linked the percentage to the Computation tab.</t>
  </si>
  <si>
    <t>CPA Summary</t>
  </si>
  <si>
    <t>The following changes were made to this workbook in April 2018</t>
  </si>
  <si>
    <t xml:space="preserve">1.  Added the CPA Summary tab.  </t>
  </si>
  <si>
    <t>2.  Added the CPA Summary comment box on the Certification Page and all fund pages.</t>
  </si>
  <si>
    <t>3.  Renamed the Pub. Notice Option 1 tab to Notice of Vote.</t>
  </si>
  <si>
    <t>4.  Removed the Pub. Notice Option 2 and 3 tabs.</t>
  </si>
  <si>
    <t>CPA Summary of Assumptions</t>
  </si>
  <si>
    <t>The following changes were made to this workbook in April 2019</t>
  </si>
  <si>
    <t xml:space="preserve">1.  Updated Municipal Services' contact information on the Instruction tab  </t>
  </si>
  <si>
    <t>2.  Entered 2020 for the Budget Year and 2.5% for the CPI Percentage on the InputPrYr tab</t>
  </si>
  <si>
    <t>3.  Highlighted tabs (pages) in blue if the page is to be printed and submitted as part of the budget</t>
  </si>
  <si>
    <t>The following changes were made to this workbook April 2020</t>
  </si>
  <si>
    <t xml:space="preserve"> Entered 2021 for the Budget Year and 1.8% as the CPI Percentage on the InputPrYr tab.</t>
  </si>
  <si>
    <t>Updated helpful links tab</t>
  </si>
  <si>
    <t>Revenue Neutral Rate</t>
  </si>
  <si>
    <t>Page No. 5</t>
  </si>
  <si>
    <t>Revenue Neutral Rate**</t>
  </si>
  <si>
    <t>The following changes were made to this workbook during April 2021</t>
  </si>
  <si>
    <t>1. CPI was removed (2021 SB 13)</t>
  </si>
  <si>
    <t>2. Computed Limit/Tax Lid references and tabs were removed throughout workbook (2021 SB 13)</t>
  </si>
  <si>
    <t>3. Budget Summary Page was updated to include Revenue Neutral Rate (2021 SB 13)</t>
  </si>
  <si>
    <t xml:space="preserve">4. Instructions were adjusted to reflect changes from 2021 SB 13. </t>
  </si>
  <si>
    <t xml:space="preserve">5. Updated Cert (Table of Contents) and page numbering. </t>
  </si>
  <si>
    <t>Budget Workbook Instructions</t>
  </si>
  <si>
    <t xml:space="preserve">Please read these instructions carefully.  If after reviewing the instructions you still have questions, contact Municipal Services at 785-296-6033 or 785-296-8083; or via email to armunis@ks.gov. </t>
  </si>
  <si>
    <t xml:space="preserve">Please use the budget workbook that corresponds to the number of funds that are used by your taxing subdivision.  If you do not need all the fund pages in the workbook, leave the page number field on the unused fund pages blank and number the completed fund pages sequentially.  The Certificate page will be updated when the page numbers are entered on the fund pages. </t>
  </si>
  <si>
    <t>Submitting the Budget</t>
  </si>
  <si>
    <r>
      <t xml:space="preserve">As required by KSA 79-1801, budgets without intent to exceed the Revenue Neutral Rate (RNR) are required be certified and submitted to the County Clerk by </t>
    </r>
    <r>
      <rPr>
        <u/>
        <sz val="12"/>
        <rFont val="Times New Roman"/>
        <family val="1"/>
      </rPr>
      <t>August 25th</t>
    </r>
    <r>
      <rPr>
        <sz val="12"/>
        <rFont val="Times New Roman"/>
        <family val="1"/>
      </rPr>
      <t xml:space="preserve"> of each year.  If the taxing subdivision must conduct a hearing to approve exceeding the RNR, the budget must be certified and submitted to the County Clerk by </t>
    </r>
    <r>
      <rPr>
        <u/>
        <sz val="12"/>
        <rFont val="Times New Roman"/>
        <family val="1"/>
      </rPr>
      <t>October 1</t>
    </r>
    <r>
      <rPr>
        <u/>
        <vertAlign val="superscript"/>
        <sz val="12"/>
        <rFont val="Times New Roman"/>
        <family val="1"/>
      </rPr>
      <t>st</t>
    </r>
    <r>
      <rPr>
        <b/>
        <sz val="12"/>
        <rFont val="Times New Roman"/>
        <family val="1"/>
      </rPr>
      <t xml:space="preserve">. </t>
    </r>
  </si>
  <si>
    <t>KSA 79-2930 requires budgets be submitted by electronic means to your County Clerk. Acceptable electronic formats are Microsoft Excel and Adobe PDF.</t>
  </si>
  <si>
    <t xml:space="preserve">The worksheet tabs are labeled an abbreviation of the document name.  The worksheet tabs are identified in workbook by referencing the tab name in parentheses. For example, the General Fund reference is (General). </t>
  </si>
  <si>
    <t>All dollar amounts should be recorded in whole dollars (do not include cents).</t>
  </si>
  <si>
    <t xml:space="preserve">      Data should only be entered in the green-shaded cells on the budget worksheets.  </t>
  </si>
  <si>
    <t xml:space="preserve">      The beige-shaded cells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continue to experience problems, please contact Municipal Services for assistance. </t>
  </si>
  <si>
    <t xml:space="preserve">      The blue-shaded cells indicate where the required data input can be located. </t>
  </si>
  <si>
    <t xml:space="preserve">      Red-shaded cells are for notes or indicate a problem area that may need corrective action. </t>
  </si>
  <si>
    <r>
      <t xml:space="preserve">To print the worksheets, you can print one tab at a time or all tabs at once by highlighting the tabs that need to be printed.  </t>
    </r>
    <r>
      <rPr>
        <b/>
        <u/>
        <sz val="12"/>
        <rFont val="Times New Roman"/>
        <family val="1"/>
      </rPr>
      <t>Note</t>
    </r>
    <r>
      <rPr>
        <sz val="12"/>
        <rFont val="Times New Roman"/>
        <family val="1"/>
      </rPr>
      <t xml:space="preserve">: Do not print the instructions, input tabs, statutes, etc.  All tabs that are colored blue should be printed (if applicable) and submitted.  </t>
    </r>
  </si>
  <si>
    <t>Workbook Preparation</t>
  </si>
  <si>
    <t>Before getting started, make sure that you have all documents necessary to retrieve the input information for this year’s budget. For a list of documents to have available, see the “Preparing the Budget – Documents Needed” checklist on the Municipal Services website.</t>
  </si>
  <si>
    <r>
      <t xml:space="preserve">1. </t>
    </r>
    <r>
      <rPr>
        <u/>
        <sz val="12"/>
        <rFont val="Times New Roman"/>
        <family val="1"/>
      </rPr>
      <t>Input Prior Year (inputPrYr)</t>
    </r>
    <r>
      <rPr>
        <sz val="12"/>
        <rFont val="Times New Roman"/>
        <family val="1"/>
      </rPr>
      <t xml:space="preserve">: The information comes directly from last year's budget.  After the information has been entered, please verify the data is correct.  If at a later date, it is determined the information is incorrect, correct the information on this page, </t>
    </r>
    <r>
      <rPr>
        <u/>
        <sz val="12"/>
        <rFont val="Times New Roman"/>
        <family val="1"/>
      </rPr>
      <t>not</t>
    </r>
    <r>
      <rPr>
        <sz val="12"/>
        <rFont val="Times New Roman"/>
        <family val="1"/>
      </rPr>
      <t xml:space="preserve"> the fund page. </t>
    </r>
  </si>
  <si>
    <r>
      <t>a.</t>
    </r>
    <r>
      <rPr>
        <sz val="7"/>
        <rFont val="Times New Roman"/>
        <family val="1"/>
      </rPr>
      <t xml:space="preserve">       </t>
    </r>
    <r>
      <rPr>
        <sz val="12"/>
        <rFont val="Times New Roman"/>
        <family val="1"/>
      </rPr>
      <t>In the green-shaded cell, enter the name of the taxing subdivision. For cities, please include “City of” before the city name.</t>
    </r>
  </si>
  <si>
    <r>
      <t>b.</t>
    </r>
    <r>
      <rPr>
        <sz val="7"/>
        <rFont val="Times New Roman"/>
        <family val="1"/>
      </rPr>
      <t xml:space="preserve">      </t>
    </r>
    <r>
      <rPr>
        <sz val="12"/>
        <rFont val="Times New Roman"/>
        <family val="1"/>
      </rPr>
      <t>Dates for the entire budget workbook are controlled by the year entered into the "Enter year being budgeted (YYYY)" field. This field will be prepopulated. If you find a date that is not correct for the budget being submitted, please contact Municipal Services for assistance.</t>
    </r>
  </si>
  <si>
    <r>
      <t>c.</t>
    </r>
    <r>
      <rPr>
        <sz val="7"/>
        <rFont val="Times New Roman"/>
        <family val="1"/>
      </rPr>
      <t xml:space="preserve">       </t>
    </r>
    <r>
      <rPr>
        <u/>
        <sz val="12"/>
        <rFont val="Times New Roman"/>
        <family val="1"/>
      </rPr>
      <t>Optional</t>
    </r>
    <r>
      <rPr>
        <sz val="12"/>
        <rFont val="Times New Roman"/>
        <family val="1"/>
      </rPr>
      <t>: To the right of the last year Ad Valorem Tax column is a tool that may be used to create an estimate of ad valorem taxes to be received in the current year. Input an estimated delinquency percentage in the green-shaded cell. If you do not wish to use an estimated delinquency percentage, leave the green-shaded field at 0.00%.</t>
    </r>
  </si>
  <si>
    <r>
      <t>d.</t>
    </r>
    <r>
      <rPr>
        <sz val="7"/>
        <rFont val="Times New Roman"/>
        <family val="1"/>
      </rPr>
      <t xml:space="preserve">      </t>
    </r>
    <r>
      <rPr>
        <sz val="12"/>
        <rFont val="Times New Roman"/>
        <family val="1"/>
      </rPr>
      <t>Follow the instruction in the blue-shaded cells to complete the green-shaded input cells applicable to your budget.</t>
    </r>
  </si>
  <si>
    <r>
      <t>2.</t>
    </r>
    <r>
      <rPr>
        <sz val="12"/>
        <rFont val="Times New Roman"/>
        <family val="1"/>
      </rPr>
      <t xml:space="preserve"> </t>
    </r>
    <r>
      <rPr>
        <u/>
        <sz val="12"/>
        <rFont val="Times New Roman"/>
        <family val="1"/>
      </rPr>
      <t>Input Other (inputOth)</t>
    </r>
    <r>
      <rPr>
        <sz val="12"/>
        <rFont val="Times New Roman"/>
        <family val="1"/>
      </rPr>
      <t xml:space="preserve">: The information entered on this tab is obtained from the County Clerk, County Treasurer, Municipal Services website, and the adopted budget information from two years ago (including any amendments).  After the information has been entered, please verify the data is correct. </t>
    </r>
  </si>
  <si>
    <r>
      <t>a.</t>
    </r>
    <r>
      <rPr>
        <sz val="7"/>
        <rFont val="Times New Roman"/>
        <family val="1"/>
      </rPr>
      <t xml:space="preserve">       </t>
    </r>
    <r>
      <rPr>
        <sz val="12"/>
        <rFont val="Times New Roman"/>
        <family val="1"/>
      </rPr>
      <t>Follow instruction in the blue-shaded cells to complete the green-shaded input cells.</t>
    </r>
  </si>
  <si>
    <r>
      <t>b.</t>
    </r>
    <r>
      <rPr>
        <sz val="7"/>
        <rFont val="Times New Roman"/>
        <family val="1"/>
      </rPr>
      <t xml:space="preserve">      </t>
    </r>
    <r>
      <rPr>
        <b/>
        <u/>
        <sz val="12"/>
        <rFont val="Times New Roman"/>
        <family val="1"/>
      </rPr>
      <t>Note</t>
    </r>
    <r>
      <rPr>
        <sz val="12"/>
        <rFont val="Times New Roman"/>
        <family val="1"/>
      </rPr>
      <t>: Computation of Delinquency. This allowance is not mandatory but may be used if the municipality wishes. KSA 79-2930 states that such allowance shall not exceed by more than 5% the percentage of delinquency for the preceding tax year. The delinquency rate will be applied to all tax levy fund pages.</t>
    </r>
  </si>
  <si>
    <t>If the taxing subdivision chooses to use the delinquency rate for some but not all tax levy funds, the taxing subdivision must delete the delinquency rate from the funds that should not include delinquency. Right-click on the tab of the fund that does not require the delinquency rate estimate and select Unprotect Sheet. Delete the data in the Delinquent Comp Rate cell. Right click on the tab of the fund page and select Protect Sheet and OK. You do not need to enter a password in the Protect Sheet window. Select OK. Go to the next fund tab and complete the same steps, if applicable.</t>
  </si>
  <si>
    <r>
      <t>3.</t>
    </r>
    <r>
      <rPr>
        <sz val="12"/>
        <rFont val="Times New Roman"/>
        <family val="1"/>
      </rPr>
      <t xml:space="preserve"> </t>
    </r>
    <r>
      <rPr>
        <u/>
        <sz val="12"/>
        <rFont val="Times New Roman"/>
        <family val="1"/>
      </rPr>
      <t>Input Hearing Information (inputHearing)</t>
    </r>
    <r>
      <rPr>
        <sz val="12"/>
        <rFont val="Times New Roman"/>
        <family val="1"/>
      </rPr>
      <t xml:space="preserve">: The information entered on this tab will populate the public hearing information to the appropriate hearing notice.  Review the available options and based on the taxing subdivision needs and complete the appropriate section(s). </t>
    </r>
  </si>
  <si>
    <r>
      <t xml:space="preserve">NOTE: </t>
    </r>
    <r>
      <rPr>
        <sz val="12"/>
        <rFont val="Times New Roman"/>
        <family val="1"/>
      </rPr>
      <t xml:space="preserve">All taxing subdivisions must publish the summarized budget in order to legally adopt the budget (unless otherwise authorized by law).  To do this, either the “Budget Hearing Notice Only” or the “Combined Revenue Neutral Rate &amp; Budget Hearing Notice” section and publication should be used.  </t>
    </r>
  </si>
  <si>
    <r>
      <t>a.</t>
    </r>
    <r>
      <rPr>
        <sz val="7"/>
        <rFont val="Times New Roman"/>
        <family val="1"/>
      </rPr>
      <t xml:space="preserve">       </t>
    </r>
    <r>
      <rPr>
        <u/>
        <sz val="12"/>
        <rFont val="Times New Roman"/>
        <family val="1"/>
      </rPr>
      <t>Budget Hearing Notice Only</t>
    </r>
    <r>
      <rPr>
        <sz val="12"/>
        <rFont val="Times New Roman"/>
        <family val="1"/>
      </rPr>
      <t xml:space="preserve">: If the subdivision does not intend to exceed the RNR or will publish the RNR hearing information separately, this section may be used.  Enter the required information into the green-shaded cells. Print and review the tab (Budget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t>
    </r>
  </si>
  <si>
    <r>
      <t>b.</t>
    </r>
    <r>
      <rPr>
        <sz val="7"/>
        <rFont val="Times New Roman"/>
        <family val="1"/>
      </rPr>
      <t xml:space="preserve">      </t>
    </r>
    <r>
      <rPr>
        <u/>
        <sz val="12"/>
        <rFont val="Times New Roman"/>
        <family val="1"/>
      </rPr>
      <t>Combined Revenue Neutral Rate &amp; Budget Hearing Notice</t>
    </r>
    <r>
      <rPr>
        <sz val="12"/>
        <rFont val="Times New Roman"/>
        <family val="1"/>
      </rPr>
      <t xml:space="preserve">: If the subdivision intends to hold a hearing to exceed the RNR, the subdivision may elect to publish the rate and budget hearing together.  This alternate publication may be used for that purpose.  Enter the required information into the green-shaded cells. Print and review the tab (Combined-Rate-Bud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</si>
  <si>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c.</t>
    </r>
    <r>
      <rPr>
        <sz val="7"/>
        <rFont val="Times New Roman"/>
        <family val="1"/>
      </rPr>
      <t xml:space="preserve">       </t>
    </r>
    <r>
      <rPr>
        <u/>
        <sz val="12"/>
        <rFont val="Times New Roman"/>
        <family val="1"/>
      </rPr>
      <t>Hearing to Exceed the Revenue Neutral Rate Notice Only</t>
    </r>
    <r>
      <rPr>
        <sz val="12"/>
        <rFont val="Times New Roman"/>
        <family val="1"/>
      </rPr>
      <t xml:space="preserve">: If the subdivision wishes to publish the hearing information to exceed the RNR separately, this alternate publication may be used.  Enter the required information into the green-shaded cells. Print and review the tab (RNR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</si>
  <si>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4.</t>
    </r>
    <r>
      <rPr>
        <sz val="12"/>
        <rFont val="Times New Roman"/>
        <family val="1"/>
      </rPr>
      <t xml:space="preserve"> </t>
    </r>
    <r>
      <rPr>
        <u/>
        <sz val="12"/>
        <rFont val="Times New Roman"/>
        <family val="1"/>
      </rPr>
      <t>Certificate (Cert)</t>
    </r>
    <r>
      <rPr>
        <sz val="12"/>
        <rFont val="Times New Roman"/>
        <family val="1"/>
      </rPr>
      <t xml:space="preserve">:  This document is populated with information entered on the fund tabs and input tabs.  If there is incorrect information on the Certificate, do </t>
    </r>
    <r>
      <rPr>
        <u/>
        <sz val="12"/>
        <rFont val="Times New Roman"/>
        <family val="1"/>
      </rPr>
      <t>not</t>
    </r>
    <r>
      <rPr>
        <sz val="12"/>
        <rFont val="Times New Roman"/>
        <family val="1"/>
      </rPr>
      <t xml:space="preserve"> correct the Certificate directly. Correct the fund or input tab that populates the information on the Certificate.  If you cannot correct the error, please contact Municipal Services for assistance. </t>
    </r>
  </si>
  <si>
    <r>
      <t>a.</t>
    </r>
    <r>
      <rPr>
        <sz val="7"/>
        <rFont val="Times New Roman"/>
        <family val="1"/>
      </rPr>
      <t xml:space="preserve">       </t>
    </r>
    <r>
      <rPr>
        <sz val="12"/>
        <rFont val="Times New Roman"/>
        <family val="1"/>
      </rPr>
      <t>If someone other than a municipal employee assists in preparing the budget, please enter the person's or firm's name and address in the green-shaded cells provided at the bottom left.</t>
    </r>
  </si>
  <si>
    <r>
      <t>b.</t>
    </r>
    <r>
      <rPr>
        <sz val="7"/>
        <rFont val="Times New Roman"/>
        <family val="1"/>
      </rPr>
      <t xml:space="preserve">      </t>
    </r>
    <r>
      <rPr>
        <sz val="12"/>
        <rFont val="Times New Roman"/>
        <family val="1"/>
      </rPr>
      <t xml:space="preserve">This is a required document and must be included in the adopted budget submitted to the County Clerk. </t>
    </r>
  </si>
  <si>
    <r>
      <t>5.</t>
    </r>
    <r>
      <rPr>
        <sz val="12"/>
        <rFont val="Times New Roman"/>
        <family val="1"/>
      </rPr>
      <t xml:space="preserve">  </t>
    </r>
    <r>
      <rPr>
        <u/>
        <sz val="12"/>
        <rFont val="Times New Roman"/>
        <family val="1"/>
      </rPr>
      <t>Allocation of MV, RV, 16/20M, Commercial Vehicle and Watercraft Tax Estimates (Mvalloc)</t>
    </r>
    <r>
      <rPr>
        <sz val="12"/>
        <rFont val="Times New Roman"/>
        <family val="1"/>
      </rPr>
      <t>: This information populated from the information entered on inputPrYr and inputOth.  Once calculated, the motor allocation information is linked to the applicable fund pages. If information concerning on this tab is not correct, do not make changes to this tab, but rather correct the information on inputPrYr and/or inputOth.</t>
    </r>
  </si>
  <si>
    <r>
      <t>a.</t>
    </r>
    <r>
      <rPr>
        <sz val="7"/>
        <rFont val="Times New Roman"/>
        <family val="1"/>
      </rPr>
      <t xml:space="preserve">       </t>
    </r>
    <r>
      <rPr>
        <sz val="12"/>
        <rFont val="Times New Roman"/>
        <family val="1"/>
      </rPr>
      <t xml:space="preserve">This is a required document and must be included in the adopted budget submitted to the County Clerk. </t>
    </r>
  </si>
  <si>
    <r>
      <t>6.</t>
    </r>
    <r>
      <rPr>
        <sz val="12"/>
        <rFont val="Times New Roman"/>
        <family val="1"/>
      </rPr>
      <t xml:space="preserve"> </t>
    </r>
    <r>
      <rPr>
        <u/>
        <sz val="12"/>
        <rFont val="Times New Roman"/>
        <family val="1"/>
      </rPr>
      <t>Schedule of Transfers (Transfers)</t>
    </r>
    <r>
      <rPr>
        <sz val="12"/>
        <rFont val="Times New Roman"/>
        <family val="1"/>
      </rPr>
      <t xml:space="preserve">:  This document reports all actual, current, and proposed transfers for the taxing subdivision. Provide the statute that authorizes the transfer. The Transfer Statutes (Transfer Statutes) tab lists applicable transfer statutes for reference. If Home Rule is applied, provide the charter ordinance number in place of the statute. </t>
    </r>
  </si>
  <si>
    <r>
      <t>a.</t>
    </r>
    <r>
      <rPr>
        <sz val="7"/>
        <rFont val="Times New Roman"/>
        <family val="1"/>
      </rPr>
      <t xml:space="preserve">      </t>
    </r>
    <r>
      <rPr>
        <sz val="12"/>
        <rFont val="Times New Roman"/>
        <family val="1"/>
      </rPr>
      <t xml:space="preserve">The transfers are totaled at the bottom of the schedule and the aggregate transfer amount is linked to the hearing notice pages.    </t>
    </r>
  </si>
  <si>
    <r>
      <t>b.</t>
    </r>
    <r>
      <rPr>
        <sz val="7"/>
        <rFont val="Times New Roman"/>
        <family val="1"/>
      </rPr>
      <t xml:space="preserve">       </t>
    </r>
    <r>
      <rPr>
        <sz val="12"/>
        <rFont val="Times New Roman"/>
        <family val="1"/>
      </rPr>
      <t xml:space="preserve">Adjustments are made for only those non-budgeted expenditure transfers appearing in the current and/or proposed columns of the schedule and do not have expenditures shown in the hearing notice current and proposed columns. These types of transfers are not truly an expenditure at this time and as such an adjustment is needed to show the taxpayers the actual expenditures for the municipality. </t>
    </r>
  </si>
  <si>
    <r>
      <t>c.</t>
    </r>
    <r>
      <rPr>
        <sz val="7"/>
        <rFont val="Times New Roman"/>
        <family val="1"/>
      </rPr>
      <t xml:space="preserve">      </t>
    </r>
    <r>
      <rPr>
        <sz val="12"/>
        <rFont val="Times New Roman"/>
        <family val="1"/>
      </rPr>
      <t>Each transfer listed must be recorded on the appropriate fund pages (tabs) the individual completed fund pages.</t>
    </r>
  </si>
  <si>
    <r>
      <t>d.</t>
    </r>
    <r>
      <rPr>
        <sz val="7"/>
        <rFont val="Times New Roman"/>
        <family val="1"/>
      </rPr>
      <t xml:space="preserve">       </t>
    </r>
    <r>
      <rPr>
        <sz val="12"/>
        <rFont val="Times New Roman"/>
        <family val="1"/>
      </rPr>
      <t xml:space="preserve">If there are no transfers, leave as zeroes. This document must be included in the adopted budget submitted to the County Clerk. </t>
    </r>
  </si>
  <si>
    <r>
      <t>7.</t>
    </r>
    <r>
      <rPr>
        <sz val="12"/>
        <rFont val="Times New Roman"/>
        <family val="1"/>
      </rPr>
      <t xml:space="preserve">  </t>
    </r>
    <r>
      <rPr>
        <u/>
        <sz val="12"/>
        <rFont val="Times New Roman"/>
        <family val="1"/>
      </rPr>
      <t>Statement of Indebtedness (Debt)</t>
    </r>
    <r>
      <rPr>
        <sz val="12"/>
        <rFont val="Times New Roman"/>
        <family val="1"/>
      </rPr>
      <t xml:space="preserve">: This document must show all of the debt owed or proposed to be issued.  The general obligation and revenue bond totals for the budget year are linked to the hearing notice pages.  </t>
    </r>
  </si>
  <si>
    <r>
      <t>a.</t>
    </r>
    <r>
      <rPr>
        <sz val="7"/>
        <rFont val="Times New Roman"/>
        <family val="1"/>
      </rPr>
      <t xml:space="preserve">       </t>
    </r>
    <r>
      <rPr>
        <sz val="12"/>
        <rFont val="Times New Roman"/>
        <family val="1"/>
      </rPr>
      <t xml:space="preserve">If the taxing subdivision does not have any debt, enter “None” on the first line. This document must be included in the adopted budget submitted to the County Clerk. </t>
    </r>
  </si>
  <si>
    <r>
      <t>8.</t>
    </r>
    <r>
      <rPr>
        <sz val="12"/>
        <rFont val="Times New Roman"/>
        <family val="1"/>
      </rPr>
      <t xml:space="preserve">  </t>
    </r>
    <r>
      <rPr>
        <u/>
        <sz val="12"/>
        <rFont val="Times New Roman"/>
        <family val="1"/>
      </rPr>
      <t>Statement of Conditional Lease, Lease-Purchases and Certificate of Participation (LP Form)</t>
    </r>
    <r>
      <rPr>
        <sz val="12"/>
        <rFont val="Times New Roman"/>
        <family val="1"/>
      </rPr>
      <t xml:space="preserve">: This document must be completed for all transactions in which the taxing subdivision intends to own the equipment.  Principal Balance Due for the actual year is linked to the hearing notice pages. </t>
    </r>
  </si>
  <si>
    <r>
      <t>a.</t>
    </r>
    <r>
      <rPr>
        <sz val="7"/>
        <rFont val="Times New Roman"/>
        <family val="1"/>
      </rPr>
      <t xml:space="preserve">       </t>
    </r>
    <r>
      <rPr>
        <sz val="12"/>
        <rFont val="Times New Roman"/>
        <family val="1"/>
      </rPr>
      <t>If the taxing subdivision does not have any leases, enter 'None' on the first line. This document must be included in the adopted budget submitted to the County Clerk.</t>
    </r>
  </si>
  <si>
    <r>
      <t>9.</t>
    </r>
    <r>
      <rPr>
        <sz val="12"/>
        <rFont val="Times New Roman"/>
        <family val="1"/>
      </rPr>
      <t xml:space="preserve"> </t>
    </r>
    <r>
      <rPr>
        <u/>
        <sz val="12"/>
        <rFont val="Times New Roman"/>
        <family val="1"/>
      </rPr>
      <t>Worksheet for State Grant-In-Aid to Public Libraries and Regional Library Systems (Library Grant)</t>
    </r>
    <r>
      <rPr>
        <sz val="12"/>
        <rFont val="Times New Roman"/>
        <family val="1"/>
      </rPr>
      <t xml:space="preserve">: This information is populated from the Library fund page and is used to determine if the municipality qualifies for a State grant. If qualified, the bottom of the Library fund page will say “Qualifies for State Library Grant” in red. If not qualified, it will say “See Library Grant tab.”  </t>
    </r>
  </si>
  <si>
    <r>
      <t>a.</t>
    </r>
    <r>
      <rPr>
        <sz val="7"/>
        <rFont val="Times New Roman"/>
        <family val="1"/>
      </rPr>
      <t xml:space="preserve">       </t>
    </r>
    <r>
      <rPr>
        <sz val="12"/>
        <rFont val="Times New Roman"/>
        <family val="1"/>
      </rPr>
      <t>For subdivisions with a library: If the Library fund page is used, the Certificate page will update the Table of Contents to show “Computation to Determine State Library Grant.” This worksheet will be a required document in the adopted budget submitted to the County Clerk.</t>
    </r>
  </si>
  <si>
    <r>
      <t>b.</t>
    </r>
    <r>
      <rPr>
        <sz val="7"/>
        <rFont val="Times New Roman"/>
        <family val="1"/>
      </rPr>
      <t xml:space="preserve">      </t>
    </r>
    <r>
      <rPr>
        <sz val="12"/>
        <rFont val="Times New Roman"/>
        <family val="1"/>
      </rPr>
      <t xml:space="preserve">For subdivisions without a library: No action is required, and this page </t>
    </r>
    <r>
      <rPr>
        <i/>
        <sz val="12"/>
        <rFont val="Times New Roman"/>
        <family val="1"/>
      </rPr>
      <t xml:space="preserve">does not </t>
    </r>
    <r>
      <rPr>
        <sz val="12"/>
        <rFont val="Times New Roman"/>
        <family val="1"/>
      </rPr>
      <t>need to be included in the adopted budget submitted to the County Clerk.</t>
    </r>
  </si>
  <si>
    <r>
      <t>10.</t>
    </r>
    <r>
      <rPr>
        <sz val="12"/>
        <rFont val="Times New Roman"/>
        <family val="1"/>
      </rPr>
      <t xml:space="preserve">  The budget workbook has individual fund sheets such as, but not limited to, General Fund (General), Debt Service and Library levy fund (DebtSvs-Library), levy funds (Levy Page #), Special Highway fund (Spec Hwy), non-levy funds (No Levy Page #) and single no levy funds (Single No Levy Page #).  Only complete the fund pages needed.  </t>
    </r>
    <r>
      <rPr>
        <b/>
        <u/>
        <sz val="12"/>
        <rFont val="Times New Roman"/>
        <family val="1"/>
      </rPr>
      <t>Do not delete unused pages.</t>
    </r>
    <r>
      <rPr>
        <sz val="12"/>
        <rFont val="Times New Roman"/>
        <family val="1"/>
      </rPr>
      <t xml:space="preserve"> When the fund pages are completed, the totals will be shown on the Certificate and hearing notice pages.</t>
    </r>
  </si>
  <si>
    <r>
      <t>a.</t>
    </r>
    <r>
      <rPr>
        <sz val="7"/>
        <rFont val="Times New Roman"/>
        <family val="1"/>
      </rPr>
      <t xml:space="preserve">       </t>
    </r>
    <r>
      <rPr>
        <sz val="12"/>
        <rFont val="Times New Roman"/>
        <family val="1"/>
      </rPr>
      <t>The page number for the General Fund and General Fund Detail do not prepopulate.  Once the page number is manually entered at the bottom of the General Fund page, the correct page number will auto-populate at the bottom of the General Fund Detail page. If the taxing subdivision has a Library Fund, the Library Grant page will auto-populate.</t>
    </r>
  </si>
  <si>
    <r>
      <t>b.</t>
    </r>
    <r>
      <rPr>
        <sz val="7"/>
        <rFont val="Times New Roman"/>
        <family val="1"/>
      </rPr>
      <t xml:space="preserve">      </t>
    </r>
    <r>
      <rPr>
        <sz val="12"/>
        <rFont val="Times New Roman"/>
        <family val="1"/>
      </rPr>
      <t xml:space="preserve">On all tax levy fund pages, see the “Projected Carryover” tool for the proposed budgeted year.   The carryover tool provides insight as what the projected cash might be using figures from the budget being submitted.  The figures used are only estimates and if the actual receipts or expenditures vary, the projected cash carryover will be affected.  </t>
    </r>
    <r>
      <rPr>
        <b/>
        <u/>
        <sz val="12"/>
        <rFont val="Times New Roman"/>
        <family val="1"/>
      </rPr>
      <t>Note</t>
    </r>
    <r>
      <rPr>
        <sz val="12"/>
        <rFont val="Times New Roman"/>
        <family val="1"/>
      </rPr>
      <t>: delinquent taxes are not included in the projected carryover as they have a major impact on the “Desired Carryover” tool.</t>
    </r>
  </si>
  <si>
    <r>
      <t>c.</t>
    </r>
    <r>
      <rPr>
        <sz val="7"/>
        <rFont val="Times New Roman"/>
        <family val="1"/>
      </rPr>
      <t xml:space="preserve">       </t>
    </r>
    <r>
      <rPr>
        <sz val="12"/>
        <rFont val="Times New Roman"/>
        <family val="1"/>
      </rPr>
      <t xml:space="preserve">On all tax levy fund page, see the “Desired Carryover” tool. This is used to estimate a desired carryover amount and show the estimated mill rate impact along with the expenditure adjustments required to reach the desired carryover.  </t>
    </r>
    <r>
      <rPr>
        <b/>
        <u/>
        <sz val="12"/>
        <rFont val="Times New Roman"/>
        <family val="1"/>
      </rPr>
      <t>Note</t>
    </r>
    <r>
      <rPr>
        <sz val="12"/>
        <rFont val="Times New Roman"/>
        <family val="1"/>
      </rPr>
      <t>: if a delinquency rate is used, the tool may require several adjustments to get the desired amount or close to the desire amount.</t>
    </r>
  </si>
  <si>
    <r>
      <t>d.</t>
    </r>
    <r>
      <rPr>
        <sz val="7"/>
        <rFont val="Times New Roman"/>
        <family val="1"/>
      </rPr>
      <t xml:space="preserve">      </t>
    </r>
    <r>
      <rPr>
        <sz val="12"/>
        <rFont val="Times New Roman"/>
        <family val="1"/>
      </rPr>
      <t xml:space="preserve">On all tax levy fund pages, we have placed “Estimated Mill Rate &amp; Revenue Neutral Rate Comparison” tool. This tool is used to illustrate and compare the fund rates (both estimated and current year) as well as the total rates (estimated and current year). Additionally, users will see the RNR to determine whether the process in KSA 79-2988 should be followed. If a RNR hearing is required, “Yes” will appear in a red box, and a red statement with additional instruction will appear. </t>
    </r>
  </si>
  <si>
    <r>
      <t>e.</t>
    </r>
    <r>
      <rPr>
        <sz val="7"/>
        <rFont val="Times New Roman"/>
        <family val="1"/>
      </rPr>
      <t xml:space="preserve">       </t>
    </r>
    <r>
      <rPr>
        <u/>
        <sz val="12"/>
        <rFont val="Times New Roman"/>
        <family val="1"/>
      </rPr>
      <t>General Detail Page (General Detail)</t>
    </r>
    <r>
      <rPr>
        <sz val="12"/>
        <rFont val="Times New Roman"/>
        <family val="1"/>
      </rPr>
      <t xml:space="preserve">:  This page shows detailed expenditures for the General Fund departments.  If used, you will input each department name and expenditures on this page </t>
    </r>
    <r>
      <rPr>
        <i/>
        <sz val="12"/>
        <rFont val="Times New Roman"/>
        <family val="1"/>
      </rPr>
      <t xml:space="preserve">and </t>
    </r>
    <r>
      <rPr>
        <sz val="12"/>
        <rFont val="Times New Roman"/>
        <family val="1"/>
      </rPr>
      <t xml:space="preserve">input the department name and </t>
    </r>
    <r>
      <rPr>
        <u/>
        <sz val="12"/>
        <rFont val="Times New Roman"/>
        <family val="1"/>
      </rPr>
      <t>total</t>
    </r>
    <r>
      <rPr>
        <sz val="12"/>
        <rFont val="Times New Roman"/>
        <family val="1"/>
      </rPr>
      <t xml:space="preserve"> expenditures on the General Fund page. Department transfers should be shown on the General Fund page only. Departments with like transfers may be shown together on the General Fund page as single line items. For example: if several departments have a transfer for equipment reserve, the total of all equipment reserve transfers should be shown on the General Fund page as “Transfer to Equipment Reserve” for each budgeted year.</t>
    </r>
  </si>
  <si>
    <r>
      <t>f.</t>
    </r>
    <r>
      <rPr>
        <sz val="7"/>
        <rFont val="Times New Roman"/>
        <family val="1"/>
      </rPr>
      <t xml:space="preserve">        </t>
    </r>
    <r>
      <rPr>
        <sz val="12"/>
        <rFont val="Times New Roman"/>
        <family val="1"/>
      </rPr>
      <t xml:space="preserve">Each tax levy fund will have an expenditure line for neighborhood revitalization.  Only input the rebate amounts for the </t>
    </r>
    <r>
      <rPr>
        <b/>
        <sz val="12"/>
        <rFont val="Times New Roman"/>
        <family val="1"/>
      </rPr>
      <t>actual and current year</t>
    </r>
    <r>
      <rPr>
        <sz val="12"/>
        <rFont val="Times New Roman"/>
        <family val="1"/>
      </rPr>
      <t xml:space="preserve">.  The proposed budget year amount will be computed for you. Please see step 12 for neighborhood revitalization rebate instructions for the proposed budget year. </t>
    </r>
  </si>
  <si>
    <r>
      <t>g.</t>
    </r>
    <r>
      <rPr>
        <sz val="7"/>
        <rFont val="Times New Roman"/>
        <family val="1"/>
      </rPr>
      <t xml:space="preserve">      </t>
    </r>
    <r>
      <rPr>
        <u/>
        <sz val="12"/>
        <rFont val="Times New Roman"/>
        <family val="1"/>
      </rPr>
      <t>Optional</t>
    </r>
    <r>
      <rPr>
        <sz val="12"/>
        <rFont val="Times New Roman"/>
        <family val="1"/>
      </rPr>
      <t xml:space="preserve">: All levy fund pages have a Non-Appropriated Balance cell. It is not mandatory enter an amount or the Non-Appropriated Balance.  KSA 79-2927 allows the taxing subdivision to enter an amount not to exceed 5% of the total expenditures for each fund. If the amount entered in the cell exceeds the 5%, a warning "Exceeds 5%" will appear and the block will turn red.  In order to remove this warning message, you must reduce the non-appropriated amount. </t>
    </r>
  </si>
  <si>
    <r>
      <t>h.</t>
    </r>
    <r>
      <rPr>
        <sz val="7"/>
        <rFont val="Times New Roman"/>
        <family val="1"/>
      </rPr>
      <t xml:space="preserve">      </t>
    </r>
    <r>
      <rPr>
        <sz val="12"/>
        <rFont val="Times New Roman"/>
        <family val="1"/>
      </rPr>
      <t xml:space="preserve">Each fund page has a “Miscellaneous” receipt and expenditure line item.  Once an amount has been entered into the cell for actual/current/proposed columns, the amount will be compared with either total expenditures or total receipts to determine if it exceeds the 10% Rule in KSA 79-2927.  If the amount exceeds the 10% Rule, the block will turn red, the amount bolded, and “Exceed 10% Rule” will appear in red.  To remove the statement and return the block to normal, you must reduce the amount to either 10% or less. </t>
    </r>
    <r>
      <rPr>
        <b/>
        <u/>
        <sz val="12"/>
        <rFont val="Times New Roman"/>
        <family val="1"/>
      </rPr>
      <t>Note</t>
    </r>
    <r>
      <rPr>
        <sz val="12"/>
        <rFont val="Times New Roman"/>
        <family val="1"/>
      </rPr>
      <t>: Under the proposed column, the miscellaneous receipt takes into consideration the amount of ad valorem taxes in determining the 10% Rule.</t>
    </r>
  </si>
  <si>
    <r>
      <t>i.</t>
    </r>
    <r>
      <rPr>
        <sz val="7"/>
        <rFont val="Times New Roman"/>
        <family val="1"/>
      </rPr>
      <t xml:space="preserve">        </t>
    </r>
    <r>
      <rPr>
        <u/>
        <sz val="12"/>
        <rFont val="Times New Roman"/>
        <family val="1"/>
      </rPr>
      <t>Debt Service fund page (DebtSvs-Library)</t>
    </r>
    <r>
      <rPr>
        <sz val="12"/>
        <rFont val="Times New Roman"/>
        <family val="1"/>
      </rPr>
      <t xml:space="preserve">: This fund page may contain all debts owed by the taxing subdivision and the amounts should agree with the Statement of Indebtedness amounts.  Debts that are pledged from a revenue stream should have enough funds transferred into the Debt Service fund to cover the bond principal and interest for these debts. </t>
    </r>
    <r>
      <rPr>
        <b/>
        <u/>
        <sz val="12"/>
        <rFont val="Times New Roman"/>
        <family val="1"/>
      </rPr>
      <t>Note</t>
    </r>
    <r>
      <rPr>
        <sz val="12"/>
        <rFont val="Times New Roman"/>
        <family val="1"/>
      </rPr>
      <t>: Debts pledged from revenue streams are not required to be included in the Debt Service fund page but can be paid from the fund in which the revenue stream is located. If the taxing subdivision has No Fund warrants, these can be included in the Debt Service fund page and levy taxes for this debt. No Fund warrants are not required to be included in the Debt Service fund and may have a separate Tax Levy Fund to account for them.</t>
    </r>
  </si>
  <si>
    <t xml:space="preserve">See step 9 for detailed instruction on the library fund. </t>
  </si>
  <si>
    <r>
      <t>j.</t>
    </r>
    <r>
      <rPr>
        <sz val="7"/>
        <rFont val="Times New Roman"/>
        <family val="1"/>
      </rPr>
      <t xml:space="preserve">        </t>
    </r>
    <r>
      <rPr>
        <u/>
        <sz val="12"/>
        <rFont val="Times New Roman"/>
        <family val="1"/>
      </rPr>
      <t>Funds with No Tax Levy fund page (No Levy Page #)</t>
    </r>
    <r>
      <rPr>
        <sz val="12"/>
        <rFont val="Times New Roman"/>
        <family val="1"/>
      </rPr>
      <t xml:space="preserve">:  These pages will be used to budget any fund that does not have the authority or need to levy an ad valorem property tax. These funds will have revenues of fees, sales tax, license, enterprise, etc.  </t>
    </r>
  </si>
  <si>
    <r>
      <t>k.</t>
    </r>
    <r>
      <rPr>
        <sz val="7"/>
        <rFont val="Times New Roman"/>
        <family val="1"/>
      </rPr>
      <t xml:space="preserve">      </t>
    </r>
    <r>
      <rPr>
        <u/>
        <sz val="12"/>
        <rFont val="Times New Roman"/>
        <family val="1"/>
      </rPr>
      <t>Single No Tax Levy fund page (Single No Levy Page #)</t>
    </r>
    <r>
      <rPr>
        <sz val="12"/>
        <rFont val="Times New Roman"/>
        <family val="1"/>
      </rPr>
      <t>: These pages are for funds with numerous lines for receipts or expenditures that do not fit on one of the other no levy fund pages.  Additional lines may be added as needed. Please contact Municipal Services for assistance.</t>
    </r>
  </si>
  <si>
    <r>
      <t>l.</t>
    </r>
    <r>
      <rPr>
        <sz val="7"/>
        <rFont val="Times New Roman"/>
        <family val="1"/>
      </rPr>
      <t xml:space="preserve">        </t>
    </r>
    <r>
      <rPr>
        <u/>
        <sz val="12"/>
        <rFont val="Times New Roman"/>
        <family val="1"/>
      </rPr>
      <t>Non-Budgeted Funds (Non-Budgeted Funds)</t>
    </r>
    <r>
      <rPr>
        <sz val="12"/>
        <rFont val="Times New Roman"/>
        <family val="1"/>
      </rPr>
      <t xml:space="preserve">: The non-budgeted funds are only required to show the actual year receipts and expenditures. The expenditures total will populate the hearing notice page. Normally, the unencumbered cash balance should end with a positive cash balance.  If it ends with a negative, the worksheet will indicate the negative balance by displaying “See Tab B” in red under the unencumbered cash balance. Use Tab B to determine if corrective action is available.  </t>
    </r>
  </si>
  <si>
    <r>
      <t>m.</t>
    </r>
    <r>
      <rPr>
        <sz val="7"/>
        <rFont val="Times New Roman"/>
        <family val="1"/>
      </rPr>
      <t xml:space="preserve">    </t>
    </r>
    <r>
      <rPr>
        <u/>
        <sz val="12"/>
        <rFont val="Times New Roman"/>
        <family val="1"/>
      </rPr>
      <t>Tab A and Tab B</t>
    </r>
    <r>
      <rPr>
        <sz val="12"/>
        <rFont val="Times New Roman"/>
        <family val="1"/>
      </rPr>
      <t xml:space="preserve">: If the </t>
    </r>
    <r>
      <rPr>
        <i/>
        <sz val="12"/>
        <rFont val="Times New Roman"/>
        <family val="1"/>
      </rPr>
      <t>prior year</t>
    </r>
    <r>
      <rPr>
        <sz val="12"/>
        <rFont val="Times New Roman"/>
        <family val="1"/>
      </rPr>
      <t xml:space="preserve"> total expenditures on any budgeted fund page exceeds the budget authority amount, "See Tab A" will appear in red to indicate a possible prior year budget law violation.  If a fund ended the prior year with a negative cash balance, "See Tab B" will appear in red to indicate a possible prior year cash basis law violation.  Use Tab A and Tab B to determine if corrective action is available.</t>
    </r>
  </si>
  <si>
    <r>
      <t>n.</t>
    </r>
    <r>
      <rPr>
        <sz val="7"/>
        <rFont val="Times New Roman"/>
        <family val="1"/>
      </rPr>
      <t xml:space="preserve">      </t>
    </r>
    <r>
      <rPr>
        <u/>
        <sz val="12"/>
        <rFont val="Times New Roman"/>
        <family val="1"/>
      </rPr>
      <t>Tab C and Tab D</t>
    </r>
    <r>
      <rPr>
        <sz val="12"/>
        <rFont val="Times New Roman"/>
        <family val="1"/>
      </rPr>
      <t xml:space="preserve">: If the </t>
    </r>
    <r>
      <rPr>
        <i/>
        <sz val="12"/>
        <rFont val="Times New Roman"/>
        <family val="1"/>
      </rPr>
      <t>current year</t>
    </r>
    <r>
      <rPr>
        <sz val="12"/>
        <rFont val="Times New Roman"/>
        <family val="1"/>
      </rPr>
      <t xml:space="preserve"> adjusted expenditures on any budgeted fund page exceeds the budget authority amount, “See Tab C” will appear in red to indicate a possible current year budget law violation. If a fund ends the current year with a negative cash balance "See Tab D" will appear in red to indicate a possible current year cash basis law violation. Use Tab C and Tab D to determine if corrective action is available.</t>
    </r>
  </si>
  <si>
    <r>
      <t>o.</t>
    </r>
    <r>
      <rPr>
        <sz val="7"/>
        <rFont val="Times New Roman"/>
        <family val="1"/>
      </rPr>
      <t xml:space="preserve">      </t>
    </r>
    <r>
      <rPr>
        <u/>
        <sz val="12"/>
        <rFont val="Times New Roman"/>
        <family val="1"/>
      </rPr>
      <t>Tab E</t>
    </r>
    <r>
      <rPr>
        <sz val="12"/>
        <rFont val="Times New Roman"/>
        <family val="1"/>
      </rPr>
      <t xml:space="preserve">: If the </t>
    </r>
    <r>
      <rPr>
        <i/>
        <sz val="12"/>
        <rFont val="Times New Roman"/>
        <family val="1"/>
      </rPr>
      <t>proposed budget</t>
    </r>
    <r>
      <rPr>
        <sz val="12"/>
        <rFont val="Times New Roman"/>
        <family val="1"/>
      </rPr>
      <t xml:space="preserve"> cash balance is negative, “See Tab E” will appear in red to indicate a possible proposed budget year budget law violation. Use Tab E to determine if corrective action is available. </t>
    </r>
  </si>
  <si>
    <r>
      <t>11.</t>
    </r>
    <r>
      <rPr>
        <sz val="12"/>
        <rFont val="Times New Roman"/>
        <family val="1"/>
      </rPr>
      <t xml:space="preserve">  </t>
    </r>
    <r>
      <rPr>
        <u/>
        <sz val="12"/>
        <rFont val="Times New Roman"/>
        <family val="1"/>
      </rPr>
      <t>Hearing Notices (Budget Hearing Notice), (Combined Rate-Bud Hearing Notice), (RNR Hearing Notice)</t>
    </r>
    <r>
      <rPr>
        <sz val="12"/>
        <rFont val="Times New Roman"/>
        <family val="1"/>
      </rPr>
      <t xml:space="preserve">: These pages will populate the required information from other worksheets.  If you find information that is not correct, please go to the worksheet from which the information originates to make the correction. If you cannot correct the error, please contact Municipal Services for assistance.   </t>
    </r>
  </si>
  <si>
    <r>
      <t>a.</t>
    </r>
    <r>
      <rPr>
        <sz val="7"/>
        <rFont val="Times New Roman"/>
        <family val="1"/>
      </rPr>
      <t xml:space="preserve">       </t>
    </r>
    <r>
      <rPr>
        <sz val="12"/>
        <rFont val="Times New Roman"/>
        <family val="1"/>
      </rPr>
      <t>The inputHearing tab is used to place information on the respective hearing notice options.  On input tab you will key in the following information: Name of Person presenting the budget, Title of Person, date the budget hearing will be held, time of the hearing, location of the budget hearing, and a place whereas the taxpayers can obtain a copy of the budget.</t>
    </r>
  </si>
  <si>
    <r>
      <t>b.</t>
    </r>
    <r>
      <rPr>
        <sz val="7"/>
        <rFont val="Times New Roman"/>
        <family val="1"/>
      </rPr>
      <t xml:space="preserve">      </t>
    </r>
    <r>
      <rPr>
        <sz val="12"/>
        <rFont val="Times New Roman"/>
        <family val="1"/>
      </rPr>
      <t>At the bottom of the hearing notice pages is a green-shaded cell, enter the page number.</t>
    </r>
  </si>
  <si>
    <r>
      <t>c.</t>
    </r>
    <r>
      <rPr>
        <sz val="7"/>
        <rFont val="Times New Roman"/>
        <family val="1"/>
      </rPr>
      <t xml:space="preserve">       </t>
    </r>
    <r>
      <rPr>
        <u/>
        <sz val="12"/>
        <rFont val="Times New Roman"/>
        <family val="1"/>
      </rPr>
      <t>Optional Tools</t>
    </r>
    <r>
      <rPr>
        <sz val="12"/>
        <rFont val="Times New Roman"/>
        <family val="1"/>
      </rPr>
      <t>: The following tools are not required to be used but are designed for different budget targets.</t>
    </r>
  </si>
  <si>
    <r>
      <t xml:space="preserve"> </t>
    </r>
    <r>
      <rPr>
        <sz val="12"/>
        <rFont val="Times New Roman"/>
        <family val="1"/>
      </rPr>
      <t>i.</t>
    </r>
    <r>
      <rPr>
        <sz val="7"/>
        <rFont val="Times New Roman"/>
        <family val="1"/>
      </rPr>
      <t xml:space="preserve">      </t>
    </r>
    <r>
      <rPr>
        <sz val="12"/>
        <rFont val="Times New Roman"/>
        <family val="1"/>
      </rPr>
      <t xml:space="preserve">The “Estimated Value of One Mill” tool shows what 1 mill rate would generate in dollars for the municipality, based on the estimated valuation input on the inputOth tab.  </t>
    </r>
  </si>
  <si>
    <r>
      <rPr>
        <sz val="12"/>
        <rFont val="Times New Roman"/>
        <family val="1"/>
      </rPr>
      <t>ii.</t>
    </r>
    <r>
      <rPr>
        <sz val="7"/>
        <rFont val="Times New Roman"/>
        <family val="1"/>
      </rPr>
      <t xml:space="preserve">      </t>
    </r>
    <r>
      <rPr>
        <sz val="12"/>
        <rFont val="Times New Roman"/>
        <family val="1"/>
      </rPr>
      <t xml:space="preserve">The “What the Mill Rate the Same As” and “Impact on Keeping the Same Mill Rate” tools show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tax levy fund expenditures.  </t>
    </r>
    <r>
      <rPr>
        <u/>
        <sz val="12"/>
        <rFont val="Times New Roman"/>
        <family val="1"/>
      </rPr>
      <t>Note</t>
    </r>
    <r>
      <rPr>
        <sz val="12"/>
        <rFont val="Times New Roman"/>
        <family val="1"/>
      </rPr>
      <t xml:space="preserve">: If a delinquency rate is used on the tax levy fund pages, the tool may require several adjustments to get the desired result or close to the desired amount. </t>
    </r>
  </si>
  <si>
    <r>
      <rPr>
        <sz val="12"/>
        <rFont val="Times New Roman"/>
        <family val="1"/>
      </rPr>
      <t>iii.</t>
    </r>
    <r>
      <rPr>
        <sz val="7"/>
        <rFont val="Times New Roman"/>
        <family val="1"/>
      </rPr>
      <t xml:space="preserve">      </t>
    </r>
    <r>
      <rPr>
        <sz val="12"/>
        <rFont val="Times New Roman"/>
        <family val="1"/>
      </rPr>
      <t>The “Mill Rate Estimates versus Mill Rate Target” tool allows the municipality to enter a target mill rate and compare such rate with the estimated rate, as well as the RNR.  This tool will show the amount of expenditure adjustments required to hit the rate target. If a rate hearing/resolution is required based on the estimated mill rate, a red warning “Yes” and a statement “Follow procedure prescribed by KSA 79-2988 to exceed the Revenue Neutral Rate” will appear.</t>
    </r>
  </si>
  <si>
    <r>
      <t>d.</t>
    </r>
    <r>
      <rPr>
        <sz val="7"/>
        <rFont val="Times New Roman"/>
        <family val="1"/>
      </rPr>
      <t xml:space="preserve">      </t>
    </r>
    <r>
      <rPr>
        <sz val="12"/>
        <rFont val="Times New Roman"/>
        <family val="1"/>
      </rPr>
      <t xml:space="preserve"> Before printing, review the selected hearing notice to ensure the information has accurately populated and the figures are correct. Print the page, have an official sign it, and submit to the local newspaper for printing. For those municipalities that are electronically sending the summary to the newspaper, you can type in the official name before sending.  Signing the document is desired, but not signing will not cause the municipality to reprint. </t>
    </r>
    <r>
      <rPr>
        <b/>
        <sz val="12"/>
        <rFont val="Times New Roman"/>
        <family val="1"/>
      </rPr>
      <t>WARNING</t>
    </r>
    <r>
      <rPr>
        <sz val="12"/>
        <rFont val="Times New Roman"/>
        <family val="1"/>
      </rPr>
      <t>: The newspaper publication must occur at least 10 days prior to the hearing date.  If the newspaper publication is not at least 10 days prior to the hearing, the municipality may need to republish.</t>
    </r>
  </si>
  <si>
    <t xml:space="preserve">Once the hearing notice has been printed in the local newspaper, please review the notice to ensure the information was correctly printed and readable.  If the information is not correct, the notice may need to be republished, and may delay the submission of the budget to the County Clerk and the timeline prescribed by KSA 79-2988 to exceed the RNR. </t>
  </si>
  <si>
    <r>
      <t>12.</t>
    </r>
    <r>
      <rPr>
        <sz val="12"/>
        <rFont val="Times New Roman"/>
        <family val="1"/>
      </rPr>
      <t xml:space="preserve"> </t>
    </r>
    <r>
      <rPr>
        <u/>
        <sz val="12"/>
        <rFont val="Times New Roman"/>
        <family val="1"/>
      </rPr>
      <t>Neighborhood Revitalization (NR Rebate)</t>
    </r>
    <r>
      <rPr>
        <sz val="12"/>
        <rFont val="Times New Roman"/>
        <family val="1"/>
      </rPr>
      <t xml:space="preserve">: This document should be completed only after all tax levy fund pages have been completed and the estimated levy rates have been computed on the Budget Summary page.  The ad valorem amounts for each fund will be input into the neighborhood revitalization tool.  The tool will compute the estimated amount of rebate and populate the estimated rebate to each tax levy fund page. This will cause each tax levy fund to have an entry in the neighborhood revitalization expenditure cell, increase the total expenditures amount, recompute the ad valorem needed, and populate the new amount to the hearing notice page.  </t>
    </r>
  </si>
  <si>
    <r>
      <t>Note</t>
    </r>
    <r>
      <rPr>
        <sz val="12"/>
        <rFont val="Times New Roman"/>
        <family val="1"/>
      </rPr>
      <t>: If you had already set the ad valorem taxes so that they were equal to or below the Revenue Neutral Rate (RNR), the neighborhood revitalization rebate could cause the ad valorem tax amount to exceed RNR. If this occurs, you have three options:1) accept the rebate expenditures and pass the RNR resolution; 2) accept the rebate expenditures and reduce other expenditures to reduce ad valorem tax dollars below the RNR threshold; or 3) do not use the rebate expenditures by deleting the ad valorem taxes that were keyed into the Neighborhood Revitalization tool.</t>
    </r>
  </si>
  <si>
    <r>
      <t>a.</t>
    </r>
    <r>
      <rPr>
        <sz val="7"/>
        <rFont val="Times New Roman"/>
        <family val="1"/>
      </rPr>
      <t xml:space="preserve">       </t>
    </r>
    <r>
      <rPr>
        <sz val="12"/>
        <rFont val="Times New Roman"/>
        <family val="1"/>
      </rPr>
      <t xml:space="preserve">You are </t>
    </r>
    <r>
      <rPr>
        <i/>
        <sz val="12"/>
        <rFont val="Times New Roman"/>
        <family val="1"/>
      </rPr>
      <t>not</t>
    </r>
    <r>
      <rPr>
        <sz val="12"/>
        <rFont val="Times New Roman"/>
        <family val="1"/>
      </rPr>
      <t xml:space="preserve"> required to use the Neighborhood Revitalization tool. The tool can be used to estimate the amount of the rebate so that you will have an idea of the amount of ad valorem taxes you will not be receiving. If the municipality chooses not to use the tool, another method of estimating the Neighborhood Revitalization rebate impact should be substituted.</t>
    </r>
  </si>
  <si>
    <r>
      <t>b.</t>
    </r>
    <r>
      <rPr>
        <sz val="7"/>
        <rFont val="Times New Roman"/>
        <family val="1"/>
      </rPr>
      <t xml:space="preserve">      </t>
    </r>
    <r>
      <rPr>
        <sz val="12"/>
        <rFont val="Times New Roman"/>
        <family val="1"/>
      </rPr>
      <t xml:space="preserve"> If you do not have Neighborhood Revitalization, you do not need to include this page with the adopted budget submitted to the County Clerk. </t>
    </r>
  </si>
  <si>
    <r>
      <t>13.</t>
    </r>
    <r>
      <rPr>
        <sz val="12"/>
        <rFont val="Times New Roman"/>
        <family val="1"/>
      </rPr>
      <t xml:space="preserve">  Before submission of the budget to the County Clerk, please review the entire document and verify that all amounts are correct.  In addition, the Certificate page needs to be signed by at least one member of the governing body (signatures from the entire governing body are preferred, but not mandatory). </t>
    </r>
  </si>
  <si>
    <r>
      <t>14.</t>
    </r>
    <r>
      <rPr>
        <sz val="12"/>
        <rFont val="Times New Roman"/>
        <family val="1"/>
      </rPr>
      <t xml:space="preserve">  How to Protect and Unprotect a Worksheet: To Unprotect a worksheet, right-click on the tab and select Unprotect Sheet. </t>
    </r>
    <r>
      <rPr>
        <b/>
        <sz val="12"/>
        <color indexed="10"/>
        <rFont val="Times New Roman"/>
        <family val="1"/>
      </rPr>
      <t xml:space="preserve">After changes are made you must protect the worksheet. </t>
    </r>
    <r>
      <rPr>
        <sz val="12"/>
        <color indexed="10"/>
        <rFont val="Times New Roman"/>
        <family val="1"/>
      </rPr>
      <t xml:space="preserve"> </t>
    </r>
    <r>
      <rPr>
        <sz val="12"/>
        <rFont val="Times New Roman"/>
        <family val="1"/>
      </rPr>
      <t xml:space="preserve">Right click on the tab, select Protect Sheet and hit OK. You do not need to enter a password. Select OK. </t>
    </r>
  </si>
  <si>
    <t>Public Hearing Input Options</t>
  </si>
  <si>
    <t>Input Examples</t>
  </si>
  <si>
    <r>
      <t xml:space="preserve">This tab will populate the date, time and location of the public hearing on the selected hearing pages, as well as other required information. Please enter the relevant information in the GREEN cells.
Please review the sections below to determine which hearing notice best fits the needs of the taxing subdivision.  Please contact Municipal Services with questions. 
</t>
    </r>
    <r>
      <rPr>
        <b/>
        <sz val="12"/>
        <rFont val="Times New Roman"/>
        <family val="1"/>
      </rPr>
      <t xml:space="preserve">WARNING: Prior to providing newspaper with hearing notice, review all of the information has properly been input and linked to the publication draft. </t>
    </r>
    <r>
      <rPr>
        <sz val="12"/>
        <rFont val="Times New Roman"/>
        <family val="1"/>
      </rPr>
      <t xml:space="preserve">
</t>
    </r>
  </si>
  <si>
    <t>City Clerk, City Treasurer, Mayor</t>
  </si>
  <si>
    <t>August 12, 2022</t>
  </si>
  <si>
    <t>City Hall</t>
  </si>
  <si>
    <t>Budget Hearing Notice Only</t>
  </si>
  <si>
    <t xml:space="preserve">Taxing subdivisions that do not require a hearing to exceed the revenue neutral rate or will hold/publish the rate hearing separately from the budget hearing, please complete the information in green cells of the "Budget Hearing Notice Only" section. 
You will print the tab "Budget Hearing Notice" and publish this notice in the newspaper at least 10 days prior to the budget hearing. </t>
  </si>
  <si>
    <t xml:space="preserve">Reminder: The notice of hearing must be published at least 10 days prior to hearing date. </t>
  </si>
  <si>
    <t>Budget Available at:</t>
  </si>
  <si>
    <t>Combined Revenue Neutral Rate &amp; Budget Hearing Notice</t>
  </si>
  <si>
    <t xml:space="preserve">Taxing subdivisions that wish to hold a hearing to exceed the revenue neutral rate in conjunction with the regular budget hearing should complete the green cells in the section called "Combined Rate &amp; Budget Hearing Notice". 
You will print the tab called "Combined Rate-Bud Hearing Notice" and publish this notice in the newspaper at least 10 days prior to the hearing date. Addittionally, the taxing subdivision will publish a notice of hearing to exceed the RNR to their website (if maintained).  </t>
  </si>
  <si>
    <t>`</t>
  </si>
  <si>
    <t>Hearing to Exceed the Revenue Neutral Rate Notice Only</t>
  </si>
  <si>
    <t xml:space="preserve">If the taxing subdivisin wishes to hold or publish the hearing to exceed the revenue neutral rate separate from the budget hearing, the subdivision may choose the alternate publication "Hearing to Exceed the Revenue Neutral Rate". Note: If using this option, the subdivision MUST also publish the buget hearing notice. </t>
  </si>
  <si>
    <t>***If leasing/renting with no intent to purchase, do not list--such transactions are not lease-purchases.</t>
  </si>
  <si>
    <t>Estimated Mill Rate &amp;
 Revenue Neutral Rate Comparison</t>
  </si>
  <si>
    <t>Revenue Neutral Rate (KSA 79-2988)</t>
  </si>
  <si>
    <t>Is a rate hearing/resolution required:</t>
  </si>
  <si>
    <t>Proposed Estimated Tax Rate*</t>
  </si>
  <si>
    <t>Budget Authority for Expenditures</t>
  </si>
  <si>
    <t>**Revenue Neutral Rate as defined by KSA 79-2988</t>
  </si>
  <si>
    <t xml:space="preserve">Is rate hearing/resolution required to exceed Revenue Neutral Rate? </t>
  </si>
  <si>
    <t>NOTICE OF HEARING TO EXCEED REVENUE NEUTRAL RATE AND BUDGET HEARING</t>
  </si>
  <si>
    <t>answering objections of taxpayers relating  to the proposed use of all funds, the amount of tax to levied and the revenue neutral rate.</t>
  </si>
  <si>
    <t>NOTICE OF HEARING TO EXCEED REVENUE NEUTRAL RATE</t>
  </si>
  <si>
    <t>answering objections of taxpayers relating to revenue neutral rate and proposed tax rate, as required by KSA 79-2988.</t>
  </si>
  <si>
    <t>SUPPORTING COUNTIES</t>
  </si>
  <si>
    <t>Revenue Neutral Rate*</t>
  </si>
  <si>
    <t>Proposed Tax Rate</t>
  </si>
  <si>
    <t>Tax Rates are expressed in mills</t>
  </si>
  <si>
    <t>* Revenue Netural Rate as defined by KSA 79-2988</t>
  </si>
  <si>
    <t xml:space="preserve">Page No. </t>
  </si>
  <si>
    <t>Tab A</t>
  </si>
  <si>
    <r>
      <t xml:space="preserve">If the municipality financial records have </t>
    </r>
    <r>
      <rPr>
        <b/>
        <u/>
        <sz val="12"/>
        <rFont val="Times New Roman"/>
        <family val="1"/>
      </rPr>
      <t>not been</t>
    </r>
    <r>
      <rPr>
        <sz val="12"/>
        <rFont val="Times New Roman"/>
        <family val="1"/>
      </rPr>
      <t xml:space="preserve"> closed</t>
    </r>
  </si>
  <si>
    <r>
      <t xml:space="preserve">receipt, show the reimbursement as a negative </t>
    </r>
    <r>
      <rPr>
        <i/>
        <sz val="12"/>
        <rFont val="Times New Roman"/>
        <family val="1"/>
      </rPr>
      <t>expenditure</t>
    </r>
    <r>
      <rPr>
        <sz val="12"/>
        <rFont val="Times New Roman"/>
        <family val="1"/>
      </rPr>
      <t>.</t>
    </r>
  </si>
  <si>
    <t>Tab B</t>
  </si>
  <si>
    <r>
      <t>left of the 'See Tab B' as follows:  "</t>
    </r>
    <r>
      <rPr>
        <i/>
        <u/>
        <sz val="12"/>
        <rFont val="Times New Roman"/>
        <family val="1"/>
      </rPr>
      <t>10-1116 applies.</t>
    </r>
    <r>
      <rPr>
        <sz val="12"/>
        <rFont val="Times New Roman"/>
        <family val="1"/>
      </rPr>
      <t>"</t>
    </r>
  </si>
  <si>
    <t>Tab C</t>
  </si>
  <si>
    <t>Tab D</t>
  </si>
  <si>
    <t>Tab E</t>
  </si>
  <si>
    <t>https://admin.ks.gov/offices/accounts-reports/local-government/municipal-services</t>
  </si>
  <si>
    <t>https://admin.ks.gov/offices/accounts-reports/state-agencies/finance/setoff-program</t>
  </si>
  <si>
    <t>League of Kansas Municipalities</t>
  </si>
  <si>
    <t>https://www.lkm.org/</t>
  </si>
  <si>
    <t>http://www.kslegislature.org/li/</t>
  </si>
  <si>
    <t>https://ag.ks.gov/media-center/ag-opinions</t>
  </si>
  <si>
    <t>Kansas State Treasurer</t>
  </si>
  <si>
    <t>https://www.kansasstatetreasurer.com/fin_serv.html</t>
  </si>
  <si>
    <t>https://www.ksrevenue.gov/</t>
  </si>
  <si>
    <t>https://www.ksrevenue.gov/pvdindex.html</t>
  </si>
  <si>
    <t>https://pooledmoneyinvestmentboard.com/</t>
  </si>
  <si>
    <t>The following changes were made to this workbook during February 2022</t>
  </si>
  <si>
    <t xml:space="preserve">1. Budget instructions were updated. </t>
  </si>
  <si>
    <t>2. Basic and consistent formatting throughout (including updating fonts, consistent language and print areas)</t>
  </si>
  <si>
    <t>3. Removed (by hiding rows - data is still present in background) new improvements, personal property, terrotory added, changed use, and expiration of tax abatements on "Input Oth" tab</t>
  </si>
  <si>
    <t>4. Updated budget hearing input tab to include inputs for combined hearing notice and rate only notice. Retitled tab "InputBudHearing"</t>
  </si>
  <si>
    <t>5. Updated Budget Hearing Tab formating and consistency</t>
  </si>
  <si>
    <t xml:space="preserve">6. Added alternate Combined Rate and Budget Hearing notice tab for subdivisions that will publish and hold the RNR rate and budget hearing in conjunction with eachother. </t>
  </si>
  <si>
    <t>7. Added RNR Hearing Notice for an optional publication for the RNR hearing only</t>
  </si>
  <si>
    <t xml:space="preserve">8. Added sample resolution to exceed RNR and sample notice to county clerk to report intention to exceed RNR. </t>
  </si>
  <si>
    <t xml:space="preserve">9. Updated helpful links to provide accurate weblinks. </t>
  </si>
  <si>
    <t>Final Tax Rate (County Clerk's 
Use Only)</t>
  </si>
  <si>
    <t xml:space="preserve">Revenue Neutral Rate </t>
  </si>
  <si>
    <t>Budget Hearing Notice</t>
  </si>
  <si>
    <t>Combined Rate - Budget Hearing Notice</t>
  </si>
  <si>
    <t>RNR Hearing Notice</t>
  </si>
  <si>
    <t>Resolution No. ______</t>
  </si>
  <si>
    <r>
      <t xml:space="preserve">           </t>
    </r>
    <r>
      <rPr>
        <b/>
        <sz val="12"/>
        <rFont val="Times New Roman"/>
        <family val="1"/>
      </rPr>
      <t>WHEREAS</t>
    </r>
    <r>
      <rPr>
        <sz val="12"/>
        <rFont val="Times New Roman"/>
        <family val="1"/>
      </rPr>
      <t>, the budget proposed by the Governing Body of the City of __________ will require the levy of a property tax rate exceeding the Revenue Neutral Rate; and</t>
    </r>
  </si>
  <si>
    <r>
      <t xml:space="preserve">           </t>
    </r>
    <r>
      <rPr>
        <b/>
        <sz val="12"/>
        <rFont val="Times New Roman"/>
        <family val="1"/>
      </rPr>
      <t>WHEREAS</t>
    </r>
    <r>
      <rPr>
        <sz val="12"/>
        <rFont val="Times New Roman"/>
        <family val="1"/>
      </rPr>
      <t>, the Governing Body held a hearing on _________ (Insert Date) allowing all interested taxpayers desiring to be heard an opportunity to give oral testimony; and</t>
    </r>
  </si>
  <si>
    <t xml:space="preserve">          NOW, THEREFORE, BE IT RESOLVED BY THE GOVERNING BODY OF THE CITY OF __________:</t>
  </si>
  <si>
    <t>This resolution shall take effect and be in force immediately upon its adoption and shall remain in effect until future action is taken by the Governing Body.</t>
  </si>
  <si>
    <t xml:space="preserve">          _____________________________</t>
  </si>
  <si>
    <t xml:space="preserve">          Attested:</t>
  </si>
  <si>
    <t xml:space="preserve">          ______________________________</t>
  </si>
  <si>
    <t>Notice of Revenue Neutral Rate Intent</t>
  </si>
  <si>
    <t>THE GOVERNING BODY OF ________________________, HEREBY NOTIFIES THE ___________ COUNTY CLERK OF INTENT TO EXCEED THE REVENUE NEUTRAL RATE;</t>
  </si>
  <si>
    <t>Yes, we intend to exceed the Revenue Neutral Rate and our proposed mill levy rate is _________.  The date of our hearing is ___________ at _____ AM/PM and will be held at ________________ address in _____________, Kansas.</t>
  </si>
  <si>
    <t>No, we do not plan to exceed the Revenue Neutral Rate and will submit our budget to the County Clerk on or before August 25, 20___.</t>
  </si>
  <si>
    <t>WITNESS my hand and official seal on ____________, 20___.</t>
  </si>
  <si>
    <t>(Seal)</t>
  </si>
  <si>
    <t>Clerk or Officer of Governing Body</t>
  </si>
  <si>
    <t>A RESOLUTION OF THE  __________, KANSAS TO LEVY A PROPERTY TAX RATE EXCEEDING THE REVENUE NEUTRAL RATE;</t>
  </si>
  <si>
    <r>
      <t xml:space="preserve">           </t>
    </r>
    <r>
      <rPr>
        <b/>
        <sz val="12"/>
        <rFont val="Times New Roman"/>
        <family val="1"/>
      </rPr>
      <t>WHEREAS</t>
    </r>
    <r>
      <rPr>
        <sz val="12"/>
        <rFont val="Times New Roman"/>
        <family val="1"/>
      </rPr>
      <t>, the Revenue Neutral Rate for the  __________ was calculated as _________ mills by the ____________ County Clerk; and</t>
    </r>
  </si>
  <si>
    <r>
      <t xml:space="preserve">          </t>
    </r>
    <r>
      <rPr>
        <b/>
        <sz val="12"/>
        <rFont val="Times New Roman"/>
        <family val="1"/>
      </rPr>
      <t>WHEREAS</t>
    </r>
    <r>
      <rPr>
        <sz val="12"/>
        <rFont val="Times New Roman"/>
        <family val="1"/>
      </rPr>
      <t>, the Governing Body of the  ____________, having heard testimony, still finds it necessary to exceed the Revenue Neutral Rate.</t>
    </r>
  </si>
  <si>
    <t xml:space="preserve">          The  _________ shall levy a property tax rate exceeding the Revenue Neutral Rate of _________ mills.</t>
  </si>
  <si>
    <r>
      <t xml:space="preserve">          </t>
    </r>
    <r>
      <rPr>
        <b/>
        <sz val="12"/>
        <rFont val="Times New Roman"/>
        <family val="1"/>
      </rPr>
      <t>ADOPTED</t>
    </r>
    <r>
      <rPr>
        <sz val="12"/>
        <rFont val="Times New Roman"/>
        <family val="1"/>
      </rPr>
      <t xml:space="preserve"> this ____ day of ___________ (month and year) and SIGNED by the Governing Body.</t>
    </r>
  </si>
  <si>
    <t>Municipal Budget Tools/Explainers for Various Situations</t>
  </si>
  <si>
    <r>
      <t xml:space="preserve">• </t>
    </r>
    <r>
      <rPr>
        <sz val="12"/>
        <color rgb="FF000000"/>
        <rFont val="Calibri"/>
        <family val="2"/>
      </rPr>
      <t>RNR – Rate calculated to compare prior year ad valorem tax to current year estimates</t>
    </r>
  </si>
  <si>
    <r>
      <t xml:space="preserve">• </t>
    </r>
    <r>
      <rPr>
        <sz val="12"/>
        <color rgb="FF000000"/>
        <rFont val="Calibri"/>
        <family val="2"/>
      </rPr>
      <t xml:space="preserve">RNR = (Prior year ad valorem revenue/current year valuation estimate)  X 1,000 </t>
    </r>
  </si>
  <si>
    <t>Note: Revenue used is the final billed tax revenue</t>
  </si>
  <si>
    <t xml:space="preserve">Example: </t>
  </si>
  <si>
    <r>
      <t>RNR = (</t>
    </r>
    <r>
      <rPr>
        <b/>
        <sz val="12"/>
        <color rgb="FFFF0000"/>
        <rFont val="Calibri"/>
        <family val="2"/>
      </rPr>
      <t>A</t>
    </r>
    <r>
      <rPr>
        <sz val="12"/>
        <rFont val="Calibri"/>
        <family val="2"/>
      </rPr>
      <t xml:space="preserve"> $80,773/</t>
    </r>
    <r>
      <rPr>
        <b/>
        <sz val="12"/>
        <color rgb="FFFF0000"/>
        <rFont val="Calibri"/>
        <family val="2"/>
      </rPr>
      <t>B</t>
    </r>
    <r>
      <rPr>
        <sz val="12"/>
        <rFont val="Calibri"/>
        <family val="2"/>
      </rPr>
      <t xml:space="preserve"> 1,323,770) X 1,000  =  </t>
    </r>
    <r>
      <rPr>
        <b/>
        <sz val="12"/>
        <color rgb="FFFF0000"/>
        <rFont val="Calibri"/>
        <family val="2"/>
      </rPr>
      <t>C</t>
    </r>
    <r>
      <rPr>
        <sz val="12"/>
        <rFont val="Calibri"/>
        <family val="2"/>
      </rPr>
      <t xml:space="preserve"> 61.017</t>
    </r>
  </si>
  <si>
    <r>
      <t xml:space="preserve">Prior year mill levy rate was </t>
    </r>
    <r>
      <rPr>
        <b/>
        <sz val="12"/>
        <color rgb="FFFF0000"/>
        <rFont val="Calibri"/>
        <family val="2"/>
      </rPr>
      <t>D</t>
    </r>
    <r>
      <rPr>
        <sz val="12"/>
        <rFont val="Calibri"/>
        <family val="2"/>
      </rPr>
      <t xml:space="preserve"> 66.44</t>
    </r>
  </si>
  <si>
    <t>Prior Year Ad Valorem Revenue</t>
  </si>
  <si>
    <r>
      <rPr>
        <b/>
        <sz val="12"/>
        <color rgb="FFFF0000"/>
        <rFont val="Calibri"/>
        <family val="2"/>
      </rPr>
      <t>A</t>
    </r>
    <r>
      <rPr>
        <sz val="12"/>
        <rFont val="Calibri"/>
        <family val="2"/>
      </rPr>
      <t xml:space="preserve"> The prior year ad valorem revenue comes from the 2023 budget certificate page.  </t>
    </r>
  </si>
  <si>
    <t xml:space="preserve">It is the total for the Amount of 2022 Ad Valorem Tax column. </t>
  </si>
  <si>
    <t xml:space="preserve">The 2022 Ad Valorem Tax by fund is keyed in the 2022 Ad Valorem Tax column in the 2024 budget </t>
  </si>
  <si>
    <t>workbook inputPrYr tab.</t>
  </si>
  <si>
    <t>Current Year Valuation Estimate</t>
  </si>
  <si>
    <r>
      <rPr>
        <b/>
        <sz val="12"/>
        <color rgb="FFFF0000"/>
        <rFont val="Calibri"/>
        <family val="2"/>
      </rPr>
      <t>B</t>
    </r>
    <r>
      <rPr>
        <sz val="12"/>
        <rFont val="Calibri"/>
        <family val="2"/>
      </rPr>
      <t xml:space="preserve"> The current year valuation estimate comes from the County Clerk's Budget Information for </t>
    </r>
  </si>
  <si>
    <t xml:space="preserve">the the 2024 Budget received from the county clerk in June. </t>
  </si>
  <si>
    <t xml:space="preserve">The information from the County Clerk's Budget Information for the 2024 Budget is keyed in the </t>
  </si>
  <si>
    <t>2024 budget workbook inputOth tab.</t>
  </si>
  <si>
    <r>
      <t xml:space="preserve">C </t>
    </r>
    <r>
      <rPr>
        <sz val="12"/>
        <color theme="1"/>
        <rFont val="Calibri"/>
        <family val="2"/>
      </rPr>
      <t>The revenue neutral rate is calculated by the county clerk and provided to each taxing subdivision in the county by June 15th.</t>
    </r>
  </si>
  <si>
    <t>Prior Year RNR/Mill Levy Rate</t>
  </si>
  <si>
    <r>
      <t xml:space="preserve">D </t>
    </r>
    <r>
      <rPr>
        <sz val="12"/>
        <color theme="1"/>
        <rFont val="Calibri"/>
        <family val="2"/>
      </rPr>
      <t xml:space="preserve">The sum of the actual tax rates </t>
    </r>
  </si>
  <si>
    <t xml:space="preserve">The following changes were made to this workbook during April 2023: </t>
  </si>
  <si>
    <t>Reprogram final rate computation on Certificate page</t>
  </si>
  <si>
    <t>Corrected transfer programming for General/Special Machinery and Road/Special Machinery</t>
  </si>
  <si>
    <t>Created Budget Tools, removed 'helpful links' and 'mill rate computation' (those tabs are now located in 'Budget Tools'</t>
  </si>
  <si>
    <t>Roll Call Vote</t>
  </si>
  <si>
    <r>
      <t>A Roll Call Vote of the ___</t>
    </r>
    <r>
      <rPr>
        <u/>
        <sz val="12"/>
        <rFont val="Calibri"/>
        <family val="2"/>
        <scheme val="minor"/>
      </rPr>
      <t>(Governing Body Name)</t>
    </r>
    <r>
      <rPr>
        <sz val="12"/>
        <rFont val="Calibri"/>
        <family val="2"/>
        <scheme val="minor"/>
      </rPr>
      <t>___ To Levy a Property Tax Exceeding the Revenue Neutral Rate</t>
    </r>
  </si>
  <si>
    <r>
      <t>Hearing to Exceed Revenue Neutral Rate held on __</t>
    </r>
    <r>
      <rPr>
        <u/>
        <sz val="12"/>
        <rFont val="Calibri"/>
        <family val="2"/>
        <scheme val="minor"/>
      </rPr>
      <t>(Date)</t>
    </r>
    <r>
      <rPr>
        <sz val="12"/>
        <rFont val="Calibri"/>
        <family val="2"/>
        <scheme val="minor"/>
      </rPr>
      <t>__</t>
    </r>
  </si>
  <si>
    <t>Resolution No. _______________</t>
  </si>
  <si>
    <t>Governing Body Member</t>
  </si>
  <si>
    <t>Yes</t>
  </si>
  <si>
    <t>No</t>
  </si>
  <si>
    <t>No Vote</t>
  </si>
  <si>
    <t xml:space="preserve">Certified: </t>
  </si>
  <si>
    <t xml:space="preserve">Add Sample Roll Call sheet. </t>
  </si>
  <si>
    <t>1. Removed LAVTR from inputOth, Library Grant and General fund tabs.</t>
  </si>
  <si>
    <t>2. Renamed Cash Forward/Cash-Basis Reserve to Cash Reserve on all fund pages.</t>
  </si>
  <si>
    <t>The following changes were made to this workbook during April-May 2024</t>
  </si>
  <si>
    <t>3. Added RNR Resolution YES/NO formula to certificate page.</t>
  </si>
  <si>
    <t>Does budget require a resolution to exceed the Revenue Neutral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</si>
</sst>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_(* \(#,##0\);_(* &quot;-&quot;_);_(@_)"/>
    <numFmt numFmtId="43" formatCode="_(* #,##0.00_);_(* \(#,##0.00\);_(* &quot;-&quot;??_);_(@_)"/>
    <numFmt numFmtId="164" formatCode="0.000_)"/>
    <numFmt numFmtId="165" formatCode="0_)"/>
    <numFmt numFmtId="166" formatCode="0.00000_)"/>
    <numFmt numFmtId="167" formatCode="#,##0.00000_);\(#,##0.00000\)"/>
    <numFmt numFmtId="168" formatCode="_(* #,##0_);_(* \(#,##0\);_(* &quot;-&quot;??_);_(@_)"/>
    <numFmt numFmtId="169" formatCode="m/d/yy"/>
    <numFmt numFmtId="170" formatCode="m/d"/>
    <numFmt numFmtId="171" formatCode="#,##0.000_);\(#,##0.000\)"/>
    <numFmt numFmtId="172" formatCode="0.000%"/>
    <numFmt numFmtId="173" formatCode="0.000"/>
    <numFmt numFmtId="174" formatCode="#,##0.000"/>
    <numFmt numFmtId="175" formatCode="&quot;$&quot;#,##0"/>
    <numFmt numFmtId="176" formatCode="&quot;$&quot;#,##0.00"/>
    <numFmt numFmtId="177" formatCode="0.0%"/>
  </numFmts>
  <fonts count="69" x14ac:knownFonts="1">
    <font>
      <sz val="12"/>
      <name val="Courier"/>
    </font>
    <font>
      <b/>
      <sz val="12"/>
      <name val="Courier"/>
    </font>
    <font>
      <sz val="12"/>
      <name val="Courier"/>
      <family val="3"/>
    </font>
    <font>
      <sz val="12"/>
      <name val="Times New Roman"/>
      <family val="1"/>
    </font>
    <font>
      <b/>
      <sz val="12"/>
      <name val="Times New Roman"/>
      <family val="1"/>
    </font>
    <font>
      <u/>
      <sz val="12"/>
      <name val="Times New Roman"/>
      <family val="1"/>
    </font>
    <font>
      <sz val="11"/>
      <name val="Times New Roman"/>
      <family val="1"/>
    </font>
    <font>
      <sz val="10"/>
      <name val="Times New Roman"/>
      <family val="1"/>
    </font>
    <font>
      <sz val="14"/>
      <name val="Times New Roman"/>
      <family val="1"/>
    </font>
    <font>
      <sz val="12"/>
      <name val="Courier New"/>
      <family val="3"/>
    </font>
    <font>
      <u/>
      <sz val="12"/>
      <color indexed="12"/>
      <name val="Courier New"/>
      <family val="3"/>
    </font>
    <font>
      <sz val="8"/>
      <name val="Courier"/>
      <family val="3"/>
    </font>
    <font>
      <b/>
      <u/>
      <sz val="12"/>
      <name val="Times New Roman"/>
      <family val="1"/>
    </font>
    <font>
      <b/>
      <u/>
      <sz val="12"/>
      <color indexed="10"/>
      <name val="Times New Roman"/>
      <family val="1"/>
    </font>
    <font>
      <b/>
      <u/>
      <sz val="12"/>
      <name val="Courier"/>
      <family val="3"/>
    </font>
    <font>
      <sz val="10"/>
      <name val="Courier"/>
      <family val="3"/>
    </font>
    <font>
      <sz val="12"/>
      <color indexed="10"/>
      <name val="Times New Roman"/>
      <family val="1"/>
    </font>
    <font>
      <sz val="12"/>
      <color indexed="10"/>
      <name val="Courier"/>
      <family val="3"/>
    </font>
    <font>
      <i/>
      <sz val="12"/>
      <name val="Times New Roman"/>
      <family val="1"/>
    </font>
    <font>
      <sz val="8"/>
      <name val="Times New Roman"/>
      <family val="1"/>
    </font>
    <font>
      <b/>
      <sz val="12"/>
      <color indexed="10"/>
      <name val="Times New Roman"/>
      <family val="1"/>
    </font>
    <font>
      <b/>
      <sz val="12"/>
      <color indexed="8"/>
      <name val="Times New Roman"/>
      <family val="1"/>
    </font>
    <font>
      <sz val="12"/>
      <color indexed="8"/>
      <name val="Times New Roman"/>
      <family val="1"/>
    </font>
    <font>
      <sz val="12"/>
      <name val="Courier"/>
      <family val="3"/>
    </font>
    <font>
      <b/>
      <sz val="14"/>
      <name val="Times New Roman"/>
      <family val="1"/>
    </font>
    <font>
      <b/>
      <u/>
      <sz val="8"/>
      <color indexed="10"/>
      <name val="Times New Roman"/>
      <family val="1"/>
    </font>
    <font>
      <sz val="12"/>
      <name val="Courier New"/>
      <family val="3"/>
    </font>
    <font>
      <b/>
      <sz val="12"/>
      <name val="Courier"/>
      <family val="3"/>
    </font>
    <font>
      <sz val="12"/>
      <name val="Courier"/>
      <family val="3"/>
    </font>
    <font>
      <b/>
      <sz val="13"/>
      <name val="Times New Roman"/>
      <family val="1"/>
    </font>
    <font>
      <u/>
      <sz val="12"/>
      <color indexed="12"/>
      <name val="Courier"/>
      <family val="3"/>
    </font>
    <font>
      <u/>
      <sz val="12"/>
      <color indexed="12"/>
      <name val="Times New Roman"/>
      <family val="1"/>
    </font>
    <font>
      <i/>
      <sz val="12"/>
      <color indexed="8"/>
      <name val="Times New Roman"/>
      <family val="1"/>
    </font>
    <font>
      <b/>
      <u/>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sz val="10"/>
      <color indexed="10"/>
      <name val="Times New Roman"/>
      <family val="1"/>
    </font>
    <font>
      <sz val="12"/>
      <color indexed="8"/>
      <name val="Times New Roman"/>
      <family val="1"/>
    </font>
    <font>
      <b/>
      <sz val="12"/>
      <color indexed="8"/>
      <name val="Times New Roman"/>
      <family val="1"/>
    </font>
    <font>
      <u/>
      <sz val="12"/>
      <color indexed="10"/>
      <name val="Times New Roman"/>
      <family val="1"/>
    </font>
    <font>
      <b/>
      <sz val="12"/>
      <color indexed="10"/>
      <name val="Times New Roman"/>
      <family val="1"/>
    </font>
    <font>
      <b/>
      <u/>
      <sz val="12"/>
      <color indexed="10"/>
      <name val="Times New Roman"/>
      <family val="1"/>
    </font>
    <font>
      <sz val="10"/>
      <color indexed="10"/>
      <name val="Times New Roman"/>
      <family val="1"/>
    </font>
    <font>
      <u/>
      <vertAlign val="superscript"/>
      <sz val="12"/>
      <name val="Times New Roman"/>
      <family val="1"/>
    </font>
    <font>
      <sz val="11"/>
      <name val="Calibri"/>
      <family val="2"/>
    </font>
    <font>
      <sz val="7"/>
      <name val="Times New Roman"/>
      <family val="1"/>
    </font>
    <font>
      <b/>
      <sz val="16"/>
      <name val="Times New Roman"/>
      <family val="1"/>
    </font>
    <font>
      <b/>
      <u/>
      <sz val="16"/>
      <name val="Times New Roman"/>
      <family val="1"/>
    </font>
    <font>
      <i/>
      <u/>
      <sz val="12"/>
      <name val="Times New Roman"/>
      <family val="1"/>
    </font>
    <font>
      <sz val="11"/>
      <color theme="1"/>
      <name val="Calibri"/>
      <family val="2"/>
      <scheme val="minor"/>
    </font>
    <font>
      <b/>
      <sz val="12"/>
      <color rgb="FF000000"/>
      <name val="Times New Roman"/>
      <family val="1"/>
    </font>
    <font>
      <b/>
      <sz val="12"/>
      <color rgb="FFFF0000"/>
      <name val="Times New Roman"/>
      <family val="1"/>
    </font>
    <font>
      <sz val="12"/>
      <color rgb="FFFF0000"/>
      <name val="Times New Roman"/>
      <family val="1"/>
    </font>
    <font>
      <sz val="12"/>
      <name val="Courier"/>
    </font>
    <font>
      <b/>
      <sz val="20"/>
      <color rgb="FF000000"/>
      <name val="Cambria"/>
      <family val="1"/>
      <scheme val="major"/>
    </font>
    <font>
      <b/>
      <sz val="14"/>
      <color rgb="FF000000"/>
      <name val="Cambria"/>
      <family val="1"/>
      <scheme val="major"/>
    </font>
    <font>
      <b/>
      <sz val="28"/>
      <color rgb="FF000000"/>
      <name val="Calibri Light"/>
      <family val="2"/>
    </font>
    <font>
      <sz val="12"/>
      <name val="Calibri"/>
      <family val="2"/>
    </font>
    <font>
      <sz val="12"/>
      <color rgb="FF000000"/>
      <name val="Calibri"/>
      <family val="2"/>
    </font>
    <font>
      <b/>
      <sz val="12"/>
      <color rgb="FFFF0000"/>
      <name val="Calibri"/>
      <family val="2"/>
    </font>
    <font>
      <sz val="12"/>
      <color theme="1"/>
      <name val="Calibri"/>
      <family val="2"/>
    </font>
    <font>
      <b/>
      <sz val="14"/>
      <color theme="1"/>
      <name val="Cambria"/>
      <family val="1"/>
    </font>
    <font>
      <b/>
      <sz val="14"/>
      <name val="Cambria"/>
      <family val="1"/>
      <scheme val="major"/>
    </font>
    <font>
      <sz val="12"/>
      <name val="Calibri"/>
      <family val="2"/>
      <scheme val="minor"/>
    </font>
    <font>
      <b/>
      <sz val="14"/>
      <name val="Calibri"/>
      <family val="2"/>
      <scheme val="minor"/>
    </font>
    <font>
      <u/>
      <sz val="12"/>
      <name val="Calibri"/>
      <family val="2"/>
      <scheme val="minor"/>
    </font>
    <font>
      <b/>
      <sz val="12"/>
      <name val="Calibri"/>
      <family val="2"/>
      <scheme val="minor"/>
    </font>
  </fonts>
  <fills count="18">
    <fill>
      <patternFill patternType="none"/>
    </fill>
    <fill>
      <patternFill patternType="gray125"/>
    </fill>
    <fill>
      <patternFill patternType="solid">
        <fgColor indexed="26"/>
        <bgColor indexed="64"/>
      </patternFill>
    </fill>
    <fill>
      <patternFill patternType="solid">
        <fgColor indexed="11"/>
      </patternFill>
    </fill>
    <fill>
      <patternFill patternType="solid">
        <fgColor indexed="35"/>
        <bgColor indexed="64"/>
      </patternFill>
    </fill>
    <fill>
      <patternFill patternType="solid">
        <fgColor indexed="43"/>
        <bgColor indexed="64"/>
      </patternFill>
    </fill>
    <fill>
      <patternFill patternType="solid">
        <fgColor indexed="11"/>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rgb="FFFFFFC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1" tint="0.499984740745262"/>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23">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6"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6"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9"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26" fillId="0" borderId="0"/>
    <xf numFmtId="0" fontId="9" fillId="0" borderId="0"/>
    <xf numFmtId="0" fontId="9" fillId="0" borderId="0"/>
    <xf numFmtId="0" fontId="9" fillId="0" borderId="0"/>
    <xf numFmtId="0" fontId="9" fillId="0" borderId="0"/>
    <xf numFmtId="0" fontId="26" fillId="0" borderId="0"/>
    <xf numFmtId="0" fontId="9" fillId="0" borderId="0"/>
    <xf numFmtId="0" fontId="9" fillId="0" borderId="0"/>
    <xf numFmtId="0" fontId="9" fillId="0" borderId="0"/>
    <xf numFmtId="0" fontId="9" fillId="0" borderId="0"/>
    <xf numFmtId="0" fontId="26"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9"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2" fillId="0" borderId="0"/>
    <xf numFmtId="0" fontId="23"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51" fillId="0" borderId="0"/>
    <xf numFmtId="0" fontId="51" fillId="0" borderId="0"/>
    <xf numFmtId="0" fontId="2" fillId="0" borderId="0"/>
    <xf numFmtId="0" fontId="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9" fillId="0" borderId="0"/>
    <xf numFmtId="0" fontId="9" fillId="0" borderId="0"/>
    <xf numFmtId="0" fontId="2" fillId="0" borderId="0"/>
    <xf numFmtId="0" fontId="9"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9"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6"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2" fillId="0" borderId="0"/>
    <xf numFmtId="0" fontId="26"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6"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2" fillId="0" borderId="0"/>
    <xf numFmtId="0" fontId="2" fillId="0" borderId="0"/>
    <xf numFmtId="0" fontId="55" fillId="0" borderId="0"/>
    <xf numFmtId="0" fontId="3" fillId="0" borderId="0"/>
  </cellStyleXfs>
  <cellXfs count="663">
    <xf numFmtId="0" fontId="0" fillId="0" borderId="0" xfId="0"/>
    <xf numFmtId="0" fontId="3" fillId="0" borderId="0" xfId="0" applyFont="1" applyAlignment="1" applyProtection="1">
      <alignment vertical="center"/>
      <protection locked="0"/>
    </xf>
    <xf numFmtId="0" fontId="3" fillId="2" borderId="0" xfId="0" applyFont="1" applyFill="1" applyAlignment="1">
      <alignment horizontal="left" vertical="center"/>
    </xf>
    <xf numFmtId="0" fontId="3" fillId="2" borderId="0" xfId="0" applyFont="1" applyFill="1" applyAlignment="1">
      <alignment vertical="center"/>
    </xf>
    <xf numFmtId="0" fontId="4" fillId="2" borderId="0" xfId="0" applyFont="1" applyFill="1" applyAlignment="1">
      <alignment horizontal="left" vertical="center"/>
    </xf>
    <xf numFmtId="0" fontId="3" fillId="2" borderId="0" xfId="0" applyFont="1" applyFill="1" applyAlignment="1" applyProtection="1">
      <alignment horizontal="left" vertical="center"/>
      <protection locked="0"/>
    </xf>
    <xf numFmtId="0" fontId="4" fillId="3" borderId="1" xfId="0" applyFont="1" applyFill="1" applyBorder="1" applyAlignment="1" applyProtection="1">
      <alignment horizontal="center" vertical="center"/>
      <protection locked="0"/>
    </xf>
    <xf numFmtId="37" fontId="4" fillId="2" borderId="0" xfId="0" applyNumberFormat="1" applyFont="1" applyFill="1" applyAlignment="1">
      <alignment horizontal="centerContinuous" vertical="center"/>
    </xf>
    <xf numFmtId="0" fontId="3" fillId="2" borderId="0" xfId="0" applyFont="1" applyFill="1" applyAlignment="1">
      <alignment horizontal="centerContinuous" vertical="center"/>
    </xf>
    <xf numFmtId="0" fontId="4" fillId="2" borderId="0" xfId="0" applyFont="1" applyFill="1" applyAlignment="1">
      <alignment vertical="center"/>
    </xf>
    <xf numFmtId="0" fontId="3" fillId="2" borderId="0" xfId="0" applyFont="1" applyFill="1" applyAlignment="1">
      <alignment horizontal="center" vertical="center"/>
    </xf>
    <xf numFmtId="0" fontId="5"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2" borderId="1" xfId="0" applyFont="1" applyFill="1" applyBorder="1" applyAlignment="1">
      <alignment horizontal="left" vertical="center"/>
    </xf>
    <xf numFmtId="0" fontId="3" fillId="3" borderId="1" xfId="0" applyFont="1" applyFill="1" applyBorder="1" applyAlignment="1" applyProtection="1">
      <alignment vertical="center"/>
      <protection locked="0"/>
    </xf>
    <xf numFmtId="3" fontId="3" fillId="3" borderId="1" xfId="0" applyNumberFormat="1" applyFont="1" applyFill="1" applyBorder="1" applyAlignment="1" applyProtection="1">
      <alignment vertical="center"/>
      <protection locked="0"/>
    </xf>
    <xf numFmtId="0" fontId="3" fillId="2" borderId="1" xfId="0" applyFont="1" applyFill="1" applyBorder="1" applyAlignment="1">
      <alignment vertical="center"/>
    </xf>
    <xf numFmtId="3" fontId="3" fillId="2" borderId="0" xfId="0" applyNumberFormat="1" applyFont="1" applyFill="1" applyAlignment="1">
      <alignment vertical="center"/>
    </xf>
    <xf numFmtId="164" fontId="3" fillId="2" borderId="0" xfId="0" applyNumberFormat="1" applyFont="1" applyFill="1" applyAlignment="1">
      <alignment vertical="center"/>
    </xf>
    <xf numFmtId="0" fontId="3" fillId="2" borderId="4" xfId="0" applyFont="1" applyFill="1" applyBorder="1" applyAlignment="1">
      <alignment horizontal="left" vertical="center"/>
    </xf>
    <xf numFmtId="0" fontId="3" fillId="2" borderId="4" xfId="0" applyFont="1" applyFill="1" applyBorder="1" applyAlignment="1">
      <alignment vertical="center"/>
    </xf>
    <xf numFmtId="3" fontId="3" fillId="2" borderId="5" xfId="0" applyNumberFormat="1" applyFont="1" applyFill="1" applyBorder="1" applyAlignment="1">
      <alignment vertical="center"/>
    </xf>
    <xf numFmtId="3" fontId="3" fillId="5" borderId="1" xfId="0" applyNumberFormat="1" applyFont="1" applyFill="1" applyBorder="1" applyAlignment="1">
      <alignment vertical="center"/>
    </xf>
    <xf numFmtId="37" fontId="3" fillId="2" borderId="0" xfId="0" applyNumberFormat="1" applyFont="1" applyFill="1" applyAlignment="1">
      <alignment horizontal="left" vertical="center"/>
    </xf>
    <xf numFmtId="0" fontId="3" fillId="2" borderId="6" xfId="0" applyFont="1" applyFill="1" applyBorder="1" applyAlignment="1">
      <alignment vertical="center"/>
    </xf>
    <xf numFmtId="3" fontId="3" fillId="2" borderId="1" xfId="0" applyNumberFormat="1" applyFont="1" applyFill="1" applyBorder="1" applyAlignment="1">
      <alignment vertical="center"/>
    </xf>
    <xf numFmtId="0" fontId="3" fillId="6" borderId="1" xfId="0" applyFont="1" applyFill="1" applyBorder="1" applyAlignment="1" applyProtection="1">
      <alignment vertical="center"/>
      <protection locked="0"/>
    </xf>
    <xf numFmtId="164" fontId="3" fillId="3" borderId="1" xfId="0" applyNumberFormat="1" applyFont="1" applyFill="1" applyBorder="1" applyAlignment="1" applyProtection="1">
      <alignment vertical="center"/>
      <protection locked="0"/>
    </xf>
    <xf numFmtId="164" fontId="3" fillId="5" borderId="7" xfId="0" applyNumberFormat="1" applyFont="1" applyFill="1" applyBorder="1" applyAlignment="1">
      <alignment vertical="center"/>
    </xf>
    <xf numFmtId="0" fontId="3" fillId="2" borderId="0" xfId="0" applyFont="1" applyFill="1" applyAlignment="1" applyProtection="1">
      <alignment vertical="center"/>
      <protection locked="0"/>
    </xf>
    <xf numFmtId="0" fontId="3" fillId="2" borderId="4" xfId="0" applyFont="1" applyFill="1" applyBorder="1" applyAlignment="1">
      <alignment horizontal="center" vertical="center"/>
    </xf>
    <xf numFmtId="0" fontId="3" fillId="2" borderId="6" xfId="0" applyFont="1" applyFill="1" applyBorder="1" applyAlignment="1" applyProtection="1">
      <alignment vertical="center"/>
      <protection locked="0"/>
    </xf>
    <xf numFmtId="3" fontId="3" fillId="6" borderId="1" xfId="0" applyNumberFormat="1" applyFont="1" applyFill="1" applyBorder="1" applyAlignment="1" applyProtection="1">
      <alignment vertical="center"/>
      <protection locked="0"/>
    </xf>
    <xf numFmtId="0" fontId="3" fillId="4" borderId="5" xfId="0" applyFont="1" applyFill="1" applyBorder="1" applyAlignment="1">
      <alignment vertical="center"/>
    </xf>
    <xf numFmtId="0" fontId="3" fillId="2" borderId="8"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0" fillId="0" borderId="0" xfId="0" applyAlignment="1">
      <alignment vertical="center"/>
    </xf>
    <xf numFmtId="0" fontId="0" fillId="2" borderId="0" xfId="0" applyFill="1" applyAlignment="1">
      <alignment vertical="center"/>
    </xf>
    <xf numFmtId="37" fontId="3" fillId="2" borderId="4" xfId="0" applyNumberFormat="1" applyFont="1" applyFill="1" applyBorder="1" applyAlignment="1">
      <alignment horizontal="left" vertical="center"/>
    </xf>
    <xf numFmtId="37" fontId="3" fillId="2" borderId="5" xfId="0" applyNumberFormat="1" applyFont="1" applyFill="1" applyBorder="1" applyAlignment="1">
      <alignment horizontal="left" vertical="center"/>
    </xf>
    <xf numFmtId="0" fontId="3" fillId="2" borderId="5" xfId="0" applyFont="1" applyFill="1" applyBorder="1" applyAlignment="1">
      <alignment vertical="center"/>
    </xf>
    <xf numFmtId="37" fontId="3" fillId="2" borderId="0" xfId="0" applyNumberFormat="1" applyFont="1" applyFill="1" applyAlignment="1" applyProtection="1">
      <alignment vertical="center"/>
      <protection locked="0"/>
    </xf>
    <xf numFmtId="37" fontId="4" fillId="2" borderId="0" xfId="0" applyNumberFormat="1" applyFont="1" applyFill="1" applyAlignment="1">
      <alignment horizontal="left" vertical="center"/>
    </xf>
    <xf numFmtId="3" fontId="3" fillId="2" borderId="0" xfId="0" applyNumberFormat="1" applyFont="1" applyFill="1" applyAlignment="1" applyProtection="1">
      <alignment vertical="center"/>
      <protection locked="0"/>
    </xf>
    <xf numFmtId="0" fontId="12" fillId="2" borderId="0" xfId="0" applyFont="1" applyFill="1" applyAlignment="1">
      <alignment horizontal="center" vertical="center"/>
    </xf>
    <xf numFmtId="0" fontId="0" fillId="2" borderId="6" xfId="0" applyFill="1" applyBorder="1" applyAlignment="1">
      <alignment vertical="center"/>
    </xf>
    <xf numFmtId="173" fontId="3" fillId="5" borderId="1" xfId="0" applyNumberFormat="1" applyFont="1" applyFill="1" applyBorder="1" applyAlignment="1">
      <alignment vertical="center"/>
    </xf>
    <xf numFmtId="0" fontId="0" fillId="2" borderId="4" xfId="0" applyFill="1" applyBorder="1" applyAlignment="1">
      <alignment vertical="center"/>
    </xf>
    <xf numFmtId="3" fontId="3" fillId="2" borderId="6" xfId="0" applyNumberFormat="1" applyFont="1" applyFill="1" applyBorder="1" applyAlignment="1">
      <alignment vertical="center"/>
    </xf>
    <xf numFmtId="3" fontId="3" fillId="2" borderId="8" xfId="0" applyNumberFormat="1" applyFont="1" applyFill="1" applyBorder="1" applyAlignment="1">
      <alignment vertical="center"/>
    </xf>
    <xf numFmtId="37" fontId="3" fillId="7" borderId="0" xfId="0" applyNumberFormat="1" applyFont="1" applyFill="1" applyAlignment="1">
      <alignment horizontal="left" vertical="center"/>
    </xf>
    <xf numFmtId="0" fontId="3" fillId="7" borderId="0" xfId="0" applyFont="1" applyFill="1" applyAlignment="1">
      <alignment vertical="center"/>
    </xf>
    <xf numFmtId="172" fontId="3" fillId="7" borderId="0" xfId="0" applyNumberFormat="1" applyFont="1" applyFill="1" applyAlignment="1" applyProtection="1">
      <alignment vertical="center"/>
      <protection locked="0"/>
    </xf>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16" fillId="2" borderId="0" xfId="0" applyFont="1" applyFill="1" applyAlignment="1">
      <alignment vertical="center"/>
    </xf>
    <xf numFmtId="0" fontId="17" fillId="2" borderId="0" xfId="0" applyFont="1" applyFill="1" applyAlignment="1">
      <alignment vertical="center"/>
    </xf>
    <xf numFmtId="37" fontId="3" fillId="2" borderId="1" xfId="0" applyNumberFormat="1" applyFont="1" applyFill="1" applyBorder="1" applyAlignment="1">
      <alignment vertical="center"/>
    </xf>
    <xf numFmtId="0" fontId="3" fillId="0" borderId="0" xfId="0" applyFont="1" applyAlignment="1">
      <alignment vertical="center"/>
    </xf>
    <xf numFmtId="0" fontId="4" fillId="2" borderId="0" xfId="0" applyFont="1" applyFill="1" applyAlignment="1">
      <alignment horizontal="center" vertical="center"/>
    </xf>
    <xf numFmtId="37" fontId="3" fillId="2" borderId="0" xfId="0" applyNumberFormat="1" applyFont="1" applyFill="1" applyAlignment="1">
      <alignment horizontal="centerContinuous" vertical="center"/>
    </xf>
    <xf numFmtId="0" fontId="5" fillId="2" borderId="0" xfId="0" applyFont="1" applyFill="1" applyAlignment="1">
      <alignment horizontal="center" vertical="center"/>
    </xf>
    <xf numFmtId="0" fontId="3" fillId="2" borderId="0" xfId="0" applyFont="1" applyFill="1" applyAlignment="1">
      <alignment horizontal="fill" vertical="center"/>
    </xf>
    <xf numFmtId="0" fontId="3" fillId="2" borderId="9" xfId="0" applyFont="1" applyFill="1" applyBorder="1" applyAlignment="1">
      <alignment horizontal="left" vertical="center"/>
    </xf>
    <xf numFmtId="0" fontId="3" fillId="2" borderId="2"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0" xfId="0" applyFont="1" applyAlignment="1">
      <alignment horizontal="center" vertical="center"/>
    </xf>
    <xf numFmtId="0" fontId="3" fillId="2" borderId="9" xfId="0" applyFont="1" applyFill="1" applyBorder="1" applyAlignment="1">
      <alignment horizontal="center" vertical="center"/>
    </xf>
    <xf numFmtId="0" fontId="3" fillId="2" borderId="4" xfId="0" applyFont="1" applyFill="1" applyBorder="1" applyAlignment="1">
      <alignment horizontal="fill" vertical="center"/>
    </xf>
    <xf numFmtId="0" fontId="3" fillId="2" borderId="3" xfId="0" applyFont="1" applyFill="1" applyBorder="1" applyAlignment="1">
      <alignment horizontal="fill" vertical="center"/>
    </xf>
    <xf numFmtId="0" fontId="3" fillId="2" borderId="6" xfId="0" applyFont="1" applyFill="1" applyBorder="1" applyAlignment="1">
      <alignment horizontal="fill" vertical="center" wrapText="1"/>
    </xf>
    <xf numFmtId="0" fontId="3" fillId="2" borderId="11" xfId="0" applyFont="1" applyFill="1" applyBorder="1" applyAlignment="1">
      <alignment horizontal="fill" vertical="center"/>
    </xf>
    <xf numFmtId="0" fontId="3" fillId="2" borderId="1" xfId="0" applyFont="1" applyFill="1" applyBorder="1" applyAlignment="1">
      <alignment horizontal="center" vertical="center"/>
    </xf>
    <xf numFmtId="0" fontId="3" fillId="2" borderId="10" xfId="0" applyFont="1" applyFill="1" applyBorder="1" applyAlignment="1">
      <alignment horizontal="fill" vertical="center"/>
    </xf>
    <xf numFmtId="37" fontId="3" fillId="2" borderId="11" xfId="0" applyNumberFormat="1" applyFont="1" applyFill="1" applyBorder="1" applyAlignment="1">
      <alignment horizontal="left" vertical="center"/>
    </xf>
    <xf numFmtId="0" fontId="3" fillId="2" borderId="3" xfId="0" applyFont="1" applyFill="1" applyBorder="1" applyAlignment="1">
      <alignment horizontal="center" vertical="center"/>
    </xf>
    <xf numFmtId="0" fontId="12" fillId="2" borderId="11" xfId="0" applyFont="1" applyFill="1" applyBorder="1" applyAlignment="1">
      <alignment horizontal="left" vertical="center"/>
    </xf>
    <xf numFmtId="0" fontId="3" fillId="2" borderId="8" xfId="0" applyFont="1" applyFill="1" applyBorder="1" applyAlignment="1">
      <alignment vertical="center"/>
    </xf>
    <xf numFmtId="0" fontId="12" fillId="2" borderId="1" xfId="0" applyFont="1" applyFill="1" applyBorder="1" applyAlignment="1">
      <alignment horizontal="center" vertical="center"/>
    </xf>
    <xf numFmtId="0" fontId="3" fillId="2" borderId="12" xfId="0" applyFont="1" applyFill="1" applyBorder="1" applyAlignment="1">
      <alignment vertical="center"/>
    </xf>
    <xf numFmtId="0" fontId="3" fillId="2" borderId="11" xfId="0" applyFont="1" applyFill="1" applyBorder="1" applyAlignment="1">
      <alignment horizontal="left" vertical="center"/>
    </xf>
    <xf numFmtId="3" fontId="3" fillId="2" borderId="1" xfId="0" applyNumberFormat="1" applyFont="1" applyFill="1" applyBorder="1" applyAlignment="1">
      <alignment horizontal="center" vertical="center"/>
    </xf>
    <xf numFmtId="0" fontId="3" fillId="2" borderId="11" xfId="0" applyFont="1" applyFill="1" applyBorder="1" applyAlignment="1">
      <alignment vertical="center"/>
    </xf>
    <xf numFmtId="0" fontId="3" fillId="2" borderId="8" xfId="0" applyFont="1" applyFill="1" applyBorder="1" applyAlignment="1">
      <alignment horizontal="center" vertical="center"/>
    </xf>
    <xf numFmtId="0" fontId="3" fillId="2" borderId="13" xfId="0" applyFont="1" applyFill="1" applyBorder="1" applyAlignment="1">
      <alignment vertical="center"/>
    </xf>
    <xf numFmtId="0" fontId="3" fillId="2" borderId="14" xfId="0" applyFont="1" applyFill="1" applyBorder="1" applyAlignment="1">
      <alignment vertical="center"/>
    </xf>
    <xf numFmtId="164" fontId="3" fillId="2" borderId="2" xfId="0" applyNumberFormat="1" applyFont="1" applyFill="1" applyBorder="1" applyAlignment="1">
      <alignment vertical="center"/>
    </xf>
    <xf numFmtId="0" fontId="4" fillId="2" borderId="11" xfId="0" applyFont="1" applyFill="1" applyBorder="1" applyAlignment="1">
      <alignment horizontal="left" vertical="center"/>
    </xf>
    <xf numFmtId="0" fontId="3" fillId="2" borderId="1" xfId="0" applyFont="1" applyFill="1" applyBorder="1" applyAlignment="1">
      <alignment horizontal="fill" vertical="center"/>
    </xf>
    <xf numFmtId="3" fontId="3" fillId="5" borderId="7" xfId="0" applyNumberFormat="1" applyFont="1" applyFill="1" applyBorder="1" applyAlignment="1">
      <alignment vertical="center"/>
    </xf>
    <xf numFmtId="37" fontId="3" fillId="5" borderId="7" xfId="0" applyNumberFormat="1" applyFont="1" applyFill="1" applyBorder="1" applyAlignment="1">
      <alignment vertical="center"/>
    </xf>
    <xf numFmtId="0" fontId="7" fillId="2" borderId="0" xfId="0" applyFont="1" applyFill="1" applyAlignment="1">
      <alignment horizontal="center" vertical="center"/>
    </xf>
    <xf numFmtId="0" fontId="3" fillId="2" borderId="0" xfId="0" applyFont="1" applyFill="1" applyAlignment="1">
      <alignment horizontal="right" vertical="center"/>
    </xf>
    <xf numFmtId="168" fontId="3" fillId="6" borderId="1" xfId="1" applyNumberFormat="1" applyFont="1" applyFill="1" applyBorder="1" applyAlignment="1" applyProtection="1">
      <alignment vertical="center"/>
      <protection locked="0"/>
    </xf>
    <xf numFmtId="0" fontId="3" fillId="0" borderId="0" xfId="0" applyFont="1" applyAlignment="1" applyProtection="1">
      <alignment horizontal="left" vertical="center"/>
      <protection locked="0"/>
    </xf>
    <xf numFmtId="37" fontId="3" fillId="2" borderId="0" xfId="0" applyNumberFormat="1" applyFont="1" applyFill="1" applyAlignment="1">
      <alignment horizontal="right" vertical="center"/>
    </xf>
    <xf numFmtId="37" fontId="3" fillId="2" borderId="0" xfId="0" applyNumberFormat="1" applyFont="1" applyFill="1" applyAlignment="1">
      <alignment vertical="center"/>
    </xf>
    <xf numFmtId="37" fontId="4" fillId="2" borderId="0" xfId="0" applyNumberFormat="1" applyFont="1" applyFill="1" applyAlignment="1">
      <alignment horizontal="center" vertical="center"/>
    </xf>
    <xf numFmtId="0" fontId="3" fillId="2" borderId="2" xfId="0" applyFont="1" applyFill="1" applyBorder="1" applyAlignment="1">
      <alignment horizontal="center" vertical="center" wrapText="1"/>
    </xf>
    <xf numFmtId="37" fontId="3" fillId="2" borderId="4" xfId="0" applyNumberFormat="1" applyFont="1" applyFill="1" applyBorder="1" applyAlignment="1">
      <alignment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1" fontId="3" fillId="2" borderId="3" xfId="0" applyNumberFormat="1" applyFont="1" applyFill="1" applyBorder="1" applyAlignment="1">
      <alignment horizontal="center" vertical="center"/>
    </xf>
    <xf numFmtId="0" fontId="3" fillId="0" borderId="0" xfId="0" applyFont="1" applyAlignment="1" applyProtection="1">
      <alignment horizontal="center" vertical="center"/>
      <protection locked="0"/>
    </xf>
    <xf numFmtId="0" fontId="3" fillId="6" borderId="3" xfId="0" applyFont="1" applyFill="1" applyBorder="1" applyAlignment="1" applyProtection="1">
      <alignment vertical="center"/>
      <protection locked="0"/>
    </xf>
    <xf numFmtId="168" fontId="3" fillId="6" borderId="3" xfId="1" applyNumberFormat="1" applyFont="1" applyFill="1" applyBorder="1" applyAlignment="1" applyProtection="1">
      <alignment vertical="center"/>
      <protection locked="0"/>
    </xf>
    <xf numFmtId="0" fontId="5" fillId="6" borderId="1" xfId="0" applyFont="1" applyFill="1" applyBorder="1" applyAlignment="1" applyProtection="1">
      <alignment vertical="center"/>
      <protection locked="0"/>
    </xf>
    <xf numFmtId="0" fontId="4" fillId="2" borderId="1" xfId="0" applyFont="1" applyFill="1" applyBorder="1" applyAlignment="1">
      <alignment horizontal="center" vertical="center"/>
    </xf>
    <xf numFmtId="3" fontId="3" fillId="5" borderId="1" xfId="0" applyNumberFormat="1" applyFont="1" applyFill="1" applyBorder="1" applyAlignment="1">
      <alignment horizontal="right" vertical="center"/>
    </xf>
    <xf numFmtId="0" fontId="3" fillId="2" borderId="0" xfId="0" applyFont="1" applyFill="1" applyAlignment="1" applyProtection="1">
      <alignment horizontal="center" vertical="center"/>
      <protection locked="0"/>
    </xf>
    <xf numFmtId="37" fontId="4" fillId="2" borderId="1" xfId="0" applyNumberFormat="1" applyFont="1" applyFill="1" applyBorder="1" applyAlignment="1">
      <alignment horizontal="center" vertical="center"/>
    </xf>
    <xf numFmtId="0" fontId="3" fillId="2" borderId="1" xfId="0" applyFont="1" applyFill="1" applyBorder="1" applyAlignment="1">
      <alignment horizontal="right" vertical="center"/>
    </xf>
    <xf numFmtId="0" fontId="3" fillId="6" borderId="1" xfId="0" applyFont="1" applyFill="1" applyBorder="1" applyAlignment="1" applyProtection="1">
      <alignment horizontal="right" vertical="center"/>
      <protection locked="0"/>
    </xf>
    <xf numFmtId="0" fontId="3" fillId="7" borderId="0" xfId="0" applyFont="1" applyFill="1" applyAlignment="1" applyProtection="1">
      <alignment vertical="center"/>
      <protection locked="0"/>
    </xf>
    <xf numFmtId="0" fontId="4" fillId="2" borderId="0" xfId="520" applyFont="1" applyFill="1" applyAlignment="1">
      <alignment horizontal="centerContinuous" vertical="center"/>
    </xf>
    <xf numFmtId="0" fontId="3" fillId="2" borderId="0" xfId="519" applyFont="1" applyFill="1" applyAlignment="1">
      <alignment horizontal="centerContinuous" vertical="center"/>
    </xf>
    <xf numFmtId="0" fontId="3" fillId="0" borderId="0" xfId="519" applyFont="1" applyAlignment="1" applyProtection="1">
      <alignment vertical="center"/>
      <protection locked="0"/>
    </xf>
    <xf numFmtId="0" fontId="3" fillId="2" borderId="0" xfId="519" applyFont="1" applyFill="1" applyAlignment="1">
      <alignment vertical="center"/>
    </xf>
    <xf numFmtId="0" fontId="3" fillId="2" borderId="13" xfId="0" applyFont="1" applyFill="1" applyBorder="1" applyAlignment="1">
      <alignment horizontal="centerContinuous" vertical="center"/>
    </xf>
    <xf numFmtId="0" fontId="3" fillId="2" borderId="15" xfId="0" applyFont="1" applyFill="1" applyBorder="1" applyAlignment="1">
      <alignment horizontal="centerContinuous" vertical="center"/>
    </xf>
    <xf numFmtId="0" fontId="3" fillId="2" borderId="12" xfId="0" applyFont="1" applyFill="1" applyBorder="1" applyAlignment="1">
      <alignment horizontal="centerContinuous" vertical="center"/>
    </xf>
    <xf numFmtId="0" fontId="3" fillId="2" borderId="6" xfId="0" applyFont="1" applyFill="1" applyBorder="1" applyAlignment="1">
      <alignment horizontal="centerContinuous" vertical="center"/>
    </xf>
    <xf numFmtId="14" fontId="3" fillId="2" borderId="3" xfId="0" quotePrefix="1" applyNumberFormat="1" applyFont="1" applyFill="1" applyBorder="1" applyAlignment="1">
      <alignment horizontal="center" vertical="center"/>
    </xf>
    <xf numFmtId="169" fontId="3" fillId="2" borderId="1" xfId="0" applyNumberFormat="1" applyFont="1" applyFill="1" applyBorder="1" applyAlignment="1">
      <alignment horizontal="left" vertical="center"/>
    </xf>
    <xf numFmtId="170" fontId="3" fillId="2" borderId="1" xfId="0" applyNumberFormat="1" applyFont="1" applyFill="1" applyBorder="1" applyAlignment="1">
      <alignment horizontal="left" vertical="center"/>
    </xf>
    <xf numFmtId="0" fontId="3" fillId="6" borderId="1" xfId="0" applyFont="1" applyFill="1" applyBorder="1" applyAlignment="1" applyProtection="1">
      <alignment horizontal="left" vertical="center"/>
      <protection locked="0"/>
    </xf>
    <xf numFmtId="170" fontId="3" fillId="6" borderId="1" xfId="0" applyNumberFormat="1" applyFont="1" applyFill="1" applyBorder="1" applyAlignment="1" applyProtection="1">
      <alignment horizontal="left" vertical="center"/>
      <protection locked="0"/>
    </xf>
    <xf numFmtId="2" fontId="3" fillId="3" borderId="1" xfId="0" applyNumberFormat="1" applyFont="1" applyFill="1" applyBorder="1" applyAlignment="1" applyProtection="1">
      <alignment vertical="center"/>
      <protection locked="0"/>
    </xf>
    <xf numFmtId="170" fontId="3" fillId="3" borderId="1" xfId="0" applyNumberFormat="1" applyFont="1" applyFill="1" applyBorder="1" applyAlignment="1" applyProtection="1">
      <alignment vertical="center"/>
      <protection locked="0"/>
    </xf>
    <xf numFmtId="37" fontId="3" fillId="3" borderId="1" xfId="0" applyNumberFormat="1" applyFont="1" applyFill="1" applyBorder="1" applyAlignment="1" applyProtection="1">
      <alignment vertical="center"/>
      <protection locked="0"/>
    </xf>
    <xf numFmtId="0" fontId="3" fillId="2" borderId="1" xfId="0" applyFont="1" applyFill="1" applyBorder="1" applyAlignment="1" applyProtection="1">
      <alignment vertical="center"/>
      <protection locked="0"/>
    </xf>
    <xf numFmtId="169" fontId="3" fillId="2" borderId="1" xfId="0" applyNumberFormat="1" applyFont="1" applyFill="1" applyBorder="1" applyAlignment="1" applyProtection="1">
      <alignment vertical="center"/>
      <protection locked="0"/>
    </xf>
    <xf numFmtId="2" fontId="3" fillId="2" borderId="1" xfId="0" applyNumberFormat="1" applyFont="1" applyFill="1" applyBorder="1" applyAlignment="1" applyProtection="1">
      <alignment vertical="center"/>
      <protection locked="0"/>
    </xf>
    <xf numFmtId="3" fontId="3" fillId="2" borderId="1" xfId="0" applyNumberFormat="1" applyFont="1" applyFill="1" applyBorder="1" applyAlignment="1" applyProtection="1">
      <alignment vertical="center"/>
      <protection locked="0"/>
    </xf>
    <xf numFmtId="37" fontId="3" fillId="5" borderId="1" xfId="0" applyNumberFormat="1" applyFont="1" applyFill="1" applyBorder="1" applyAlignment="1">
      <alignment vertical="center"/>
    </xf>
    <xf numFmtId="170" fontId="3" fillId="2" borderId="1" xfId="0" applyNumberFormat="1" applyFont="1" applyFill="1" applyBorder="1" applyAlignment="1">
      <alignment vertical="center"/>
    </xf>
    <xf numFmtId="169" fontId="3" fillId="2" borderId="1" xfId="0" applyNumberFormat="1" applyFont="1" applyFill="1" applyBorder="1" applyAlignment="1">
      <alignment vertical="center"/>
    </xf>
    <xf numFmtId="2" fontId="3" fillId="2" borderId="1" xfId="0" applyNumberFormat="1" applyFont="1" applyFill="1" applyBorder="1" applyAlignment="1">
      <alignment vertical="center"/>
    </xf>
    <xf numFmtId="0" fontId="3" fillId="2" borderId="1" xfId="519" applyFont="1" applyFill="1" applyBorder="1" applyAlignment="1">
      <alignment horizontal="left" vertical="center"/>
    </xf>
    <xf numFmtId="37" fontId="4" fillId="5" borderId="1" xfId="519" applyNumberFormat="1" applyFont="1" applyFill="1" applyBorder="1" applyAlignment="1">
      <alignment vertical="center"/>
    </xf>
    <xf numFmtId="0" fontId="3" fillId="2" borderId="0" xfId="520" applyFont="1" applyFill="1" applyAlignment="1">
      <alignment horizontal="centerContinuous" vertical="center"/>
    </xf>
    <xf numFmtId="0" fontId="3" fillId="2" borderId="0" xfId="520" applyFont="1" applyFill="1" applyAlignment="1">
      <alignment vertical="center"/>
    </xf>
    <xf numFmtId="0" fontId="3" fillId="0" borderId="0" xfId="520" applyFont="1" applyAlignment="1">
      <alignment vertical="center"/>
    </xf>
    <xf numFmtId="0" fontId="3" fillId="2" borderId="2" xfId="0" applyFont="1" applyFill="1" applyBorder="1" applyAlignment="1">
      <alignment vertical="center"/>
    </xf>
    <xf numFmtId="0" fontId="3" fillId="2" borderId="16" xfId="520" applyFont="1" applyFill="1" applyBorder="1" applyAlignment="1">
      <alignment vertical="center"/>
    </xf>
    <xf numFmtId="0" fontId="3" fillId="2" borderId="9" xfId="0" applyFont="1" applyFill="1" applyBorder="1" applyAlignment="1">
      <alignment vertical="center"/>
    </xf>
    <xf numFmtId="0" fontId="6" fillId="2" borderId="3" xfId="0" applyFont="1" applyFill="1" applyBorder="1" applyAlignment="1">
      <alignment horizontal="center" vertical="center"/>
    </xf>
    <xf numFmtId="1" fontId="3" fillId="3" borderId="1" xfId="0" applyNumberFormat="1" applyFont="1" applyFill="1" applyBorder="1" applyAlignment="1" applyProtection="1">
      <alignment vertical="center"/>
      <protection locked="0"/>
    </xf>
    <xf numFmtId="0" fontId="3" fillId="2" borderId="14" xfId="519" applyFont="1" applyFill="1" applyBorder="1" applyAlignment="1" applyProtection="1">
      <alignment vertical="center"/>
      <protection locked="0"/>
    </xf>
    <xf numFmtId="3" fontId="4" fillId="2" borderId="1" xfId="519" applyNumberFormat="1" applyFont="1" applyFill="1" applyBorder="1" applyAlignment="1">
      <alignment vertical="center"/>
    </xf>
    <xf numFmtId="37" fontId="4" fillId="2" borderId="1" xfId="519" applyNumberFormat="1" applyFont="1" applyFill="1" applyBorder="1" applyAlignment="1">
      <alignment vertical="center"/>
    </xf>
    <xf numFmtId="0" fontId="3" fillId="7" borderId="0" xfId="519" applyFont="1" applyFill="1" applyAlignment="1" applyProtection="1">
      <alignment vertical="center"/>
      <protection locked="0"/>
    </xf>
    <xf numFmtId="165" fontId="3" fillId="2" borderId="0" xfId="0" applyNumberFormat="1" applyFont="1" applyFill="1" applyAlignment="1">
      <alignment vertical="center"/>
    </xf>
    <xf numFmtId="37" fontId="3" fillId="2" borderId="2" xfId="0" applyNumberFormat="1" applyFont="1" applyFill="1" applyBorder="1" applyAlignment="1">
      <alignment horizontal="center" vertical="center"/>
    </xf>
    <xf numFmtId="3" fontId="3" fillId="3" borderId="8" xfId="0" applyNumberFormat="1" applyFont="1" applyFill="1" applyBorder="1" applyAlignment="1" applyProtection="1">
      <alignment vertical="center"/>
      <protection locked="0"/>
    </xf>
    <xf numFmtId="0" fontId="3" fillId="2" borderId="12" xfId="0" applyFont="1" applyFill="1" applyBorder="1" applyAlignment="1">
      <alignment horizontal="left" vertical="center"/>
    </xf>
    <xf numFmtId="37" fontId="3" fillId="2" borderId="11" xfId="0" applyNumberFormat="1" applyFont="1" applyFill="1" applyBorder="1" applyAlignment="1">
      <alignment vertical="center"/>
    </xf>
    <xf numFmtId="37" fontId="3" fillId="3" borderId="11" xfId="0" applyNumberFormat="1" applyFont="1" applyFill="1" applyBorder="1" applyAlignment="1" applyProtection="1">
      <alignment vertical="center"/>
      <protection locked="0"/>
    </xf>
    <xf numFmtId="0" fontId="3" fillId="6" borderId="11" xfId="0" applyFont="1" applyFill="1" applyBorder="1" applyAlignment="1" applyProtection="1">
      <alignment horizontal="left" vertical="center"/>
      <protection locked="0"/>
    </xf>
    <xf numFmtId="37" fontId="3" fillId="2" borderId="11" xfId="0" applyNumberFormat="1" applyFont="1" applyFill="1" applyBorder="1" applyAlignment="1" applyProtection="1">
      <alignment horizontal="left" vertical="center"/>
      <protection locked="0"/>
    </xf>
    <xf numFmtId="37" fontId="3" fillId="3" borderId="8" xfId="0" applyNumberFormat="1" applyFont="1" applyFill="1" applyBorder="1" applyAlignment="1" applyProtection="1">
      <alignment vertical="center"/>
      <protection locked="0"/>
    </xf>
    <xf numFmtId="3" fontId="16" fillId="9" borderId="8" xfId="0" applyNumberFormat="1" applyFont="1" applyFill="1" applyBorder="1" applyAlignment="1">
      <alignment horizontal="center" vertical="center"/>
    </xf>
    <xf numFmtId="37" fontId="4" fillId="2" borderId="11" xfId="0" applyNumberFormat="1" applyFont="1" applyFill="1" applyBorder="1" applyAlignment="1">
      <alignment horizontal="left" vertical="center"/>
    </xf>
    <xf numFmtId="0" fontId="13" fillId="2" borderId="0" xfId="0" applyFont="1" applyFill="1" applyAlignment="1">
      <alignment horizontal="center" vertical="center"/>
    </xf>
    <xf numFmtId="1" fontId="3" fillId="2" borderId="0" xfId="0" applyNumberFormat="1" applyFont="1" applyFill="1" applyAlignment="1">
      <alignment horizontal="right" vertical="center"/>
    </xf>
    <xf numFmtId="37" fontId="3" fillId="2" borderId="0" xfId="0" quotePrefix="1" applyNumberFormat="1" applyFont="1" applyFill="1" applyAlignment="1">
      <alignment horizontal="right" vertical="center"/>
    </xf>
    <xf numFmtId="3" fontId="3" fillId="2" borderId="1" xfId="1" applyNumberFormat="1" applyFont="1" applyFill="1" applyBorder="1" applyAlignment="1" applyProtection="1">
      <alignment horizontal="right" vertical="center"/>
    </xf>
    <xf numFmtId="37" fontId="3" fillId="2" borderId="12" xfId="0" applyNumberFormat="1" applyFont="1" applyFill="1" applyBorder="1" applyAlignment="1">
      <alignment horizontal="left" vertical="center"/>
    </xf>
    <xf numFmtId="3" fontId="3" fillId="2" borderId="1" xfId="0" applyNumberFormat="1" applyFont="1" applyFill="1" applyBorder="1" applyAlignment="1">
      <alignment horizontal="fill" vertical="center"/>
    </xf>
    <xf numFmtId="3" fontId="3" fillId="3" borderId="1" xfId="0" applyNumberFormat="1" applyFont="1" applyFill="1" applyBorder="1" applyAlignment="1" applyProtection="1">
      <alignment horizontal="right" vertical="center"/>
      <protection locked="0"/>
    </xf>
    <xf numFmtId="3" fontId="3" fillId="2" borderId="1" xfId="0" applyNumberFormat="1" applyFont="1" applyFill="1" applyBorder="1" applyAlignment="1">
      <alignment horizontal="right" vertical="center"/>
    </xf>
    <xf numFmtId="0" fontId="3" fillId="3" borderId="11" xfId="0" applyFont="1" applyFill="1" applyBorder="1" applyAlignment="1" applyProtection="1">
      <alignment horizontal="left" vertical="center"/>
      <protection locked="0"/>
    </xf>
    <xf numFmtId="3" fontId="3" fillId="6" borderId="1" xfId="0" applyNumberFormat="1" applyFont="1" applyFill="1" applyBorder="1" applyAlignment="1" applyProtection="1">
      <alignment horizontal="right" vertical="center"/>
      <protection locked="0"/>
    </xf>
    <xf numFmtId="0" fontId="3" fillId="3" borderId="13" xfId="0" applyFont="1" applyFill="1" applyBorder="1" applyAlignment="1" applyProtection="1">
      <alignment horizontal="left" vertical="center"/>
      <protection locked="0"/>
    </xf>
    <xf numFmtId="0" fontId="3" fillId="3" borderId="11" xfId="0" applyFont="1" applyFill="1" applyBorder="1" applyAlignment="1" applyProtection="1">
      <alignment vertical="center"/>
      <protection locked="0"/>
    </xf>
    <xf numFmtId="0" fontId="16" fillId="0" borderId="0" xfId="0" applyFont="1" applyAlignment="1">
      <alignment vertical="center"/>
    </xf>
    <xf numFmtId="1" fontId="3" fillId="2" borderId="2" xfId="0" applyNumberFormat="1" applyFont="1" applyFill="1" applyBorder="1" applyAlignment="1">
      <alignment horizontal="center" vertical="center"/>
    </xf>
    <xf numFmtId="0" fontId="18" fillId="2" borderId="0" xfId="0" applyFont="1" applyFill="1" applyAlignment="1">
      <alignment horizontal="center" vertical="center"/>
    </xf>
    <xf numFmtId="0" fontId="19" fillId="2" borderId="2" xfId="0" applyFont="1" applyFill="1" applyBorder="1" applyAlignment="1">
      <alignment vertical="center"/>
    </xf>
    <xf numFmtId="0" fontId="19" fillId="2" borderId="8" xfId="0" applyFont="1" applyFill="1" applyBorder="1" applyAlignment="1">
      <alignment horizontal="center" vertical="center"/>
    </xf>
    <xf numFmtId="0" fontId="19" fillId="2" borderId="15" xfId="0" applyFont="1" applyFill="1" applyBorder="1" applyAlignment="1">
      <alignment vertical="center"/>
    </xf>
    <xf numFmtId="0" fontId="19" fillId="2" borderId="1" xfId="0" applyFont="1" applyFill="1" applyBorder="1" applyAlignment="1">
      <alignment horizontal="center" vertical="center"/>
    </xf>
    <xf numFmtId="0" fontId="19" fillId="2" borderId="12" xfId="0" applyFont="1" applyFill="1" applyBorder="1" applyAlignment="1">
      <alignment vertical="center"/>
    </xf>
    <xf numFmtId="3" fontId="19" fillId="6" borderId="1" xfId="0" applyNumberFormat="1" applyFont="1" applyFill="1" applyBorder="1" applyAlignment="1" applyProtection="1">
      <alignment horizontal="center" vertical="center"/>
      <protection locked="0"/>
    </xf>
    <xf numFmtId="0" fontId="19" fillId="2" borderId="4" xfId="0" applyFont="1" applyFill="1" applyBorder="1" applyAlignment="1">
      <alignment vertical="center"/>
    </xf>
    <xf numFmtId="3" fontId="19" fillId="5" borderId="1" xfId="0" applyNumberFormat="1" applyFont="1" applyFill="1" applyBorder="1" applyAlignment="1">
      <alignment horizontal="center" vertical="center"/>
    </xf>
    <xf numFmtId="0" fontId="19" fillId="2" borderId="0" xfId="0" applyFont="1" applyFill="1" applyAlignment="1">
      <alignment vertical="center"/>
    </xf>
    <xf numFmtId="3" fontId="19" fillId="2" borderId="0" xfId="0" applyNumberFormat="1" applyFont="1" applyFill="1" applyAlignment="1">
      <alignment horizontal="center" vertical="center"/>
    </xf>
    <xf numFmtId="0" fontId="19" fillId="2" borderId="0" xfId="0" applyFont="1" applyFill="1" applyAlignment="1">
      <alignment horizontal="center" vertical="center"/>
    </xf>
    <xf numFmtId="0" fontId="19" fillId="6" borderId="1" xfId="0" applyFont="1" applyFill="1" applyBorder="1" applyAlignment="1" applyProtection="1">
      <alignment vertical="center"/>
      <protection locked="0"/>
    </xf>
    <xf numFmtId="0" fontId="19" fillId="6" borderId="15" xfId="0" applyFont="1" applyFill="1" applyBorder="1" applyAlignment="1" applyProtection="1">
      <alignment vertical="center"/>
      <protection locked="0"/>
    </xf>
    <xf numFmtId="3" fontId="19" fillId="6" borderId="15" xfId="0" applyNumberFormat="1" applyFont="1" applyFill="1" applyBorder="1" applyAlignment="1" applyProtection="1">
      <alignment horizontal="center" vertical="center"/>
      <protection locked="0"/>
    </xf>
    <xf numFmtId="0" fontId="19" fillId="6" borderId="0" xfId="0" applyFont="1" applyFill="1" applyAlignment="1" applyProtection="1">
      <alignment vertical="center"/>
      <protection locked="0"/>
    </xf>
    <xf numFmtId="3" fontId="19" fillId="6" borderId="6" xfId="0" applyNumberFormat="1" applyFont="1" applyFill="1" applyBorder="1" applyAlignment="1" applyProtection="1">
      <alignment horizontal="center" vertical="center"/>
      <protection locked="0"/>
    </xf>
    <xf numFmtId="3" fontId="19" fillId="6" borderId="8" xfId="0" applyNumberFormat="1" applyFont="1" applyFill="1" applyBorder="1" applyAlignment="1" applyProtection="1">
      <alignment horizontal="center" vertical="center"/>
      <protection locked="0"/>
    </xf>
    <xf numFmtId="0" fontId="19" fillId="6" borderId="8" xfId="0" applyFont="1" applyFill="1" applyBorder="1" applyAlignment="1" applyProtection="1">
      <alignment vertical="center"/>
      <protection locked="0"/>
    </xf>
    <xf numFmtId="0" fontId="19" fillId="6" borderId="3" xfId="0" applyFont="1" applyFill="1" applyBorder="1" applyAlignment="1" applyProtection="1">
      <alignment vertical="center"/>
      <protection locked="0"/>
    </xf>
    <xf numFmtId="3" fontId="19" fillId="6" borderId="10" xfId="0" applyNumberFormat="1" applyFont="1" applyFill="1" applyBorder="1" applyAlignment="1" applyProtection="1">
      <alignment horizontal="center" vertical="center"/>
      <protection locked="0"/>
    </xf>
    <xf numFmtId="0" fontId="19" fillId="6" borderId="10" xfId="0" applyFont="1" applyFill="1" applyBorder="1" applyAlignment="1" applyProtection="1">
      <alignment vertical="center"/>
      <protection locked="0"/>
    </xf>
    <xf numFmtId="3" fontId="19" fillId="5" borderId="3" xfId="0" applyNumberFormat="1" applyFont="1" applyFill="1" applyBorder="1" applyAlignment="1">
      <alignment horizontal="center" vertical="center"/>
    </xf>
    <xf numFmtId="3" fontId="19" fillId="9" borderId="1" xfId="0" applyNumberFormat="1" applyFont="1" applyFill="1" applyBorder="1" applyAlignment="1">
      <alignment horizontal="center" vertical="center"/>
    </xf>
    <xf numFmtId="3" fontId="3" fillId="0" borderId="0" xfId="0" applyNumberFormat="1" applyFont="1" applyAlignment="1">
      <alignment vertical="center"/>
    </xf>
    <xf numFmtId="0" fontId="3" fillId="2" borderId="11" xfId="0" applyFont="1" applyFill="1" applyBorder="1" applyAlignment="1">
      <alignment horizontal="centerContinuous" vertical="center"/>
    </xf>
    <xf numFmtId="0" fontId="3" fillId="2" borderId="8" xfId="0" applyFont="1" applyFill="1" applyBorder="1" applyAlignment="1">
      <alignment horizontal="centerContinuous" vertical="center"/>
    </xf>
    <xf numFmtId="0" fontId="3" fillId="2" borderId="1" xfId="0" applyFont="1" applyFill="1" applyBorder="1" applyAlignment="1">
      <alignment horizontal="centerContinuous" vertical="center"/>
    </xf>
    <xf numFmtId="0" fontId="3" fillId="2" borderId="5" xfId="0" applyFont="1" applyFill="1" applyBorder="1" applyAlignment="1">
      <alignment horizontal="centerContinuous" vertical="center"/>
    </xf>
    <xf numFmtId="164" fontId="3" fillId="2" borderId="9" xfId="0" applyNumberFormat="1" applyFont="1" applyFill="1" applyBorder="1" applyAlignment="1">
      <alignment vertical="center"/>
    </xf>
    <xf numFmtId="37" fontId="3" fillId="5" borderId="1" xfId="0" applyNumberFormat="1" applyFont="1" applyFill="1" applyBorder="1" applyAlignment="1">
      <alignment horizontal="center" vertical="center"/>
    </xf>
    <xf numFmtId="37" fontId="3" fillId="5" borderId="7" xfId="0" applyNumberFormat="1" applyFont="1" applyFill="1" applyBorder="1" applyAlignment="1">
      <alignment horizontal="center" vertical="center"/>
    </xf>
    <xf numFmtId="165" fontId="3" fillId="2" borderId="0" xfId="0" applyNumberFormat="1" applyFont="1" applyFill="1" applyAlignment="1" applyProtection="1">
      <alignment vertical="center"/>
      <protection locked="0"/>
    </xf>
    <xf numFmtId="0" fontId="3" fillId="2" borderId="15" xfId="0" applyFont="1" applyFill="1" applyBorder="1" applyAlignment="1">
      <alignment horizontal="center" vertical="center" wrapText="1"/>
    </xf>
    <xf numFmtId="0" fontId="3" fillId="2" borderId="1" xfId="0" applyFont="1" applyFill="1" applyBorder="1" applyAlignment="1">
      <alignment horizontal="center" vertical="center" wrapText="1"/>
    </xf>
    <xf numFmtId="37" fontId="3" fillId="2" borderId="1" xfId="0" applyNumberFormat="1" applyFont="1" applyFill="1" applyBorder="1" applyAlignment="1">
      <alignment horizontal="left" vertical="center"/>
    </xf>
    <xf numFmtId="3" fontId="3" fillId="6" borderId="1" xfId="0" applyNumberFormat="1" applyFont="1" applyFill="1" applyBorder="1" applyAlignment="1" applyProtection="1">
      <alignment horizontal="center" vertical="center"/>
      <protection locked="0"/>
    </xf>
    <xf numFmtId="174" fontId="3" fillId="2" borderId="1" xfId="0" applyNumberFormat="1" applyFont="1" applyFill="1" applyBorder="1" applyAlignment="1">
      <alignment horizontal="center" vertical="center"/>
    </xf>
    <xf numFmtId="3" fontId="3" fillId="2" borderId="7" xfId="0" applyNumberFormat="1" applyFont="1" applyFill="1" applyBorder="1" applyAlignment="1">
      <alignment horizontal="center" vertical="center"/>
    </xf>
    <xf numFmtId="174" fontId="3" fillId="2" borderId="7" xfId="0" applyNumberFormat="1" applyFont="1" applyFill="1" applyBorder="1" applyAlignment="1">
      <alignment horizontal="center" vertical="center"/>
    </xf>
    <xf numFmtId="3" fontId="3" fillId="2" borderId="4" xfId="0" applyNumberFormat="1" applyFont="1" applyFill="1" applyBorder="1" applyAlignment="1">
      <alignment horizontal="center" vertical="center"/>
    </xf>
    <xf numFmtId="174" fontId="3" fillId="2" borderId="4" xfId="0" applyNumberFormat="1" applyFont="1" applyFill="1" applyBorder="1" applyAlignment="1">
      <alignment horizontal="center" vertical="center"/>
    </xf>
    <xf numFmtId="174" fontId="3" fillId="2" borderId="0" xfId="0" applyNumberFormat="1" applyFont="1" applyFill="1" applyAlignment="1">
      <alignment horizontal="center" vertical="center"/>
    </xf>
    <xf numFmtId="0" fontId="0" fillId="2" borderId="0" xfId="0" applyFill="1" applyAlignment="1">
      <alignment horizontal="center" vertical="center"/>
    </xf>
    <xf numFmtId="0" fontId="5" fillId="0" borderId="0" xfId="0" applyFont="1" applyAlignment="1">
      <alignment vertical="center"/>
    </xf>
    <xf numFmtId="0" fontId="3" fillId="0" borderId="0" xfId="0" applyFont="1" applyAlignment="1">
      <alignment vertical="center" wrapText="1"/>
    </xf>
    <xf numFmtId="0" fontId="24" fillId="0" borderId="0" xfId="0" applyFont="1" applyAlignment="1">
      <alignment horizontal="center" vertical="center"/>
    </xf>
    <xf numFmtId="0" fontId="4" fillId="0" borderId="0" xfId="0" applyFont="1" applyAlignment="1">
      <alignment vertical="center" wrapText="1"/>
    </xf>
    <xf numFmtId="0" fontId="39" fillId="0" borderId="0" xfId="0" applyFont="1" applyAlignment="1">
      <alignment vertical="center"/>
    </xf>
    <xf numFmtId="0" fontId="39" fillId="0" borderId="0" xfId="0" applyFont="1" applyAlignment="1">
      <alignment vertical="center" wrapText="1"/>
    </xf>
    <xf numFmtId="3" fontId="25" fillId="9" borderId="0" xfId="0" applyNumberFormat="1" applyFont="1" applyFill="1" applyAlignment="1">
      <alignment horizontal="center" vertical="center"/>
    </xf>
    <xf numFmtId="0" fontId="3" fillId="0" borderId="0" xfId="0" applyFont="1" applyAlignment="1">
      <alignment horizontal="left" vertical="center" wrapText="1"/>
    </xf>
    <xf numFmtId="0" fontId="40" fillId="0" borderId="0" xfId="0" applyFont="1" applyAlignment="1">
      <alignment vertical="center" wrapText="1"/>
    </xf>
    <xf numFmtId="0" fontId="5" fillId="0" borderId="0" xfId="103" applyFont="1" applyAlignment="1">
      <alignment vertical="center"/>
    </xf>
    <xf numFmtId="0" fontId="3" fillId="0" borderId="0" xfId="108" applyFont="1" applyAlignment="1">
      <alignment vertical="center"/>
    </xf>
    <xf numFmtId="0" fontId="14" fillId="0" borderId="0" xfId="0" applyFont="1" applyAlignment="1">
      <alignment horizontal="center"/>
    </xf>
    <xf numFmtId="0" fontId="2" fillId="0" borderId="0" xfId="0" applyFont="1"/>
    <xf numFmtId="0" fontId="27" fillId="0" borderId="0" xfId="0" applyFont="1"/>
    <xf numFmtId="0" fontId="27" fillId="0" borderId="0" xfId="0" applyFont="1" applyAlignment="1">
      <alignment horizontal="center"/>
    </xf>
    <xf numFmtId="0" fontId="3" fillId="2" borderId="0" xfId="0" applyFont="1" applyFill="1"/>
    <xf numFmtId="0" fontId="5" fillId="0" borderId="0" xfId="102" applyFont="1" applyAlignment="1">
      <alignment vertical="center"/>
    </xf>
    <xf numFmtId="0" fontId="41" fillId="2" borderId="0" xfId="0" applyFont="1" applyFill="1" applyAlignment="1" applyProtection="1">
      <alignment horizontal="right" vertical="center"/>
      <protection locked="0"/>
    </xf>
    <xf numFmtId="0" fontId="6" fillId="2" borderId="0" xfId="0" applyFont="1" applyFill="1" applyAlignment="1" applyProtection="1">
      <alignment horizontal="left" vertical="center"/>
      <protection locked="0"/>
    </xf>
    <xf numFmtId="3" fontId="3" fillId="3" borderId="11" xfId="0" applyNumberFormat="1" applyFont="1" applyFill="1" applyBorder="1" applyAlignment="1" applyProtection="1">
      <alignment vertical="center"/>
      <protection locked="0"/>
    </xf>
    <xf numFmtId="3" fontId="16" fillId="9" borderId="11" xfId="0" applyNumberFormat="1" applyFont="1" applyFill="1" applyBorder="1" applyAlignment="1">
      <alignment horizontal="center" vertical="center"/>
    </xf>
    <xf numFmtId="1" fontId="3" fillId="2" borderId="13" xfId="0" applyNumberFormat="1" applyFont="1" applyFill="1" applyBorder="1" applyAlignment="1">
      <alignment horizontal="center" vertical="center"/>
    </xf>
    <xf numFmtId="37" fontId="3" fillId="2" borderId="13" xfId="0" applyNumberFormat="1" applyFont="1" applyFill="1" applyBorder="1" applyAlignment="1">
      <alignment horizontal="center" vertical="center"/>
    </xf>
    <xf numFmtId="0" fontId="3" fillId="2" borderId="12" xfId="0" applyFont="1" applyFill="1" applyBorder="1" applyAlignment="1">
      <alignment horizontal="center" vertical="center"/>
    </xf>
    <xf numFmtId="3" fontId="3" fillId="2" borderId="11" xfId="0" applyNumberFormat="1" applyFont="1" applyFill="1" applyBorder="1" applyAlignment="1">
      <alignment vertical="center"/>
    </xf>
    <xf numFmtId="3" fontId="3" fillId="3" borderId="11" xfId="0" applyNumberFormat="1" applyFont="1" applyFill="1" applyBorder="1" applyAlignment="1" applyProtection="1">
      <alignment horizontal="right" vertical="center"/>
      <protection locked="0"/>
    </xf>
    <xf numFmtId="3" fontId="3" fillId="2" borderId="11" xfId="0" applyNumberFormat="1" applyFont="1" applyFill="1" applyBorder="1" applyAlignment="1">
      <alignment horizontal="right" vertical="center"/>
    </xf>
    <xf numFmtId="1" fontId="3" fillId="2" borderId="12" xfId="0" applyNumberFormat="1" applyFont="1" applyFill="1" applyBorder="1" applyAlignment="1">
      <alignment horizontal="center" vertical="center"/>
    </xf>
    <xf numFmtId="3" fontId="3" fillId="2" borderId="11" xfId="1" applyNumberFormat="1" applyFont="1" applyFill="1" applyBorder="1" applyAlignment="1" applyProtection="1">
      <alignment horizontal="right" vertical="center"/>
    </xf>
    <xf numFmtId="14" fontId="3" fillId="6" borderId="1" xfId="0" applyNumberFormat="1" applyFont="1" applyFill="1" applyBorder="1" applyAlignment="1" applyProtection="1">
      <alignment horizontal="left" vertical="center"/>
      <protection locked="0"/>
    </xf>
    <xf numFmtId="14" fontId="3" fillId="3" borderId="1" xfId="0" applyNumberFormat="1" applyFont="1" applyFill="1" applyBorder="1" applyAlignment="1" applyProtection="1">
      <alignment vertical="center"/>
      <protection locked="0"/>
    </xf>
    <xf numFmtId="0" fontId="3" fillId="2" borderId="0" xfId="0" applyFont="1" applyFill="1" applyAlignment="1">
      <alignment horizontal="center" vertical="center" shrinkToFit="1"/>
    </xf>
    <xf numFmtId="0" fontId="42" fillId="2" borderId="0" xfId="0" applyFont="1" applyFill="1" applyAlignment="1">
      <alignment horizontal="center" vertical="center"/>
    </xf>
    <xf numFmtId="3" fontId="16" fillId="9" borderId="1" xfId="0" applyNumberFormat="1" applyFont="1" applyFill="1" applyBorder="1" applyAlignment="1">
      <alignment horizontal="center" vertical="center"/>
    </xf>
    <xf numFmtId="37" fontId="4" fillId="2" borderId="0" xfId="0" applyNumberFormat="1" applyFont="1" applyFill="1" applyAlignment="1">
      <alignment vertical="center"/>
    </xf>
    <xf numFmtId="0" fontId="3" fillId="3" borderId="1" xfId="0" applyFont="1" applyFill="1" applyBorder="1" applyAlignment="1" applyProtection="1">
      <alignment horizontal="center" vertical="center"/>
      <protection locked="0"/>
    </xf>
    <xf numFmtId="0" fontId="31" fillId="0" borderId="0" xfId="18" applyFont="1" applyAlignment="1" applyProtection="1"/>
    <xf numFmtId="0" fontId="40" fillId="0" borderId="0" xfId="0" applyFont="1" applyAlignment="1">
      <alignment wrapText="1"/>
    </xf>
    <xf numFmtId="0" fontId="4" fillId="0" borderId="0" xfId="0" applyFont="1" applyAlignment="1">
      <alignment wrapText="1"/>
    </xf>
    <xf numFmtId="0" fontId="7" fillId="9" borderId="4" xfId="0" applyFont="1" applyFill="1" applyBorder="1" applyAlignment="1">
      <alignment vertical="center"/>
    </xf>
    <xf numFmtId="0" fontId="3" fillId="9" borderId="4" xfId="0" applyFont="1" applyFill="1" applyBorder="1" applyAlignment="1">
      <alignment vertical="center"/>
    </xf>
    <xf numFmtId="175" fontId="7" fillId="6" borderId="1" xfId="0" applyNumberFormat="1" applyFont="1" applyFill="1" applyBorder="1" applyAlignment="1" applyProtection="1">
      <alignment horizontal="center" vertical="center"/>
      <protection locked="0"/>
    </xf>
    <xf numFmtId="0" fontId="7" fillId="2" borderId="16" xfId="0" applyFont="1" applyFill="1" applyBorder="1" applyAlignment="1">
      <alignment horizontal="left" vertical="center"/>
    </xf>
    <xf numFmtId="175" fontId="7" fillId="2" borderId="10" xfId="0" applyNumberFormat="1" applyFont="1" applyFill="1" applyBorder="1" applyAlignment="1">
      <alignment horizontal="center" vertical="center"/>
    </xf>
    <xf numFmtId="0" fontId="7" fillId="2" borderId="16" xfId="0" applyFont="1" applyFill="1" applyBorder="1" applyAlignment="1">
      <alignment vertical="center"/>
    </xf>
    <xf numFmtId="0" fontId="3" fillId="9" borderId="6" xfId="0" applyFont="1" applyFill="1" applyBorder="1" applyAlignment="1">
      <alignment vertical="center"/>
    </xf>
    <xf numFmtId="0" fontId="34" fillId="9" borderId="4" xfId="0" applyFont="1" applyFill="1" applyBorder="1" applyAlignment="1">
      <alignment vertical="center"/>
    </xf>
    <xf numFmtId="175" fontId="34" fillId="9" borderId="12" xfId="0" applyNumberFormat="1" applyFont="1" applyFill="1" applyBorder="1" applyAlignment="1">
      <alignment horizontal="center" vertical="center"/>
    </xf>
    <xf numFmtId="175" fontId="7" fillId="2" borderId="16" xfId="0" applyNumberFormat="1" applyFont="1" applyFill="1" applyBorder="1" applyAlignment="1">
      <alignment vertical="center"/>
    </xf>
    <xf numFmtId="175" fontId="7" fillId="2" borderId="12" xfId="0" applyNumberFormat="1" applyFont="1" applyFill="1" applyBorder="1" applyAlignment="1">
      <alignment horizontal="center" vertical="center"/>
    </xf>
    <xf numFmtId="0" fontId="7" fillId="2" borderId="0" xfId="0" applyFont="1" applyFill="1" applyAlignment="1">
      <alignment vertical="center"/>
    </xf>
    <xf numFmtId="0" fontId="3" fillId="2" borderId="10" xfId="0" applyFont="1" applyFill="1" applyBorder="1" applyAlignment="1">
      <alignment vertical="center"/>
    </xf>
    <xf numFmtId="3" fontId="3" fillId="5" borderId="17" xfId="0" applyNumberFormat="1" applyFont="1" applyFill="1" applyBorder="1" applyAlignment="1">
      <alignment vertical="center"/>
    </xf>
    <xf numFmtId="37" fontId="3" fillId="2" borderId="18" xfId="0" applyNumberFormat="1" applyFont="1" applyFill="1" applyBorder="1" applyAlignment="1">
      <alignment vertical="center"/>
    </xf>
    <xf numFmtId="0" fontId="7" fillId="2" borderId="0" xfId="0" applyFont="1" applyFill="1" applyAlignment="1">
      <alignment horizontal="left" vertical="center"/>
    </xf>
    <xf numFmtId="175" fontId="7" fillId="2" borderId="16" xfId="0" applyNumberFormat="1" applyFont="1" applyFill="1" applyBorder="1" applyAlignment="1">
      <alignment horizontal="center" vertical="center"/>
    </xf>
    <xf numFmtId="0" fontId="4" fillId="2" borderId="0" xfId="41" applyFont="1" applyFill="1" applyAlignment="1">
      <alignment vertical="center"/>
    </xf>
    <xf numFmtId="0" fontId="3" fillId="2" borderId="0" xfId="65" applyFont="1" applyFill="1" applyAlignment="1">
      <alignment horizontal="right" vertical="center"/>
    </xf>
    <xf numFmtId="37" fontId="3" fillId="2" borderId="0" xfId="30" applyNumberFormat="1" applyFont="1" applyFill="1" applyAlignment="1">
      <alignment horizontal="right" vertical="center"/>
    </xf>
    <xf numFmtId="0" fontId="43" fillId="2" borderId="0" xfId="30" applyFont="1" applyFill="1" applyAlignment="1">
      <alignment horizontal="center" vertical="center"/>
    </xf>
    <xf numFmtId="0" fontId="3" fillId="2" borderId="16" xfId="0" applyFont="1" applyFill="1" applyBorder="1" applyAlignment="1">
      <alignment vertical="center"/>
    </xf>
    <xf numFmtId="0" fontId="19" fillId="9" borderId="4" xfId="0" applyFont="1" applyFill="1" applyBorder="1" applyAlignment="1">
      <alignment vertical="center"/>
    </xf>
    <xf numFmtId="0" fontId="7" fillId="2" borderId="16" xfId="0" applyFont="1" applyFill="1" applyBorder="1"/>
    <xf numFmtId="175" fontId="3" fillId="2" borderId="10" xfId="0" applyNumberFormat="1" applyFont="1" applyFill="1" applyBorder="1" applyAlignment="1">
      <alignment horizontal="center"/>
    </xf>
    <xf numFmtId="0" fontId="3" fillId="2" borderId="12" xfId="0" applyFont="1" applyFill="1" applyBorder="1"/>
    <xf numFmtId="0" fontId="3" fillId="2" borderId="4" xfId="0" applyFont="1" applyFill="1" applyBorder="1"/>
    <xf numFmtId="175" fontId="3" fillId="9" borderId="6" xfId="0" applyNumberFormat="1" applyFont="1" applyFill="1" applyBorder="1" applyAlignment="1">
      <alignment horizontal="center"/>
    </xf>
    <xf numFmtId="0" fontId="3" fillId="2" borderId="16" xfId="0" applyFont="1" applyFill="1" applyBorder="1"/>
    <xf numFmtId="0" fontId="3" fillId="2" borderId="10" xfId="0" applyFont="1" applyFill="1" applyBorder="1"/>
    <xf numFmtId="173" fontId="3" fillId="2" borderId="10" xfId="0" applyNumberFormat="1" applyFont="1" applyFill="1" applyBorder="1" applyAlignment="1">
      <alignment horizontal="center"/>
    </xf>
    <xf numFmtId="0" fontId="3" fillId="9" borderId="16" xfId="0" applyFont="1" applyFill="1" applyBorder="1"/>
    <xf numFmtId="0" fontId="3" fillId="9" borderId="0" xfId="0" applyFont="1" applyFill="1"/>
    <xf numFmtId="175" fontId="3" fillId="9" borderId="10" xfId="0" applyNumberFormat="1" applyFont="1" applyFill="1" applyBorder="1" applyAlignment="1">
      <alignment horizontal="center"/>
    </xf>
    <xf numFmtId="0" fontId="3" fillId="9" borderId="12" xfId="0" applyFont="1" applyFill="1" applyBorder="1" applyAlignment="1">
      <alignment vertical="center"/>
    </xf>
    <xf numFmtId="175" fontId="3" fillId="9" borderId="6" xfId="0" applyNumberFormat="1" applyFont="1" applyFill="1" applyBorder="1" applyAlignment="1">
      <alignment horizontal="center" vertical="center"/>
    </xf>
    <xf numFmtId="0" fontId="3" fillId="0" borderId="0" xfId="0" applyFont="1"/>
    <xf numFmtId="175" fontId="3" fillId="2" borderId="6" xfId="0" applyNumberFormat="1" applyFont="1" applyFill="1" applyBorder="1" applyAlignment="1">
      <alignment horizontal="center"/>
    </xf>
    <xf numFmtId="0" fontId="3" fillId="9" borderId="12" xfId="0" applyFont="1" applyFill="1" applyBorder="1"/>
    <xf numFmtId="0" fontId="3" fillId="9" borderId="4" xfId="0" applyFont="1" applyFill="1" applyBorder="1"/>
    <xf numFmtId="174" fontId="3" fillId="6" borderId="10" xfId="0" applyNumberFormat="1" applyFont="1" applyFill="1" applyBorder="1" applyAlignment="1" applyProtection="1">
      <alignment horizontal="center"/>
      <protection locked="0"/>
    </xf>
    <xf numFmtId="175" fontId="7" fillId="9" borderId="12" xfId="0" applyNumberFormat="1" applyFont="1" applyFill="1" applyBorder="1" applyAlignment="1">
      <alignment horizontal="center" vertical="center"/>
    </xf>
    <xf numFmtId="0" fontId="3" fillId="0" borderId="0" xfId="65" applyFont="1" applyAlignment="1">
      <alignment vertical="center"/>
    </xf>
    <xf numFmtId="0" fontId="3" fillId="0" borderId="0" xfId="65" applyFont="1" applyAlignment="1">
      <alignment vertical="center" wrapText="1"/>
    </xf>
    <xf numFmtId="0" fontId="3" fillId="6" borderId="4" xfId="0" applyFont="1" applyFill="1" applyBorder="1" applyAlignment="1" applyProtection="1">
      <alignment horizontal="left" vertical="center"/>
      <protection locked="0"/>
    </xf>
    <xf numFmtId="0" fontId="3" fillId="6" borderId="5" xfId="0" applyFont="1" applyFill="1" applyBorder="1" applyAlignment="1" applyProtection="1">
      <alignment horizontal="left" vertical="center"/>
      <protection locked="0"/>
    </xf>
    <xf numFmtId="10" fontId="3" fillId="3" borderId="1" xfId="0" applyNumberFormat="1" applyFont="1" applyFill="1" applyBorder="1" applyAlignment="1" applyProtection="1">
      <alignment vertical="center"/>
      <protection locked="0"/>
    </xf>
    <xf numFmtId="177" fontId="3" fillId="3" borderId="1" xfId="0" applyNumberFormat="1" applyFont="1" applyFill="1" applyBorder="1" applyAlignment="1" applyProtection="1">
      <alignment vertical="center"/>
      <protection locked="0"/>
    </xf>
    <xf numFmtId="0" fontId="3" fillId="0" borderId="0" xfId="485" applyFont="1" applyAlignment="1">
      <alignment horizontal="left" vertical="center"/>
    </xf>
    <xf numFmtId="0" fontId="3" fillId="2" borderId="11" xfId="519" applyFont="1" applyFill="1" applyBorder="1" applyAlignment="1">
      <alignment vertical="center"/>
    </xf>
    <xf numFmtId="0" fontId="3" fillId="2" borderId="12" xfId="519" applyFont="1" applyFill="1" applyBorder="1" applyAlignment="1">
      <alignment vertical="center"/>
    </xf>
    <xf numFmtId="170" fontId="3" fillId="2" borderId="11" xfId="0" applyNumberFormat="1" applyFont="1" applyFill="1" applyBorder="1" applyAlignment="1">
      <alignment vertical="center"/>
    </xf>
    <xf numFmtId="0" fontId="3" fillId="2" borderId="1" xfId="519" applyFont="1" applyFill="1" applyBorder="1" applyAlignment="1">
      <alignment vertical="center"/>
    </xf>
    <xf numFmtId="3" fontId="3" fillId="2" borderId="1" xfId="519" applyNumberFormat="1" applyFont="1" applyFill="1" applyBorder="1" applyAlignment="1">
      <alignment vertical="center"/>
    </xf>
    <xf numFmtId="0" fontId="3" fillId="2" borderId="0" xfId="519" applyFont="1" applyFill="1" applyAlignment="1" applyProtection="1">
      <alignment horizontal="left" vertical="center"/>
      <protection locked="0"/>
    </xf>
    <xf numFmtId="0" fontId="4" fillId="2" borderId="1" xfId="519" applyFont="1" applyFill="1" applyBorder="1" applyAlignment="1" applyProtection="1">
      <alignment horizontal="center" vertical="center"/>
      <protection locked="0"/>
    </xf>
    <xf numFmtId="0" fontId="0" fillId="2" borderId="0" xfId="0" applyFill="1" applyAlignment="1">
      <alignment horizontal="center" vertical="center" wrapText="1"/>
    </xf>
    <xf numFmtId="0" fontId="3" fillId="2" borderId="0" xfId="0" applyFont="1" applyFill="1" applyAlignment="1" applyProtection="1">
      <alignment horizontal="fill" vertical="center"/>
      <protection locked="0"/>
    </xf>
    <xf numFmtId="3" fontId="3" fillId="2" borderId="3" xfId="0" applyNumberFormat="1" applyFont="1" applyFill="1" applyBorder="1" applyAlignment="1">
      <alignment horizontal="right" vertical="center"/>
    </xf>
    <xf numFmtId="164" fontId="3" fillId="2" borderId="1" xfId="0" applyNumberFormat="1" applyFont="1" applyFill="1" applyBorder="1" applyAlignment="1">
      <alignment horizontal="right" vertical="center"/>
    </xf>
    <xf numFmtId="37" fontId="3" fillId="2" borderId="1" xfId="0" applyNumberFormat="1" applyFont="1" applyFill="1" applyBorder="1" applyAlignment="1">
      <alignment horizontal="right" vertical="center"/>
    </xf>
    <xf numFmtId="3" fontId="3" fillId="2" borderId="2" xfId="0" applyNumberFormat="1" applyFont="1" applyFill="1" applyBorder="1" applyAlignment="1">
      <alignment horizontal="right" vertical="center"/>
    </xf>
    <xf numFmtId="37" fontId="3" fillId="2" borderId="2" xfId="0" applyNumberFormat="1" applyFont="1" applyFill="1" applyBorder="1" applyAlignment="1">
      <alignment horizontal="right" vertical="center"/>
    </xf>
    <xf numFmtId="164" fontId="3" fillId="2" borderId="2" xfId="0" applyNumberFormat="1" applyFont="1" applyFill="1" applyBorder="1" applyAlignment="1">
      <alignment horizontal="right" vertical="center"/>
    </xf>
    <xf numFmtId="171" fontId="3" fillId="5" borderId="2" xfId="0" applyNumberFormat="1" applyFont="1" applyFill="1" applyBorder="1" applyAlignment="1">
      <alignment horizontal="right" vertical="center"/>
    </xf>
    <xf numFmtId="0" fontId="3" fillId="0" borderId="0" xfId="0" applyFont="1" applyAlignment="1">
      <alignment horizontal="right" vertical="center"/>
    </xf>
    <xf numFmtId="0" fontId="7" fillId="9" borderId="0" xfId="0" applyFont="1" applyFill="1" applyAlignment="1">
      <alignment vertical="center"/>
    </xf>
    <xf numFmtId="0" fontId="3" fillId="9" borderId="0" xfId="0" applyFont="1" applyFill="1" applyAlignment="1">
      <alignment vertical="center"/>
    </xf>
    <xf numFmtId="0" fontId="34" fillId="2" borderId="8" xfId="0" applyFont="1" applyFill="1" applyBorder="1" applyAlignment="1">
      <alignment horizontal="center" vertical="center"/>
    </xf>
    <xf numFmtId="0" fontId="34" fillId="9" borderId="16" xfId="0" applyFont="1" applyFill="1" applyBorder="1" applyAlignment="1">
      <alignment vertical="center"/>
    </xf>
    <xf numFmtId="175" fontId="34" fillId="9" borderId="8" xfId="0" applyNumberFormat="1" applyFont="1" applyFill="1" applyBorder="1" applyAlignment="1">
      <alignment horizontal="center" vertical="center"/>
    </xf>
    <xf numFmtId="37" fontId="7" fillId="2" borderId="12" xfId="0" applyNumberFormat="1" applyFont="1" applyFill="1" applyBorder="1" applyAlignment="1">
      <alignment horizontal="left" vertical="center"/>
    </xf>
    <xf numFmtId="0" fontId="15" fillId="2" borderId="4" xfId="0" applyFont="1" applyFill="1" applyBorder="1" applyAlignment="1">
      <alignment horizontal="left" vertical="center"/>
    </xf>
    <xf numFmtId="175" fontId="34" fillId="9" borderId="6" xfId="0" applyNumberFormat="1" applyFont="1" applyFill="1" applyBorder="1" applyAlignment="1" applyProtection="1">
      <alignment horizontal="center" vertical="center"/>
      <protection locked="0"/>
    </xf>
    <xf numFmtId="0" fontId="7" fillId="2" borderId="10" xfId="0" applyFont="1" applyFill="1" applyBorder="1" applyAlignment="1">
      <alignment vertical="center"/>
    </xf>
    <xf numFmtId="0" fontId="44" fillId="0" borderId="0" xfId="0" applyFont="1" applyProtection="1">
      <protection locked="0"/>
    </xf>
    <xf numFmtId="0" fontId="36" fillId="0" borderId="0" xfId="0" applyFont="1" applyAlignment="1">
      <alignment vertical="center"/>
    </xf>
    <xf numFmtId="0" fontId="7" fillId="9" borderId="6" xfId="0" applyFont="1" applyFill="1" applyBorder="1" applyAlignment="1">
      <alignment vertical="center"/>
    </xf>
    <xf numFmtId="177" fontId="3" fillId="2" borderId="0" xfId="30" applyNumberFormat="1" applyFont="1" applyFill="1" applyAlignment="1">
      <alignment horizontal="center" vertical="center"/>
    </xf>
    <xf numFmtId="0" fontId="3" fillId="0" borderId="0" xfId="0" applyFont="1" applyProtection="1">
      <protection locked="0"/>
    </xf>
    <xf numFmtId="174" fontId="34" fillId="2" borderId="8" xfId="0" applyNumberFormat="1" applyFont="1" applyFill="1" applyBorder="1" applyAlignment="1">
      <alignment horizontal="center" vertical="center"/>
    </xf>
    <xf numFmtId="37" fontId="3" fillId="2" borderId="10" xfId="0" applyNumberFormat="1" applyFont="1" applyFill="1" applyBorder="1" applyAlignment="1">
      <alignment horizontal="right" vertical="center"/>
    </xf>
    <xf numFmtId="0" fontId="37" fillId="0" borderId="0" xfId="0" applyFont="1" applyAlignment="1">
      <alignment vertical="center"/>
    </xf>
    <xf numFmtId="37" fontId="3" fillId="9" borderId="6" xfId="0" applyNumberFormat="1" applyFont="1" applyFill="1" applyBorder="1" applyAlignment="1">
      <alignment horizontal="right" vertical="center"/>
    </xf>
    <xf numFmtId="0" fontId="3" fillId="2" borderId="10" xfId="0" applyFont="1" applyFill="1" applyBorder="1" applyProtection="1">
      <protection locked="0"/>
    </xf>
    <xf numFmtId="0" fontId="3" fillId="9" borderId="6" xfId="0" applyFont="1" applyFill="1" applyBorder="1" applyProtection="1">
      <protection locked="0"/>
    </xf>
    <xf numFmtId="175" fontId="19" fillId="2" borderId="16" xfId="0" applyNumberFormat="1" applyFont="1" applyFill="1" applyBorder="1" applyAlignment="1">
      <alignment horizontal="center" vertical="center"/>
    </xf>
    <xf numFmtId="175" fontId="19" fillId="2" borderId="16" xfId="0" applyNumberFormat="1" applyFont="1" applyFill="1" applyBorder="1" applyAlignment="1">
      <alignment vertical="center"/>
    </xf>
    <xf numFmtId="175" fontId="19" fillId="2" borderId="12" xfId="0" applyNumberFormat="1" applyFont="1" applyFill="1" applyBorder="1" applyAlignment="1">
      <alignment horizontal="center" vertical="center"/>
    </xf>
    <xf numFmtId="175" fontId="19" fillId="9" borderId="12"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protection locked="0"/>
    </xf>
    <xf numFmtId="0" fontId="38" fillId="0" borderId="0" xfId="0" applyFont="1" applyAlignment="1">
      <alignment vertical="center"/>
    </xf>
    <xf numFmtId="0" fontId="35" fillId="0" borderId="0" xfId="0" applyFont="1" applyAlignment="1">
      <alignment vertical="center"/>
    </xf>
    <xf numFmtId="0" fontId="3" fillId="0" borderId="0" xfId="103" applyFont="1" applyAlignment="1">
      <alignment vertical="center"/>
    </xf>
    <xf numFmtId="3" fontId="3" fillId="5" borderId="3" xfId="0" applyNumberFormat="1" applyFont="1" applyFill="1" applyBorder="1" applyAlignment="1">
      <alignment vertical="center"/>
    </xf>
    <xf numFmtId="3" fontId="3" fillId="5" borderId="8" xfId="0" applyNumberFormat="1" applyFont="1" applyFill="1" applyBorder="1" applyAlignment="1">
      <alignment vertical="center"/>
    </xf>
    <xf numFmtId="37" fontId="3" fillId="2" borderId="18" xfId="0" applyNumberFormat="1" applyFont="1" applyFill="1" applyBorder="1" applyAlignment="1">
      <alignment horizontal="right" vertical="center"/>
    </xf>
    <xf numFmtId="174" fontId="3" fillId="2" borderId="1" xfId="0" applyNumberFormat="1" applyFont="1" applyFill="1" applyBorder="1" applyAlignment="1">
      <alignment horizontal="right" vertical="center"/>
    </xf>
    <xf numFmtId="174" fontId="3" fillId="2" borderId="18" xfId="0" applyNumberFormat="1" applyFont="1" applyFill="1" applyBorder="1" applyAlignment="1">
      <alignment horizontal="right" vertical="center"/>
    </xf>
    <xf numFmtId="174" fontId="3" fillId="2" borderId="1" xfId="0" applyNumberFormat="1" applyFont="1" applyFill="1" applyBorder="1" applyAlignment="1">
      <alignment vertical="center"/>
    </xf>
    <xf numFmtId="174" fontId="3" fillId="2" borderId="18" xfId="0" applyNumberFormat="1" applyFont="1" applyFill="1" applyBorder="1" applyAlignment="1">
      <alignment vertical="center"/>
    </xf>
    <xf numFmtId="3" fontId="3" fillId="2" borderId="18" xfId="0" applyNumberFormat="1" applyFont="1" applyFill="1" applyBorder="1" applyAlignment="1">
      <alignment horizontal="right" vertical="center"/>
    </xf>
    <xf numFmtId="0" fontId="3" fillId="0" borderId="0" xfId="32" applyFont="1" applyAlignment="1">
      <alignment vertical="center"/>
    </xf>
    <xf numFmtId="0" fontId="3" fillId="3" borderId="1" xfId="0" applyFont="1" applyFill="1" applyBorder="1" applyAlignment="1" applyProtection="1">
      <alignment horizontal="left" vertical="center"/>
      <protection locked="0"/>
    </xf>
    <xf numFmtId="37" fontId="3" fillId="6" borderId="1" xfId="0" applyNumberFormat="1" applyFont="1" applyFill="1" applyBorder="1" applyAlignment="1" applyProtection="1">
      <alignment vertical="center"/>
      <protection locked="0"/>
    </xf>
    <xf numFmtId="173" fontId="3" fillId="6" borderId="1" xfId="0" applyNumberFormat="1" applyFont="1" applyFill="1" applyBorder="1" applyAlignment="1" applyProtection="1">
      <alignment vertical="center"/>
      <protection locked="0"/>
    </xf>
    <xf numFmtId="0" fontId="44" fillId="0" borderId="16" xfId="0" applyFont="1" applyBorder="1" applyProtection="1">
      <protection locked="0"/>
    </xf>
    <xf numFmtId="3" fontId="13" fillId="2" borderId="14" xfId="0" applyNumberFormat="1" applyFont="1" applyFill="1" applyBorder="1" applyAlignment="1">
      <alignment horizontal="center" vertical="center"/>
    </xf>
    <xf numFmtId="0" fontId="3" fillId="0" borderId="0" xfId="32" applyFont="1" applyAlignment="1">
      <alignment horizontal="left" vertical="center"/>
    </xf>
    <xf numFmtId="165" fontId="3" fillId="2" borderId="14" xfId="0" applyNumberFormat="1" applyFont="1" applyFill="1" applyBorder="1" applyAlignment="1">
      <alignment horizontal="center" vertical="center"/>
    </xf>
    <xf numFmtId="0" fontId="3" fillId="12" borderId="0" xfId="32" applyFont="1" applyFill="1" applyAlignment="1">
      <alignment vertical="center"/>
    </xf>
    <xf numFmtId="165" fontId="3" fillId="2" borderId="2" xfId="0" applyNumberFormat="1" applyFont="1" applyFill="1" applyBorder="1" applyAlignment="1">
      <alignment horizontal="center" vertical="center"/>
    </xf>
    <xf numFmtId="0" fontId="0" fillId="2" borderId="15" xfId="0" applyFill="1" applyBorder="1" applyAlignment="1">
      <alignment vertical="center"/>
    </xf>
    <xf numFmtId="0" fontId="0" fillId="2" borderId="14" xfId="0" applyFill="1" applyBorder="1" applyAlignment="1">
      <alignment vertical="center"/>
    </xf>
    <xf numFmtId="0" fontId="3" fillId="2" borderId="13" xfId="0" applyFont="1" applyFill="1" applyBorder="1" applyAlignment="1">
      <alignment horizontal="left" vertical="center"/>
    </xf>
    <xf numFmtId="0" fontId="4" fillId="4" borderId="13" xfId="0" applyFont="1" applyFill="1" applyBorder="1" applyAlignment="1">
      <alignment vertical="center"/>
    </xf>
    <xf numFmtId="0" fontId="3" fillId="4" borderId="15" xfId="0" applyFont="1" applyFill="1" applyBorder="1" applyAlignment="1">
      <alignment vertical="center"/>
    </xf>
    <xf numFmtId="37" fontId="4" fillId="11" borderId="16" xfId="0" applyNumberFormat="1" applyFont="1" applyFill="1" applyBorder="1" applyAlignment="1">
      <alignment horizontal="left" vertical="center"/>
    </xf>
    <xf numFmtId="0" fontId="3" fillId="11" borderId="10" xfId="0" applyFont="1" applyFill="1" applyBorder="1" applyAlignment="1">
      <alignment vertical="center"/>
    </xf>
    <xf numFmtId="37" fontId="4" fillId="11" borderId="12" xfId="0" applyNumberFormat="1" applyFont="1" applyFill="1" applyBorder="1" applyAlignment="1">
      <alignment horizontal="left" vertical="center"/>
    </xf>
    <xf numFmtId="0" fontId="3" fillId="11" borderId="6" xfId="0" applyFont="1" applyFill="1" applyBorder="1" applyAlignment="1">
      <alignment vertical="center"/>
    </xf>
    <xf numFmtId="0" fontId="3" fillId="2" borderId="3" xfId="0" applyFont="1" applyFill="1" applyBorder="1" applyAlignment="1">
      <alignment vertical="center"/>
    </xf>
    <xf numFmtId="37" fontId="3" fillId="4" borderId="13" xfId="0" applyNumberFormat="1" applyFont="1" applyFill="1" applyBorder="1" applyAlignment="1">
      <alignment horizontal="left" vertical="center"/>
    </xf>
    <xf numFmtId="37" fontId="3" fillId="4" borderId="12" xfId="0" applyNumberFormat="1" applyFont="1" applyFill="1" applyBorder="1" applyAlignment="1">
      <alignment horizontal="left" vertical="center"/>
    </xf>
    <xf numFmtId="0" fontId="3" fillId="4" borderId="6" xfId="0" applyFont="1" applyFill="1" applyBorder="1" applyAlignment="1">
      <alignment vertical="center"/>
    </xf>
    <xf numFmtId="0" fontId="3" fillId="4" borderId="13" xfId="0" applyFont="1" applyFill="1" applyBorder="1" applyAlignment="1">
      <alignment vertical="center"/>
    </xf>
    <xf numFmtId="0" fontId="3" fillId="4" borderId="12" xfId="0" applyFont="1" applyFill="1" applyBorder="1" applyAlignment="1">
      <alignment vertical="center"/>
    </xf>
    <xf numFmtId="0" fontId="3" fillId="4" borderId="11" xfId="0" applyFont="1" applyFill="1" applyBorder="1" applyAlignment="1">
      <alignment vertical="center"/>
    </xf>
    <xf numFmtId="0" fontId="3" fillId="4" borderId="8" xfId="0" applyFont="1" applyFill="1" applyBorder="1" applyAlignment="1">
      <alignment vertical="center"/>
    </xf>
    <xf numFmtId="0" fontId="4" fillId="8" borderId="11" xfId="0" applyFont="1" applyFill="1" applyBorder="1" applyAlignment="1">
      <alignment horizontal="left" vertical="center"/>
    </xf>
    <xf numFmtId="0" fontId="3" fillId="8" borderId="5" xfId="0" applyFont="1" applyFill="1" applyBorder="1" applyAlignment="1">
      <alignment vertical="center"/>
    </xf>
    <xf numFmtId="0" fontId="3" fillId="8" borderId="8" xfId="0" applyFont="1" applyFill="1" applyBorder="1" applyAlignment="1">
      <alignment vertical="center"/>
    </xf>
    <xf numFmtId="37" fontId="4" fillId="4" borderId="11" xfId="0" applyNumberFormat="1" applyFont="1" applyFill="1" applyBorder="1" applyAlignment="1">
      <alignment horizontal="left" vertical="center"/>
    </xf>
    <xf numFmtId="3" fontId="3" fillId="4" borderId="8" xfId="0" applyNumberFormat="1" applyFont="1" applyFill="1" applyBorder="1" applyAlignment="1">
      <alignment vertical="center"/>
    </xf>
    <xf numFmtId="0" fontId="3" fillId="6" borderId="0" xfId="0" applyFont="1" applyFill="1" applyAlignment="1" applyProtection="1">
      <alignment horizontal="center" vertical="center"/>
      <protection locked="0"/>
    </xf>
    <xf numFmtId="165" fontId="3" fillId="3" borderId="0" xfId="0" applyNumberFormat="1" applyFont="1" applyFill="1" applyAlignment="1" applyProtection="1">
      <alignment horizontal="center" vertical="center"/>
      <protection locked="0"/>
    </xf>
    <xf numFmtId="176" fontId="3" fillId="9" borderId="6" xfId="0" applyNumberFormat="1" applyFont="1" applyFill="1" applyBorder="1" applyAlignment="1">
      <alignment horizontal="center"/>
    </xf>
    <xf numFmtId="167" fontId="3" fillId="12" borderId="0" xfId="0" applyNumberFormat="1" applyFont="1" applyFill="1" applyAlignment="1">
      <alignment vertical="center"/>
    </xf>
    <xf numFmtId="167" fontId="3" fillId="12" borderId="4" xfId="0" applyNumberFormat="1" applyFont="1" applyFill="1" applyBorder="1" applyAlignment="1">
      <alignment vertical="center"/>
    </xf>
    <xf numFmtId="166" fontId="3" fillId="12" borderId="0" xfId="0" applyNumberFormat="1" applyFont="1" applyFill="1" applyAlignment="1">
      <alignment vertical="center"/>
    </xf>
    <xf numFmtId="0" fontId="3" fillId="12" borderId="0" xfId="0" applyFont="1" applyFill="1" applyAlignment="1">
      <alignment horizontal="left" vertical="center"/>
    </xf>
    <xf numFmtId="166" fontId="3" fillId="12" borderId="4" xfId="0" applyNumberFormat="1" applyFont="1" applyFill="1" applyBorder="1" applyAlignment="1">
      <alignment vertical="center"/>
    </xf>
    <xf numFmtId="0" fontId="3" fillId="12" borderId="0" xfId="0" applyFont="1" applyFill="1" applyAlignment="1">
      <alignment horizontal="right" vertical="center"/>
    </xf>
    <xf numFmtId="0" fontId="3" fillId="12" borderId="0" xfId="0" applyFont="1" applyFill="1" applyAlignment="1">
      <alignment vertical="center"/>
    </xf>
    <xf numFmtId="37" fontId="3" fillId="2" borderId="3" xfId="32" applyNumberFormat="1" applyFont="1" applyFill="1" applyBorder="1" applyAlignment="1">
      <alignment horizontal="center" vertical="center"/>
    </xf>
    <xf numFmtId="37" fontId="3" fillId="2" borderId="0" xfId="32" applyNumberFormat="1" applyFont="1" applyFill="1" applyAlignment="1">
      <alignment horizontal="left" vertical="center"/>
    </xf>
    <xf numFmtId="0" fontId="3" fillId="2" borderId="0" xfId="32" applyFont="1" applyFill="1" applyAlignment="1" applyProtection="1">
      <alignment vertical="center"/>
      <protection locked="0"/>
    </xf>
    <xf numFmtId="37" fontId="3" fillId="5" borderId="1" xfId="0" applyNumberFormat="1" applyFont="1" applyFill="1" applyBorder="1" applyAlignment="1">
      <alignment horizontal="right" vertical="center"/>
    </xf>
    <xf numFmtId="0" fontId="3" fillId="12" borderId="13" xfId="32" applyFont="1" applyFill="1" applyBorder="1" applyAlignment="1">
      <alignment horizontal="left" vertical="center" shrinkToFit="1"/>
    </xf>
    <xf numFmtId="0" fontId="7" fillId="8" borderId="1" xfId="0" applyFont="1" applyFill="1" applyBorder="1" applyAlignment="1">
      <alignment horizontal="center" vertical="center"/>
    </xf>
    <xf numFmtId="0" fontId="3" fillId="0" borderId="0" xfId="32" applyFont="1"/>
    <xf numFmtId="0" fontId="5" fillId="0" borderId="0" xfId="32" applyFont="1"/>
    <xf numFmtId="165" fontId="3" fillId="2" borderId="11" xfId="0" applyNumberFormat="1" applyFont="1" applyFill="1" applyBorder="1" applyAlignment="1">
      <alignment horizontal="center" vertical="center"/>
    </xf>
    <xf numFmtId="0" fontId="3" fillId="0" borderId="16" xfId="0" applyFont="1" applyBorder="1" applyAlignment="1" applyProtection="1">
      <alignment vertical="center"/>
      <protection locked="0"/>
    </xf>
    <xf numFmtId="0" fontId="52" fillId="0" borderId="0" xfId="0" applyFont="1" applyAlignment="1">
      <alignment wrapText="1"/>
    </xf>
    <xf numFmtId="0" fontId="3" fillId="0" borderId="0" xfId="32" applyFont="1" applyAlignment="1">
      <alignment horizontal="left"/>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3" fillId="2" borderId="15" xfId="0" applyFont="1" applyFill="1" applyBorder="1" applyAlignment="1">
      <alignment vertical="center"/>
    </xf>
    <xf numFmtId="0" fontId="3" fillId="2" borderId="10" xfId="0" applyFont="1" applyFill="1" applyBorder="1" applyAlignment="1" applyProtection="1">
      <alignment vertical="center"/>
      <protection locked="0"/>
    </xf>
    <xf numFmtId="0" fontId="4" fillId="2" borderId="13" xfId="0" applyFont="1" applyFill="1" applyBorder="1" applyAlignment="1">
      <alignment horizontal="left" vertical="top"/>
    </xf>
    <xf numFmtId="0" fontId="4" fillId="2" borderId="13" xfId="0" applyFont="1" applyFill="1" applyBorder="1" applyAlignment="1">
      <alignment vertical="center"/>
    </xf>
    <xf numFmtId="0" fontId="13" fillId="2" borderId="14" xfId="0" applyFont="1" applyFill="1" applyBorder="1" applyAlignment="1">
      <alignment horizontal="left" vertical="top"/>
    </xf>
    <xf numFmtId="3" fontId="13" fillId="2" borderId="15" xfId="0" applyNumberFormat="1" applyFont="1" applyFill="1" applyBorder="1" applyAlignment="1">
      <alignment horizontal="left" vertical="top"/>
    </xf>
    <xf numFmtId="0" fontId="3" fillId="2" borderId="16" xfId="0" applyFont="1" applyFill="1" applyBorder="1" applyAlignment="1">
      <alignment horizontal="left" vertical="top"/>
    </xf>
    <xf numFmtId="0" fontId="13" fillId="2" borderId="0" xfId="0" applyFont="1" applyFill="1" applyAlignment="1">
      <alignment horizontal="left" vertical="top"/>
    </xf>
    <xf numFmtId="3" fontId="13" fillId="2" borderId="10" xfId="0" applyNumberFormat="1" applyFont="1" applyFill="1" applyBorder="1" applyAlignment="1">
      <alignment horizontal="left" vertical="top"/>
    </xf>
    <xf numFmtId="0" fontId="3" fillId="2" borderId="12" xfId="0" applyFont="1" applyFill="1" applyBorder="1" applyAlignment="1">
      <alignment horizontal="left" vertical="top"/>
    </xf>
    <xf numFmtId="0" fontId="13" fillId="2" borderId="4" xfId="0" applyFont="1" applyFill="1" applyBorder="1" applyAlignment="1">
      <alignment horizontal="left" vertical="top"/>
    </xf>
    <xf numFmtId="0" fontId="3" fillId="2" borderId="6" xfId="0" applyFont="1" applyFill="1" applyBorder="1" applyAlignment="1">
      <alignment horizontal="left" vertical="top"/>
    </xf>
    <xf numFmtId="0" fontId="3" fillId="2" borderId="14" xfId="0" applyFont="1" applyFill="1" applyBorder="1" applyAlignment="1">
      <alignment horizontal="left" vertical="top"/>
    </xf>
    <xf numFmtId="0" fontId="3" fillId="2" borderId="15" xfId="0" applyFont="1" applyFill="1" applyBorder="1" applyAlignment="1">
      <alignment horizontal="left" vertical="top"/>
    </xf>
    <xf numFmtId="0" fontId="3" fillId="2" borderId="0" xfId="0" applyFont="1" applyFill="1" applyAlignment="1">
      <alignment horizontal="left" vertical="top"/>
    </xf>
    <xf numFmtId="0" fontId="3" fillId="2" borderId="10" xfId="0" applyFont="1" applyFill="1" applyBorder="1" applyAlignment="1">
      <alignment horizontal="left" vertical="top"/>
    </xf>
    <xf numFmtId="0" fontId="3" fillId="2" borderId="4" xfId="0" applyFont="1" applyFill="1" applyBorder="1" applyAlignment="1">
      <alignment horizontal="left" vertical="top"/>
    </xf>
    <xf numFmtId="171" fontId="3" fillId="6" borderId="1" xfId="0" applyNumberFormat="1" applyFont="1" applyFill="1" applyBorder="1" applyAlignment="1" applyProtection="1">
      <alignment vertical="center"/>
      <protection locked="0"/>
    </xf>
    <xf numFmtId="0" fontId="18" fillId="2" borderId="0" xfId="0" applyFont="1" applyFill="1" applyAlignment="1" applyProtection="1">
      <alignment vertical="center"/>
      <protection locked="0"/>
    </xf>
    <xf numFmtId="0" fontId="24" fillId="0" borderId="0" xfId="0" applyFont="1" applyAlignment="1">
      <alignment horizontal="center" vertical="center" wrapText="1"/>
    </xf>
    <xf numFmtId="0" fontId="29" fillId="0" borderId="0" xfId="0" applyFont="1" applyAlignment="1">
      <alignment horizontal="center" vertical="center" wrapText="1"/>
    </xf>
    <xf numFmtId="0" fontId="53" fillId="0" borderId="0" xfId="0" applyFont="1" applyAlignment="1">
      <alignment vertical="center" wrapText="1"/>
    </xf>
    <xf numFmtId="0" fontId="46"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left" vertical="center" wrapText="1" indent="2"/>
    </xf>
    <xf numFmtId="0" fontId="47" fillId="0" borderId="0" xfId="0" applyFont="1" applyAlignment="1">
      <alignment horizontal="left" vertical="center" wrapText="1" indent="4"/>
    </xf>
    <xf numFmtId="0" fontId="12" fillId="0" borderId="0" xfId="0" applyFont="1" applyAlignment="1">
      <alignment vertical="center" wrapText="1"/>
    </xf>
    <xf numFmtId="0" fontId="3" fillId="0" borderId="0" xfId="0" applyFont="1" applyAlignment="1">
      <alignment horizontal="left" vertical="center" indent="2"/>
    </xf>
    <xf numFmtId="0" fontId="49" fillId="14" borderId="0" xfId="485" applyFont="1" applyFill="1" applyAlignment="1">
      <alignment wrapText="1"/>
    </xf>
    <xf numFmtId="0" fontId="3" fillId="0" borderId="0" xfId="0" applyFont="1" applyAlignment="1">
      <alignment horizontal="right"/>
    </xf>
    <xf numFmtId="49" fontId="3" fillId="0" borderId="0" xfId="485" applyNumberFormat="1" applyFont="1" applyAlignment="1" applyProtection="1">
      <alignment horizontal="left" vertical="center"/>
      <protection locked="0"/>
    </xf>
    <xf numFmtId="0" fontId="0" fillId="0" borderId="0" xfId="0" applyAlignment="1">
      <alignment horizontal="left"/>
    </xf>
    <xf numFmtId="0" fontId="9" fillId="0" borderId="0" xfId="485" applyAlignment="1">
      <alignment horizontal="right"/>
    </xf>
    <xf numFmtId="0" fontId="9" fillId="0" borderId="0" xfId="485" applyAlignment="1">
      <alignment horizontal="left"/>
    </xf>
    <xf numFmtId="0" fontId="9" fillId="0" borderId="0" xfId="485"/>
    <xf numFmtId="0" fontId="3" fillId="0" borderId="0" xfId="485" applyFont="1" applyAlignment="1">
      <alignment horizontal="right" vertical="center"/>
    </xf>
    <xf numFmtId="0" fontId="18" fillId="0" borderId="0" xfId="485" applyFont="1" applyAlignment="1">
      <alignment horizontal="left" vertical="center"/>
    </xf>
    <xf numFmtId="174" fontId="7" fillId="15" borderId="12" xfId="0" applyNumberFormat="1" applyFont="1" applyFill="1" applyBorder="1" applyAlignment="1">
      <alignment horizontal="center" vertical="center"/>
    </xf>
    <xf numFmtId="0" fontId="7" fillId="12" borderId="0" xfId="0" applyFont="1" applyFill="1" applyAlignment="1">
      <alignment horizontal="left" vertical="center"/>
    </xf>
    <xf numFmtId="0" fontId="33" fillId="12" borderId="0" xfId="0" applyFont="1" applyFill="1" applyAlignment="1">
      <alignment horizontal="center" vertical="center"/>
    </xf>
    <xf numFmtId="0" fontId="0" fillId="12" borderId="10" xfId="0" applyFill="1" applyBorder="1" applyAlignment="1">
      <alignment vertical="center"/>
    </xf>
    <xf numFmtId="174" fontId="7" fillId="12" borderId="12" xfId="0" applyNumberFormat="1" applyFont="1" applyFill="1" applyBorder="1" applyAlignment="1">
      <alignment horizontal="center" vertical="center"/>
    </xf>
    <xf numFmtId="174" fontId="34" fillId="12" borderId="12" xfId="0" applyNumberFormat="1" applyFont="1" applyFill="1" applyBorder="1" applyAlignment="1">
      <alignment horizontal="center" vertical="center"/>
    </xf>
    <xf numFmtId="0" fontId="34" fillId="12" borderId="0" xfId="0" applyFont="1" applyFill="1" applyAlignment="1">
      <alignment horizontal="left" vertical="center"/>
    </xf>
    <xf numFmtId="174" fontId="7" fillId="12" borderId="11" xfId="0" applyNumberFormat="1" applyFont="1" applyFill="1" applyBorder="1" applyAlignment="1">
      <alignment horizontal="center" vertical="center"/>
    </xf>
    <xf numFmtId="0" fontId="3" fillId="12" borderId="16" xfId="0" applyFont="1" applyFill="1" applyBorder="1" applyAlignment="1">
      <alignment vertical="center"/>
    </xf>
    <xf numFmtId="0" fontId="3" fillId="12" borderId="10" xfId="0" applyFont="1" applyFill="1" applyBorder="1" applyAlignment="1">
      <alignment vertical="center"/>
    </xf>
    <xf numFmtId="174" fontId="18" fillId="2" borderId="3" xfId="0" applyNumberFormat="1" applyFont="1" applyFill="1" applyBorder="1" applyAlignment="1">
      <alignment horizontal="right" vertical="center"/>
    </xf>
    <xf numFmtId="0" fontId="3" fillId="2" borderId="7" xfId="0" applyFont="1" applyFill="1" applyBorder="1" applyAlignment="1">
      <alignment horizontal="left" vertical="center"/>
    </xf>
    <xf numFmtId="3" fontId="3" fillId="5" borderId="19" xfId="0" applyNumberFormat="1" applyFont="1" applyFill="1" applyBorder="1" applyAlignment="1">
      <alignment vertical="center"/>
    </xf>
    <xf numFmtId="174" fontId="3" fillId="5" borderId="19" xfId="0" applyNumberFormat="1" applyFont="1" applyFill="1" applyBorder="1" applyAlignment="1">
      <alignment horizontal="right" vertical="center"/>
    </xf>
    <xf numFmtId="174" fontId="3" fillId="5" borderId="19" xfId="0" applyNumberFormat="1" applyFont="1" applyFill="1" applyBorder="1" applyAlignment="1">
      <alignment vertical="center"/>
    </xf>
    <xf numFmtId="0" fontId="7" fillId="2" borderId="3"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2" borderId="16" xfId="0" applyFont="1" applyFill="1" applyBorder="1"/>
    <xf numFmtId="174" fontId="4" fillId="2" borderId="10" xfId="0" applyNumberFormat="1" applyFont="1" applyFill="1" applyBorder="1" applyAlignment="1">
      <alignment horizontal="center"/>
    </xf>
    <xf numFmtId="173" fontId="3" fillId="2" borderId="1" xfId="0" applyNumberFormat="1" applyFont="1" applyFill="1" applyBorder="1" applyAlignment="1">
      <alignment horizontal="centerContinuous" vertical="center"/>
    </xf>
    <xf numFmtId="173" fontId="3" fillId="2" borderId="1" xfId="0" applyNumberFormat="1" applyFont="1" applyFill="1" applyBorder="1" applyAlignment="1">
      <alignment horizontal="center" vertical="center"/>
    </xf>
    <xf numFmtId="49" fontId="3" fillId="2" borderId="0" xfId="0" applyNumberFormat="1" applyFont="1" applyFill="1" applyAlignment="1" applyProtection="1">
      <alignment horizontal="left" vertical="center"/>
      <protection locked="0"/>
    </xf>
    <xf numFmtId="0" fontId="12" fillId="0" borderId="0" xfId="0" applyFont="1" applyAlignment="1">
      <alignment horizontal="center"/>
    </xf>
    <xf numFmtId="0" fontId="4" fillId="0" borderId="0" xfId="0" applyFont="1"/>
    <xf numFmtId="0" fontId="3" fillId="0" borderId="0" xfId="0" quotePrefix="1" applyFont="1"/>
    <xf numFmtId="0" fontId="3" fillId="0" borderId="0" xfId="215" applyFont="1"/>
    <xf numFmtId="0" fontId="5" fillId="0" borderId="0" xfId="0" applyFont="1" applyAlignment="1">
      <alignment vertical="center" wrapText="1"/>
    </xf>
    <xf numFmtId="0" fontId="3" fillId="12" borderId="0" xfId="32" applyFont="1" applyFill="1" applyAlignment="1">
      <alignment horizontal="left" vertical="center" shrinkToFit="1"/>
    </xf>
    <xf numFmtId="165" fontId="3" fillId="2" borderId="1" xfId="0" applyNumberFormat="1" applyFont="1" applyFill="1" applyBorder="1" applyAlignment="1">
      <alignment horizontal="center" vertical="center"/>
    </xf>
    <xf numFmtId="165" fontId="3" fillId="2" borderId="0" xfId="0" applyNumberFormat="1" applyFont="1" applyFill="1" applyAlignment="1">
      <alignment horizontal="center" vertical="center"/>
    </xf>
    <xf numFmtId="3" fontId="4" fillId="2" borderId="1" xfId="0" applyNumberFormat="1" applyFont="1" applyFill="1" applyBorder="1" applyAlignment="1">
      <alignment vertical="center"/>
    </xf>
    <xf numFmtId="3" fontId="4" fillId="2" borderId="1" xfId="0" applyNumberFormat="1" applyFont="1" applyFill="1" applyBorder="1" applyAlignment="1">
      <alignment horizontal="right" vertical="center"/>
    </xf>
    <xf numFmtId="0" fontId="3" fillId="0" borderId="4" xfId="0" applyFont="1" applyBorder="1"/>
    <xf numFmtId="0" fontId="3" fillId="0" borderId="0" xfId="0" applyFont="1" applyAlignment="1">
      <alignment horizontal="left" wrapText="1"/>
    </xf>
    <xf numFmtId="0" fontId="55" fillId="0" borderId="0" xfId="521"/>
    <xf numFmtId="0" fontId="57" fillId="0" borderId="0" xfId="521" applyFont="1"/>
    <xf numFmtId="0" fontId="58" fillId="0" borderId="0" xfId="521" applyFont="1"/>
    <xf numFmtId="0" fontId="59" fillId="0" borderId="0" xfId="521" applyFont="1" applyAlignment="1">
      <alignment horizontal="left" vertical="center" readingOrder="1"/>
    </xf>
    <xf numFmtId="0" fontId="60" fillId="0" borderId="0" xfId="521" applyFont="1" applyAlignment="1">
      <alignment horizontal="left" vertical="center" indent="2" readingOrder="1"/>
    </xf>
    <xf numFmtId="0" fontId="60" fillId="0" borderId="4" xfId="521" applyFont="1" applyBorder="1" applyAlignment="1">
      <alignment horizontal="center" vertical="center" readingOrder="1"/>
    </xf>
    <xf numFmtId="0" fontId="61" fillId="0" borderId="0" xfId="521" applyFont="1" applyAlignment="1">
      <alignment horizontal="left" vertical="center" readingOrder="1"/>
    </xf>
    <xf numFmtId="0" fontId="55" fillId="16" borderId="0" xfId="521" applyFill="1"/>
    <xf numFmtId="0" fontId="59" fillId="16" borderId="0" xfId="521" applyFont="1" applyFill="1" applyAlignment="1">
      <alignment horizontal="left" vertical="center" readingOrder="1"/>
    </xf>
    <xf numFmtId="0" fontId="63" fillId="0" borderId="0" xfId="521" applyFont="1" applyAlignment="1">
      <alignment wrapText="1"/>
    </xf>
    <xf numFmtId="0" fontId="1" fillId="0" borderId="0" xfId="521" applyFont="1"/>
    <xf numFmtId="0" fontId="64" fillId="0" borderId="0" xfId="521" applyFont="1" applyAlignment="1">
      <alignment horizontal="left"/>
    </xf>
    <xf numFmtId="0" fontId="65" fillId="0" borderId="0" xfId="521" applyFont="1"/>
    <xf numFmtId="0" fontId="3" fillId="0" borderId="0" xfId="521" applyFont="1"/>
    <xf numFmtId="0" fontId="3" fillId="0" borderId="0" xfId="521" applyFont="1" applyAlignment="1">
      <alignment wrapText="1"/>
    </xf>
    <xf numFmtId="0" fontId="5" fillId="0" borderId="0" xfId="0" applyFont="1"/>
    <xf numFmtId="0" fontId="65" fillId="0" borderId="0" xfId="522" applyFont="1"/>
    <xf numFmtId="0" fontId="65" fillId="0" borderId="0" xfId="522" applyFont="1" applyAlignment="1">
      <alignment horizontal="left" wrapText="1"/>
    </xf>
    <xf numFmtId="0" fontId="65" fillId="0" borderId="0" xfId="522" applyFont="1" applyAlignment="1">
      <alignment horizontal="center"/>
    </xf>
    <xf numFmtId="0" fontId="66" fillId="17" borderId="1" xfId="522" applyFont="1" applyFill="1" applyBorder="1" applyAlignment="1">
      <alignment horizontal="center" vertical="center"/>
    </xf>
    <xf numFmtId="0" fontId="65" fillId="0" borderId="1" xfId="522" applyFont="1" applyBorder="1" applyAlignment="1">
      <alignment horizontal="center"/>
    </xf>
    <xf numFmtId="0" fontId="65" fillId="0" borderId="7" xfId="522" applyFont="1" applyBorder="1" applyAlignment="1">
      <alignment horizontal="center"/>
    </xf>
    <xf numFmtId="0" fontId="68" fillId="0" borderId="3" xfId="522" applyFont="1" applyBorder="1" applyAlignment="1">
      <alignment horizontal="center" vertical="center"/>
    </xf>
    <xf numFmtId="0" fontId="65" fillId="0" borderId="0" xfId="522" applyFont="1" applyAlignment="1">
      <alignment horizontal="right" wrapText="1"/>
    </xf>
    <xf numFmtId="0" fontId="65" fillId="0" borderId="0" xfId="522" applyFont="1" applyAlignment="1">
      <alignment wrapText="1"/>
    </xf>
    <xf numFmtId="0" fontId="3" fillId="2" borderId="13" xfId="32" applyFont="1" applyFill="1" applyBorder="1" applyAlignment="1">
      <alignment vertical="center" wrapText="1"/>
    </xf>
    <xf numFmtId="0" fontId="2" fillId="0" borderId="15" xfId="32" applyBorder="1" applyAlignment="1">
      <alignment vertical="center" wrapText="1"/>
    </xf>
    <xf numFmtId="0" fontId="2" fillId="0" borderId="16" xfId="32" applyBorder="1" applyAlignment="1">
      <alignment vertical="center" wrapText="1"/>
    </xf>
    <xf numFmtId="0" fontId="2" fillId="0" borderId="10" xfId="32" applyBorder="1" applyAlignment="1">
      <alignment vertical="center" wrapText="1"/>
    </xf>
    <xf numFmtId="0" fontId="2" fillId="0" borderId="12" xfId="32" applyBorder="1" applyAlignment="1">
      <alignment vertical="center" wrapText="1"/>
    </xf>
    <xf numFmtId="0" fontId="2" fillId="0" borderId="6" xfId="32" applyBorder="1" applyAlignment="1">
      <alignment vertical="center" wrapText="1"/>
    </xf>
    <xf numFmtId="37" fontId="3" fillId="4" borderId="2" xfId="0" applyNumberFormat="1" applyFont="1" applyFill="1" applyBorder="1" applyAlignment="1">
      <alignment horizontal="center" vertical="center" wrapText="1"/>
    </xf>
    <xf numFmtId="0" fontId="0" fillId="4" borderId="3" xfId="0" applyFill="1" applyBorder="1" applyAlignment="1">
      <alignment vertical="center" wrapText="1"/>
    </xf>
    <xf numFmtId="37" fontId="13" fillId="2" borderId="0" xfId="0" applyNumberFormat="1" applyFont="1" applyFill="1" applyAlignment="1">
      <alignment horizontal="center" vertical="center"/>
    </xf>
    <xf numFmtId="0" fontId="14" fillId="0" borderId="0" xfId="0" applyFont="1" applyAlignment="1">
      <alignment horizontal="center" vertical="center"/>
    </xf>
    <xf numFmtId="0" fontId="12" fillId="2" borderId="0" xfId="0" applyFont="1" applyFill="1" applyAlignment="1">
      <alignment horizontal="center" vertical="center"/>
    </xf>
    <xf numFmtId="0" fontId="1" fillId="0" borderId="0" xfId="0" applyFont="1" applyAlignment="1">
      <alignment horizontal="center" vertical="center"/>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37" fontId="4" fillId="2" borderId="0" xfId="32" applyNumberFormat="1" applyFont="1" applyFill="1" applyAlignment="1">
      <alignment vertical="center" wrapText="1"/>
    </xf>
    <xf numFmtId="37" fontId="12" fillId="2" borderId="0" xfId="0" applyNumberFormat="1" applyFont="1" applyFill="1" applyAlignment="1">
      <alignment horizontal="center" vertical="center"/>
    </xf>
    <xf numFmtId="0" fontId="0" fillId="0" borderId="0" xfId="0" applyAlignment="1">
      <alignment horizontal="center" vertical="center"/>
    </xf>
    <xf numFmtId="0" fontId="4" fillId="8" borderId="11" xfId="0" applyFont="1" applyFill="1" applyBorder="1" applyAlignment="1">
      <alignment horizontal="center" vertical="center"/>
    </xf>
    <xf numFmtId="0" fontId="1" fillId="8" borderId="8" xfId="0" applyFont="1" applyFill="1" applyBorder="1" applyAlignment="1">
      <alignment horizontal="center" vertical="center"/>
    </xf>
    <xf numFmtId="0" fontId="16" fillId="2" borderId="0" xfId="0" applyFont="1" applyFill="1" applyAlignment="1">
      <alignment vertical="center"/>
    </xf>
    <xf numFmtId="0" fontId="17" fillId="0" borderId="0" xfId="0" applyFont="1" applyAlignment="1">
      <alignment vertical="center"/>
    </xf>
    <xf numFmtId="0" fontId="49" fillId="13" borderId="0" xfId="485" applyFont="1" applyFill="1" applyAlignment="1">
      <alignment horizontal="center" vertical="center" wrapText="1"/>
    </xf>
    <xf numFmtId="49" fontId="3" fillId="6" borderId="11" xfId="485" applyNumberFormat="1" applyFont="1" applyFill="1" applyBorder="1" applyAlignment="1" applyProtection="1">
      <alignment horizontal="left" vertical="center"/>
      <protection locked="0"/>
    </xf>
    <xf numFmtId="49" fontId="3" fillId="6" borderId="5" xfId="485" applyNumberFormat="1" applyFont="1" applyFill="1" applyBorder="1" applyAlignment="1" applyProtection="1">
      <alignment horizontal="left" vertical="center"/>
      <protection locked="0"/>
    </xf>
    <xf numFmtId="49" fontId="3" fillId="6" borderId="8" xfId="485" applyNumberFormat="1" applyFont="1" applyFill="1" applyBorder="1" applyAlignment="1" applyProtection="1">
      <alignment horizontal="left" vertical="center"/>
      <protection locked="0"/>
    </xf>
    <xf numFmtId="0" fontId="18" fillId="0" borderId="0" xfId="0" applyFont="1" applyAlignment="1">
      <alignment horizontal="center" vertical="top" wrapText="1"/>
    </xf>
    <xf numFmtId="0" fontId="3" fillId="6" borderId="11" xfId="485" applyFont="1" applyFill="1" applyBorder="1" applyAlignment="1" applyProtection="1">
      <alignment horizontal="left" vertical="center"/>
      <protection locked="0"/>
    </xf>
    <xf numFmtId="0" fontId="3" fillId="6" borderId="5" xfId="485" applyFont="1" applyFill="1" applyBorder="1" applyAlignment="1" applyProtection="1">
      <alignment horizontal="left" vertical="center"/>
      <protection locked="0"/>
    </xf>
    <xf numFmtId="0" fontId="3" fillId="6" borderId="8" xfId="485" applyFont="1" applyFill="1" applyBorder="1" applyAlignment="1" applyProtection="1">
      <alignment horizontal="left" vertical="center"/>
      <protection locked="0"/>
    </xf>
    <xf numFmtId="0" fontId="48" fillId="13" borderId="0" xfId="0" applyFont="1" applyFill="1" applyAlignment="1">
      <alignment horizontal="center" vertical="center"/>
    </xf>
    <xf numFmtId="0" fontId="3" fillId="0" borderId="0" xfId="485" applyFont="1" applyAlignment="1">
      <alignment horizontal="center" vertical="center" wrapText="1"/>
    </xf>
    <xf numFmtId="0" fontId="4" fillId="2" borderId="0" xfId="0" applyFont="1" applyFill="1" applyAlignment="1">
      <alignment horizontal="left" vertical="top" wrapText="1"/>
    </xf>
    <xf numFmtId="0" fontId="8" fillId="10" borderId="0" xfId="0" applyFont="1" applyFill="1" applyAlignment="1">
      <alignment horizontal="right" vertical="center" textRotation="180" wrapText="1"/>
    </xf>
    <xf numFmtId="0" fontId="4" fillId="2" borderId="0" xfId="0" applyFont="1" applyFill="1" applyAlignment="1">
      <alignment horizontal="center" vertical="center"/>
    </xf>
    <xf numFmtId="37" fontId="3" fillId="2" borderId="0" xfId="0" applyNumberFormat="1" applyFont="1" applyFill="1" applyAlignment="1">
      <alignment horizontal="center" vertical="center"/>
    </xf>
    <xf numFmtId="0" fontId="3" fillId="2" borderId="11" xfId="0" applyFont="1" applyFill="1" applyBorder="1" applyAlignment="1">
      <alignment horizontal="center" vertical="center"/>
    </xf>
    <xf numFmtId="0" fontId="0" fillId="0" borderId="5" xfId="0" applyBorder="1" applyAlignment="1">
      <alignment vertical="center"/>
    </xf>
    <xf numFmtId="0" fontId="0" fillId="0" borderId="8" xfId="0" applyBorder="1" applyAlignment="1">
      <alignment vertical="center"/>
    </xf>
    <xf numFmtId="0" fontId="3" fillId="2" borderId="9"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0" fillId="0" borderId="3" xfId="0" applyBorder="1" applyAlignment="1">
      <alignment horizontal="center" vertical="center" wrapText="1"/>
    </xf>
    <xf numFmtId="0" fontId="3" fillId="2" borderId="4" xfId="0" applyFont="1"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3" fillId="2" borderId="0" xfId="0" applyFont="1" applyFill="1" applyAlignment="1">
      <alignment horizontal="center" vertical="center"/>
    </xf>
    <xf numFmtId="0" fontId="0" fillId="0" borderId="0" xfId="0" applyAlignment="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41" fontId="3" fillId="6" borderId="2" xfId="1" applyNumberFormat="1" applyFont="1" applyFill="1" applyBorder="1" applyAlignment="1" applyProtection="1">
      <alignment horizontal="center" vertical="center"/>
      <protection locked="0"/>
    </xf>
    <xf numFmtId="41" fontId="3" fillId="6" borderId="3" xfId="1" applyNumberFormat="1" applyFont="1" applyFill="1" applyBorder="1" applyAlignment="1" applyProtection="1">
      <alignment horizontal="center" vertical="center"/>
      <protection locked="0"/>
    </xf>
    <xf numFmtId="0" fontId="3" fillId="2" borderId="13" xfId="0" applyFont="1" applyFill="1" applyBorder="1" applyAlignment="1">
      <alignment horizontal="center" vertical="center" wrapText="1"/>
    </xf>
    <xf numFmtId="37" fontId="3" fillId="2" borderId="2" xfId="0" applyNumberFormat="1" applyFont="1" applyFill="1"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37" fontId="4" fillId="2" borderId="0" xfId="32" applyNumberFormat="1" applyFont="1" applyFill="1" applyAlignment="1">
      <alignment horizontal="center" vertical="center"/>
    </xf>
    <xf numFmtId="0" fontId="4" fillId="2" borderId="0" xfId="520" applyFont="1" applyFill="1" applyAlignment="1">
      <alignment horizontal="center" vertical="center"/>
    </xf>
    <xf numFmtId="0" fontId="54" fillId="0" borderId="14" xfId="0" applyFont="1" applyBorder="1" applyAlignment="1" applyProtection="1">
      <alignment horizontal="center" vertical="center" wrapText="1"/>
      <protection locked="0"/>
    </xf>
    <xf numFmtId="0" fontId="54" fillId="0" borderId="0" xfId="0" applyFont="1" applyAlignment="1" applyProtection="1">
      <alignment horizontal="center" vertical="center" wrapText="1"/>
      <protection locked="0"/>
    </xf>
    <xf numFmtId="0" fontId="3" fillId="2" borderId="0" xfId="16" applyNumberFormat="1" applyFont="1" applyFill="1" applyBorder="1" applyAlignment="1" applyProtection="1">
      <alignment horizontal="right" vertical="center"/>
    </xf>
    <xf numFmtId="0" fontId="3" fillId="0" borderId="0" xfId="16" applyFont="1" applyAlignment="1" applyProtection="1">
      <alignment horizontal="right" vertical="center"/>
    </xf>
    <xf numFmtId="3" fontId="3" fillId="2" borderId="14" xfId="65" applyNumberFormat="1" applyFont="1" applyFill="1" applyBorder="1" applyAlignment="1">
      <alignment horizontal="right" vertical="center"/>
    </xf>
    <xf numFmtId="0" fontId="2" fillId="0" borderId="15" xfId="65" applyBorder="1" applyAlignment="1">
      <alignment horizontal="right" vertical="center"/>
    </xf>
    <xf numFmtId="0" fontId="3" fillId="2" borderId="0" xfId="65" applyFont="1" applyFill="1" applyAlignment="1">
      <alignment horizontal="right" vertical="center"/>
    </xf>
    <xf numFmtId="0" fontId="3" fillId="0" borderId="10" xfId="65" applyFont="1" applyBorder="1" applyAlignment="1">
      <alignment horizontal="right" vertical="center"/>
    </xf>
    <xf numFmtId="0" fontId="33" fillId="2" borderId="13" xfId="0" applyFont="1" applyFill="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174" fontId="33" fillId="12" borderId="13" xfId="0" applyNumberFormat="1" applyFont="1" applyFill="1" applyBorder="1" applyAlignment="1">
      <alignment horizontal="center" wrapText="1"/>
    </xf>
    <xf numFmtId="174" fontId="33" fillId="12" borderId="14" xfId="0" applyNumberFormat="1" applyFont="1" applyFill="1" applyBorder="1" applyAlignment="1">
      <alignment horizontal="center" wrapText="1"/>
    </xf>
    <xf numFmtId="174" fontId="33" fillId="12" borderId="15" xfId="0" applyNumberFormat="1" applyFont="1" applyFill="1" applyBorder="1" applyAlignment="1">
      <alignment horizontal="center" wrapText="1"/>
    </xf>
    <xf numFmtId="174" fontId="33" fillId="12" borderId="16" xfId="0" applyNumberFormat="1" applyFont="1" applyFill="1" applyBorder="1" applyAlignment="1">
      <alignment horizontal="center" wrapText="1"/>
    </xf>
    <xf numFmtId="174" fontId="33" fillId="12" borderId="0" xfId="0" applyNumberFormat="1" applyFont="1" applyFill="1" applyAlignment="1">
      <alignment horizontal="center" wrapText="1"/>
    </xf>
    <xf numFmtId="174" fontId="33" fillId="12" borderId="10" xfId="0" applyNumberFormat="1" applyFont="1" applyFill="1" applyBorder="1" applyAlignment="1">
      <alignment horizontal="center" wrapText="1"/>
    </xf>
    <xf numFmtId="0" fontId="3" fillId="12" borderId="16" xfId="0" applyFont="1" applyFill="1" applyBorder="1" applyAlignment="1">
      <alignment horizontal="center" vertical="center" wrapText="1"/>
    </xf>
    <xf numFmtId="0" fontId="3" fillId="12" borderId="0" xfId="0" applyFont="1" applyFill="1" applyAlignment="1">
      <alignment horizontal="center" vertical="center" wrapText="1"/>
    </xf>
    <xf numFmtId="0" fontId="3" fillId="12" borderId="12" xfId="0" applyFont="1" applyFill="1" applyBorder="1" applyAlignment="1">
      <alignment horizontal="center" vertical="center" wrapText="1"/>
    </xf>
    <xf numFmtId="0" fontId="3" fillId="12" borderId="4" xfId="0" applyFont="1" applyFill="1" applyBorder="1" applyAlignment="1">
      <alignment horizontal="center" vertical="center" wrapText="1"/>
    </xf>
    <xf numFmtId="49" fontId="8" fillId="12" borderId="10" xfId="0" applyNumberFormat="1" applyFont="1" applyFill="1" applyBorder="1" applyAlignment="1">
      <alignment horizontal="center" vertical="center"/>
    </xf>
    <xf numFmtId="49" fontId="8" fillId="12" borderId="6" xfId="0" applyNumberFormat="1" applyFont="1" applyFill="1" applyBorder="1" applyAlignment="1">
      <alignment horizontal="center" vertical="center"/>
    </xf>
    <xf numFmtId="0" fontId="33" fillId="2" borderId="14" xfId="0" applyFont="1" applyFill="1" applyBorder="1" applyAlignment="1">
      <alignment horizontal="center" vertical="center"/>
    </xf>
    <xf numFmtId="0" fontId="33" fillId="2" borderId="15" xfId="0" applyFont="1" applyFill="1" applyBorder="1" applyAlignment="1">
      <alignment horizontal="center" vertical="center"/>
    </xf>
    <xf numFmtId="0" fontId="33" fillId="2" borderId="13" xfId="0" applyFont="1" applyFill="1" applyBorder="1" applyAlignment="1">
      <alignment horizontal="center" vertical="top"/>
    </xf>
    <xf numFmtId="0" fontId="33" fillId="2" borderId="14" xfId="0" applyFont="1" applyFill="1" applyBorder="1" applyAlignment="1">
      <alignment horizontal="center" vertical="top"/>
    </xf>
    <xf numFmtId="0" fontId="33" fillId="2" borderId="15" xfId="0" applyFont="1" applyFill="1" applyBorder="1" applyAlignment="1">
      <alignment horizontal="center" vertical="top"/>
    </xf>
    <xf numFmtId="0" fontId="3" fillId="7" borderId="0" xfId="0" applyFont="1" applyFill="1" applyAlignment="1">
      <alignment horizontal="right" vertical="center"/>
    </xf>
    <xf numFmtId="0" fontId="4" fillId="2" borderId="11" xfId="0" applyFont="1" applyFill="1" applyBorder="1" applyAlignment="1">
      <alignment vertical="center"/>
    </xf>
    <xf numFmtId="0" fontId="4" fillId="2" borderId="8" xfId="0" applyFont="1" applyFill="1" applyBorder="1" applyAlignment="1">
      <alignment vertical="center"/>
    </xf>
    <xf numFmtId="37" fontId="4" fillId="2" borderId="0" xfId="0" applyNumberFormat="1" applyFont="1" applyFill="1" applyAlignment="1">
      <alignment horizontal="center" vertical="center"/>
    </xf>
    <xf numFmtId="0" fontId="7" fillId="2" borderId="2" xfId="0" applyFont="1" applyFill="1" applyBorder="1" applyAlignment="1">
      <alignment horizontal="center" vertical="center" wrapText="1" shrinkToFit="1"/>
    </xf>
    <xf numFmtId="0" fontId="15" fillId="0" borderId="3" xfId="0" applyFont="1" applyBorder="1" applyAlignment="1">
      <alignment horizontal="center" vertical="center" wrapText="1" shrinkToFit="1"/>
    </xf>
    <xf numFmtId="0" fontId="5" fillId="2" borderId="0" xfId="0" applyFont="1" applyFill="1" applyAlignment="1">
      <alignment horizontal="center" vertical="center"/>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49" fontId="3" fillId="2" borderId="14" xfId="0" applyNumberFormat="1" applyFont="1" applyFill="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2" fillId="2" borderId="13" xfId="0" applyFont="1"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2" fillId="2" borderId="14" xfId="0" applyFont="1" applyFill="1" applyBorder="1" applyAlignment="1">
      <alignment horizontal="center"/>
    </xf>
    <xf numFmtId="0" fontId="12" fillId="2" borderId="15" xfId="0" applyFont="1" applyFill="1" applyBorder="1" applyAlignment="1">
      <alignment horizontal="center"/>
    </xf>
    <xf numFmtId="49" fontId="3" fillId="2" borderId="4" xfId="0" applyNumberFormat="1" applyFont="1" applyFill="1" applyBorder="1" applyAlignment="1" applyProtection="1">
      <alignment horizontal="center" vertical="center"/>
      <protection locked="0"/>
    </xf>
    <xf numFmtId="0" fontId="4" fillId="12" borderId="13" xfId="0" applyFont="1" applyFill="1" applyBorder="1" applyAlignment="1">
      <alignment horizontal="center" wrapText="1"/>
    </xf>
    <xf numFmtId="0" fontId="12" fillId="12" borderId="14" xfId="0" applyFont="1" applyFill="1" applyBorder="1" applyAlignment="1">
      <alignment horizontal="center" wrapText="1"/>
    </xf>
    <xf numFmtId="0" fontId="12" fillId="12" borderId="12" xfId="0" applyFont="1" applyFill="1" applyBorder="1" applyAlignment="1">
      <alignment horizontal="center" wrapText="1"/>
    </xf>
    <xf numFmtId="0" fontId="12" fillId="12" borderId="4" xfId="0" applyFont="1" applyFill="1" applyBorder="1" applyAlignment="1">
      <alignment horizontal="center" wrapText="1"/>
    </xf>
    <xf numFmtId="0" fontId="48" fillId="12" borderId="15" xfId="0" applyFont="1" applyFill="1" applyBorder="1" applyAlignment="1">
      <alignment horizontal="center" vertical="center" wrapText="1"/>
    </xf>
    <xf numFmtId="0" fontId="49" fillId="12" borderId="6" xfId="0" applyFont="1" applyFill="1" applyBorder="1" applyAlignment="1">
      <alignment horizontal="center" vertical="center" wrapText="1"/>
    </xf>
    <xf numFmtId="37" fontId="18" fillId="2" borderId="20" xfId="0" applyNumberFormat="1" applyFont="1" applyFill="1" applyBorder="1" applyAlignment="1">
      <alignment horizontal="right" vertical="center"/>
    </xf>
    <xf numFmtId="37" fontId="18" fillId="2" borderId="21" xfId="0" applyNumberFormat="1" applyFont="1" applyFill="1" applyBorder="1" applyAlignment="1">
      <alignment horizontal="right" vertical="center"/>
    </xf>
    <xf numFmtId="37" fontId="18" fillId="2" borderId="22" xfId="0" applyNumberFormat="1" applyFont="1" applyFill="1" applyBorder="1" applyAlignment="1">
      <alignment horizontal="right" vertical="center"/>
    </xf>
    <xf numFmtId="49" fontId="3" fillId="2" borderId="0" xfId="0" applyNumberFormat="1" applyFont="1" applyFill="1" applyAlignment="1" applyProtection="1">
      <alignment horizontal="left" vertical="center"/>
      <protection locked="0"/>
    </xf>
    <xf numFmtId="0" fontId="3" fillId="2" borderId="1" xfId="0" applyFont="1" applyFill="1" applyBorder="1" applyAlignment="1">
      <alignment horizontal="center" vertical="center"/>
    </xf>
    <xf numFmtId="0" fontId="3" fillId="2" borderId="0" xfId="0" applyFont="1" applyFill="1" applyAlignment="1">
      <alignment horizontal="right" vertical="center"/>
    </xf>
    <xf numFmtId="0" fontId="0" fillId="0" borderId="0" xfId="0" applyAlignment="1">
      <alignment horizontal="right" vertical="center"/>
    </xf>
    <xf numFmtId="0" fontId="3" fillId="12" borderId="0" xfId="0" applyFont="1" applyFill="1" applyAlignment="1">
      <alignment horizontal="right" vertical="center"/>
    </xf>
    <xf numFmtId="0" fontId="12" fillId="0" borderId="0" xfId="0" applyFont="1" applyAlignment="1">
      <alignment horizontal="center"/>
    </xf>
    <xf numFmtId="0" fontId="4"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center"/>
    </xf>
    <xf numFmtId="0" fontId="65" fillId="0" borderId="1" xfId="522" applyFont="1" applyBorder="1" applyAlignment="1">
      <alignment horizontal="center"/>
    </xf>
    <xf numFmtId="0" fontId="65" fillId="0" borderId="7" xfId="522" applyFont="1" applyBorder="1" applyAlignment="1">
      <alignment horizontal="center"/>
    </xf>
    <xf numFmtId="0" fontId="68" fillId="0" borderId="3" xfId="522" applyFont="1" applyBorder="1" applyAlignment="1">
      <alignment horizontal="center" vertical="center"/>
    </xf>
    <xf numFmtId="0" fontId="65" fillId="0" borderId="4" xfId="522" applyFont="1" applyBorder="1" applyAlignment="1">
      <alignment horizontal="center" wrapText="1"/>
    </xf>
    <xf numFmtId="0" fontId="65" fillId="0" borderId="11" xfId="522" applyFont="1" applyBorder="1" applyAlignment="1">
      <alignment horizontal="center"/>
    </xf>
    <xf numFmtId="0" fontId="65" fillId="0" borderId="5" xfId="522" applyFont="1" applyBorder="1" applyAlignment="1">
      <alignment horizontal="center"/>
    </xf>
    <xf numFmtId="0" fontId="65" fillId="0" borderId="8" xfId="522" applyFont="1" applyBorder="1" applyAlignment="1">
      <alignment horizontal="center"/>
    </xf>
    <xf numFmtId="0" fontId="66" fillId="0" borderId="0" xfId="522" applyFont="1" applyAlignment="1">
      <alignment horizontal="center"/>
    </xf>
    <xf numFmtId="0" fontId="65" fillId="0" borderId="0" xfId="522" applyFont="1" applyAlignment="1">
      <alignment horizontal="center" wrapText="1"/>
    </xf>
    <xf numFmtId="0" fontId="65" fillId="0" borderId="0" xfId="522" applyFont="1" applyAlignment="1">
      <alignment horizontal="center"/>
    </xf>
    <xf numFmtId="0" fontId="66" fillId="17" borderId="11" xfId="522" applyFont="1" applyFill="1" applyBorder="1" applyAlignment="1">
      <alignment horizontal="center" vertical="center"/>
    </xf>
    <xf numFmtId="0" fontId="66" fillId="17" borderId="5" xfId="522" applyFont="1" applyFill="1" applyBorder="1" applyAlignment="1">
      <alignment horizontal="center" vertical="center"/>
    </xf>
    <xf numFmtId="0" fontId="66" fillId="17" borderId="8" xfId="522" applyFont="1" applyFill="1" applyBorder="1" applyAlignment="1">
      <alignment horizontal="center" vertical="center"/>
    </xf>
    <xf numFmtId="0" fontId="4" fillId="0" borderId="0" xfId="0" applyFont="1" applyAlignment="1">
      <alignment wrapText="1"/>
    </xf>
    <xf numFmtId="0" fontId="3" fillId="0" borderId="0" xfId="0" applyFont="1" applyAlignment="1">
      <alignment wrapText="1"/>
    </xf>
    <xf numFmtId="0" fontId="48" fillId="0" borderId="0" xfId="0" applyFont="1" applyAlignment="1">
      <alignment horizontal="center" vertical="center"/>
    </xf>
    <xf numFmtId="0" fontId="56" fillId="0" borderId="0" xfId="521" applyFont="1" applyAlignment="1">
      <alignment horizontal="center"/>
    </xf>
    <xf numFmtId="0" fontId="63" fillId="0" borderId="0" xfId="521" applyFont="1" applyAlignment="1">
      <alignment horizontal="center" wrapText="1"/>
    </xf>
    <xf numFmtId="0" fontId="3" fillId="0" borderId="0" xfId="521" applyFont="1" applyAlignment="1">
      <alignment horizontal="left" wrapText="1"/>
    </xf>
    <xf numFmtId="0" fontId="4" fillId="2" borderId="0" xfId="0" applyFont="1" applyFill="1" applyAlignment="1">
      <alignment horizontal="right" vertical="center"/>
    </xf>
  </cellXfs>
  <cellStyles count="523">
    <cellStyle name="Comma" xfId="1" builtinId="3"/>
    <cellStyle name="Comma 11 2" xfId="2" xr:uid="{00000000-0005-0000-0000-000001000000}"/>
    <cellStyle name="Comma 16" xfId="3" xr:uid="{00000000-0005-0000-0000-000002000000}"/>
    <cellStyle name="Comma 16 2" xfId="4" xr:uid="{00000000-0005-0000-0000-000003000000}"/>
    <cellStyle name="Comma 16 3" xfId="5" xr:uid="{00000000-0005-0000-0000-000004000000}"/>
    <cellStyle name="Comma 17" xfId="6" xr:uid="{00000000-0005-0000-0000-000005000000}"/>
    <cellStyle name="Comma 2 2" xfId="7" xr:uid="{00000000-0005-0000-0000-000006000000}"/>
    <cellStyle name="Comma 3 2" xfId="8" xr:uid="{00000000-0005-0000-0000-000007000000}"/>
    <cellStyle name="Comma 3 3" xfId="9" xr:uid="{00000000-0005-0000-0000-000008000000}"/>
    <cellStyle name="Comma 4 2" xfId="10" xr:uid="{00000000-0005-0000-0000-000009000000}"/>
    <cellStyle name="Comma 6" xfId="11" xr:uid="{00000000-0005-0000-0000-00000A000000}"/>
    <cellStyle name="Comma 6 2" xfId="12" xr:uid="{00000000-0005-0000-0000-00000B000000}"/>
    <cellStyle name="Comma 7" xfId="13" xr:uid="{00000000-0005-0000-0000-00000C000000}"/>
    <cellStyle name="Comma 7 2" xfId="14" xr:uid="{00000000-0005-0000-0000-00000D000000}"/>
    <cellStyle name="Comma 7 3" xfId="15" xr:uid="{00000000-0005-0000-0000-00000E000000}"/>
    <cellStyle name="Hyperlink" xfId="16" builtinId="8"/>
    <cellStyle name="Hyperlink 16" xfId="17" xr:uid="{00000000-0005-0000-0000-000010000000}"/>
    <cellStyle name="Hyperlink 2 2" xfId="18" xr:uid="{00000000-0005-0000-0000-000011000000}"/>
    <cellStyle name="Hyperlink 2 3" xfId="19" xr:uid="{00000000-0005-0000-0000-000012000000}"/>
    <cellStyle name="Hyperlink 3 2" xfId="20" xr:uid="{00000000-0005-0000-0000-000013000000}"/>
    <cellStyle name="Hyperlink 3 3" xfId="21" xr:uid="{00000000-0005-0000-0000-000014000000}"/>
    <cellStyle name="Hyperlink 3 4" xfId="22" xr:uid="{00000000-0005-0000-0000-000015000000}"/>
    <cellStyle name="Hyperlink 4 2" xfId="23" xr:uid="{00000000-0005-0000-0000-000016000000}"/>
    <cellStyle name="Hyperlink 7" xfId="24" xr:uid="{00000000-0005-0000-0000-000017000000}"/>
    <cellStyle name="Hyperlink 7 2" xfId="25" xr:uid="{00000000-0005-0000-0000-000018000000}"/>
    <cellStyle name="Hyperlink 7 3" xfId="26" xr:uid="{00000000-0005-0000-0000-000019000000}"/>
    <cellStyle name="Hyperlink 8" xfId="27" xr:uid="{00000000-0005-0000-0000-00001A000000}"/>
    <cellStyle name="Hyperlink 8 2" xfId="28" xr:uid="{00000000-0005-0000-0000-00001B000000}"/>
    <cellStyle name="Normal" xfId="0" builtinId="0"/>
    <cellStyle name="Normal 10" xfId="29" xr:uid="{00000000-0005-0000-0000-00001D000000}"/>
    <cellStyle name="Normal 10 2" xfId="30" xr:uid="{00000000-0005-0000-0000-00001E000000}"/>
    <cellStyle name="Normal 10 2 2" xfId="31" xr:uid="{00000000-0005-0000-0000-00001F000000}"/>
    <cellStyle name="Normal 10 2 2 2" xfId="32" xr:uid="{00000000-0005-0000-0000-000020000000}"/>
    <cellStyle name="Normal 10 2 2 3" xfId="33" xr:uid="{00000000-0005-0000-0000-000021000000}"/>
    <cellStyle name="Normal 10 2 3" xfId="34" xr:uid="{00000000-0005-0000-0000-000022000000}"/>
    <cellStyle name="Normal 10 3" xfId="35" xr:uid="{00000000-0005-0000-0000-000023000000}"/>
    <cellStyle name="Normal 10 3 2" xfId="36" xr:uid="{00000000-0005-0000-0000-000024000000}"/>
    <cellStyle name="Normal 10 3 3" xfId="37" xr:uid="{00000000-0005-0000-0000-000025000000}"/>
    <cellStyle name="Normal 10 4" xfId="38" xr:uid="{00000000-0005-0000-0000-000026000000}"/>
    <cellStyle name="Normal 10 4 2" xfId="39" xr:uid="{00000000-0005-0000-0000-000027000000}"/>
    <cellStyle name="Normal 10 4 3" xfId="40" xr:uid="{00000000-0005-0000-0000-000028000000}"/>
    <cellStyle name="Normal 10 5" xfId="41" xr:uid="{00000000-0005-0000-0000-000029000000}"/>
    <cellStyle name="Normal 10 5 2" xfId="42" xr:uid="{00000000-0005-0000-0000-00002A000000}"/>
    <cellStyle name="Normal 10 5 3" xfId="43" xr:uid="{00000000-0005-0000-0000-00002B000000}"/>
    <cellStyle name="Normal 10 6" xfId="44" xr:uid="{00000000-0005-0000-0000-00002C000000}"/>
    <cellStyle name="Normal 10 6 2" xfId="45" xr:uid="{00000000-0005-0000-0000-00002D000000}"/>
    <cellStyle name="Normal 10 6 3" xfId="46" xr:uid="{00000000-0005-0000-0000-00002E000000}"/>
    <cellStyle name="Normal 10 7" xfId="47" xr:uid="{00000000-0005-0000-0000-00002F000000}"/>
    <cellStyle name="Normal 10 7 2" xfId="48" xr:uid="{00000000-0005-0000-0000-000030000000}"/>
    <cellStyle name="Normal 10 7 3" xfId="49" xr:uid="{00000000-0005-0000-0000-000031000000}"/>
    <cellStyle name="Normal 11" xfId="50" xr:uid="{00000000-0005-0000-0000-000032000000}"/>
    <cellStyle name="Normal 11 2" xfId="51" xr:uid="{00000000-0005-0000-0000-000033000000}"/>
    <cellStyle name="Normal 11 2 2" xfId="52" xr:uid="{00000000-0005-0000-0000-000034000000}"/>
    <cellStyle name="Normal 11 2 3" xfId="53" xr:uid="{00000000-0005-0000-0000-000035000000}"/>
    <cellStyle name="Normal 11 3" xfId="54" xr:uid="{00000000-0005-0000-0000-000036000000}"/>
    <cellStyle name="Normal 11 4" xfId="55" xr:uid="{00000000-0005-0000-0000-000037000000}"/>
    <cellStyle name="Normal 11 5" xfId="56" xr:uid="{00000000-0005-0000-0000-000038000000}"/>
    <cellStyle name="Normal 11 5 2" xfId="57" xr:uid="{00000000-0005-0000-0000-000039000000}"/>
    <cellStyle name="Normal 11 5 3" xfId="58" xr:uid="{00000000-0005-0000-0000-00003A000000}"/>
    <cellStyle name="Normal 11 6" xfId="59" xr:uid="{00000000-0005-0000-0000-00003B000000}"/>
    <cellStyle name="Normal 12" xfId="60" xr:uid="{00000000-0005-0000-0000-00003C000000}"/>
    <cellStyle name="Normal 12 10" xfId="61" xr:uid="{00000000-0005-0000-0000-00003D000000}"/>
    <cellStyle name="Normal 12 11" xfId="62" xr:uid="{00000000-0005-0000-0000-00003E000000}"/>
    <cellStyle name="Normal 12 12" xfId="63" xr:uid="{00000000-0005-0000-0000-00003F000000}"/>
    <cellStyle name="Normal 12 13" xfId="64" xr:uid="{00000000-0005-0000-0000-000040000000}"/>
    <cellStyle name="Normal 12 2" xfId="65" xr:uid="{00000000-0005-0000-0000-000041000000}"/>
    <cellStyle name="Normal 12 2 2" xfId="66" xr:uid="{00000000-0005-0000-0000-000042000000}"/>
    <cellStyle name="Normal 12 3" xfId="67" xr:uid="{00000000-0005-0000-0000-000043000000}"/>
    <cellStyle name="Normal 12 4" xfId="68" xr:uid="{00000000-0005-0000-0000-000044000000}"/>
    <cellStyle name="Normal 12 5" xfId="69" xr:uid="{00000000-0005-0000-0000-000045000000}"/>
    <cellStyle name="Normal 12 6" xfId="70" xr:uid="{00000000-0005-0000-0000-000046000000}"/>
    <cellStyle name="Normal 12 7" xfId="71" xr:uid="{00000000-0005-0000-0000-000047000000}"/>
    <cellStyle name="Normal 12 8" xfId="72" xr:uid="{00000000-0005-0000-0000-000048000000}"/>
    <cellStyle name="Normal 12 9" xfId="73" xr:uid="{00000000-0005-0000-0000-000049000000}"/>
    <cellStyle name="Normal 13" xfId="74" xr:uid="{00000000-0005-0000-0000-00004A000000}"/>
    <cellStyle name="Normal 13 10" xfId="75" xr:uid="{00000000-0005-0000-0000-00004B000000}"/>
    <cellStyle name="Normal 13 11" xfId="76" xr:uid="{00000000-0005-0000-0000-00004C000000}"/>
    <cellStyle name="Normal 13 12" xfId="77" xr:uid="{00000000-0005-0000-0000-00004D000000}"/>
    <cellStyle name="Normal 13 13" xfId="78" xr:uid="{00000000-0005-0000-0000-00004E000000}"/>
    <cellStyle name="Normal 13 2" xfId="79" xr:uid="{00000000-0005-0000-0000-00004F000000}"/>
    <cellStyle name="Normal 13 2 2" xfId="80" xr:uid="{00000000-0005-0000-0000-000050000000}"/>
    <cellStyle name="Normal 13 3" xfId="81" xr:uid="{00000000-0005-0000-0000-000051000000}"/>
    <cellStyle name="Normal 13 4" xfId="82" xr:uid="{00000000-0005-0000-0000-000052000000}"/>
    <cellStyle name="Normal 13 5" xfId="83" xr:uid="{00000000-0005-0000-0000-000053000000}"/>
    <cellStyle name="Normal 13 6" xfId="84" xr:uid="{00000000-0005-0000-0000-000054000000}"/>
    <cellStyle name="Normal 13 7" xfId="85" xr:uid="{00000000-0005-0000-0000-000055000000}"/>
    <cellStyle name="Normal 13 8" xfId="86" xr:uid="{00000000-0005-0000-0000-000056000000}"/>
    <cellStyle name="Normal 13 9" xfId="87" xr:uid="{00000000-0005-0000-0000-000057000000}"/>
    <cellStyle name="Normal 14" xfId="88" xr:uid="{00000000-0005-0000-0000-000058000000}"/>
    <cellStyle name="Normal 14 2" xfId="89" xr:uid="{00000000-0005-0000-0000-000059000000}"/>
    <cellStyle name="Normal 14 3" xfId="90" xr:uid="{00000000-0005-0000-0000-00005A000000}"/>
    <cellStyle name="Normal 14 4" xfId="91" xr:uid="{00000000-0005-0000-0000-00005B000000}"/>
    <cellStyle name="Normal 14 5" xfId="92" xr:uid="{00000000-0005-0000-0000-00005C000000}"/>
    <cellStyle name="Normal 14 6" xfId="93" xr:uid="{00000000-0005-0000-0000-00005D000000}"/>
    <cellStyle name="Normal 14 7" xfId="94" xr:uid="{00000000-0005-0000-0000-00005E000000}"/>
    <cellStyle name="Normal 14 7 2" xfId="95" xr:uid="{00000000-0005-0000-0000-00005F000000}"/>
    <cellStyle name="Normal 14 7 3" xfId="96" xr:uid="{00000000-0005-0000-0000-000060000000}"/>
    <cellStyle name="Normal 15" xfId="97" xr:uid="{00000000-0005-0000-0000-000061000000}"/>
    <cellStyle name="Normal 15 2" xfId="98" xr:uid="{00000000-0005-0000-0000-000062000000}"/>
    <cellStyle name="Normal 15 3" xfId="99" xr:uid="{00000000-0005-0000-0000-000063000000}"/>
    <cellStyle name="Normal 15 4" xfId="100" xr:uid="{00000000-0005-0000-0000-000064000000}"/>
    <cellStyle name="Normal 15 5" xfId="101" xr:uid="{00000000-0005-0000-0000-000065000000}"/>
    <cellStyle name="Normal 16" xfId="102" xr:uid="{00000000-0005-0000-0000-000066000000}"/>
    <cellStyle name="Normal 16 2" xfId="103" xr:uid="{00000000-0005-0000-0000-000067000000}"/>
    <cellStyle name="Normal 16 3" xfId="104" xr:uid="{00000000-0005-0000-0000-000068000000}"/>
    <cellStyle name="Normal 16 4" xfId="105" xr:uid="{00000000-0005-0000-0000-000069000000}"/>
    <cellStyle name="Normal 16 5" xfId="106" xr:uid="{00000000-0005-0000-0000-00006A000000}"/>
    <cellStyle name="Normal 17" xfId="107" xr:uid="{00000000-0005-0000-0000-00006B000000}"/>
    <cellStyle name="Normal 17 2" xfId="108" xr:uid="{00000000-0005-0000-0000-00006C000000}"/>
    <cellStyle name="Normal 17 3" xfId="109" xr:uid="{00000000-0005-0000-0000-00006D000000}"/>
    <cellStyle name="Normal 17 4" xfId="110" xr:uid="{00000000-0005-0000-0000-00006E000000}"/>
    <cellStyle name="Normal 17 5" xfId="111" xr:uid="{00000000-0005-0000-0000-00006F000000}"/>
    <cellStyle name="Normal 18" xfId="112" xr:uid="{00000000-0005-0000-0000-000070000000}"/>
    <cellStyle name="Normal 18 2" xfId="113" xr:uid="{00000000-0005-0000-0000-000071000000}"/>
    <cellStyle name="Normal 18 2 2" xfId="114" xr:uid="{00000000-0005-0000-0000-000072000000}"/>
    <cellStyle name="Normal 18 2 3" xfId="115" xr:uid="{00000000-0005-0000-0000-000073000000}"/>
    <cellStyle name="Normal 18 3" xfId="116" xr:uid="{00000000-0005-0000-0000-000074000000}"/>
    <cellStyle name="Normal 18 4" xfId="117" xr:uid="{00000000-0005-0000-0000-000075000000}"/>
    <cellStyle name="Normal 18 5" xfId="118" xr:uid="{00000000-0005-0000-0000-000076000000}"/>
    <cellStyle name="Normal 18 6" xfId="119" xr:uid="{00000000-0005-0000-0000-000077000000}"/>
    <cellStyle name="Normal 18 7" xfId="120" xr:uid="{00000000-0005-0000-0000-000078000000}"/>
    <cellStyle name="Normal 18 8" xfId="121" xr:uid="{00000000-0005-0000-0000-000079000000}"/>
    <cellStyle name="Normal 18 9" xfId="122" xr:uid="{00000000-0005-0000-0000-00007A000000}"/>
    <cellStyle name="Normal 19" xfId="123" xr:uid="{00000000-0005-0000-0000-00007B000000}"/>
    <cellStyle name="Normal 19 2" xfId="124" xr:uid="{00000000-0005-0000-0000-00007C000000}"/>
    <cellStyle name="Normal 19 2 2" xfId="125" xr:uid="{00000000-0005-0000-0000-00007D000000}"/>
    <cellStyle name="Normal 19 2 3" xfId="126" xr:uid="{00000000-0005-0000-0000-00007E000000}"/>
    <cellStyle name="Normal 19 3" xfId="127" xr:uid="{00000000-0005-0000-0000-00007F000000}"/>
    <cellStyle name="Normal 19 4" xfId="128" xr:uid="{00000000-0005-0000-0000-000080000000}"/>
    <cellStyle name="Normal 19 5" xfId="129" xr:uid="{00000000-0005-0000-0000-000081000000}"/>
    <cellStyle name="Normal 19 6" xfId="130" xr:uid="{00000000-0005-0000-0000-000082000000}"/>
    <cellStyle name="Normal 19 7" xfId="131" xr:uid="{00000000-0005-0000-0000-000083000000}"/>
    <cellStyle name="Normal 19 8" xfId="132" xr:uid="{00000000-0005-0000-0000-000084000000}"/>
    <cellStyle name="Normal 2" xfId="522" xr:uid="{8DB29E1C-1462-4386-9FF9-0707B75B4B89}"/>
    <cellStyle name="Normal 2 10" xfId="133" xr:uid="{00000000-0005-0000-0000-000085000000}"/>
    <cellStyle name="Normal 2 10 10" xfId="134" xr:uid="{00000000-0005-0000-0000-000086000000}"/>
    <cellStyle name="Normal 2 10 11" xfId="135" xr:uid="{00000000-0005-0000-0000-000087000000}"/>
    <cellStyle name="Normal 2 10 11 2" xfId="136" xr:uid="{00000000-0005-0000-0000-000088000000}"/>
    <cellStyle name="Normal 2 10 11 2 2" xfId="137" xr:uid="{00000000-0005-0000-0000-000089000000}"/>
    <cellStyle name="Normal 2 10 11 2 2 2" xfId="138" xr:uid="{00000000-0005-0000-0000-00008A000000}"/>
    <cellStyle name="Normal 2 10 11 2 2 3" xfId="139" xr:uid="{00000000-0005-0000-0000-00008B000000}"/>
    <cellStyle name="Normal 2 10 11 3" xfId="140" xr:uid="{00000000-0005-0000-0000-00008C000000}"/>
    <cellStyle name="Normal 2 10 11 4" xfId="141" xr:uid="{00000000-0005-0000-0000-00008D000000}"/>
    <cellStyle name="Normal 2 10 11 5" xfId="142" xr:uid="{00000000-0005-0000-0000-00008E000000}"/>
    <cellStyle name="Normal 2 10 12" xfId="143" xr:uid="{00000000-0005-0000-0000-00008F000000}"/>
    <cellStyle name="Normal 2 10 2" xfId="144" xr:uid="{00000000-0005-0000-0000-000090000000}"/>
    <cellStyle name="Normal 2 10 2 2" xfId="145" xr:uid="{00000000-0005-0000-0000-000091000000}"/>
    <cellStyle name="Normal 2 10 3" xfId="146" xr:uid="{00000000-0005-0000-0000-000092000000}"/>
    <cellStyle name="Normal 2 10 3 2" xfId="147" xr:uid="{00000000-0005-0000-0000-000093000000}"/>
    <cellStyle name="Normal 2 10 4" xfId="148" xr:uid="{00000000-0005-0000-0000-000094000000}"/>
    <cellStyle name="Normal 2 10 4 2" xfId="149" xr:uid="{00000000-0005-0000-0000-000095000000}"/>
    <cellStyle name="Normal 2 10 5" xfId="150" xr:uid="{00000000-0005-0000-0000-000096000000}"/>
    <cellStyle name="Normal 2 10 5 2" xfId="151" xr:uid="{00000000-0005-0000-0000-000097000000}"/>
    <cellStyle name="Normal 2 10 6" xfId="152" xr:uid="{00000000-0005-0000-0000-000098000000}"/>
    <cellStyle name="Normal 2 10 6 2" xfId="153" xr:uid="{00000000-0005-0000-0000-000099000000}"/>
    <cellStyle name="Normal 2 10 7" xfId="154" xr:uid="{00000000-0005-0000-0000-00009A000000}"/>
    <cellStyle name="Normal 2 10 7 2" xfId="155" xr:uid="{00000000-0005-0000-0000-00009B000000}"/>
    <cellStyle name="Normal 2 10 8" xfId="156" xr:uid="{00000000-0005-0000-0000-00009C000000}"/>
    <cellStyle name="Normal 2 10 8 2" xfId="157" xr:uid="{00000000-0005-0000-0000-00009D000000}"/>
    <cellStyle name="Normal 2 10 9" xfId="158" xr:uid="{00000000-0005-0000-0000-00009E000000}"/>
    <cellStyle name="Normal 2 11" xfId="159" xr:uid="{00000000-0005-0000-0000-00009F000000}"/>
    <cellStyle name="Normal 2 11 10" xfId="160" xr:uid="{00000000-0005-0000-0000-0000A0000000}"/>
    <cellStyle name="Normal 2 11 11" xfId="161" xr:uid="{00000000-0005-0000-0000-0000A1000000}"/>
    <cellStyle name="Normal 2 11 2" xfId="162" xr:uid="{00000000-0005-0000-0000-0000A2000000}"/>
    <cellStyle name="Normal 2 11 2 2" xfId="163" xr:uid="{00000000-0005-0000-0000-0000A3000000}"/>
    <cellStyle name="Normal 2 11 3" xfId="164" xr:uid="{00000000-0005-0000-0000-0000A4000000}"/>
    <cellStyle name="Normal 2 11 3 2" xfId="165" xr:uid="{00000000-0005-0000-0000-0000A5000000}"/>
    <cellStyle name="Normal 2 11 4" xfId="166" xr:uid="{00000000-0005-0000-0000-0000A6000000}"/>
    <cellStyle name="Normal 2 11 4 2" xfId="167" xr:uid="{00000000-0005-0000-0000-0000A7000000}"/>
    <cellStyle name="Normal 2 11 5" xfId="168" xr:uid="{00000000-0005-0000-0000-0000A8000000}"/>
    <cellStyle name="Normal 2 11 5 2" xfId="169" xr:uid="{00000000-0005-0000-0000-0000A9000000}"/>
    <cellStyle name="Normal 2 11 6" xfId="170" xr:uid="{00000000-0005-0000-0000-0000AA000000}"/>
    <cellStyle name="Normal 2 11 6 2" xfId="171" xr:uid="{00000000-0005-0000-0000-0000AB000000}"/>
    <cellStyle name="Normal 2 11 7" xfId="172" xr:uid="{00000000-0005-0000-0000-0000AC000000}"/>
    <cellStyle name="Normal 2 11 7 2" xfId="173" xr:uid="{00000000-0005-0000-0000-0000AD000000}"/>
    <cellStyle name="Normal 2 11 8" xfId="174" xr:uid="{00000000-0005-0000-0000-0000AE000000}"/>
    <cellStyle name="Normal 2 11 8 2" xfId="175" xr:uid="{00000000-0005-0000-0000-0000AF000000}"/>
    <cellStyle name="Normal 2 11 9" xfId="176" xr:uid="{00000000-0005-0000-0000-0000B0000000}"/>
    <cellStyle name="Normal 2 12" xfId="177" xr:uid="{00000000-0005-0000-0000-0000B1000000}"/>
    <cellStyle name="Normal 2 13" xfId="178" xr:uid="{00000000-0005-0000-0000-0000B2000000}"/>
    <cellStyle name="Normal 2 14" xfId="179" xr:uid="{00000000-0005-0000-0000-0000B3000000}"/>
    <cellStyle name="Normal 2 15" xfId="180" xr:uid="{00000000-0005-0000-0000-0000B4000000}"/>
    <cellStyle name="Normal 2 16" xfId="181" xr:uid="{00000000-0005-0000-0000-0000B5000000}"/>
    <cellStyle name="Normal 2 17" xfId="182" xr:uid="{00000000-0005-0000-0000-0000B6000000}"/>
    <cellStyle name="Normal 2 17 2" xfId="183" xr:uid="{00000000-0005-0000-0000-0000B7000000}"/>
    <cellStyle name="Normal 2 17 3" xfId="184" xr:uid="{00000000-0005-0000-0000-0000B8000000}"/>
    <cellStyle name="Normal 2 2" xfId="185" xr:uid="{00000000-0005-0000-0000-0000B9000000}"/>
    <cellStyle name="Normal 2 2 10" xfId="186" xr:uid="{00000000-0005-0000-0000-0000BA000000}"/>
    <cellStyle name="Normal 2 2 10 2" xfId="187" xr:uid="{00000000-0005-0000-0000-0000BB000000}"/>
    <cellStyle name="Normal 2 2 11" xfId="188" xr:uid="{00000000-0005-0000-0000-0000BC000000}"/>
    <cellStyle name="Normal 2 2 11 2" xfId="189" xr:uid="{00000000-0005-0000-0000-0000BD000000}"/>
    <cellStyle name="Normal 2 2 12" xfId="190" xr:uid="{00000000-0005-0000-0000-0000BE000000}"/>
    <cellStyle name="Normal 2 2 12 2" xfId="191" xr:uid="{00000000-0005-0000-0000-0000BF000000}"/>
    <cellStyle name="Normal 2 2 12 2 2" xfId="192" xr:uid="{00000000-0005-0000-0000-0000C0000000}"/>
    <cellStyle name="Normal 2 2 12 2 3" xfId="193" xr:uid="{00000000-0005-0000-0000-0000C1000000}"/>
    <cellStyle name="Normal 2 2 12 2 4" xfId="194" xr:uid="{00000000-0005-0000-0000-0000C2000000}"/>
    <cellStyle name="Normal 2 2 12 3" xfId="195" xr:uid="{00000000-0005-0000-0000-0000C3000000}"/>
    <cellStyle name="Normal 2 2 12 4" xfId="196" xr:uid="{00000000-0005-0000-0000-0000C4000000}"/>
    <cellStyle name="Normal 2 2 13" xfId="197" xr:uid="{00000000-0005-0000-0000-0000C5000000}"/>
    <cellStyle name="Normal 2 2 13 2" xfId="198" xr:uid="{00000000-0005-0000-0000-0000C6000000}"/>
    <cellStyle name="Normal 2 2 13 2 2" xfId="199" xr:uid="{00000000-0005-0000-0000-0000C7000000}"/>
    <cellStyle name="Normal 2 2 13 2 3" xfId="200" xr:uid="{00000000-0005-0000-0000-0000C8000000}"/>
    <cellStyle name="Normal 2 2 13 2 4" xfId="201" xr:uid="{00000000-0005-0000-0000-0000C9000000}"/>
    <cellStyle name="Normal 2 2 13 3" xfId="202" xr:uid="{00000000-0005-0000-0000-0000CA000000}"/>
    <cellStyle name="Normal 2 2 13 4" xfId="203" xr:uid="{00000000-0005-0000-0000-0000CB000000}"/>
    <cellStyle name="Normal 2 2 14" xfId="204" xr:uid="{00000000-0005-0000-0000-0000CC000000}"/>
    <cellStyle name="Normal 2 2 14 2" xfId="205" xr:uid="{00000000-0005-0000-0000-0000CD000000}"/>
    <cellStyle name="Normal 2 2 15" xfId="206" xr:uid="{00000000-0005-0000-0000-0000CE000000}"/>
    <cellStyle name="Normal 2 2 15 2" xfId="207" xr:uid="{00000000-0005-0000-0000-0000CF000000}"/>
    <cellStyle name="Normal 2 2 16" xfId="208" xr:uid="{00000000-0005-0000-0000-0000D0000000}"/>
    <cellStyle name="Normal 2 2 16 2" xfId="209" xr:uid="{00000000-0005-0000-0000-0000D1000000}"/>
    <cellStyle name="Normal 2 2 16 3" xfId="210" xr:uid="{00000000-0005-0000-0000-0000D2000000}"/>
    <cellStyle name="Normal 2 2 17" xfId="211" xr:uid="{00000000-0005-0000-0000-0000D3000000}"/>
    <cellStyle name="Normal 2 2 18" xfId="212" xr:uid="{00000000-0005-0000-0000-0000D4000000}"/>
    <cellStyle name="Normal 2 2 19" xfId="213" xr:uid="{00000000-0005-0000-0000-0000D5000000}"/>
    <cellStyle name="Normal 2 2 2" xfId="214" xr:uid="{00000000-0005-0000-0000-0000D6000000}"/>
    <cellStyle name="Normal 2 2 2 2" xfId="215" xr:uid="{00000000-0005-0000-0000-0000D7000000}"/>
    <cellStyle name="Normal 2 2 2 2 2" xfId="216" xr:uid="{00000000-0005-0000-0000-0000D8000000}"/>
    <cellStyle name="Normal 2 2 2 2 3" xfId="217" xr:uid="{00000000-0005-0000-0000-0000D9000000}"/>
    <cellStyle name="Normal 2 2 2 2 3 2" xfId="218" xr:uid="{00000000-0005-0000-0000-0000DA000000}"/>
    <cellStyle name="Normal 2 2 2 2 3 3" xfId="219" xr:uid="{00000000-0005-0000-0000-0000DB000000}"/>
    <cellStyle name="Normal 2 2 2 3" xfId="220" xr:uid="{00000000-0005-0000-0000-0000DC000000}"/>
    <cellStyle name="Normal 2 2 2 3 2" xfId="221" xr:uid="{00000000-0005-0000-0000-0000DD000000}"/>
    <cellStyle name="Normal 2 2 2 3 3" xfId="222" xr:uid="{00000000-0005-0000-0000-0000DE000000}"/>
    <cellStyle name="Normal 2 2 2 3 4" xfId="223" xr:uid="{00000000-0005-0000-0000-0000DF000000}"/>
    <cellStyle name="Normal 2 2 2 4" xfId="224" xr:uid="{00000000-0005-0000-0000-0000E0000000}"/>
    <cellStyle name="Normal 2 2 2 4 2" xfId="225" xr:uid="{00000000-0005-0000-0000-0000E1000000}"/>
    <cellStyle name="Normal 2 2 2 5" xfId="226" xr:uid="{00000000-0005-0000-0000-0000E2000000}"/>
    <cellStyle name="Normal 2 2 2 5 2" xfId="227" xr:uid="{00000000-0005-0000-0000-0000E3000000}"/>
    <cellStyle name="Normal 2 2 2 5 3" xfId="228" xr:uid="{00000000-0005-0000-0000-0000E4000000}"/>
    <cellStyle name="Normal 2 2 2 5 4" xfId="229" xr:uid="{00000000-0005-0000-0000-0000E5000000}"/>
    <cellStyle name="Normal 2 2 2 6" xfId="230" xr:uid="{00000000-0005-0000-0000-0000E6000000}"/>
    <cellStyle name="Normal 2 2 2 6 2" xfId="231" xr:uid="{00000000-0005-0000-0000-0000E7000000}"/>
    <cellStyle name="Normal 2 2 2 7" xfId="232" xr:uid="{00000000-0005-0000-0000-0000E8000000}"/>
    <cellStyle name="Normal 2 2 2 7 2" xfId="233" xr:uid="{00000000-0005-0000-0000-0000E9000000}"/>
    <cellStyle name="Normal 2 2 2 7 3" xfId="234" xr:uid="{00000000-0005-0000-0000-0000EA000000}"/>
    <cellStyle name="Normal 2 2 2 8" xfId="235" xr:uid="{00000000-0005-0000-0000-0000EB000000}"/>
    <cellStyle name="Normal 2 2 20" xfId="236" xr:uid="{00000000-0005-0000-0000-0000EC000000}"/>
    <cellStyle name="Normal 2 2 21" xfId="237" xr:uid="{00000000-0005-0000-0000-0000ED000000}"/>
    <cellStyle name="Normal 2 2 22" xfId="238" xr:uid="{00000000-0005-0000-0000-0000EE000000}"/>
    <cellStyle name="Normal 2 2 3" xfId="239" xr:uid="{00000000-0005-0000-0000-0000EF000000}"/>
    <cellStyle name="Normal 2 2 3 2" xfId="240" xr:uid="{00000000-0005-0000-0000-0000F0000000}"/>
    <cellStyle name="Normal 2 2 4" xfId="241" xr:uid="{00000000-0005-0000-0000-0000F1000000}"/>
    <cellStyle name="Normal 2 2 4 2" xfId="242" xr:uid="{00000000-0005-0000-0000-0000F2000000}"/>
    <cellStyle name="Normal 2 2 5" xfId="243" xr:uid="{00000000-0005-0000-0000-0000F3000000}"/>
    <cellStyle name="Normal 2 2 5 2" xfId="244" xr:uid="{00000000-0005-0000-0000-0000F4000000}"/>
    <cellStyle name="Normal 2 2 6" xfId="245" xr:uid="{00000000-0005-0000-0000-0000F5000000}"/>
    <cellStyle name="Normal 2 2 6 2" xfId="246" xr:uid="{00000000-0005-0000-0000-0000F6000000}"/>
    <cellStyle name="Normal 2 2 7" xfId="247" xr:uid="{00000000-0005-0000-0000-0000F7000000}"/>
    <cellStyle name="Normal 2 2 7 2" xfId="248" xr:uid="{00000000-0005-0000-0000-0000F8000000}"/>
    <cellStyle name="Normal 2 2 8" xfId="249" xr:uid="{00000000-0005-0000-0000-0000F9000000}"/>
    <cellStyle name="Normal 2 2 8 2" xfId="250" xr:uid="{00000000-0005-0000-0000-0000FA000000}"/>
    <cellStyle name="Normal 2 2 9" xfId="251" xr:uid="{00000000-0005-0000-0000-0000FB000000}"/>
    <cellStyle name="Normal 2 2 9 2" xfId="252" xr:uid="{00000000-0005-0000-0000-0000FC000000}"/>
    <cellStyle name="Normal 2 3" xfId="253" xr:uid="{00000000-0005-0000-0000-0000FD000000}"/>
    <cellStyle name="Normal 2 3 10" xfId="254" xr:uid="{00000000-0005-0000-0000-0000FE000000}"/>
    <cellStyle name="Normal 2 3 11" xfId="255" xr:uid="{00000000-0005-0000-0000-0000FF000000}"/>
    <cellStyle name="Normal 2 3 12" xfId="256" xr:uid="{00000000-0005-0000-0000-000000010000}"/>
    <cellStyle name="Normal 2 3 13" xfId="257" xr:uid="{00000000-0005-0000-0000-000001010000}"/>
    <cellStyle name="Normal 2 3 14" xfId="258" xr:uid="{00000000-0005-0000-0000-000002010000}"/>
    <cellStyle name="Normal 2 3 15" xfId="259" xr:uid="{00000000-0005-0000-0000-000003010000}"/>
    <cellStyle name="Normal 2 3 2" xfId="260" xr:uid="{00000000-0005-0000-0000-000004010000}"/>
    <cellStyle name="Normal 2 3 2 2" xfId="261" xr:uid="{00000000-0005-0000-0000-000005010000}"/>
    <cellStyle name="Normal 2 3 2 2 2" xfId="262" xr:uid="{00000000-0005-0000-0000-000006010000}"/>
    <cellStyle name="Normal 2 3 2 2 3" xfId="263" xr:uid="{00000000-0005-0000-0000-000007010000}"/>
    <cellStyle name="Normal 2 3 2 3" xfId="264" xr:uid="{00000000-0005-0000-0000-000008010000}"/>
    <cellStyle name="Normal 2 3 2 4" xfId="265" xr:uid="{00000000-0005-0000-0000-000009010000}"/>
    <cellStyle name="Normal 2 3 2 5" xfId="266" xr:uid="{00000000-0005-0000-0000-00000A010000}"/>
    <cellStyle name="Normal 2 3 3" xfId="267" xr:uid="{00000000-0005-0000-0000-00000B010000}"/>
    <cellStyle name="Normal 2 3 3 2" xfId="268" xr:uid="{00000000-0005-0000-0000-00000C010000}"/>
    <cellStyle name="Normal 2 3 3 3" xfId="269" xr:uid="{00000000-0005-0000-0000-00000D010000}"/>
    <cellStyle name="Normal 2 3 4" xfId="270" xr:uid="{00000000-0005-0000-0000-00000E010000}"/>
    <cellStyle name="Normal 2 3 5" xfId="271" xr:uid="{00000000-0005-0000-0000-00000F010000}"/>
    <cellStyle name="Normal 2 3 6" xfId="272" xr:uid="{00000000-0005-0000-0000-000010010000}"/>
    <cellStyle name="Normal 2 3 7" xfId="273" xr:uid="{00000000-0005-0000-0000-000011010000}"/>
    <cellStyle name="Normal 2 3 8" xfId="274" xr:uid="{00000000-0005-0000-0000-000012010000}"/>
    <cellStyle name="Normal 2 3 9" xfId="275" xr:uid="{00000000-0005-0000-0000-000013010000}"/>
    <cellStyle name="Normal 2 4" xfId="276" xr:uid="{00000000-0005-0000-0000-000014010000}"/>
    <cellStyle name="Normal 2 4 10" xfId="277" xr:uid="{00000000-0005-0000-0000-000015010000}"/>
    <cellStyle name="Normal 2 4 11" xfId="278" xr:uid="{00000000-0005-0000-0000-000016010000}"/>
    <cellStyle name="Normal 2 4 12" xfId="279" xr:uid="{00000000-0005-0000-0000-000017010000}"/>
    <cellStyle name="Normal 2 4 12 2" xfId="280" xr:uid="{00000000-0005-0000-0000-000018010000}"/>
    <cellStyle name="Normal 2 4 12 3" xfId="281" xr:uid="{00000000-0005-0000-0000-000019010000}"/>
    <cellStyle name="Normal 2 4 13" xfId="282" xr:uid="{00000000-0005-0000-0000-00001A010000}"/>
    <cellStyle name="Normal 2 4 13 2" xfId="283" xr:uid="{00000000-0005-0000-0000-00001B010000}"/>
    <cellStyle name="Normal 2 4 13 3" xfId="284" xr:uid="{00000000-0005-0000-0000-00001C010000}"/>
    <cellStyle name="Normal 2 4 2" xfId="285" xr:uid="{00000000-0005-0000-0000-00001D010000}"/>
    <cellStyle name="Normal 2 4 2 2" xfId="286" xr:uid="{00000000-0005-0000-0000-00001E010000}"/>
    <cellStyle name="Normal 2 4 2 2 2" xfId="287" xr:uid="{00000000-0005-0000-0000-00001F010000}"/>
    <cellStyle name="Normal 2 4 2 2 3" xfId="288" xr:uid="{00000000-0005-0000-0000-000020010000}"/>
    <cellStyle name="Normal 2 4 2 3" xfId="289" xr:uid="{00000000-0005-0000-0000-000021010000}"/>
    <cellStyle name="Normal 2 4 2 4" xfId="290" xr:uid="{00000000-0005-0000-0000-000022010000}"/>
    <cellStyle name="Normal 2 4 2 5" xfId="291" xr:uid="{00000000-0005-0000-0000-000023010000}"/>
    <cellStyle name="Normal 2 4 3" xfId="292" xr:uid="{00000000-0005-0000-0000-000024010000}"/>
    <cellStyle name="Normal 2 4 3 2" xfId="293" xr:uid="{00000000-0005-0000-0000-000025010000}"/>
    <cellStyle name="Normal 2 4 3 3" xfId="294" xr:uid="{00000000-0005-0000-0000-000026010000}"/>
    <cellStyle name="Normal 2 4 4" xfId="295" xr:uid="{00000000-0005-0000-0000-000027010000}"/>
    <cellStyle name="Normal 2 4 5" xfId="296" xr:uid="{00000000-0005-0000-0000-000028010000}"/>
    <cellStyle name="Normal 2 4 6" xfId="297" xr:uid="{00000000-0005-0000-0000-000029010000}"/>
    <cellStyle name="Normal 2 4 7" xfId="298" xr:uid="{00000000-0005-0000-0000-00002A010000}"/>
    <cellStyle name="Normal 2 4 8" xfId="299" xr:uid="{00000000-0005-0000-0000-00002B010000}"/>
    <cellStyle name="Normal 2 4 9" xfId="300" xr:uid="{00000000-0005-0000-0000-00002C010000}"/>
    <cellStyle name="Normal 2 5" xfId="301" xr:uid="{00000000-0005-0000-0000-00002D010000}"/>
    <cellStyle name="Normal 2 5 10" xfId="302" xr:uid="{00000000-0005-0000-0000-00002E010000}"/>
    <cellStyle name="Normal 2 5 11" xfId="303" xr:uid="{00000000-0005-0000-0000-00002F010000}"/>
    <cellStyle name="Normal 2 5 12" xfId="304" xr:uid="{00000000-0005-0000-0000-000030010000}"/>
    <cellStyle name="Normal 2 5 12 2" xfId="305" xr:uid="{00000000-0005-0000-0000-000031010000}"/>
    <cellStyle name="Normal 2 5 12 3" xfId="306" xr:uid="{00000000-0005-0000-0000-000032010000}"/>
    <cellStyle name="Normal 2 5 2" xfId="307" xr:uid="{00000000-0005-0000-0000-000033010000}"/>
    <cellStyle name="Normal 2 5 2 2" xfId="308" xr:uid="{00000000-0005-0000-0000-000034010000}"/>
    <cellStyle name="Normal 2 5 3" xfId="309" xr:uid="{00000000-0005-0000-0000-000035010000}"/>
    <cellStyle name="Normal 2 5 3 2" xfId="310" xr:uid="{00000000-0005-0000-0000-000036010000}"/>
    <cellStyle name="Normal 2 5 4" xfId="311" xr:uid="{00000000-0005-0000-0000-000037010000}"/>
    <cellStyle name="Normal 2 5 5" xfId="312" xr:uid="{00000000-0005-0000-0000-000038010000}"/>
    <cellStyle name="Normal 2 5 6" xfId="313" xr:uid="{00000000-0005-0000-0000-000039010000}"/>
    <cellStyle name="Normal 2 5 7" xfId="314" xr:uid="{00000000-0005-0000-0000-00003A010000}"/>
    <cellStyle name="Normal 2 5 8" xfId="315" xr:uid="{00000000-0005-0000-0000-00003B010000}"/>
    <cellStyle name="Normal 2 5 9" xfId="316" xr:uid="{00000000-0005-0000-0000-00003C010000}"/>
    <cellStyle name="Normal 2 6" xfId="317" xr:uid="{00000000-0005-0000-0000-00003D010000}"/>
    <cellStyle name="Normal 2 6 10" xfId="318" xr:uid="{00000000-0005-0000-0000-00003E010000}"/>
    <cellStyle name="Normal 2 6 11" xfId="319" xr:uid="{00000000-0005-0000-0000-00003F010000}"/>
    <cellStyle name="Normal 2 6 12" xfId="320" xr:uid="{00000000-0005-0000-0000-000040010000}"/>
    <cellStyle name="Normal 2 6 2" xfId="321" xr:uid="{00000000-0005-0000-0000-000041010000}"/>
    <cellStyle name="Normal 2 6 2 2" xfId="322" xr:uid="{00000000-0005-0000-0000-000042010000}"/>
    <cellStyle name="Normal 2 6 3" xfId="323" xr:uid="{00000000-0005-0000-0000-000043010000}"/>
    <cellStyle name="Normal 2 6 3 2" xfId="324" xr:uid="{00000000-0005-0000-0000-000044010000}"/>
    <cellStyle name="Normal 2 6 4" xfId="325" xr:uid="{00000000-0005-0000-0000-000045010000}"/>
    <cellStyle name="Normal 2 6 5" xfId="326" xr:uid="{00000000-0005-0000-0000-000046010000}"/>
    <cellStyle name="Normal 2 6 6" xfId="327" xr:uid="{00000000-0005-0000-0000-000047010000}"/>
    <cellStyle name="Normal 2 6 7" xfId="328" xr:uid="{00000000-0005-0000-0000-000048010000}"/>
    <cellStyle name="Normal 2 6 8" xfId="329" xr:uid="{00000000-0005-0000-0000-000049010000}"/>
    <cellStyle name="Normal 2 6 9" xfId="330" xr:uid="{00000000-0005-0000-0000-00004A010000}"/>
    <cellStyle name="Normal 2 7" xfId="331" xr:uid="{00000000-0005-0000-0000-00004B010000}"/>
    <cellStyle name="Normal 2 7 10" xfId="332" xr:uid="{00000000-0005-0000-0000-00004C010000}"/>
    <cellStyle name="Normal 2 7 11" xfId="333" xr:uid="{00000000-0005-0000-0000-00004D010000}"/>
    <cellStyle name="Normal 2 7 2" xfId="334" xr:uid="{00000000-0005-0000-0000-00004E010000}"/>
    <cellStyle name="Normal 2 7 2 2" xfId="335" xr:uid="{00000000-0005-0000-0000-00004F010000}"/>
    <cellStyle name="Normal 2 7 2 3" xfId="336" xr:uid="{00000000-0005-0000-0000-000050010000}"/>
    <cellStyle name="Normal 2 7 3" xfId="337" xr:uid="{00000000-0005-0000-0000-000051010000}"/>
    <cellStyle name="Normal 2 7 3 2" xfId="338" xr:uid="{00000000-0005-0000-0000-000052010000}"/>
    <cellStyle name="Normal 2 7 4" xfId="339" xr:uid="{00000000-0005-0000-0000-000053010000}"/>
    <cellStyle name="Normal 2 7 4 2" xfId="340" xr:uid="{00000000-0005-0000-0000-000054010000}"/>
    <cellStyle name="Normal 2 7 5" xfId="341" xr:uid="{00000000-0005-0000-0000-000055010000}"/>
    <cellStyle name="Normal 2 7 5 2" xfId="342" xr:uid="{00000000-0005-0000-0000-000056010000}"/>
    <cellStyle name="Normal 2 7 6" xfId="343" xr:uid="{00000000-0005-0000-0000-000057010000}"/>
    <cellStyle name="Normal 2 7 6 2" xfId="344" xr:uid="{00000000-0005-0000-0000-000058010000}"/>
    <cellStyle name="Normal 2 7 7" xfId="345" xr:uid="{00000000-0005-0000-0000-000059010000}"/>
    <cellStyle name="Normal 2 7 7 2" xfId="346" xr:uid="{00000000-0005-0000-0000-00005A010000}"/>
    <cellStyle name="Normal 2 7 8" xfId="347" xr:uid="{00000000-0005-0000-0000-00005B010000}"/>
    <cellStyle name="Normal 2 7 8 2" xfId="348" xr:uid="{00000000-0005-0000-0000-00005C010000}"/>
    <cellStyle name="Normal 2 7 9" xfId="349" xr:uid="{00000000-0005-0000-0000-00005D010000}"/>
    <cellStyle name="Normal 2 8" xfId="350" xr:uid="{00000000-0005-0000-0000-00005E010000}"/>
    <cellStyle name="Normal 2 8 10" xfId="351" xr:uid="{00000000-0005-0000-0000-00005F010000}"/>
    <cellStyle name="Normal 2 8 11" xfId="352" xr:uid="{00000000-0005-0000-0000-000060010000}"/>
    <cellStyle name="Normal 2 8 2" xfId="353" xr:uid="{00000000-0005-0000-0000-000061010000}"/>
    <cellStyle name="Normal 2 8 2 2" xfId="354" xr:uid="{00000000-0005-0000-0000-000062010000}"/>
    <cellStyle name="Normal 2 8 3" xfId="355" xr:uid="{00000000-0005-0000-0000-000063010000}"/>
    <cellStyle name="Normal 2 8 3 2" xfId="356" xr:uid="{00000000-0005-0000-0000-000064010000}"/>
    <cellStyle name="Normal 2 8 4" xfId="357" xr:uid="{00000000-0005-0000-0000-000065010000}"/>
    <cellStyle name="Normal 2 8 4 2" xfId="358" xr:uid="{00000000-0005-0000-0000-000066010000}"/>
    <cellStyle name="Normal 2 8 5" xfId="359" xr:uid="{00000000-0005-0000-0000-000067010000}"/>
    <cellStyle name="Normal 2 8 5 2" xfId="360" xr:uid="{00000000-0005-0000-0000-000068010000}"/>
    <cellStyle name="Normal 2 8 6" xfId="361" xr:uid="{00000000-0005-0000-0000-000069010000}"/>
    <cellStyle name="Normal 2 8 6 2" xfId="362" xr:uid="{00000000-0005-0000-0000-00006A010000}"/>
    <cellStyle name="Normal 2 8 7" xfId="363" xr:uid="{00000000-0005-0000-0000-00006B010000}"/>
    <cellStyle name="Normal 2 8 7 2" xfId="364" xr:uid="{00000000-0005-0000-0000-00006C010000}"/>
    <cellStyle name="Normal 2 8 8" xfId="365" xr:uid="{00000000-0005-0000-0000-00006D010000}"/>
    <cellStyle name="Normal 2 8 8 2" xfId="366" xr:uid="{00000000-0005-0000-0000-00006E010000}"/>
    <cellStyle name="Normal 2 8 9" xfId="367" xr:uid="{00000000-0005-0000-0000-00006F010000}"/>
    <cellStyle name="Normal 2 9" xfId="368" xr:uid="{00000000-0005-0000-0000-000070010000}"/>
    <cellStyle name="Normal 2 9 10" xfId="369" xr:uid="{00000000-0005-0000-0000-000071010000}"/>
    <cellStyle name="Normal 2 9 11" xfId="370" xr:uid="{00000000-0005-0000-0000-000072010000}"/>
    <cellStyle name="Normal 2 9 2" xfId="371" xr:uid="{00000000-0005-0000-0000-000073010000}"/>
    <cellStyle name="Normal 2 9 2 2" xfId="372" xr:uid="{00000000-0005-0000-0000-000074010000}"/>
    <cellStyle name="Normal 2 9 3" xfId="373" xr:uid="{00000000-0005-0000-0000-000075010000}"/>
    <cellStyle name="Normal 2 9 3 2" xfId="374" xr:uid="{00000000-0005-0000-0000-000076010000}"/>
    <cellStyle name="Normal 2 9 4" xfId="375" xr:uid="{00000000-0005-0000-0000-000077010000}"/>
    <cellStyle name="Normal 2 9 4 2" xfId="376" xr:uid="{00000000-0005-0000-0000-000078010000}"/>
    <cellStyle name="Normal 2 9 5" xfId="377" xr:uid="{00000000-0005-0000-0000-000079010000}"/>
    <cellStyle name="Normal 2 9 5 2" xfId="378" xr:uid="{00000000-0005-0000-0000-00007A010000}"/>
    <cellStyle name="Normal 2 9 6" xfId="379" xr:uid="{00000000-0005-0000-0000-00007B010000}"/>
    <cellStyle name="Normal 2 9 6 2" xfId="380" xr:uid="{00000000-0005-0000-0000-00007C010000}"/>
    <cellStyle name="Normal 2 9 7" xfId="381" xr:uid="{00000000-0005-0000-0000-00007D010000}"/>
    <cellStyle name="Normal 2 9 7 2" xfId="382" xr:uid="{00000000-0005-0000-0000-00007E010000}"/>
    <cellStyle name="Normal 2 9 8" xfId="383" xr:uid="{00000000-0005-0000-0000-00007F010000}"/>
    <cellStyle name="Normal 2 9 8 2" xfId="384" xr:uid="{00000000-0005-0000-0000-000080010000}"/>
    <cellStyle name="Normal 2 9 9" xfId="385" xr:uid="{00000000-0005-0000-0000-000081010000}"/>
    <cellStyle name="Normal 20" xfId="386" xr:uid="{00000000-0005-0000-0000-000082010000}"/>
    <cellStyle name="Normal 20 2" xfId="387" xr:uid="{00000000-0005-0000-0000-000083010000}"/>
    <cellStyle name="Normal 20 3" xfId="388" xr:uid="{00000000-0005-0000-0000-000084010000}"/>
    <cellStyle name="Normal 21" xfId="389" xr:uid="{00000000-0005-0000-0000-000085010000}"/>
    <cellStyle name="Normal 21 2" xfId="390" xr:uid="{00000000-0005-0000-0000-000086010000}"/>
    <cellStyle name="Normal 21 2 2" xfId="391" xr:uid="{00000000-0005-0000-0000-000087010000}"/>
    <cellStyle name="Normal 21 2 3" xfId="392" xr:uid="{00000000-0005-0000-0000-000088010000}"/>
    <cellStyle name="Normal 21 3" xfId="393" xr:uid="{00000000-0005-0000-0000-000089010000}"/>
    <cellStyle name="Normal 21 4" xfId="394" xr:uid="{00000000-0005-0000-0000-00008A010000}"/>
    <cellStyle name="Normal 21 5" xfId="395" xr:uid="{00000000-0005-0000-0000-00008B010000}"/>
    <cellStyle name="Normal 22" xfId="396" xr:uid="{00000000-0005-0000-0000-00008C010000}"/>
    <cellStyle name="Normal 22 2" xfId="397" xr:uid="{00000000-0005-0000-0000-00008D010000}"/>
    <cellStyle name="Normal 22 3" xfId="398" xr:uid="{00000000-0005-0000-0000-00008E010000}"/>
    <cellStyle name="Normal 23" xfId="399" xr:uid="{00000000-0005-0000-0000-00008F010000}"/>
    <cellStyle name="Normal 23 2" xfId="400" xr:uid="{00000000-0005-0000-0000-000090010000}"/>
    <cellStyle name="Normal 23 3" xfId="401" xr:uid="{00000000-0005-0000-0000-000091010000}"/>
    <cellStyle name="Normal 24" xfId="402" xr:uid="{00000000-0005-0000-0000-000092010000}"/>
    <cellStyle name="Normal 24 2" xfId="403" xr:uid="{00000000-0005-0000-0000-000093010000}"/>
    <cellStyle name="Normal 24 3" xfId="404" xr:uid="{00000000-0005-0000-0000-000094010000}"/>
    <cellStyle name="Normal 25" xfId="405" xr:uid="{00000000-0005-0000-0000-000095010000}"/>
    <cellStyle name="Normal 25 2" xfId="406" xr:uid="{00000000-0005-0000-0000-000096010000}"/>
    <cellStyle name="Normal 25 3" xfId="407" xr:uid="{00000000-0005-0000-0000-000097010000}"/>
    <cellStyle name="Normal 26" xfId="408" xr:uid="{00000000-0005-0000-0000-000098010000}"/>
    <cellStyle name="Normal 27" xfId="409" xr:uid="{00000000-0005-0000-0000-000099010000}"/>
    <cellStyle name="Normal 27 2" xfId="410" xr:uid="{00000000-0005-0000-0000-00009A010000}"/>
    <cellStyle name="Normal 29" xfId="521" xr:uid="{D2E9179A-93AC-4EEF-9241-B698A9DEBE7C}"/>
    <cellStyle name="Normal 3 10" xfId="411" xr:uid="{00000000-0005-0000-0000-00009B010000}"/>
    <cellStyle name="Normal 3 10 2" xfId="412" xr:uid="{00000000-0005-0000-0000-00009C010000}"/>
    <cellStyle name="Normal 3 11" xfId="413" xr:uid="{00000000-0005-0000-0000-00009D010000}"/>
    <cellStyle name="Normal 3 12" xfId="414" xr:uid="{00000000-0005-0000-0000-00009E010000}"/>
    <cellStyle name="Normal 3 13" xfId="415" xr:uid="{00000000-0005-0000-0000-00009F010000}"/>
    <cellStyle name="Normal 3 14" xfId="416" xr:uid="{00000000-0005-0000-0000-0000A0010000}"/>
    <cellStyle name="Normal 3 15" xfId="417" xr:uid="{00000000-0005-0000-0000-0000A1010000}"/>
    <cellStyle name="Normal 3 2" xfId="418" xr:uid="{00000000-0005-0000-0000-0000A2010000}"/>
    <cellStyle name="Normal 3 2 2" xfId="419" xr:uid="{00000000-0005-0000-0000-0000A3010000}"/>
    <cellStyle name="Normal 3 2 2 2" xfId="420" xr:uid="{00000000-0005-0000-0000-0000A4010000}"/>
    <cellStyle name="Normal 3 2 2 3" xfId="421" xr:uid="{00000000-0005-0000-0000-0000A5010000}"/>
    <cellStyle name="Normal 3 2 3" xfId="422" xr:uid="{00000000-0005-0000-0000-0000A6010000}"/>
    <cellStyle name="Normal 3 2 4" xfId="423" xr:uid="{00000000-0005-0000-0000-0000A7010000}"/>
    <cellStyle name="Normal 3 2 5" xfId="424" xr:uid="{00000000-0005-0000-0000-0000A8010000}"/>
    <cellStyle name="Normal 3 3" xfId="425" xr:uid="{00000000-0005-0000-0000-0000A9010000}"/>
    <cellStyle name="Normal 3 3 2" xfId="426" xr:uid="{00000000-0005-0000-0000-0000AA010000}"/>
    <cellStyle name="Normal 3 3 2 2" xfId="427" xr:uid="{00000000-0005-0000-0000-0000AB010000}"/>
    <cellStyle name="Normal 3 3 2 3" xfId="428" xr:uid="{00000000-0005-0000-0000-0000AC010000}"/>
    <cellStyle name="Normal 3 3 3" xfId="429" xr:uid="{00000000-0005-0000-0000-0000AD010000}"/>
    <cellStyle name="Normal 3 3 4" xfId="430" xr:uid="{00000000-0005-0000-0000-0000AE010000}"/>
    <cellStyle name="Normal 3 4" xfId="431" xr:uid="{00000000-0005-0000-0000-0000AF010000}"/>
    <cellStyle name="Normal 3 5" xfId="432" xr:uid="{00000000-0005-0000-0000-0000B0010000}"/>
    <cellStyle name="Normal 3 6" xfId="433" xr:uid="{00000000-0005-0000-0000-0000B1010000}"/>
    <cellStyle name="Normal 3 7" xfId="434" xr:uid="{00000000-0005-0000-0000-0000B2010000}"/>
    <cellStyle name="Normal 3 7 2" xfId="435" xr:uid="{00000000-0005-0000-0000-0000B3010000}"/>
    <cellStyle name="Normal 3 7 3" xfId="436" xr:uid="{00000000-0005-0000-0000-0000B4010000}"/>
    <cellStyle name="Normal 3 8" xfId="437" xr:uid="{00000000-0005-0000-0000-0000B5010000}"/>
    <cellStyle name="Normal 3 8 2" xfId="438" xr:uid="{00000000-0005-0000-0000-0000B6010000}"/>
    <cellStyle name="Normal 3 8 3" xfId="439" xr:uid="{00000000-0005-0000-0000-0000B7010000}"/>
    <cellStyle name="Normal 3 9" xfId="440" xr:uid="{00000000-0005-0000-0000-0000B8010000}"/>
    <cellStyle name="Normal 3 9 2" xfId="441" xr:uid="{00000000-0005-0000-0000-0000B9010000}"/>
    <cellStyle name="Normal 3 9 3" xfId="442" xr:uid="{00000000-0005-0000-0000-0000BA010000}"/>
    <cellStyle name="Normal 4 10" xfId="443" xr:uid="{00000000-0005-0000-0000-0000BB010000}"/>
    <cellStyle name="Normal 4 11" xfId="444" xr:uid="{00000000-0005-0000-0000-0000BC010000}"/>
    <cellStyle name="Normal 4 12" xfId="445" xr:uid="{00000000-0005-0000-0000-0000BD010000}"/>
    <cellStyle name="Normal 4 13" xfId="446" xr:uid="{00000000-0005-0000-0000-0000BE010000}"/>
    <cellStyle name="Normal 4 2" xfId="447" xr:uid="{00000000-0005-0000-0000-0000BF010000}"/>
    <cellStyle name="Normal 4 2 2" xfId="448" xr:uid="{00000000-0005-0000-0000-0000C0010000}"/>
    <cellStyle name="Normal 4 2 2 2" xfId="449" xr:uid="{00000000-0005-0000-0000-0000C1010000}"/>
    <cellStyle name="Normal 4 2 2 3" xfId="450" xr:uid="{00000000-0005-0000-0000-0000C2010000}"/>
    <cellStyle name="Normal 4 2 2 3 2" xfId="451" xr:uid="{00000000-0005-0000-0000-0000C3010000}"/>
    <cellStyle name="Normal 4 2 2 3 3" xfId="452" xr:uid="{00000000-0005-0000-0000-0000C4010000}"/>
    <cellStyle name="Normal 4 2 3" xfId="453" xr:uid="{00000000-0005-0000-0000-0000C5010000}"/>
    <cellStyle name="Normal 4 2 4" xfId="454" xr:uid="{00000000-0005-0000-0000-0000C6010000}"/>
    <cellStyle name="Normal 4 2 5" xfId="455" xr:uid="{00000000-0005-0000-0000-0000C7010000}"/>
    <cellStyle name="Normal 4 3" xfId="456" xr:uid="{00000000-0005-0000-0000-0000C8010000}"/>
    <cellStyle name="Normal 4 3 2" xfId="457" xr:uid="{00000000-0005-0000-0000-0000C9010000}"/>
    <cellStyle name="Normal 4 3 3" xfId="458" xr:uid="{00000000-0005-0000-0000-0000CA010000}"/>
    <cellStyle name="Normal 4 4" xfId="459" xr:uid="{00000000-0005-0000-0000-0000CB010000}"/>
    <cellStyle name="Normal 4 5" xfId="460" xr:uid="{00000000-0005-0000-0000-0000CC010000}"/>
    <cellStyle name="Normal 4 5 2" xfId="461" xr:uid="{00000000-0005-0000-0000-0000CD010000}"/>
    <cellStyle name="Normal 4 5 3" xfId="462" xr:uid="{00000000-0005-0000-0000-0000CE010000}"/>
    <cellStyle name="Normal 4 6" xfId="463" xr:uid="{00000000-0005-0000-0000-0000CF010000}"/>
    <cellStyle name="Normal 4 6 2" xfId="464" xr:uid="{00000000-0005-0000-0000-0000D0010000}"/>
    <cellStyle name="Normal 4 6 3" xfId="465" xr:uid="{00000000-0005-0000-0000-0000D1010000}"/>
    <cellStyle name="Normal 4 7" xfId="466" xr:uid="{00000000-0005-0000-0000-0000D2010000}"/>
    <cellStyle name="Normal 4 8" xfId="467" xr:uid="{00000000-0005-0000-0000-0000D3010000}"/>
    <cellStyle name="Normal 4 9" xfId="468" xr:uid="{00000000-0005-0000-0000-0000D4010000}"/>
    <cellStyle name="Normal 5 2" xfId="469" xr:uid="{00000000-0005-0000-0000-0000D5010000}"/>
    <cellStyle name="Normal 5 3" xfId="470" xr:uid="{00000000-0005-0000-0000-0000D6010000}"/>
    <cellStyle name="Normal 5 3 2" xfId="471" xr:uid="{00000000-0005-0000-0000-0000D7010000}"/>
    <cellStyle name="Normal 5 3 3" xfId="472" xr:uid="{00000000-0005-0000-0000-0000D8010000}"/>
    <cellStyle name="Normal 5 4" xfId="473" xr:uid="{00000000-0005-0000-0000-0000D9010000}"/>
    <cellStyle name="Normal 5 5" xfId="474" xr:uid="{00000000-0005-0000-0000-0000DA010000}"/>
    <cellStyle name="Normal 5 5 2" xfId="475" xr:uid="{00000000-0005-0000-0000-0000DB010000}"/>
    <cellStyle name="Normal 5 5 3" xfId="476" xr:uid="{00000000-0005-0000-0000-0000DC010000}"/>
    <cellStyle name="Normal 5 6" xfId="477" xr:uid="{00000000-0005-0000-0000-0000DD010000}"/>
    <cellStyle name="Normal 6" xfId="478" xr:uid="{00000000-0005-0000-0000-0000DE010000}"/>
    <cellStyle name="Normal 6 2" xfId="479" xr:uid="{00000000-0005-0000-0000-0000DF010000}"/>
    <cellStyle name="Normal 6 3" xfId="480" xr:uid="{00000000-0005-0000-0000-0000E0010000}"/>
    <cellStyle name="Normal 6 4" xfId="481" xr:uid="{00000000-0005-0000-0000-0000E1010000}"/>
    <cellStyle name="Normal 6 5" xfId="482" xr:uid="{00000000-0005-0000-0000-0000E2010000}"/>
    <cellStyle name="Normal 7" xfId="483" xr:uid="{00000000-0005-0000-0000-0000E3010000}"/>
    <cellStyle name="Normal 7 2" xfId="484" xr:uid="{00000000-0005-0000-0000-0000E4010000}"/>
    <cellStyle name="Normal 7 2 2" xfId="485" xr:uid="{00000000-0005-0000-0000-0000E5010000}"/>
    <cellStyle name="Normal 7 2 2 2" xfId="486" xr:uid="{00000000-0005-0000-0000-0000E6010000}"/>
    <cellStyle name="Normal 7 2 2 3" xfId="487" xr:uid="{00000000-0005-0000-0000-0000E7010000}"/>
    <cellStyle name="Normal 7 2 3" xfId="488" xr:uid="{00000000-0005-0000-0000-0000E8010000}"/>
    <cellStyle name="Normal 7 2 4" xfId="489" xr:uid="{00000000-0005-0000-0000-0000E9010000}"/>
    <cellStyle name="Normal 7 2 4 2" xfId="490" xr:uid="{00000000-0005-0000-0000-0000EA010000}"/>
    <cellStyle name="Normal 7 2 4 3" xfId="491" xr:uid="{00000000-0005-0000-0000-0000EB010000}"/>
    <cellStyle name="Normal 7 2 5" xfId="492" xr:uid="{00000000-0005-0000-0000-0000EC010000}"/>
    <cellStyle name="Normal 7 3" xfId="493" xr:uid="{00000000-0005-0000-0000-0000ED010000}"/>
    <cellStyle name="Normal 7 4" xfId="494" xr:uid="{00000000-0005-0000-0000-0000EE010000}"/>
    <cellStyle name="Normal 7 4 2" xfId="495" xr:uid="{00000000-0005-0000-0000-0000EF010000}"/>
    <cellStyle name="Normal 7 4 3" xfId="496" xr:uid="{00000000-0005-0000-0000-0000F0010000}"/>
    <cellStyle name="Normal 7 5" xfId="497" xr:uid="{00000000-0005-0000-0000-0000F1010000}"/>
    <cellStyle name="Normal 7 5 2" xfId="498" xr:uid="{00000000-0005-0000-0000-0000F2010000}"/>
    <cellStyle name="Normal 7 5 3" xfId="499" xr:uid="{00000000-0005-0000-0000-0000F3010000}"/>
    <cellStyle name="Normal 7 5 4" xfId="500" xr:uid="{00000000-0005-0000-0000-0000F4010000}"/>
    <cellStyle name="Normal 7 5 5" xfId="501" xr:uid="{00000000-0005-0000-0000-0000F5010000}"/>
    <cellStyle name="Normal 7 6" xfId="502" xr:uid="{00000000-0005-0000-0000-0000F6010000}"/>
    <cellStyle name="Normal 7 7" xfId="503" xr:uid="{00000000-0005-0000-0000-0000F7010000}"/>
    <cellStyle name="Normal 8" xfId="504" xr:uid="{00000000-0005-0000-0000-0000F8010000}"/>
    <cellStyle name="Normal 8 2" xfId="505" xr:uid="{00000000-0005-0000-0000-0000F9010000}"/>
    <cellStyle name="Normal 8 3" xfId="506" xr:uid="{00000000-0005-0000-0000-0000FA010000}"/>
    <cellStyle name="Normal 9" xfId="507" xr:uid="{00000000-0005-0000-0000-0000FB010000}"/>
    <cellStyle name="Normal 9 2" xfId="508" xr:uid="{00000000-0005-0000-0000-0000FC010000}"/>
    <cellStyle name="Normal 9 2 2" xfId="509" xr:uid="{00000000-0005-0000-0000-0000FD010000}"/>
    <cellStyle name="Normal 9 2 3" xfId="510" xr:uid="{00000000-0005-0000-0000-0000FE010000}"/>
    <cellStyle name="Normal 9 3" xfId="511" xr:uid="{00000000-0005-0000-0000-0000FF010000}"/>
    <cellStyle name="Normal 9 4" xfId="512" xr:uid="{00000000-0005-0000-0000-000000020000}"/>
    <cellStyle name="Normal 9 5" xfId="513" xr:uid="{00000000-0005-0000-0000-000001020000}"/>
    <cellStyle name="Normal 9 5 2" xfId="514" xr:uid="{00000000-0005-0000-0000-000002020000}"/>
    <cellStyle name="Normal 9 5 3" xfId="515" xr:uid="{00000000-0005-0000-0000-000003020000}"/>
    <cellStyle name="Normal 9 6" xfId="516" xr:uid="{00000000-0005-0000-0000-000004020000}"/>
    <cellStyle name="Normal 9 6 2" xfId="517" xr:uid="{00000000-0005-0000-0000-000005020000}"/>
    <cellStyle name="Normal 9 6 3" xfId="518" xr:uid="{00000000-0005-0000-0000-000006020000}"/>
    <cellStyle name="Normal_debt" xfId="519" xr:uid="{00000000-0005-0000-0000-000007020000}"/>
    <cellStyle name="Normal_lpform" xfId="520" xr:uid="{00000000-0005-0000-0000-000008020000}"/>
  </cellStyles>
  <dxfs count="72">
    <dxf>
      <font>
        <b/>
        <i val="0"/>
        <color rgb="FFFF0000"/>
      </font>
    </dxf>
    <dxf>
      <font>
        <b/>
        <i val="0"/>
        <strike val="0"/>
      </font>
      <fill>
        <patternFill>
          <bgColor rgb="FFFF0000"/>
        </patternFill>
      </fill>
    </dxf>
    <dxf>
      <font>
        <b/>
        <i val="0"/>
        <strike val="0"/>
      </font>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38100</xdr:rowOff>
    </xdr:from>
    <xdr:to>
      <xdr:col>1</xdr:col>
      <xdr:colOff>209550</xdr:colOff>
      <xdr:row>18</xdr:row>
      <xdr:rowOff>190500</xdr:rowOff>
    </xdr:to>
    <xdr:sp macro="" textlink="">
      <xdr:nvSpPr>
        <xdr:cNvPr id="2" name="Text Box 2">
          <a:extLst>
            <a:ext uri="{FF2B5EF4-FFF2-40B4-BE49-F238E27FC236}">
              <a16:creationId xmlns:a16="http://schemas.microsoft.com/office/drawing/2014/main" id="{D02CB5B3-4A0D-46CB-A1BA-9FE344DECDDE}"/>
            </a:ext>
          </a:extLst>
        </xdr:cNvPr>
        <xdr:cNvSpPr txBox="1"/>
      </xdr:nvSpPr>
      <xdr:spPr>
        <a:xfrm>
          <a:off x="104775" y="5705475"/>
          <a:ext cx="209550" cy="152400"/>
        </a:xfrm>
        <a:prstGeom prst="rect">
          <a:avLst/>
        </a:prstGeom>
        <a:solidFill>
          <a:srgbClr val="00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20</xdr:row>
      <xdr:rowOff>47625</xdr:rowOff>
    </xdr:from>
    <xdr:to>
      <xdr:col>1</xdr:col>
      <xdr:colOff>209550</xdr:colOff>
      <xdr:row>20</xdr:row>
      <xdr:rowOff>200025</xdr:rowOff>
    </xdr:to>
    <xdr:sp macro="" textlink="">
      <xdr:nvSpPr>
        <xdr:cNvPr id="3" name="Text Box 5">
          <a:extLst>
            <a:ext uri="{FF2B5EF4-FFF2-40B4-BE49-F238E27FC236}">
              <a16:creationId xmlns:a16="http://schemas.microsoft.com/office/drawing/2014/main" id="{167E0B58-29C3-4769-AC60-D61F985AB863}"/>
            </a:ext>
          </a:extLst>
        </xdr:cNvPr>
        <xdr:cNvSpPr txBox="1">
          <a:spLocks noChangeArrowheads="1"/>
        </xdr:cNvSpPr>
      </xdr:nvSpPr>
      <xdr:spPr bwMode="auto">
        <a:xfrm>
          <a:off x="104775" y="6076950"/>
          <a:ext cx="209550" cy="152400"/>
        </a:xfrm>
        <a:prstGeom prst="rect">
          <a:avLst/>
        </a:prstGeom>
        <a:solidFill>
          <a:srgbClr val="FFF2CC"/>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 </a:t>
          </a:r>
        </a:p>
      </xdr:txBody>
    </xdr:sp>
    <xdr:clientData/>
  </xdr:twoCellAnchor>
  <xdr:twoCellAnchor>
    <xdr:from>
      <xdr:col>1</xdr:col>
      <xdr:colOff>0</xdr:colOff>
      <xdr:row>22</xdr:row>
      <xdr:rowOff>28575</xdr:rowOff>
    </xdr:from>
    <xdr:to>
      <xdr:col>1</xdr:col>
      <xdr:colOff>209550</xdr:colOff>
      <xdr:row>22</xdr:row>
      <xdr:rowOff>180975</xdr:rowOff>
    </xdr:to>
    <xdr:sp macro="" textlink="">
      <xdr:nvSpPr>
        <xdr:cNvPr id="4" name="Text Box 6">
          <a:extLst>
            <a:ext uri="{FF2B5EF4-FFF2-40B4-BE49-F238E27FC236}">
              <a16:creationId xmlns:a16="http://schemas.microsoft.com/office/drawing/2014/main" id="{2FFFC2CF-91D1-48DA-B530-3AE4418EAE1D}"/>
            </a:ext>
          </a:extLst>
        </xdr:cNvPr>
        <xdr:cNvSpPr txBox="1"/>
      </xdr:nvSpPr>
      <xdr:spPr>
        <a:xfrm>
          <a:off x="104775" y="7077075"/>
          <a:ext cx="209550" cy="152400"/>
        </a:xfrm>
        <a:prstGeom prst="rect">
          <a:avLst/>
        </a:prstGeom>
        <a:solidFill>
          <a:srgbClr val="00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24</xdr:row>
      <xdr:rowOff>28575</xdr:rowOff>
    </xdr:from>
    <xdr:to>
      <xdr:col>1</xdr:col>
      <xdr:colOff>209550</xdr:colOff>
      <xdr:row>24</xdr:row>
      <xdr:rowOff>180975</xdr:rowOff>
    </xdr:to>
    <xdr:sp macro="" textlink="">
      <xdr:nvSpPr>
        <xdr:cNvPr id="5" name="Text Box 7">
          <a:extLst>
            <a:ext uri="{FF2B5EF4-FFF2-40B4-BE49-F238E27FC236}">
              <a16:creationId xmlns:a16="http://schemas.microsoft.com/office/drawing/2014/main" id="{D9BD0D11-33ED-4259-B8F2-317C0A929BB1}"/>
            </a:ext>
          </a:extLst>
        </xdr:cNvPr>
        <xdr:cNvSpPr txBox="1"/>
      </xdr:nvSpPr>
      <xdr:spPr>
        <a:xfrm>
          <a:off x="104775" y="7439025"/>
          <a:ext cx="209550" cy="152400"/>
        </a:xfrm>
        <a:prstGeom prst="rect">
          <a:avLst/>
        </a:prstGeom>
        <a:solidFill>
          <a:srgbClr val="FF00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17</xdr:row>
      <xdr:rowOff>182276</xdr:rowOff>
    </xdr:from>
    <xdr:to>
      <xdr:col>7</xdr:col>
      <xdr:colOff>47625</xdr:colOff>
      <xdr:row>32</xdr:row>
      <xdr:rowOff>9049</xdr:rowOff>
    </xdr:to>
    <xdr:pic>
      <xdr:nvPicPr>
        <xdr:cNvPr id="2" name="Picture 1">
          <a:extLst>
            <a:ext uri="{FF2B5EF4-FFF2-40B4-BE49-F238E27FC236}">
              <a16:creationId xmlns:a16="http://schemas.microsoft.com/office/drawing/2014/main" id="{C23E8038-FDAF-4B79-8433-889C57910C0F}"/>
            </a:ext>
          </a:extLst>
        </xdr:cNvPr>
        <xdr:cNvPicPr>
          <a:picLocks noChangeAspect="1"/>
        </xdr:cNvPicPr>
      </xdr:nvPicPr>
      <xdr:blipFill>
        <a:blip xmlns:r="http://schemas.openxmlformats.org/officeDocument/2006/relationships" r:embed="rId1"/>
        <a:stretch>
          <a:fillRect/>
        </a:stretch>
      </xdr:blipFill>
      <xdr:spPr>
        <a:xfrm>
          <a:off x="180975" y="3249326"/>
          <a:ext cx="5038725" cy="2827148"/>
        </a:xfrm>
        <a:prstGeom prst="rect">
          <a:avLst/>
        </a:prstGeom>
      </xdr:spPr>
    </xdr:pic>
    <xdr:clientData/>
  </xdr:twoCellAnchor>
  <xdr:twoCellAnchor editAs="oneCell">
    <xdr:from>
      <xdr:col>7</xdr:col>
      <xdr:colOff>66675</xdr:colOff>
      <xdr:row>19</xdr:row>
      <xdr:rowOff>180975</xdr:rowOff>
    </xdr:from>
    <xdr:to>
      <xdr:col>13</xdr:col>
      <xdr:colOff>596228</xdr:colOff>
      <xdr:row>31</xdr:row>
      <xdr:rowOff>161925</xdr:rowOff>
    </xdr:to>
    <xdr:pic>
      <xdr:nvPicPr>
        <xdr:cNvPr id="3" name="Picture 2">
          <a:extLst>
            <a:ext uri="{FF2B5EF4-FFF2-40B4-BE49-F238E27FC236}">
              <a16:creationId xmlns:a16="http://schemas.microsoft.com/office/drawing/2014/main" id="{A401F657-339C-4254-9FAE-134230BE6367}"/>
            </a:ext>
          </a:extLst>
        </xdr:cNvPr>
        <xdr:cNvPicPr>
          <a:picLocks noChangeAspect="1"/>
        </xdr:cNvPicPr>
      </xdr:nvPicPr>
      <xdr:blipFill>
        <a:blip xmlns:r="http://schemas.openxmlformats.org/officeDocument/2006/relationships" r:embed="rId2"/>
        <a:stretch>
          <a:fillRect/>
        </a:stretch>
      </xdr:blipFill>
      <xdr:spPr>
        <a:xfrm>
          <a:off x="5238750" y="3648075"/>
          <a:ext cx="5558753" cy="2381250"/>
        </a:xfrm>
        <a:prstGeom prst="rect">
          <a:avLst/>
        </a:prstGeom>
      </xdr:spPr>
    </xdr:pic>
    <xdr:clientData/>
  </xdr:twoCellAnchor>
  <xdr:twoCellAnchor editAs="oneCell">
    <xdr:from>
      <xdr:col>0</xdr:col>
      <xdr:colOff>123826</xdr:colOff>
      <xdr:row>45</xdr:row>
      <xdr:rowOff>35479</xdr:rowOff>
    </xdr:from>
    <xdr:to>
      <xdr:col>6</xdr:col>
      <xdr:colOff>628651</xdr:colOff>
      <xdr:row>56</xdr:row>
      <xdr:rowOff>9246</xdr:rowOff>
    </xdr:to>
    <xdr:pic>
      <xdr:nvPicPr>
        <xdr:cNvPr id="4" name="Picture 3">
          <a:extLst>
            <a:ext uri="{FF2B5EF4-FFF2-40B4-BE49-F238E27FC236}">
              <a16:creationId xmlns:a16="http://schemas.microsoft.com/office/drawing/2014/main" id="{7F176639-5221-4981-B2D0-93A893E4BCAE}"/>
            </a:ext>
          </a:extLst>
        </xdr:cNvPr>
        <xdr:cNvPicPr>
          <a:picLocks noChangeAspect="1"/>
        </xdr:cNvPicPr>
      </xdr:nvPicPr>
      <xdr:blipFill>
        <a:blip xmlns:r="http://schemas.openxmlformats.org/officeDocument/2006/relationships" r:embed="rId3"/>
        <a:stretch>
          <a:fillRect/>
        </a:stretch>
      </xdr:blipFill>
      <xdr:spPr>
        <a:xfrm>
          <a:off x="123826" y="8703229"/>
          <a:ext cx="4838700" cy="2174042"/>
        </a:xfrm>
        <a:prstGeom prst="rect">
          <a:avLst/>
        </a:prstGeom>
      </xdr:spPr>
    </xdr:pic>
    <xdr:clientData/>
  </xdr:twoCellAnchor>
  <xdr:twoCellAnchor editAs="oneCell">
    <xdr:from>
      <xdr:col>7</xdr:col>
      <xdr:colOff>47626</xdr:colOff>
      <xdr:row>44</xdr:row>
      <xdr:rowOff>92161</xdr:rowOff>
    </xdr:from>
    <xdr:to>
      <xdr:col>13</xdr:col>
      <xdr:colOff>485776</xdr:colOff>
      <xdr:row>55</xdr:row>
      <xdr:rowOff>85725</xdr:rowOff>
    </xdr:to>
    <xdr:pic>
      <xdr:nvPicPr>
        <xdr:cNvPr id="5" name="Picture 4">
          <a:extLst>
            <a:ext uri="{FF2B5EF4-FFF2-40B4-BE49-F238E27FC236}">
              <a16:creationId xmlns:a16="http://schemas.microsoft.com/office/drawing/2014/main" id="{D3027B21-60C0-4C4D-A803-9B3CD01D3236}"/>
            </a:ext>
          </a:extLst>
        </xdr:cNvPr>
        <xdr:cNvPicPr>
          <a:picLocks noChangeAspect="1"/>
        </xdr:cNvPicPr>
      </xdr:nvPicPr>
      <xdr:blipFill>
        <a:blip xmlns:r="http://schemas.openxmlformats.org/officeDocument/2006/relationships" r:embed="rId4"/>
        <a:stretch>
          <a:fillRect/>
        </a:stretch>
      </xdr:blipFill>
      <xdr:spPr>
        <a:xfrm>
          <a:off x="5219701" y="8559886"/>
          <a:ext cx="5467350" cy="2193839"/>
        </a:xfrm>
        <a:prstGeom prst="rect">
          <a:avLst/>
        </a:prstGeom>
      </xdr:spPr>
    </xdr:pic>
    <xdr:clientData/>
  </xdr:twoCellAnchor>
  <xdr:twoCellAnchor editAs="oneCell">
    <xdr:from>
      <xdr:col>1</xdr:col>
      <xdr:colOff>9524</xdr:colOff>
      <xdr:row>84</xdr:row>
      <xdr:rowOff>65082</xdr:rowOff>
    </xdr:from>
    <xdr:to>
      <xdr:col>8</xdr:col>
      <xdr:colOff>666749</xdr:colOff>
      <xdr:row>108</xdr:row>
      <xdr:rowOff>104257</xdr:rowOff>
    </xdr:to>
    <xdr:pic>
      <xdr:nvPicPr>
        <xdr:cNvPr id="6" name="Picture 5">
          <a:extLst>
            <a:ext uri="{FF2B5EF4-FFF2-40B4-BE49-F238E27FC236}">
              <a16:creationId xmlns:a16="http://schemas.microsoft.com/office/drawing/2014/main" id="{9B3D5F64-9D16-4911-B18B-99335E7AE2EE}"/>
            </a:ext>
          </a:extLst>
        </xdr:cNvPr>
        <xdr:cNvPicPr>
          <a:picLocks noChangeAspect="1"/>
        </xdr:cNvPicPr>
      </xdr:nvPicPr>
      <xdr:blipFill>
        <a:blip xmlns:r="http://schemas.openxmlformats.org/officeDocument/2006/relationships" r:embed="rId5"/>
        <a:stretch>
          <a:fillRect/>
        </a:stretch>
      </xdr:blipFill>
      <xdr:spPr>
        <a:xfrm>
          <a:off x="304799" y="16295682"/>
          <a:ext cx="6372225" cy="4611175"/>
        </a:xfrm>
        <a:prstGeom prst="rect">
          <a:avLst/>
        </a:prstGeom>
      </xdr:spPr>
    </xdr:pic>
    <xdr:clientData/>
  </xdr:twoCellAnchor>
  <xdr:twoCellAnchor editAs="oneCell">
    <xdr:from>
      <xdr:col>1</xdr:col>
      <xdr:colOff>9525</xdr:colOff>
      <xdr:row>62</xdr:row>
      <xdr:rowOff>170419</xdr:rowOff>
    </xdr:from>
    <xdr:to>
      <xdr:col>8</xdr:col>
      <xdr:colOff>676275</xdr:colOff>
      <xdr:row>84</xdr:row>
      <xdr:rowOff>104305</xdr:rowOff>
    </xdr:to>
    <xdr:pic>
      <xdr:nvPicPr>
        <xdr:cNvPr id="7" name="Picture 6">
          <a:extLst>
            <a:ext uri="{FF2B5EF4-FFF2-40B4-BE49-F238E27FC236}">
              <a16:creationId xmlns:a16="http://schemas.microsoft.com/office/drawing/2014/main" id="{099400A2-F6E1-4F3B-B763-AC5367B6C749}"/>
            </a:ext>
          </a:extLst>
        </xdr:cNvPr>
        <xdr:cNvPicPr>
          <a:picLocks noChangeAspect="1"/>
        </xdr:cNvPicPr>
      </xdr:nvPicPr>
      <xdr:blipFill>
        <a:blip xmlns:r="http://schemas.openxmlformats.org/officeDocument/2006/relationships" r:embed="rId6"/>
        <a:stretch>
          <a:fillRect/>
        </a:stretch>
      </xdr:blipFill>
      <xdr:spPr>
        <a:xfrm>
          <a:off x="304800" y="12152869"/>
          <a:ext cx="6381750" cy="4182036"/>
        </a:xfrm>
        <a:prstGeom prst="rect">
          <a:avLst/>
        </a:prstGeom>
      </xdr:spPr>
    </xdr:pic>
    <xdr:clientData/>
  </xdr:twoCellAnchor>
  <xdr:twoCellAnchor editAs="oneCell">
    <xdr:from>
      <xdr:col>1</xdr:col>
      <xdr:colOff>0</xdr:colOff>
      <xdr:row>108</xdr:row>
      <xdr:rowOff>104155</xdr:rowOff>
    </xdr:from>
    <xdr:to>
      <xdr:col>8</xdr:col>
      <xdr:colOff>666750</xdr:colOff>
      <xdr:row>140</xdr:row>
      <xdr:rowOff>123137</xdr:rowOff>
    </xdr:to>
    <xdr:pic>
      <xdr:nvPicPr>
        <xdr:cNvPr id="8" name="Picture 7">
          <a:extLst>
            <a:ext uri="{FF2B5EF4-FFF2-40B4-BE49-F238E27FC236}">
              <a16:creationId xmlns:a16="http://schemas.microsoft.com/office/drawing/2014/main" id="{ED6B5D5F-117D-4373-975F-36329659012D}"/>
            </a:ext>
          </a:extLst>
        </xdr:cNvPr>
        <xdr:cNvPicPr>
          <a:picLocks noChangeAspect="1"/>
        </xdr:cNvPicPr>
      </xdr:nvPicPr>
      <xdr:blipFill>
        <a:blip xmlns:r="http://schemas.openxmlformats.org/officeDocument/2006/relationships" r:embed="rId7"/>
        <a:stretch>
          <a:fillRect/>
        </a:stretch>
      </xdr:blipFill>
      <xdr:spPr>
        <a:xfrm>
          <a:off x="295275" y="20906755"/>
          <a:ext cx="6381750" cy="6114982"/>
        </a:xfrm>
        <a:prstGeom prst="rect">
          <a:avLst/>
        </a:prstGeom>
      </xdr:spPr>
    </xdr:pic>
    <xdr:clientData/>
  </xdr:twoCellAnchor>
  <xdr:twoCellAnchor editAs="oneCell">
    <xdr:from>
      <xdr:col>0</xdr:col>
      <xdr:colOff>285749</xdr:colOff>
      <xdr:row>140</xdr:row>
      <xdr:rowOff>92320</xdr:rowOff>
    </xdr:from>
    <xdr:to>
      <xdr:col>8</xdr:col>
      <xdr:colOff>647699</xdr:colOff>
      <xdr:row>181</xdr:row>
      <xdr:rowOff>189608</xdr:rowOff>
    </xdr:to>
    <xdr:pic>
      <xdr:nvPicPr>
        <xdr:cNvPr id="9" name="Picture 8">
          <a:extLst>
            <a:ext uri="{FF2B5EF4-FFF2-40B4-BE49-F238E27FC236}">
              <a16:creationId xmlns:a16="http://schemas.microsoft.com/office/drawing/2014/main" id="{088CF2FA-FDC2-4101-940B-02B2ED25DF9D}"/>
            </a:ext>
          </a:extLst>
        </xdr:cNvPr>
        <xdr:cNvPicPr>
          <a:picLocks noChangeAspect="1"/>
        </xdr:cNvPicPr>
      </xdr:nvPicPr>
      <xdr:blipFill>
        <a:blip xmlns:r="http://schemas.openxmlformats.org/officeDocument/2006/relationships" r:embed="rId8"/>
        <a:stretch>
          <a:fillRect/>
        </a:stretch>
      </xdr:blipFill>
      <xdr:spPr>
        <a:xfrm>
          <a:off x="285749" y="26990920"/>
          <a:ext cx="6372225" cy="7907788"/>
        </a:xfrm>
        <a:prstGeom prst="rect">
          <a:avLst/>
        </a:prstGeom>
      </xdr:spPr>
    </xdr:pic>
    <xdr:clientData/>
  </xdr:twoCellAnchor>
  <xdr:twoCellAnchor editAs="oneCell">
    <xdr:from>
      <xdr:col>1</xdr:col>
      <xdr:colOff>0</xdr:colOff>
      <xdr:row>181</xdr:row>
      <xdr:rowOff>165483</xdr:rowOff>
    </xdr:from>
    <xdr:to>
      <xdr:col>8</xdr:col>
      <xdr:colOff>657225</xdr:colOff>
      <xdr:row>212</xdr:row>
      <xdr:rowOff>37450</xdr:rowOff>
    </xdr:to>
    <xdr:pic>
      <xdr:nvPicPr>
        <xdr:cNvPr id="10" name="Picture 9">
          <a:extLst>
            <a:ext uri="{FF2B5EF4-FFF2-40B4-BE49-F238E27FC236}">
              <a16:creationId xmlns:a16="http://schemas.microsoft.com/office/drawing/2014/main" id="{E490026F-A556-49F7-886D-5FBEFD10305C}"/>
            </a:ext>
          </a:extLst>
        </xdr:cNvPr>
        <xdr:cNvPicPr>
          <a:picLocks noChangeAspect="1"/>
        </xdr:cNvPicPr>
      </xdr:nvPicPr>
      <xdr:blipFill>
        <a:blip xmlns:r="http://schemas.openxmlformats.org/officeDocument/2006/relationships" r:embed="rId9"/>
        <a:stretch>
          <a:fillRect/>
        </a:stretch>
      </xdr:blipFill>
      <xdr:spPr>
        <a:xfrm>
          <a:off x="295275" y="34874583"/>
          <a:ext cx="6372225" cy="577746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7.bin"/><Relationship Id="rId1" Type="http://schemas.openxmlformats.org/officeDocument/2006/relationships/hyperlink" Target="https://pooledmoneyinvestmentboard.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1:B109"/>
  <sheetViews>
    <sheetView tabSelected="1" zoomScaleNormal="75" workbookViewId="0"/>
  </sheetViews>
  <sheetFormatPr defaultRowHeight="15.75" x14ac:dyDescent="0.2"/>
  <cols>
    <col min="1" max="1" width="1.21875" style="58" customWidth="1"/>
    <col min="2" max="2" width="84.6640625" style="224" customWidth="1"/>
    <col min="3" max="16384" width="8.88671875" style="58"/>
  </cols>
  <sheetData>
    <row r="1" spans="2:2" ht="39" customHeight="1" x14ac:dyDescent="0.2">
      <c r="B1" s="444" t="s">
        <v>628</v>
      </c>
    </row>
    <row r="2" spans="2:2" ht="12.95" customHeight="1" x14ac:dyDescent="0.2"/>
    <row r="3" spans="2:2" ht="34.5" customHeight="1" x14ac:dyDescent="0.2">
      <c r="B3" s="224" t="s">
        <v>629</v>
      </c>
    </row>
    <row r="4" spans="2:2" ht="12.95" customHeight="1" x14ac:dyDescent="0.2"/>
    <row r="5" spans="2:2" ht="66" customHeight="1" x14ac:dyDescent="0.2">
      <c r="B5" s="224" t="s">
        <v>630</v>
      </c>
    </row>
    <row r="6" spans="2:2" ht="14.45" customHeight="1" x14ac:dyDescent="0.2"/>
    <row r="7" spans="2:2" ht="25.5" customHeight="1" x14ac:dyDescent="0.2">
      <c r="B7" s="445" t="s">
        <v>631</v>
      </c>
    </row>
    <row r="8" spans="2:2" ht="12.95" customHeight="1" x14ac:dyDescent="0.2"/>
    <row r="9" spans="2:2" ht="50.25" x14ac:dyDescent="0.2">
      <c r="B9" s="224" t="s">
        <v>632</v>
      </c>
    </row>
    <row r="10" spans="2:2" ht="12.95" customHeight="1" x14ac:dyDescent="0.2"/>
    <row r="11" spans="2:2" ht="31.5" x14ac:dyDescent="0.2">
      <c r="B11" s="224" t="s">
        <v>633</v>
      </c>
    </row>
    <row r="12" spans="2:2" ht="15" customHeight="1" x14ac:dyDescent="0.2"/>
    <row r="13" spans="2:2" ht="25.5" customHeight="1" x14ac:dyDescent="0.2">
      <c r="B13" s="445" t="s">
        <v>5</v>
      </c>
    </row>
    <row r="14" spans="2:2" ht="12.95" customHeight="1" x14ac:dyDescent="0.2"/>
    <row r="15" spans="2:2" ht="39.75" customHeight="1" x14ac:dyDescent="0.2">
      <c r="B15" s="224" t="s">
        <v>634</v>
      </c>
    </row>
    <row r="16" spans="2:2" ht="12.95" customHeight="1" x14ac:dyDescent="0.2"/>
    <row r="17" spans="2:2" x14ac:dyDescent="0.2">
      <c r="B17" s="446" t="s">
        <v>635</v>
      </c>
    </row>
    <row r="18" spans="2:2" ht="12.95" customHeight="1" x14ac:dyDescent="0.2">
      <c r="B18" s="446"/>
    </row>
    <row r="19" spans="2:2" x14ac:dyDescent="0.2">
      <c r="B19" s="224" t="s">
        <v>636</v>
      </c>
    </row>
    <row r="20" spans="2:2" ht="12.95" customHeight="1" x14ac:dyDescent="0.2"/>
    <row r="21" spans="2:2" ht="67.5" customHeight="1" x14ac:dyDescent="0.2">
      <c r="B21" s="224" t="s">
        <v>637</v>
      </c>
    </row>
    <row r="22" spans="2:2" ht="12.95" customHeight="1" x14ac:dyDescent="0.2">
      <c r="B22" s="447"/>
    </row>
    <row r="23" spans="2:2" ht="15.75" customHeight="1" x14ac:dyDescent="0.2">
      <c r="B23" s="224" t="s">
        <v>638</v>
      </c>
    </row>
    <row r="24" spans="2:2" ht="12.95" customHeight="1" x14ac:dyDescent="0.2">
      <c r="B24" s="447"/>
    </row>
    <row r="25" spans="2:2" ht="15.75" customHeight="1" x14ac:dyDescent="0.2">
      <c r="B25" s="224" t="s">
        <v>639</v>
      </c>
    </row>
    <row r="26" spans="2:2" ht="12.95" customHeight="1" x14ac:dyDescent="0.2"/>
    <row r="27" spans="2:2" ht="49.5" customHeight="1" x14ac:dyDescent="0.2">
      <c r="B27" s="224" t="s">
        <v>640</v>
      </c>
    </row>
    <row r="28" spans="2:2" ht="12.95" customHeight="1" x14ac:dyDescent="0.2"/>
    <row r="29" spans="2:2" ht="25.5" customHeight="1" x14ac:dyDescent="0.2">
      <c r="B29" s="445" t="s">
        <v>641</v>
      </c>
    </row>
    <row r="30" spans="2:2" ht="12.95" customHeight="1" x14ac:dyDescent="0.2">
      <c r="B30" s="448"/>
    </row>
    <row r="31" spans="2:2" ht="50.25" customHeight="1" x14ac:dyDescent="0.2">
      <c r="B31" s="224" t="s">
        <v>642</v>
      </c>
    </row>
    <row r="32" spans="2:2" ht="12.95" customHeight="1" x14ac:dyDescent="0.2"/>
    <row r="33" spans="2:2" ht="49.5" customHeight="1" x14ac:dyDescent="0.2">
      <c r="B33" s="226" t="s">
        <v>643</v>
      </c>
    </row>
    <row r="34" spans="2:2" ht="39.75" customHeight="1" x14ac:dyDescent="0.2">
      <c r="B34" s="449" t="s">
        <v>644</v>
      </c>
    </row>
    <row r="35" spans="2:2" ht="60.75" customHeight="1" x14ac:dyDescent="0.2">
      <c r="B35" s="449" t="s">
        <v>645</v>
      </c>
    </row>
    <row r="36" spans="2:2" ht="61.5" customHeight="1" x14ac:dyDescent="0.2">
      <c r="B36" s="449" t="s">
        <v>646</v>
      </c>
    </row>
    <row r="37" spans="2:2" ht="41.25" customHeight="1" x14ac:dyDescent="0.2">
      <c r="B37" s="449" t="s">
        <v>647</v>
      </c>
    </row>
    <row r="38" spans="2:2" ht="12.95" customHeight="1" x14ac:dyDescent="0.2"/>
    <row r="39" spans="2:2" ht="52.5" customHeight="1" x14ac:dyDescent="0.2">
      <c r="B39" s="226" t="s">
        <v>648</v>
      </c>
    </row>
    <row r="40" spans="2:2" ht="27.75" customHeight="1" x14ac:dyDescent="0.2">
      <c r="B40" s="449" t="s">
        <v>649</v>
      </c>
    </row>
    <row r="41" spans="2:2" ht="57" customHeight="1" x14ac:dyDescent="0.2">
      <c r="B41" s="449" t="s">
        <v>650</v>
      </c>
    </row>
    <row r="42" spans="2:2" ht="105" customHeight="1" x14ac:dyDescent="0.2">
      <c r="B42" s="449" t="s">
        <v>651</v>
      </c>
    </row>
    <row r="43" spans="2:2" s="224" customFormat="1" ht="12.95" customHeight="1" x14ac:dyDescent="0.2"/>
    <row r="44" spans="2:2" ht="47.25" x14ac:dyDescent="0.2">
      <c r="B44" s="226" t="s">
        <v>652</v>
      </c>
    </row>
    <row r="45" spans="2:2" ht="66.75" customHeight="1" x14ac:dyDescent="0.2">
      <c r="B45" s="226" t="s">
        <v>653</v>
      </c>
    </row>
    <row r="46" spans="2:2" ht="72.75" customHeight="1" x14ac:dyDescent="0.2">
      <c r="B46" s="449" t="s">
        <v>654</v>
      </c>
    </row>
    <row r="47" spans="2:2" ht="108" customHeight="1" x14ac:dyDescent="0.2">
      <c r="B47" s="449" t="s">
        <v>655</v>
      </c>
    </row>
    <row r="48" spans="2:2" ht="95.25" customHeight="1" x14ac:dyDescent="0.2">
      <c r="B48" s="449" t="s">
        <v>656</v>
      </c>
    </row>
    <row r="49" spans="2:2" ht="12.95" customHeight="1" x14ac:dyDescent="0.2"/>
    <row r="50" spans="2:2" ht="47.25" x14ac:dyDescent="0.2">
      <c r="B50" s="226" t="s">
        <v>657</v>
      </c>
    </row>
    <row r="51" spans="2:2" ht="38.25" customHeight="1" x14ac:dyDescent="0.2">
      <c r="B51" s="449" t="s">
        <v>658</v>
      </c>
    </row>
    <row r="52" spans="2:2" ht="34.5" customHeight="1" x14ac:dyDescent="0.2">
      <c r="B52" s="449" t="s">
        <v>659</v>
      </c>
    </row>
    <row r="53" spans="2:2" ht="12.95" customHeight="1" x14ac:dyDescent="0.2"/>
    <row r="54" spans="2:2" ht="71.25" customHeight="1" x14ac:dyDescent="0.2">
      <c r="B54" s="226" t="s">
        <v>660</v>
      </c>
    </row>
    <row r="55" spans="2:2" ht="21.75" customHeight="1" x14ac:dyDescent="0.2">
      <c r="B55" s="449" t="s">
        <v>661</v>
      </c>
    </row>
    <row r="56" spans="2:2" ht="12.95" customHeight="1" x14ac:dyDescent="0.2">
      <c r="B56" s="230"/>
    </row>
    <row r="57" spans="2:2" ht="57.75" customHeight="1" x14ac:dyDescent="0.2">
      <c r="B57" s="226" t="s">
        <v>662</v>
      </c>
    </row>
    <row r="58" spans="2:2" ht="41.25" customHeight="1" x14ac:dyDescent="0.2">
      <c r="B58" s="449" t="s">
        <v>663</v>
      </c>
    </row>
    <row r="59" spans="2:2" ht="72" customHeight="1" x14ac:dyDescent="0.2">
      <c r="B59" s="449" t="s">
        <v>664</v>
      </c>
    </row>
    <row r="60" spans="2:2" ht="27" customHeight="1" x14ac:dyDescent="0.2">
      <c r="B60" s="449" t="s">
        <v>665</v>
      </c>
    </row>
    <row r="61" spans="2:2" ht="44.25" customHeight="1" x14ac:dyDescent="0.2">
      <c r="B61" s="449" t="s">
        <v>666</v>
      </c>
    </row>
    <row r="62" spans="2:2" ht="12.95" customHeight="1" x14ac:dyDescent="0.2"/>
    <row r="63" spans="2:2" ht="38.25" customHeight="1" x14ac:dyDescent="0.2">
      <c r="B63" s="226" t="s">
        <v>667</v>
      </c>
    </row>
    <row r="64" spans="2:2" s="452" customFormat="1" ht="30.75" customHeight="1" x14ac:dyDescent="0.2">
      <c r="B64" s="449" t="s">
        <v>668</v>
      </c>
    </row>
    <row r="65" spans="2:2" ht="12.95" customHeight="1" x14ac:dyDescent="0.2"/>
    <row r="66" spans="2:2" ht="52.5" customHeight="1" x14ac:dyDescent="0.2">
      <c r="B66" s="226" t="s">
        <v>669</v>
      </c>
    </row>
    <row r="67" spans="2:2" s="452" customFormat="1" ht="39.75" customHeight="1" x14ac:dyDescent="0.2">
      <c r="B67" s="449" t="s">
        <v>670</v>
      </c>
    </row>
    <row r="68" spans="2:2" ht="12.95" customHeight="1" x14ac:dyDescent="0.2"/>
    <row r="69" spans="2:2" ht="68.25" customHeight="1" x14ac:dyDescent="0.2">
      <c r="B69" s="226" t="s">
        <v>671</v>
      </c>
    </row>
    <row r="70" spans="2:2" ht="57" customHeight="1" x14ac:dyDescent="0.2">
      <c r="B70" s="449" t="s">
        <v>672</v>
      </c>
    </row>
    <row r="71" spans="2:2" ht="44.25" customHeight="1" x14ac:dyDescent="0.2">
      <c r="B71" s="449" t="s">
        <v>673</v>
      </c>
    </row>
    <row r="72" spans="2:2" ht="12.95" customHeight="1" x14ac:dyDescent="0.2"/>
    <row r="73" spans="2:2" ht="78.75" x14ac:dyDescent="0.2">
      <c r="B73" s="226" t="s">
        <v>674</v>
      </c>
    </row>
    <row r="74" spans="2:2" ht="72.75" customHeight="1" x14ac:dyDescent="0.2">
      <c r="B74" s="449" t="s">
        <v>675</v>
      </c>
    </row>
    <row r="75" spans="2:2" ht="90" customHeight="1" x14ac:dyDescent="0.2">
      <c r="B75" s="449" t="s">
        <v>676</v>
      </c>
    </row>
    <row r="76" spans="2:2" ht="70.5" customHeight="1" x14ac:dyDescent="0.2">
      <c r="B76" s="449" t="s">
        <v>677</v>
      </c>
    </row>
    <row r="77" spans="2:2" ht="87" customHeight="1" x14ac:dyDescent="0.2">
      <c r="B77" s="449" t="s">
        <v>678</v>
      </c>
    </row>
    <row r="78" spans="2:2" ht="110.25" x14ac:dyDescent="0.2">
      <c r="B78" s="449" t="s">
        <v>679</v>
      </c>
    </row>
    <row r="79" spans="2:2" ht="55.5" customHeight="1" x14ac:dyDescent="0.2">
      <c r="B79" s="449" t="s">
        <v>680</v>
      </c>
    </row>
    <row r="80" spans="2:2" ht="96.75" customHeight="1" x14ac:dyDescent="0.2">
      <c r="B80" s="449" t="s">
        <v>681</v>
      </c>
    </row>
    <row r="81" spans="2:2" ht="111.75" customHeight="1" x14ac:dyDescent="0.2">
      <c r="B81" s="449" t="s">
        <v>682</v>
      </c>
    </row>
    <row r="82" spans="2:2" ht="123.75" customHeight="1" x14ac:dyDescent="0.2">
      <c r="B82" s="449" t="s">
        <v>683</v>
      </c>
    </row>
    <row r="83" spans="2:2" ht="26.25" customHeight="1" x14ac:dyDescent="0.2">
      <c r="B83" s="449" t="s">
        <v>684</v>
      </c>
    </row>
    <row r="84" spans="2:2" ht="57.75" customHeight="1" x14ac:dyDescent="0.2">
      <c r="B84" s="449" t="s">
        <v>685</v>
      </c>
    </row>
    <row r="85" spans="2:2" ht="57.75" customHeight="1" x14ac:dyDescent="0.2">
      <c r="B85" s="449" t="s">
        <v>686</v>
      </c>
    </row>
    <row r="86" spans="2:2" ht="91.5" customHeight="1" x14ac:dyDescent="0.2">
      <c r="B86" s="449" t="s">
        <v>687</v>
      </c>
    </row>
    <row r="87" spans="2:2" ht="75" customHeight="1" x14ac:dyDescent="0.2">
      <c r="B87" s="449" t="s">
        <v>688</v>
      </c>
    </row>
    <row r="88" spans="2:2" ht="69" customHeight="1" x14ac:dyDescent="0.2">
      <c r="B88" s="449" t="s">
        <v>689</v>
      </c>
    </row>
    <row r="89" spans="2:2" ht="39" customHeight="1" x14ac:dyDescent="0.2">
      <c r="B89" s="449" t="s">
        <v>690</v>
      </c>
    </row>
    <row r="90" spans="2:2" ht="12.95" customHeight="1" x14ac:dyDescent="0.2"/>
    <row r="91" spans="2:2" ht="63" x14ac:dyDescent="0.2">
      <c r="B91" s="226" t="s">
        <v>691</v>
      </c>
    </row>
    <row r="92" spans="2:2" ht="75.75" customHeight="1" x14ac:dyDescent="0.2">
      <c r="B92" s="449" t="s">
        <v>692</v>
      </c>
    </row>
    <row r="93" spans="2:2" ht="23.25" customHeight="1" x14ac:dyDescent="0.2">
      <c r="B93" s="449" t="s">
        <v>693</v>
      </c>
    </row>
    <row r="94" spans="2:2" ht="27" customHeight="1" x14ac:dyDescent="0.2">
      <c r="B94" s="449" t="s">
        <v>694</v>
      </c>
    </row>
    <row r="95" spans="2:2" ht="42" customHeight="1" x14ac:dyDescent="0.2">
      <c r="B95" s="450" t="s">
        <v>695</v>
      </c>
    </row>
    <row r="96" spans="2:2" ht="108" customHeight="1" x14ac:dyDescent="0.2">
      <c r="B96" s="450" t="s">
        <v>696</v>
      </c>
    </row>
    <row r="97" spans="2:2" ht="88.5" customHeight="1" x14ac:dyDescent="0.2">
      <c r="B97" s="450" t="s">
        <v>697</v>
      </c>
    </row>
    <row r="98" spans="2:2" ht="98.25" customHeight="1" x14ac:dyDescent="0.2">
      <c r="B98" s="449" t="s">
        <v>698</v>
      </c>
    </row>
    <row r="99" spans="2:2" ht="68.25" customHeight="1" x14ac:dyDescent="0.2">
      <c r="B99" s="449" t="s">
        <v>699</v>
      </c>
    </row>
    <row r="100" spans="2:2" ht="12.95" customHeight="1" x14ac:dyDescent="0.2"/>
    <row r="101" spans="2:2" ht="94.5" x14ac:dyDescent="0.2">
      <c r="B101" s="226" t="s">
        <v>700</v>
      </c>
    </row>
    <row r="102" spans="2:2" ht="78.75" x14ac:dyDescent="0.2">
      <c r="B102" s="451" t="s">
        <v>701</v>
      </c>
    </row>
    <row r="103" spans="2:2" ht="63" x14ac:dyDescent="0.2">
      <c r="B103" s="449" t="s">
        <v>702</v>
      </c>
    </row>
    <row r="104" spans="2:2" ht="39.75" customHeight="1" x14ac:dyDescent="0.2">
      <c r="B104" s="449" t="s">
        <v>703</v>
      </c>
    </row>
    <row r="105" spans="2:2" ht="12.95" customHeight="1" x14ac:dyDescent="0.2">
      <c r="B105" s="58"/>
    </row>
    <row r="106" spans="2:2" ht="47.25" x14ac:dyDescent="0.2">
      <c r="B106" s="226" t="s">
        <v>704</v>
      </c>
    </row>
    <row r="107" spans="2:2" ht="12.95" customHeight="1" x14ac:dyDescent="0.2">
      <c r="B107" s="58"/>
    </row>
    <row r="108" spans="2:2" ht="47.25" x14ac:dyDescent="0.2">
      <c r="B108" s="226" t="s">
        <v>705</v>
      </c>
    </row>
    <row r="109" spans="2:2" x14ac:dyDescent="0.2">
      <c r="B109" s="58"/>
    </row>
  </sheetData>
  <sheetProtection sheet="1" objects="1" scenarios="1"/>
  <phoneticPr fontId="0" type="noConversion"/>
  <pageMargins left="0.5" right="0.5" top="0.5" bottom="0.5" header="0.5" footer="0.5"/>
  <pageSetup orientation="portrait" blackAndWhite="1" horizontalDpi="4294967292" r:id="rId1"/>
  <headerFooter alignWithMargins="0"/>
  <rowBreaks count="1" manualBreakCount="1">
    <brk id="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B1:Y43"/>
  <sheetViews>
    <sheetView zoomScale="75" workbookViewId="0">
      <selection activeCell="I29" sqref="I29"/>
    </sheetView>
  </sheetViews>
  <sheetFormatPr defaultRowHeight="15.75" x14ac:dyDescent="0.2"/>
  <cols>
    <col min="1" max="1" width="8.88671875" style="1"/>
    <col min="2" max="2" width="20.77734375" style="1" customWidth="1"/>
    <col min="3" max="3" width="9.77734375" style="1" customWidth="1"/>
    <col min="4" max="4" width="10.77734375" style="1" customWidth="1"/>
    <col min="5" max="5" width="9.77734375" style="1" customWidth="1"/>
    <col min="6" max="6" width="17.21875" style="1" customWidth="1"/>
    <col min="7" max="12" width="9.77734375" style="1" customWidth="1"/>
    <col min="13" max="16384" width="8.88671875" style="1"/>
  </cols>
  <sheetData>
    <row r="1" spans="2:12" x14ac:dyDescent="0.2">
      <c r="B1" s="3">
        <f>inputPrYr!$D$3</f>
        <v>0</v>
      </c>
      <c r="C1" s="3"/>
      <c r="D1" s="3"/>
      <c r="E1" s="3"/>
      <c r="F1" s="3"/>
      <c r="G1" s="3"/>
      <c r="H1" s="3"/>
      <c r="I1" s="3"/>
      <c r="J1" s="3"/>
      <c r="K1" s="3"/>
      <c r="L1" s="92">
        <f>inputPrYr!D6</f>
        <v>2025</v>
      </c>
    </row>
    <row r="2" spans="2:12" x14ac:dyDescent="0.2">
      <c r="B2" s="3">
        <f>inputPrYr!$D$4</f>
        <v>0</v>
      </c>
      <c r="C2" s="3"/>
      <c r="D2" s="3"/>
      <c r="E2" s="3"/>
      <c r="F2" s="3"/>
      <c r="G2" s="3"/>
      <c r="H2" s="3"/>
      <c r="I2" s="3"/>
      <c r="J2" s="3"/>
      <c r="K2" s="3"/>
      <c r="L2" s="92"/>
    </row>
    <row r="3" spans="2:12" x14ac:dyDescent="0.2">
      <c r="B3" s="3"/>
      <c r="C3" s="3"/>
      <c r="D3" s="3"/>
      <c r="E3" s="3"/>
      <c r="F3" s="3"/>
      <c r="G3" s="3"/>
      <c r="H3" s="3"/>
      <c r="I3" s="3"/>
      <c r="J3" s="3"/>
      <c r="K3" s="3"/>
      <c r="L3" s="92"/>
    </row>
    <row r="4" spans="2:12" s="118" customFormat="1" x14ac:dyDescent="0.2">
      <c r="B4" s="116" t="s">
        <v>75</v>
      </c>
      <c r="C4" s="117"/>
      <c r="D4" s="117"/>
      <c r="E4" s="8"/>
      <c r="F4" s="117"/>
      <c r="G4" s="117"/>
      <c r="H4" s="117"/>
      <c r="I4" s="117"/>
      <c r="J4" s="117"/>
      <c r="K4" s="117"/>
      <c r="L4" s="117"/>
    </row>
    <row r="5" spans="2:12" s="118" customFormat="1" x14ac:dyDescent="0.2">
      <c r="B5" s="119"/>
      <c r="C5" s="119"/>
      <c r="D5" s="119"/>
      <c r="E5" s="119"/>
      <c r="F5" s="119"/>
      <c r="G5" s="119"/>
      <c r="H5" s="119"/>
      <c r="I5" s="119"/>
      <c r="J5" s="119"/>
      <c r="K5" s="119"/>
      <c r="L5" s="119"/>
    </row>
    <row r="6" spans="2:12" s="118" customFormat="1" x14ac:dyDescent="0.2">
      <c r="B6" s="64" t="s">
        <v>451</v>
      </c>
      <c r="C6" s="64" t="s">
        <v>53</v>
      </c>
      <c r="D6" s="64" t="s">
        <v>61</v>
      </c>
      <c r="E6" s="64"/>
      <c r="F6" s="64" t="s">
        <v>26</v>
      </c>
      <c r="G6" s="120"/>
      <c r="H6" s="121"/>
      <c r="I6" s="120" t="s">
        <v>54</v>
      </c>
      <c r="J6" s="121"/>
      <c r="K6" s="120" t="s">
        <v>54</v>
      </c>
      <c r="L6" s="121"/>
    </row>
    <row r="7" spans="2:12" s="118" customFormat="1" x14ac:dyDescent="0.2">
      <c r="B7" s="67" t="s">
        <v>55</v>
      </c>
      <c r="C7" s="67" t="s">
        <v>55</v>
      </c>
      <c r="D7" s="67" t="s">
        <v>56</v>
      </c>
      <c r="E7" s="67" t="s">
        <v>26</v>
      </c>
      <c r="F7" s="67" t="s">
        <v>86</v>
      </c>
      <c r="G7" s="122" t="s">
        <v>57</v>
      </c>
      <c r="H7" s="123"/>
      <c r="I7" s="122">
        <f>L1-1</f>
        <v>2024</v>
      </c>
      <c r="J7" s="123"/>
      <c r="K7" s="122">
        <f>L1</f>
        <v>2025</v>
      </c>
      <c r="L7" s="123"/>
    </row>
    <row r="8" spans="2:12" s="118" customFormat="1" x14ac:dyDescent="0.2">
      <c r="B8" s="75" t="s">
        <v>452</v>
      </c>
      <c r="C8" s="75" t="s">
        <v>58</v>
      </c>
      <c r="D8" s="75" t="s">
        <v>38</v>
      </c>
      <c r="E8" s="75" t="s">
        <v>59</v>
      </c>
      <c r="F8" s="124" t="str">
        <f>CONCATENATE("Jan 1, ",L1-1,"")</f>
        <v>Jan 1, 2024</v>
      </c>
      <c r="G8" s="72" t="s">
        <v>61</v>
      </c>
      <c r="H8" s="72" t="s">
        <v>62</v>
      </c>
      <c r="I8" s="72" t="s">
        <v>61</v>
      </c>
      <c r="J8" s="72" t="s">
        <v>62</v>
      </c>
      <c r="K8" s="72" t="s">
        <v>61</v>
      </c>
      <c r="L8" s="72" t="s">
        <v>62</v>
      </c>
    </row>
    <row r="9" spans="2:12" s="118" customFormat="1" x14ac:dyDescent="0.2">
      <c r="B9" s="13" t="s">
        <v>118</v>
      </c>
      <c r="C9" s="125"/>
      <c r="D9" s="13"/>
      <c r="E9" s="13"/>
      <c r="F9" s="13"/>
      <c r="G9" s="126"/>
      <c r="H9" s="126"/>
      <c r="I9" s="13"/>
      <c r="J9" s="13"/>
      <c r="K9" s="13"/>
      <c r="L9" s="13"/>
    </row>
    <row r="10" spans="2:12" s="118" customFormat="1" x14ac:dyDescent="0.2">
      <c r="B10" s="127"/>
      <c r="C10" s="252"/>
      <c r="D10" s="127"/>
      <c r="E10" s="127"/>
      <c r="F10" s="32"/>
      <c r="G10" s="128"/>
      <c r="H10" s="128"/>
      <c r="I10" s="127"/>
      <c r="J10" s="127"/>
      <c r="K10" s="127"/>
      <c r="L10" s="127"/>
    </row>
    <row r="11" spans="2:12" s="118" customFormat="1" x14ac:dyDescent="0.2">
      <c r="B11" s="14"/>
      <c r="C11" s="253"/>
      <c r="D11" s="129"/>
      <c r="E11" s="15"/>
      <c r="F11" s="15"/>
      <c r="G11" s="130"/>
      <c r="H11" s="130"/>
      <c r="I11" s="131"/>
      <c r="J11" s="131"/>
      <c r="K11" s="131"/>
      <c r="L11" s="131"/>
    </row>
    <row r="12" spans="2:12" s="118" customFormat="1" x14ac:dyDescent="0.2">
      <c r="B12" s="132" t="s">
        <v>119</v>
      </c>
      <c r="C12" s="133"/>
      <c r="D12" s="134"/>
      <c r="E12" s="135"/>
      <c r="F12" s="136">
        <f>SUM(F10:F11)</f>
        <v>0</v>
      </c>
      <c r="G12" s="137"/>
      <c r="H12" s="137"/>
      <c r="I12" s="136">
        <f>SUM(I10:I11)</f>
        <v>0</v>
      </c>
      <c r="J12" s="136">
        <f>SUM(J10:J11)</f>
        <v>0</v>
      </c>
      <c r="K12" s="136">
        <f>SUM(K10:K11)</f>
        <v>0</v>
      </c>
      <c r="L12" s="136">
        <f>SUM(L10:L11)</f>
        <v>0</v>
      </c>
    </row>
    <row r="13" spans="2:12" s="118" customFormat="1" x14ac:dyDescent="0.2">
      <c r="B13" s="132" t="s">
        <v>120</v>
      </c>
      <c r="C13" s="133"/>
      <c r="D13" s="134"/>
      <c r="E13" s="135"/>
      <c r="F13" s="57"/>
      <c r="G13" s="137"/>
      <c r="H13" s="137"/>
      <c r="I13" s="57"/>
      <c r="J13" s="57"/>
      <c r="K13" s="57"/>
      <c r="L13" s="57"/>
    </row>
    <row r="14" spans="2:12" s="118" customFormat="1" x14ac:dyDescent="0.2">
      <c r="B14" s="14"/>
      <c r="C14" s="253"/>
      <c r="D14" s="129"/>
      <c r="E14" s="15"/>
      <c r="F14" s="131"/>
      <c r="G14" s="130"/>
      <c r="H14" s="130"/>
      <c r="I14" s="131"/>
      <c r="J14" s="131"/>
      <c r="K14" s="131"/>
      <c r="L14" s="131"/>
    </row>
    <row r="15" spans="2:12" s="118" customFormat="1" x14ac:dyDescent="0.2">
      <c r="B15" s="14"/>
      <c r="C15" s="253"/>
      <c r="D15" s="129"/>
      <c r="E15" s="15"/>
      <c r="F15" s="131"/>
      <c r="G15" s="130"/>
      <c r="H15" s="130"/>
      <c r="I15" s="131"/>
      <c r="J15" s="131"/>
      <c r="K15" s="131"/>
      <c r="L15" s="131"/>
    </row>
    <row r="16" spans="2:12" s="118" customFormat="1" x14ac:dyDescent="0.2">
      <c r="B16" s="132" t="s">
        <v>121</v>
      </c>
      <c r="C16" s="133"/>
      <c r="D16" s="134"/>
      <c r="E16" s="135"/>
      <c r="F16" s="57">
        <f>SUM(F14:F15)</f>
        <v>0</v>
      </c>
      <c r="G16" s="137"/>
      <c r="H16" s="137"/>
      <c r="I16" s="136">
        <f>SUM(I14:I15)</f>
        <v>0</v>
      </c>
      <c r="J16" s="136">
        <f>SUM(J14:J15)</f>
        <v>0</v>
      </c>
      <c r="K16" s="136">
        <f>SUM(K14:K15)</f>
        <v>0</v>
      </c>
      <c r="L16" s="136">
        <f>SUM(L14:L15)</f>
        <v>0</v>
      </c>
    </row>
    <row r="17" spans="2:25" s="118" customFormat="1" x14ac:dyDescent="0.2">
      <c r="B17" s="132" t="s">
        <v>122</v>
      </c>
      <c r="C17" s="133"/>
      <c r="D17" s="134"/>
      <c r="E17" s="135"/>
      <c r="F17" s="57"/>
      <c r="G17" s="137"/>
      <c r="H17" s="137"/>
      <c r="I17" s="57"/>
      <c r="J17" s="57"/>
      <c r="K17" s="57"/>
      <c r="L17" s="57"/>
    </row>
    <row r="18" spans="2:25" s="118" customFormat="1" x14ac:dyDescent="0.2">
      <c r="B18" s="14"/>
      <c r="C18" s="253"/>
      <c r="D18" s="129"/>
      <c r="E18" s="15"/>
      <c r="F18" s="131"/>
      <c r="G18" s="130"/>
      <c r="H18" s="130"/>
      <c r="I18" s="131"/>
      <c r="J18" s="131"/>
      <c r="K18" s="131"/>
      <c r="L18" s="131"/>
    </row>
    <row r="19" spans="2:25" s="118" customFormat="1" x14ac:dyDescent="0.2">
      <c r="B19" s="14"/>
      <c r="C19" s="253"/>
      <c r="D19" s="129"/>
      <c r="E19" s="15"/>
      <c r="F19" s="131"/>
      <c r="G19" s="130"/>
      <c r="H19" s="130"/>
      <c r="I19" s="131"/>
      <c r="J19" s="131"/>
      <c r="K19" s="131"/>
      <c r="L19" s="131"/>
    </row>
    <row r="20" spans="2:25" s="118" customFormat="1" x14ac:dyDescent="0.2">
      <c r="B20" s="16" t="s">
        <v>123</v>
      </c>
      <c r="C20" s="138"/>
      <c r="D20" s="139"/>
      <c r="E20" s="25"/>
      <c r="F20" s="136">
        <f>SUM(F18:F19)</f>
        <v>0</v>
      </c>
      <c r="G20" s="313"/>
      <c r="H20" s="137"/>
      <c r="I20" s="136">
        <f>SUM(I18:I19)</f>
        <v>0</v>
      </c>
      <c r="J20" s="136">
        <f>SUM(J18:J19)</f>
        <v>0</v>
      </c>
      <c r="K20" s="136">
        <f>SUM(K18:K19)</f>
        <v>0</v>
      </c>
      <c r="L20" s="136">
        <f>SUM(L18:L19)</f>
        <v>0</v>
      </c>
    </row>
    <row r="21" spans="2:25" s="118" customFormat="1" x14ac:dyDescent="0.2">
      <c r="B21" s="140" t="s">
        <v>76</v>
      </c>
      <c r="C21" s="311"/>
      <c r="D21" s="314"/>
      <c r="E21" s="315"/>
      <c r="F21" s="141">
        <f>SUM(F12+F16+F20)</f>
        <v>0</v>
      </c>
      <c r="G21" s="312"/>
      <c r="H21" s="314"/>
      <c r="I21" s="141">
        <f>SUM(I12+I16+I20)</f>
        <v>0</v>
      </c>
      <c r="J21" s="141">
        <f>SUM(J12+J16+J20)</f>
        <v>0</v>
      </c>
      <c r="K21" s="141">
        <f>SUM(K12+K16+K20)</f>
        <v>0</v>
      </c>
      <c r="L21" s="141">
        <f>SUM(L12+L16+L20)</f>
        <v>0</v>
      </c>
    </row>
    <row r="22" spans="2:25" s="118" customFormat="1" x14ac:dyDescent="0.2">
      <c r="B22" s="3"/>
      <c r="C22" s="3"/>
      <c r="D22" s="3"/>
      <c r="E22" s="3"/>
      <c r="F22" s="3"/>
      <c r="G22" s="3"/>
      <c r="H22" s="3"/>
      <c r="I22" s="3"/>
      <c r="J22" s="3"/>
      <c r="K22" s="3"/>
      <c r="L22" s="3"/>
      <c r="M22" s="58"/>
      <c r="N22" s="58"/>
      <c r="O22" s="58"/>
      <c r="P22" s="58"/>
      <c r="Q22" s="58"/>
      <c r="R22" s="58"/>
      <c r="S22" s="58"/>
      <c r="T22" s="58"/>
      <c r="U22" s="58"/>
      <c r="V22" s="58"/>
      <c r="W22" s="58"/>
      <c r="X22" s="58"/>
      <c r="Y22" s="58"/>
    </row>
    <row r="23" spans="2:25" s="144" customFormat="1" x14ac:dyDescent="0.2">
      <c r="B23" s="577" t="s">
        <v>70</v>
      </c>
      <c r="C23" s="539"/>
      <c r="D23" s="539"/>
      <c r="E23" s="539"/>
      <c r="F23" s="539"/>
      <c r="G23" s="539"/>
      <c r="H23" s="539"/>
      <c r="I23" s="539"/>
      <c r="J23" s="142"/>
      <c r="K23" s="142"/>
      <c r="L23" s="143"/>
    </row>
    <row r="24" spans="2:25" s="144" customFormat="1" x14ac:dyDescent="0.2">
      <c r="B24" s="3"/>
      <c r="C24" s="68"/>
      <c r="D24" s="68"/>
      <c r="E24" s="68"/>
      <c r="F24" s="68"/>
      <c r="G24" s="68"/>
      <c r="H24" s="68"/>
      <c r="I24" s="68"/>
      <c r="J24" s="62"/>
      <c r="K24" s="62"/>
      <c r="L24" s="143"/>
    </row>
    <row r="25" spans="2:25" s="144" customFormat="1" x14ac:dyDescent="0.2">
      <c r="B25" s="145"/>
      <c r="C25" s="145"/>
      <c r="D25" s="64" t="s">
        <v>60</v>
      </c>
      <c r="E25" s="145"/>
      <c r="F25" s="64" t="s">
        <v>11</v>
      </c>
      <c r="G25" s="145"/>
      <c r="H25" s="145"/>
      <c r="I25" s="145"/>
      <c r="J25" s="146"/>
      <c r="K25" s="143"/>
      <c r="L25" s="143"/>
    </row>
    <row r="26" spans="2:25" s="144" customFormat="1" x14ac:dyDescent="0.2">
      <c r="B26" s="147"/>
      <c r="C26" s="67"/>
      <c r="D26" s="67" t="s">
        <v>55</v>
      </c>
      <c r="E26" s="67" t="s">
        <v>61</v>
      </c>
      <c r="F26" s="67" t="s">
        <v>26</v>
      </c>
      <c r="G26" s="67" t="s">
        <v>62</v>
      </c>
      <c r="H26" s="67" t="s">
        <v>63</v>
      </c>
      <c r="I26" s="67" t="s">
        <v>63</v>
      </c>
      <c r="J26" s="143"/>
      <c r="K26" s="143"/>
      <c r="L26" s="143"/>
    </row>
    <row r="27" spans="2:25" s="144" customFormat="1" x14ac:dyDescent="0.2">
      <c r="B27" s="67" t="s">
        <v>453</v>
      </c>
      <c r="C27" s="67" t="s">
        <v>64</v>
      </c>
      <c r="D27" s="67" t="s">
        <v>65</v>
      </c>
      <c r="E27" s="67" t="s">
        <v>56</v>
      </c>
      <c r="F27" s="67" t="s">
        <v>66</v>
      </c>
      <c r="G27" s="67" t="s">
        <v>82</v>
      </c>
      <c r="H27" s="67" t="s">
        <v>67</v>
      </c>
      <c r="I27" s="67" t="s">
        <v>67</v>
      </c>
      <c r="J27" s="143"/>
      <c r="K27" s="143"/>
      <c r="L27" s="143"/>
    </row>
    <row r="28" spans="2:25" s="144" customFormat="1" x14ac:dyDescent="0.2">
      <c r="B28" s="75" t="s">
        <v>454</v>
      </c>
      <c r="C28" s="75" t="s">
        <v>53</v>
      </c>
      <c r="D28" s="148" t="s">
        <v>68</v>
      </c>
      <c r="E28" s="75" t="s">
        <v>38</v>
      </c>
      <c r="F28" s="148" t="s">
        <v>87</v>
      </c>
      <c r="G28" s="124" t="str">
        <f>F8</f>
        <v>Jan 1, 2024</v>
      </c>
      <c r="H28" s="75">
        <f>L1-1</f>
        <v>2024</v>
      </c>
      <c r="I28" s="75">
        <f>L1</f>
        <v>2025</v>
      </c>
      <c r="J28" s="143"/>
      <c r="K28" s="143"/>
      <c r="L28" s="143"/>
    </row>
    <row r="29" spans="2:25" s="144" customFormat="1" x14ac:dyDescent="0.2">
      <c r="B29" s="14"/>
      <c r="C29" s="253"/>
      <c r="D29" s="149"/>
      <c r="E29" s="129"/>
      <c r="F29" s="15"/>
      <c r="G29" s="15"/>
      <c r="H29" s="15"/>
      <c r="I29" s="15"/>
      <c r="J29" s="143"/>
      <c r="K29" s="143"/>
      <c r="L29" s="143"/>
    </row>
    <row r="30" spans="2:25" s="144" customFormat="1" x14ac:dyDescent="0.2">
      <c r="B30" s="14"/>
      <c r="C30" s="253"/>
      <c r="D30" s="149"/>
      <c r="E30" s="129"/>
      <c r="F30" s="15"/>
      <c r="G30" s="15"/>
      <c r="H30" s="15"/>
      <c r="I30" s="15"/>
      <c r="J30" s="143"/>
      <c r="K30" s="143"/>
      <c r="L30" s="143"/>
    </row>
    <row r="31" spans="2:25" s="144" customFormat="1" x14ac:dyDescent="0.2">
      <c r="B31" s="14"/>
      <c r="C31" s="253"/>
      <c r="D31" s="149"/>
      <c r="E31" s="129"/>
      <c r="F31" s="15"/>
      <c r="G31" s="15"/>
      <c r="H31" s="15"/>
      <c r="I31" s="15"/>
      <c r="J31" s="143"/>
      <c r="K31" s="143"/>
      <c r="L31" s="143"/>
    </row>
    <row r="32" spans="2:25" s="144" customFormat="1" x14ac:dyDescent="0.2">
      <c r="B32" s="14"/>
      <c r="C32" s="253"/>
      <c r="D32" s="149"/>
      <c r="E32" s="129"/>
      <c r="F32" s="15"/>
      <c r="G32" s="15"/>
      <c r="H32" s="15"/>
      <c r="I32" s="15"/>
      <c r="J32" s="143"/>
      <c r="K32" s="143"/>
      <c r="L32" s="143"/>
    </row>
    <row r="33" spans="2:12" s="144" customFormat="1" x14ac:dyDescent="0.2">
      <c r="B33" s="14"/>
      <c r="C33" s="253"/>
      <c r="D33" s="149"/>
      <c r="E33" s="129"/>
      <c r="F33" s="15"/>
      <c r="G33" s="15"/>
      <c r="H33" s="15"/>
      <c r="I33" s="15"/>
      <c r="J33" s="143"/>
      <c r="K33" s="143"/>
      <c r="L33" s="143"/>
    </row>
    <row r="34" spans="2:12" s="144" customFormat="1" x14ac:dyDescent="0.2">
      <c r="B34" s="14"/>
      <c r="C34" s="253"/>
      <c r="D34" s="149"/>
      <c r="E34" s="129"/>
      <c r="F34" s="15"/>
      <c r="G34" s="15"/>
      <c r="H34" s="15"/>
      <c r="I34" s="15"/>
      <c r="J34" s="143"/>
      <c r="K34" s="143"/>
      <c r="L34" s="143"/>
    </row>
    <row r="35" spans="2:12" s="144" customFormat="1" x14ac:dyDescent="0.2">
      <c r="B35" s="14"/>
      <c r="C35" s="253"/>
      <c r="D35" s="149"/>
      <c r="E35" s="129"/>
      <c r="F35" s="15"/>
      <c r="G35" s="15"/>
      <c r="H35" s="15"/>
      <c r="I35" s="15"/>
      <c r="J35" s="143"/>
      <c r="K35" s="143"/>
      <c r="L35" s="143"/>
    </row>
    <row r="36" spans="2:12" s="144" customFormat="1" x14ac:dyDescent="0.2">
      <c r="B36" s="14"/>
      <c r="C36" s="253"/>
      <c r="D36" s="149"/>
      <c r="E36" s="129"/>
      <c r="F36" s="15"/>
      <c r="G36" s="15"/>
      <c r="H36" s="15"/>
      <c r="I36" s="15"/>
      <c r="J36" s="143"/>
      <c r="K36" s="143"/>
      <c r="L36" s="143"/>
    </row>
    <row r="37" spans="2:12" s="144" customFormat="1" x14ac:dyDescent="0.2">
      <c r="B37" s="14"/>
      <c r="C37" s="253"/>
      <c r="D37" s="149"/>
      <c r="E37" s="129"/>
      <c r="F37" s="15"/>
      <c r="G37" s="15"/>
      <c r="H37" s="15"/>
      <c r="I37" s="15"/>
      <c r="J37" s="143"/>
      <c r="K37" s="143"/>
      <c r="L37" s="143"/>
    </row>
    <row r="38" spans="2:12" s="144" customFormat="1" x14ac:dyDescent="0.2">
      <c r="B38" s="14"/>
      <c r="C38" s="253"/>
      <c r="D38" s="149"/>
      <c r="E38" s="129"/>
      <c r="F38" s="15"/>
      <c r="G38" s="15"/>
      <c r="H38" s="15"/>
      <c r="I38" s="15"/>
      <c r="J38" s="143"/>
      <c r="K38" s="143"/>
      <c r="L38" s="143"/>
    </row>
    <row r="39" spans="2:12" s="144" customFormat="1" x14ac:dyDescent="0.2">
      <c r="B39" s="14"/>
      <c r="C39" s="253"/>
      <c r="D39" s="149"/>
      <c r="E39" s="129"/>
      <c r="F39" s="15"/>
      <c r="G39" s="15"/>
      <c r="H39" s="15"/>
      <c r="I39" s="15"/>
      <c r="J39" s="143"/>
      <c r="K39" s="143"/>
      <c r="L39" s="143"/>
    </row>
    <row r="40" spans="2:12" s="144" customFormat="1" x14ac:dyDescent="0.2">
      <c r="B40" s="14"/>
      <c r="C40" s="253"/>
      <c r="D40" s="149"/>
      <c r="E40" s="129"/>
      <c r="F40" s="15"/>
      <c r="G40" s="15"/>
      <c r="H40" s="15"/>
      <c r="I40" s="15"/>
      <c r="J40" s="143"/>
      <c r="K40" s="143"/>
      <c r="L40" s="143"/>
    </row>
    <row r="41" spans="2:12" s="118" customFormat="1" x14ac:dyDescent="0.2">
      <c r="B41" s="316"/>
      <c r="C41" s="150"/>
      <c r="D41" s="150"/>
      <c r="E41" s="317" t="s">
        <v>76</v>
      </c>
      <c r="F41" s="151">
        <f>SUM(F29:F40)</f>
        <v>0</v>
      </c>
      <c r="G41" s="152">
        <f>SUM(G29:G40)</f>
        <v>0</v>
      </c>
      <c r="H41" s="152">
        <f>SUM(H29:H40)</f>
        <v>0</v>
      </c>
      <c r="I41" s="152">
        <f>SUM(I29:I40)</f>
        <v>0</v>
      </c>
      <c r="J41" s="119"/>
      <c r="K41" s="119"/>
      <c r="L41" s="37"/>
    </row>
    <row r="42" spans="2:12" x14ac:dyDescent="0.2">
      <c r="B42" s="29"/>
      <c r="C42" s="29"/>
      <c r="D42" s="29"/>
      <c r="E42" s="29"/>
      <c r="F42" s="29"/>
      <c r="G42" s="29"/>
      <c r="H42" s="29"/>
      <c r="I42" s="29"/>
      <c r="J42" s="3"/>
      <c r="K42" s="3"/>
      <c r="L42" s="3"/>
    </row>
    <row r="43" spans="2:12" x14ac:dyDescent="0.2">
      <c r="B43" s="153" t="s">
        <v>721</v>
      </c>
      <c r="C43" s="115"/>
      <c r="D43" s="115"/>
      <c r="E43" s="115"/>
      <c r="F43" s="115"/>
      <c r="G43" s="115"/>
      <c r="H43" s="115"/>
      <c r="I43" s="29"/>
      <c r="J43" s="3"/>
      <c r="K43" s="3"/>
      <c r="L43" s="3"/>
    </row>
  </sheetData>
  <sheetProtection sheet="1"/>
  <mergeCells count="1">
    <mergeCell ref="B23:I23"/>
  </mergeCells>
  <phoneticPr fontId="0" type="noConversion"/>
  <pageMargins left="0.41" right="0.5" top="1" bottom="0.5" header="0.5" footer="0.25"/>
  <pageSetup scale="75" orientation="landscape" blackAndWhite="1" horizontalDpi="120" verticalDpi="144" r:id="rId1"/>
  <headerFooter alignWithMargins="0">
    <oddHeader xml:space="preserve">&amp;RState of Kansas
Special District
</oddHeader>
    <oddFooter>&amp;CPage No. 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B1:K84"/>
  <sheetViews>
    <sheetView workbookViewId="0">
      <selection sqref="A1:XFD1"/>
    </sheetView>
  </sheetViews>
  <sheetFormatPr defaultRowHeight="15.75" x14ac:dyDescent="0.2"/>
  <cols>
    <col min="1" max="1" width="2.44140625" style="58" customWidth="1"/>
    <col min="2" max="2" width="31.109375" style="58" customWidth="1"/>
    <col min="3" max="5" width="15.77734375" style="58" customWidth="1"/>
    <col min="6" max="6" width="7.44140625" style="58" customWidth="1"/>
    <col min="7" max="7" width="10.21875" style="58" customWidth="1"/>
    <col min="8" max="8" width="8.88671875" style="58"/>
    <col min="9" max="9" width="5.6640625" style="58" customWidth="1"/>
    <col min="10" max="10" width="10" style="58" customWidth="1"/>
    <col min="11" max="16384" width="8.88671875" style="58"/>
  </cols>
  <sheetData>
    <row r="1" spans="2:6" x14ac:dyDescent="0.2">
      <c r="B1" s="3">
        <f>inputPrYr!D3</f>
        <v>0</v>
      </c>
      <c r="C1" s="154"/>
      <c r="D1" s="3"/>
      <c r="E1" s="92">
        <f>inputPrYr!$D$6</f>
        <v>2025</v>
      </c>
    </row>
    <row r="2" spans="2:6" x14ac:dyDescent="0.2">
      <c r="B2" s="3">
        <f>inputPrYr!D4</f>
        <v>0</v>
      </c>
      <c r="C2" s="154"/>
      <c r="D2" s="3"/>
      <c r="E2" s="92"/>
    </row>
    <row r="3" spans="2:6" x14ac:dyDescent="0.2">
      <c r="B3" s="279" t="s">
        <v>71</v>
      </c>
      <c r="C3" s="154"/>
      <c r="D3" s="3"/>
      <c r="E3" s="92"/>
      <c r="F3" s="327"/>
    </row>
    <row r="4" spans="2:6" x14ac:dyDescent="0.2">
      <c r="B4" s="3"/>
      <c r="C4" s="62"/>
      <c r="D4" s="62"/>
      <c r="E4" s="62"/>
    </row>
    <row r="5" spans="2:6" x14ac:dyDescent="0.2">
      <c r="B5" s="2" t="s">
        <v>27</v>
      </c>
      <c r="C5" s="244" t="s">
        <v>159</v>
      </c>
      <c r="D5" s="245" t="s">
        <v>158</v>
      </c>
      <c r="E5" s="155" t="s">
        <v>155</v>
      </c>
    </row>
    <row r="6" spans="2:6" x14ac:dyDescent="0.2">
      <c r="B6" s="9" t="str">
        <f>inputPrYr!B19</f>
        <v>General</v>
      </c>
      <c r="C6" s="246" t="str">
        <f>CONCATENATE("Actual for ",E1-2,"")</f>
        <v>Actual for 2023</v>
      </c>
      <c r="D6" s="246" t="str">
        <f>CONCATENATE("Estimate for ",E1-1,"")</f>
        <v>Estimate for 2024</v>
      </c>
      <c r="E6" s="75" t="str">
        <f>CONCATENATE("Year for ",E1,"")</f>
        <v>Year for 2025</v>
      </c>
    </row>
    <row r="7" spans="2:6" x14ac:dyDescent="0.2">
      <c r="B7" s="80" t="s">
        <v>83</v>
      </c>
      <c r="C7" s="242"/>
      <c r="D7" s="247">
        <f>C63</f>
        <v>0</v>
      </c>
      <c r="E7" s="25">
        <f>D63</f>
        <v>0</v>
      </c>
    </row>
    <row r="8" spans="2:6" x14ac:dyDescent="0.2">
      <c r="B8" s="157" t="s">
        <v>85</v>
      </c>
      <c r="C8" s="158"/>
      <c r="D8" s="158"/>
      <c r="E8" s="57"/>
    </row>
    <row r="9" spans="2:6" x14ac:dyDescent="0.2">
      <c r="B9" s="80" t="s">
        <v>28</v>
      </c>
      <c r="C9" s="242"/>
      <c r="D9" s="247">
        <f>IF(inputPrYr!H18&gt;0,inputPrYr!G19,inputPrYr!E19)</f>
        <v>0</v>
      </c>
      <c r="E9" s="88" t="s">
        <v>23</v>
      </c>
    </row>
    <row r="10" spans="2:6" x14ac:dyDescent="0.2">
      <c r="B10" s="80" t="s">
        <v>29</v>
      </c>
      <c r="C10" s="242"/>
      <c r="D10" s="242"/>
      <c r="E10" s="131"/>
    </row>
    <row r="11" spans="2:6" x14ac:dyDescent="0.2">
      <c r="B11" s="80" t="s">
        <v>30</v>
      </c>
      <c r="C11" s="242"/>
      <c r="D11" s="242"/>
      <c r="E11" s="25">
        <f>Mvalloc!D11</f>
        <v>0</v>
      </c>
    </row>
    <row r="12" spans="2:6" x14ac:dyDescent="0.2">
      <c r="B12" s="80" t="s">
        <v>31</v>
      </c>
      <c r="C12" s="242"/>
      <c r="D12" s="242"/>
      <c r="E12" s="25">
        <f>Mvalloc!E11</f>
        <v>0</v>
      </c>
    </row>
    <row r="13" spans="2:6" x14ac:dyDescent="0.2">
      <c r="B13" s="158" t="s">
        <v>79</v>
      </c>
      <c r="C13" s="242"/>
      <c r="D13" s="242"/>
      <c r="E13" s="25">
        <f>Mvalloc!F11</f>
        <v>0</v>
      </c>
    </row>
    <row r="14" spans="2:6" x14ac:dyDescent="0.2">
      <c r="B14" s="80" t="s">
        <v>482</v>
      </c>
      <c r="C14" s="242"/>
      <c r="D14" s="242"/>
      <c r="E14" s="25">
        <f>Mvalloc!G11</f>
        <v>0</v>
      </c>
    </row>
    <row r="15" spans="2:6" x14ac:dyDescent="0.2">
      <c r="B15" s="80" t="s">
        <v>483</v>
      </c>
      <c r="C15" s="242"/>
      <c r="D15" s="242"/>
      <c r="E15" s="25">
        <f>Mvalloc!H11</f>
        <v>0</v>
      </c>
    </row>
    <row r="16" spans="2:6" x14ac:dyDescent="0.2">
      <c r="B16" s="159" t="s">
        <v>32</v>
      </c>
      <c r="C16" s="242"/>
      <c r="D16" s="242"/>
      <c r="E16" s="131"/>
    </row>
    <row r="17" spans="2:5" x14ac:dyDescent="0.2">
      <c r="B17" s="159"/>
      <c r="C17" s="242"/>
      <c r="D17" s="242"/>
      <c r="E17" s="131"/>
    </row>
    <row r="18" spans="2:5" x14ac:dyDescent="0.2">
      <c r="B18" s="159"/>
      <c r="C18" s="242"/>
      <c r="D18" s="242"/>
      <c r="E18" s="131"/>
    </row>
    <row r="19" spans="2:5" x14ac:dyDescent="0.2">
      <c r="B19" s="159"/>
      <c r="C19" s="242"/>
      <c r="D19" s="242"/>
      <c r="E19" s="131"/>
    </row>
    <row r="20" spans="2:5" x14ac:dyDescent="0.2">
      <c r="B20" s="159"/>
      <c r="C20" s="242"/>
      <c r="D20" s="242"/>
      <c r="E20" s="131"/>
    </row>
    <row r="21" spans="2:5" x14ac:dyDescent="0.2">
      <c r="B21" s="159"/>
      <c r="C21" s="242"/>
      <c r="D21" s="242"/>
      <c r="E21" s="131"/>
    </row>
    <row r="22" spans="2:5" x14ac:dyDescent="0.2">
      <c r="B22" s="159"/>
      <c r="C22" s="242"/>
      <c r="D22" s="242"/>
      <c r="E22" s="131"/>
    </row>
    <row r="23" spans="2:5" x14ac:dyDescent="0.2">
      <c r="B23" s="159"/>
      <c r="C23" s="242"/>
      <c r="D23" s="242"/>
      <c r="E23" s="131"/>
    </row>
    <row r="24" spans="2:5" x14ac:dyDescent="0.2">
      <c r="B24" s="159"/>
      <c r="C24" s="242"/>
      <c r="D24" s="242"/>
      <c r="E24" s="131"/>
    </row>
    <row r="25" spans="2:5" x14ac:dyDescent="0.2">
      <c r="B25" s="159"/>
      <c r="C25" s="242"/>
      <c r="D25" s="242"/>
      <c r="E25" s="131"/>
    </row>
    <row r="26" spans="2:5" x14ac:dyDescent="0.2">
      <c r="B26" s="159"/>
      <c r="C26" s="242"/>
      <c r="D26" s="242"/>
      <c r="E26" s="131"/>
    </row>
    <row r="27" spans="2:5" x14ac:dyDescent="0.2">
      <c r="B27" s="159"/>
      <c r="C27" s="242"/>
      <c r="D27" s="242"/>
      <c r="E27" s="131"/>
    </row>
    <row r="28" spans="2:5" x14ac:dyDescent="0.2">
      <c r="B28" s="159"/>
      <c r="C28" s="242"/>
      <c r="D28" s="242"/>
      <c r="E28" s="131"/>
    </row>
    <row r="29" spans="2:5" x14ac:dyDescent="0.2">
      <c r="B29" s="159"/>
      <c r="C29" s="242"/>
      <c r="D29" s="242"/>
      <c r="E29" s="131"/>
    </row>
    <row r="30" spans="2:5" x14ac:dyDescent="0.2">
      <c r="B30" s="160"/>
      <c r="C30" s="242"/>
      <c r="D30" s="242"/>
      <c r="E30" s="131"/>
    </row>
    <row r="31" spans="2:5" x14ac:dyDescent="0.2">
      <c r="B31" s="160" t="s">
        <v>33</v>
      </c>
      <c r="C31" s="242"/>
      <c r="D31" s="242"/>
      <c r="E31" s="131"/>
    </row>
    <row r="32" spans="2:5" x14ac:dyDescent="0.2">
      <c r="B32" s="82" t="s">
        <v>138</v>
      </c>
      <c r="C32" s="242"/>
      <c r="D32" s="242"/>
      <c r="E32" s="25">
        <f>'NR Rebate'!E7*-1</f>
        <v>0</v>
      </c>
    </row>
    <row r="33" spans="2:11" x14ac:dyDescent="0.2">
      <c r="B33" s="161" t="s">
        <v>137</v>
      </c>
      <c r="C33" s="159"/>
      <c r="D33" s="159"/>
      <c r="E33" s="131"/>
    </row>
    <row r="34" spans="2:11" x14ac:dyDescent="0.2">
      <c r="B34" s="161" t="s">
        <v>417</v>
      </c>
      <c r="C34" s="243" t="str">
        <f>IF(C35*0.1&lt;C33,"Exceed 10% Rule","")</f>
        <v/>
      </c>
      <c r="D34" s="243" t="str">
        <f>IF(D35*0.1&lt;D33,"Exceed 10% Rule","")</f>
        <v/>
      </c>
      <c r="E34" s="256" t="str">
        <f>IF(E35*0.1+E69&lt;E33,"Exceed 10% Rule","")</f>
        <v/>
      </c>
    </row>
    <row r="35" spans="2:11" x14ac:dyDescent="0.2">
      <c r="B35" s="164" t="s">
        <v>34</v>
      </c>
      <c r="C35" s="494">
        <f>SUM(C9:C33)</f>
        <v>0</v>
      </c>
      <c r="D35" s="494">
        <f>SUM(D9:D33)</f>
        <v>0</v>
      </c>
      <c r="E35" s="494">
        <f>SUM(E9:E33)</f>
        <v>0</v>
      </c>
    </row>
    <row r="36" spans="2:11" x14ac:dyDescent="0.2">
      <c r="B36" s="164" t="s">
        <v>35</v>
      </c>
      <c r="C36" s="494">
        <f>C7+C35</f>
        <v>0</v>
      </c>
      <c r="D36" s="494">
        <f>D7+D35</f>
        <v>0</v>
      </c>
      <c r="E36" s="494">
        <f>E7+E35</f>
        <v>0</v>
      </c>
    </row>
    <row r="37" spans="2:11" x14ac:dyDescent="0.2">
      <c r="B37" s="80" t="s">
        <v>36</v>
      </c>
      <c r="C37" s="82"/>
      <c r="D37" s="82"/>
      <c r="E37" s="16"/>
    </row>
    <row r="38" spans="2:11" x14ac:dyDescent="0.2">
      <c r="B38" s="159"/>
      <c r="C38" s="242"/>
      <c r="D38" s="242"/>
      <c r="E38" s="131"/>
    </row>
    <row r="39" spans="2:11" x14ac:dyDescent="0.2">
      <c r="B39" s="159"/>
      <c r="C39" s="242"/>
      <c r="D39" s="242"/>
      <c r="E39" s="131"/>
    </row>
    <row r="40" spans="2:11" x14ac:dyDescent="0.2">
      <c r="B40" s="159"/>
      <c r="C40" s="242"/>
      <c r="D40" s="242"/>
      <c r="E40" s="131"/>
    </row>
    <row r="41" spans="2:11" x14ac:dyDescent="0.2">
      <c r="B41" s="159"/>
      <c r="C41" s="242"/>
      <c r="D41" s="242"/>
      <c r="E41" s="131"/>
    </row>
    <row r="42" spans="2:11" x14ac:dyDescent="0.2">
      <c r="B42" s="159"/>
      <c r="C42" s="242"/>
      <c r="D42" s="242"/>
      <c r="E42" s="131"/>
    </row>
    <row r="43" spans="2:11" x14ac:dyDescent="0.2">
      <c r="B43" s="159"/>
      <c r="C43" s="242"/>
      <c r="D43" s="242"/>
      <c r="E43" s="131"/>
    </row>
    <row r="44" spans="2:11" x14ac:dyDescent="0.2">
      <c r="B44" s="159"/>
      <c r="C44" s="242"/>
      <c r="D44" s="242"/>
      <c r="E44" s="131"/>
      <c r="G44" s="586" t="str">
        <f>CONCATENATE("Desired Carryover Into ",E1+1,"")</f>
        <v>Desired Carryover Into 2026</v>
      </c>
      <c r="H44" s="587"/>
      <c r="I44" s="587"/>
      <c r="J44" s="588"/>
      <c r="K44" s="1"/>
    </row>
    <row r="45" spans="2:11" x14ac:dyDescent="0.2">
      <c r="B45" s="159"/>
      <c r="C45" s="242"/>
      <c r="D45" s="242"/>
      <c r="E45" s="131"/>
      <c r="G45" s="267"/>
      <c r="H45" s="3"/>
      <c r="I45" s="273"/>
      <c r="J45" s="266"/>
      <c r="K45" s="1"/>
    </row>
    <row r="46" spans="2:11" x14ac:dyDescent="0.2">
      <c r="B46" s="159"/>
      <c r="C46" s="242"/>
      <c r="D46" s="242"/>
      <c r="E46" s="131"/>
      <c r="G46" s="265" t="s">
        <v>442</v>
      </c>
      <c r="H46" s="273"/>
      <c r="I46" s="273"/>
      <c r="J46" s="264">
        <v>0</v>
      </c>
      <c r="K46" s="1"/>
    </row>
    <row r="47" spans="2:11" x14ac:dyDescent="0.2">
      <c r="B47" s="159"/>
      <c r="C47" s="242"/>
      <c r="D47" s="242"/>
      <c r="E47" s="131"/>
      <c r="G47" s="267" t="s">
        <v>443</v>
      </c>
      <c r="H47" s="3"/>
      <c r="I47" s="3"/>
      <c r="J47" s="330" t="str">
        <f>IF(J46=0,"",ROUND((J46+E69-G59)/inputOth!E7*1000,3)-G64)</f>
        <v/>
      </c>
      <c r="K47" s="1"/>
    </row>
    <row r="48" spans="2:11" x14ac:dyDescent="0.2">
      <c r="B48" s="159"/>
      <c r="C48" s="242"/>
      <c r="D48" s="242"/>
      <c r="E48" s="131"/>
      <c r="G48" s="331" t="str">
        <f>CONCATENATE("",E1," Tot Exp/Non-Appr Must Be:")</f>
        <v>2025 Tot Exp/Non-Appr Must Be:</v>
      </c>
      <c r="H48" s="329"/>
      <c r="I48" s="328"/>
      <c r="J48" s="332">
        <f>IF(J46&gt;0,IF(E66&lt;E36,IF(J46=G59,E66,((J46-G59)*(1-D68))+E36),E66+(J46-G59)),0)</f>
        <v>0</v>
      </c>
      <c r="K48" s="1"/>
    </row>
    <row r="49" spans="2:11" x14ac:dyDescent="0.2">
      <c r="B49" s="159"/>
      <c r="C49" s="242"/>
      <c r="D49" s="242"/>
      <c r="E49" s="131"/>
      <c r="G49" s="333" t="s">
        <v>458</v>
      </c>
      <c r="H49" s="334"/>
      <c r="I49" s="334"/>
      <c r="J49" s="335">
        <f>IF(J46&gt;0,J48-E66,0)</f>
        <v>0</v>
      </c>
      <c r="K49" s="1"/>
    </row>
    <row r="50" spans="2:11" x14ac:dyDescent="0.2">
      <c r="B50" s="159"/>
      <c r="C50" s="242"/>
      <c r="D50" s="242"/>
      <c r="E50" s="131"/>
      <c r="G50" s="1"/>
      <c r="H50" s="1"/>
      <c r="I50" s="1"/>
      <c r="J50" s="1"/>
      <c r="K50" s="1"/>
    </row>
    <row r="51" spans="2:11" x14ac:dyDescent="0.2">
      <c r="B51" s="159"/>
      <c r="C51" s="242"/>
      <c r="D51" s="242"/>
      <c r="E51" s="131"/>
      <c r="G51" s="586" t="str">
        <f>CONCATENATE("Projected Carryover Into ",E1+1,"")</f>
        <v>Projected Carryover Into 2026</v>
      </c>
      <c r="H51" s="587"/>
      <c r="I51" s="587"/>
      <c r="J51" s="588"/>
      <c r="K51" s="1"/>
    </row>
    <row r="52" spans="2:11" x14ac:dyDescent="0.2">
      <c r="B52" s="159"/>
      <c r="C52" s="242"/>
      <c r="D52" s="242"/>
      <c r="E52" s="131"/>
      <c r="G52" s="283"/>
      <c r="H52" s="3"/>
      <c r="I52" s="3"/>
      <c r="J52" s="274"/>
      <c r="K52" s="1"/>
    </row>
    <row r="53" spans="2:11" x14ac:dyDescent="0.2">
      <c r="B53" s="159"/>
      <c r="C53" s="242"/>
      <c r="D53" s="242"/>
      <c r="E53" s="131"/>
      <c r="G53" s="278">
        <f>D63</f>
        <v>0</v>
      </c>
      <c r="H53" s="277" t="str">
        <f>CONCATENATE("",E1-1," Ending Cash Balance (est.)")</f>
        <v>2024 Ending Cash Balance (est.)</v>
      </c>
      <c r="I53" s="336"/>
      <c r="J53" s="274"/>
      <c r="K53" s="1"/>
    </row>
    <row r="54" spans="2:11" x14ac:dyDescent="0.2">
      <c r="B54" s="159"/>
      <c r="C54" s="242"/>
      <c r="D54" s="242"/>
      <c r="E54" s="131"/>
      <c r="F54" s="1"/>
      <c r="G54" s="278">
        <f>E35</f>
        <v>0</v>
      </c>
      <c r="H54" s="273" t="str">
        <f>CONCATENATE("",E1," Non-AV Receipts (est.)")</f>
        <v>2025 Non-AV Receipts (est.)</v>
      </c>
      <c r="I54" s="336"/>
      <c r="J54" s="274"/>
      <c r="K54" s="1"/>
    </row>
    <row r="55" spans="2:11" x14ac:dyDescent="0.2">
      <c r="B55" s="159"/>
      <c r="C55" s="242"/>
      <c r="D55" s="242"/>
      <c r="E55" s="131"/>
      <c r="F55" s="1"/>
      <c r="G55" s="272">
        <f>IF(E68&gt;0,E67,E69)</f>
        <v>0</v>
      </c>
      <c r="H55" s="273" t="str">
        <f>CONCATENATE("",E1," Ad Valorem Tax (est.)")</f>
        <v>2025 Ad Valorem Tax (est.)</v>
      </c>
      <c r="I55" s="273"/>
      <c r="J55" s="274"/>
      <c r="K55" s="337" t="str">
        <f>IF(G55=E69,"","Note: Does not include Delinquent Taxes")</f>
        <v/>
      </c>
    </row>
    <row r="56" spans="2:11" x14ac:dyDescent="0.2">
      <c r="B56" s="159"/>
      <c r="C56" s="242"/>
      <c r="D56" s="242"/>
      <c r="E56" s="131"/>
      <c r="F56" s="1"/>
      <c r="G56" s="278">
        <f>SUM(G53:G55)</f>
        <v>0</v>
      </c>
      <c r="H56" s="273" t="str">
        <f>CONCATENATE("Total ",E1," Resources Available")</f>
        <v>Total 2025 Resources Available</v>
      </c>
      <c r="I56" s="336"/>
      <c r="J56" s="274"/>
      <c r="K56" s="1"/>
    </row>
    <row r="57" spans="2:11" x14ac:dyDescent="0.2">
      <c r="B57" s="159"/>
      <c r="C57" s="242"/>
      <c r="D57" s="242"/>
      <c r="E57" s="131"/>
      <c r="F57" s="1"/>
      <c r="G57" s="271"/>
      <c r="H57" s="273"/>
      <c r="I57" s="273"/>
      <c r="J57" s="274"/>
      <c r="K57" s="1"/>
    </row>
    <row r="58" spans="2:11" x14ac:dyDescent="0.2">
      <c r="B58" s="159"/>
      <c r="C58" s="242"/>
      <c r="D58" s="242"/>
      <c r="E58" s="131"/>
      <c r="F58" s="1"/>
      <c r="G58" s="272">
        <f>ROUND(C62*0.05+C62,0)</f>
        <v>0</v>
      </c>
      <c r="H58" s="273" t="str">
        <f>CONCATENATE("Less ",E1-2," Expenditures + 5%")</f>
        <v>Less 2023 Expenditures + 5%</v>
      </c>
      <c r="I58" s="336"/>
      <c r="J58" s="274"/>
      <c r="K58" s="1"/>
    </row>
    <row r="59" spans="2:11" x14ac:dyDescent="0.2">
      <c r="B59" s="82" t="str">
        <f>CONCATENATE("Cash Reserve (",E1," column)")</f>
        <v>Cash Reserve (2025 column)</v>
      </c>
      <c r="C59" s="242"/>
      <c r="D59" s="242"/>
      <c r="E59" s="131"/>
      <c r="F59" s="1"/>
      <c r="G59" s="270">
        <f>G56-G58</f>
        <v>0</v>
      </c>
      <c r="H59" s="269" t="str">
        <f>CONCATENATE("Projected ",E1+1," Carryover (est.)")</f>
        <v>Projected 2026 Carryover (est.)</v>
      </c>
      <c r="I59" s="339"/>
      <c r="J59" s="268"/>
      <c r="K59" s="1"/>
    </row>
    <row r="60" spans="2:11" x14ac:dyDescent="0.2">
      <c r="B60" s="82" t="s">
        <v>137</v>
      </c>
      <c r="C60" s="242"/>
      <c r="D60" s="242"/>
      <c r="E60" s="15"/>
      <c r="F60" s="1"/>
      <c r="G60" s="1"/>
      <c r="H60" s="1"/>
      <c r="I60" s="1"/>
      <c r="J60" s="1"/>
      <c r="K60" s="1"/>
    </row>
    <row r="61" spans="2:11" x14ac:dyDescent="0.2">
      <c r="B61" s="82" t="s">
        <v>416</v>
      </c>
      <c r="C61" s="243" t="str">
        <f>IF(C62*0.1&lt;C60,"Exceed 10% Rule","")</f>
        <v/>
      </c>
      <c r="D61" s="243" t="str">
        <f>IF(D62*0.1&lt;D60,"Exceed 10% Rule","")</f>
        <v/>
      </c>
      <c r="E61" s="256" t="str">
        <f>IF(E62*0.1&lt;E60,"Exceed 10% Rule","")</f>
        <v/>
      </c>
      <c r="F61" s="1"/>
      <c r="G61" s="589" t="s">
        <v>722</v>
      </c>
      <c r="H61" s="590"/>
      <c r="I61" s="590"/>
      <c r="J61" s="591"/>
      <c r="K61" s="1"/>
    </row>
    <row r="62" spans="2:11" x14ac:dyDescent="0.2">
      <c r="B62" s="164" t="s">
        <v>37</v>
      </c>
      <c r="C62" s="494">
        <f>SUM(C38:C60)</f>
        <v>0</v>
      </c>
      <c r="D62" s="494">
        <f>SUM(D38:D60)</f>
        <v>0</v>
      </c>
      <c r="E62" s="494">
        <f>SUM(E38:E60)</f>
        <v>0</v>
      </c>
      <c r="F62" s="1"/>
      <c r="G62" s="592"/>
      <c r="H62" s="593"/>
      <c r="I62" s="593"/>
      <c r="J62" s="594"/>
      <c r="K62" s="1"/>
    </row>
    <row r="63" spans="2:11" x14ac:dyDescent="0.2">
      <c r="B63" s="80" t="s">
        <v>84</v>
      </c>
      <c r="C63" s="25">
        <f>C36-C62</f>
        <v>0</v>
      </c>
      <c r="D63" s="25">
        <f>D36-D62</f>
        <v>0</v>
      </c>
      <c r="E63" s="88" t="s">
        <v>23</v>
      </c>
      <c r="F63" s="1"/>
      <c r="G63" s="462" t="str">
        <f>'Budget Hearing Notice'!H16</f>
        <v xml:space="preserve"> </v>
      </c>
      <c r="H63" s="463" t="str">
        <f>CONCATENATE("",E1," Estimated Fund Mill Rate")</f>
        <v>2025 Estimated Fund Mill Rate</v>
      </c>
      <c r="I63" s="464"/>
      <c r="J63" s="465"/>
      <c r="K63" s="1"/>
    </row>
    <row r="64" spans="2:11" x14ac:dyDescent="0.2">
      <c r="B64" s="2" t="str">
        <f>CONCATENATE("",E1-2,"/",E1-1,"/",E1," Budget Authority Amount:")</f>
        <v>2023/2024/2025 Budget Authority Amount:</v>
      </c>
      <c r="C64" s="172">
        <f>inputOth!B43</f>
        <v>0</v>
      </c>
      <c r="D64" s="322">
        <f>inputPrYr!D19</f>
        <v>0</v>
      </c>
      <c r="E64" s="25">
        <f>E62</f>
        <v>0</v>
      </c>
      <c r="F64" s="1"/>
      <c r="G64" s="466" t="str">
        <f>'Budget Hearing Notice'!E16</f>
        <v xml:space="preserve">  </v>
      </c>
      <c r="H64" s="463" t="str">
        <f>CONCATENATE("",E1-1," Fund Mill Rate")</f>
        <v>2024 Fund Mill Rate</v>
      </c>
      <c r="I64" s="464"/>
      <c r="J64" s="465"/>
      <c r="K64" s="1"/>
    </row>
    <row r="65" spans="2:11" x14ac:dyDescent="0.2">
      <c r="B65" s="92"/>
      <c r="C65" s="582" t="s">
        <v>436</v>
      </c>
      <c r="D65" s="583"/>
      <c r="E65" s="15"/>
      <c r="F65" s="177"/>
      <c r="G65" s="467">
        <f>'Budget Hearing Notice'!H24</f>
        <v>0</v>
      </c>
      <c r="H65" s="468" t="s">
        <v>723</v>
      </c>
      <c r="I65" s="464"/>
      <c r="J65" s="465"/>
      <c r="K65" s="1"/>
    </row>
    <row r="66" spans="2:11" x14ac:dyDescent="0.2">
      <c r="B66" s="255" t="str">
        <f>CONCATENATE(C82,"     ",D82)</f>
        <v xml:space="preserve">     </v>
      </c>
      <c r="C66" s="584" t="s">
        <v>437</v>
      </c>
      <c r="D66" s="585"/>
      <c r="E66" s="25">
        <f>E62+E65</f>
        <v>0</v>
      </c>
      <c r="F66" s="338" t="str">
        <f>IF(E62/0.95-E62&lt;E65,"Exceeds 5%","")</f>
        <v/>
      </c>
      <c r="G66" s="462">
        <f>'Budget Hearing Notice'!H23</f>
        <v>0</v>
      </c>
      <c r="H66" s="463" t="str">
        <f>CONCATENATE(E1," Estimated Total Mill Rate")</f>
        <v>2025 Estimated Total Mill Rate</v>
      </c>
      <c r="I66" s="464"/>
      <c r="J66" s="465"/>
      <c r="K66" s="1"/>
    </row>
    <row r="67" spans="2:11" x14ac:dyDescent="0.2">
      <c r="B67" s="255" t="str">
        <f>CONCATENATE(C83,"     ",D83)</f>
        <v xml:space="preserve">     </v>
      </c>
      <c r="C67" s="282"/>
      <c r="D67" s="281" t="s">
        <v>438</v>
      </c>
      <c r="E67" s="25">
        <f>IF(E66-E36&gt;0,E66-E36,0)</f>
        <v>0</v>
      </c>
      <c r="F67" s="1"/>
      <c r="G67" s="469">
        <f>'Budget Hearing Notice'!E23</f>
        <v>0</v>
      </c>
      <c r="H67" s="463" t="str">
        <f>CONCATENATE(E1-1," Total Mill Rate")</f>
        <v>2024 Total Mill Rate</v>
      </c>
      <c r="I67" s="464"/>
      <c r="J67" s="465"/>
    </row>
    <row r="68" spans="2:11" x14ac:dyDescent="0.2">
      <c r="B68" s="95"/>
      <c r="C68" s="280" t="s">
        <v>439</v>
      </c>
      <c r="D68" s="340">
        <f>inputOth!$E$37</f>
        <v>0</v>
      </c>
      <c r="E68" s="25">
        <f>ROUND(IF(D68&gt;0,(E67*D68),0),0)</f>
        <v>0</v>
      </c>
      <c r="F68" s="1"/>
      <c r="G68" s="470"/>
      <c r="H68" s="405"/>
      <c r="I68" s="405"/>
      <c r="J68" s="471"/>
    </row>
    <row r="69" spans="2:11" x14ac:dyDescent="0.2">
      <c r="B69" s="3"/>
      <c r="C69" s="580" t="str">
        <f>CONCATENATE("Amount of  ",$E$1-1," Ad Valorem Tax")</f>
        <v>Amount of  2024 Ad Valorem Tax</v>
      </c>
      <c r="D69" s="581"/>
      <c r="E69" s="25">
        <f>E67+E68</f>
        <v>0</v>
      </c>
      <c r="F69" s="1"/>
      <c r="G69" s="595" t="s">
        <v>724</v>
      </c>
      <c r="H69" s="596"/>
      <c r="I69" s="596"/>
      <c r="J69" s="599" t="str">
        <f>IF(G66&gt;G65, "Yes", "No")</f>
        <v>No</v>
      </c>
    </row>
    <row r="70" spans="2:11" x14ac:dyDescent="0.2">
      <c r="B70" s="3"/>
      <c r="C70" s="3"/>
      <c r="D70" s="3"/>
      <c r="E70" s="3"/>
      <c r="F70" s="1"/>
      <c r="G70" s="597"/>
      <c r="H70" s="598"/>
      <c r="I70" s="598"/>
      <c r="J70" s="600"/>
    </row>
    <row r="71" spans="2:11" x14ac:dyDescent="0.2">
      <c r="B71" s="428" t="s">
        <v>605</v>
      </c>
      <c r="C71" s="85"/>
      <c r="D71" s="85"/>
      <c r="E71" s="425"/>
      <c r="F71" s="1"/>
      <c r="G71" s="578" t="str">
        <f>IF(J69="Yes", "Follow procedure prescribed by KSA 79-2988 to exceed the Revenue Neutral Rate.", " ")</f>
        <v xml:space="preserve"> </v>
      </c>
      <c r="H71" s="578"/>
      <c r="I71" s="578"/>
      <c r="J71" s="578"/>
    </row>
    <row r="72" spans="2:11" x14ac:dyDescent="0.2">
      <c r="B72" s="283"/>
      <c r="C72" s="3"/>
      <c r="D72" s="3"/>
      <c r="E72" s="274"/>
      <c r="F72" s="1"/>
      <c r="G72" s="579"/>
      <c r="H72" s="579"/>
      <c r="I72" s="579"/>
      <c r="J72" s="579"/>
    </row>
    <row r="73" spans="2:11" x14ac:dyDescent="0.2">
      <c r="B73" s="79"/>
      <c r="C73" s="20"/>
      <c r="D73" s="20"/>
      <c r="E73" s="24"/>
      <c r="F73" s="1"/>
      <c r="G73" s="579"/>
      <c r="H73" s="579"/>
      <c r="I73" s="579"/>
      <c r="J73" s="579"/>
    </row>
    <row r="74" spans="2:11" x14ac:dyDescent="0.2">
      <c r="B74" s="3"/>
      <c r="C74" s="154"/>
      <c r="D74" s="154"/>
      <c r="E74" s="154"/>
      <c r="F74" s="36"/>
    </row>
    <row r="75" spans="2:11" x14ac:dyDescent="0.2">
      <c r="B75" s="92"/>
      <c r="C75" s="3" t="s">
        <v>620</v>
      </c>
      <c r="D75" s="3"/>
      <c r="E75" s="3"/>
      <c r="F75" s="1"/>
    </row>
    <row r="76" spans="2:11" x14ac:dyDescent="0.2">
      <c r="F76" s="1"/>
    </row>
    <row r="77" spans="2:11" x14ac:dyDescent="0.2">
      <c r="B77" s="36"/>
    </row>
    <row r="82" spans="3:4" x14ac:dyDescent="0.2">
      <c r="C82" s="58" t="str">
        <f>IF(C62&gt;C64,"See Tab A","")</f>
        <v/>
      </c>
      <c r="D82" s="58" t="str">
        <f>IF(D62&gt;D64,"See Tab C","")</f>
        <v/>
      </c>
    </row>
    <row r="83" spans="3:4" hidden="1" x14ac:dyDescent="0.2">
      <c r="C83" s="58" t="str">
        <f>IF(C63&lt;0,"See Tab B","")</f>
        <v/>
      </c>
      <c r="D83" s="58" t="str">
        <f>IF(D63&lt;0,"See Tab D","")</f>
        <v/>
      </c>
    </row>
    <row r="84" spans="3:4" hidden="1" x14ac:dyDescent="0.2"/>
  </sheetData>
  <sheetProtection sheet="1" objects="1" scenarios="1"/>
  <mergeCells count="9">
    <mergeCell ref="G71:J73"/>
    <mergeCell ref="C69:D69"/>
    <mergeCell ref="C65:D65"/>
    <mergeCell ref="C66:D66"/>
    <mergeCell ref="G44:J44"/>
    <mergeCell ref="G51:J51"/>
    <mergeCell ref="G61:J62"/>
    <mergeCell ref="G69:I70"/>
    <mergeCell ref="J69:J70"/>
  </mergeCells>
  <phoneticPr fontId="0" type="noConversion"/>
  <conditionalFormatting sqref="C33">
    <cfRule type="cellIs" dxfId="71" priority="11" stopIfTrue="1" operator="greaterThan">
      <formula>$C$35*0.1</formula>
    </cfRule>
  </conditionalFormatting>
  <conditionalFormatting sqref="C60">
    <cfRule type="cellIs" dxfId="70" priority="8" stopIfTrue="1" operator="greaterThan">
      <formula>$C$62*0.1</formula>
    </cfRule>
  </conditionalFormatting>
  <conditionalFormatting sqref="C62">
    <cfRule type="expression" dxfId="69" priority="4">
      <formula>$C$62&gt;$C$64</formula>
    </cfRule>
  </conditionalFormatting>
  <conditionalFormatting sqref="C63">
    <cfRule type="expression" dxfId="68" priority="3">
      <formula>$C$63&lt;0</formula>
    </cfRule>
  </conditionalFormatting>
  <conditionalFormatting sqref="D33">
    <cfRule type="cellIs" dxfId="67" priority="12" stopIfTrue="1" operator="greaterThan">
      <formula>$D$35*0.1</formula>
    </cfRule>
  </conditionalFormatting>
  <conditionalFormatting sqref="D60">
    <cfRule type="cellIs" dxfId="66" priority="9" stopIfTrue="1" operator="greaterThan">
      <formula>$D$62*0.1</formula>
    </cfRule>
  </conditionalFormatting>
  <conditionalFormatting sqref="D62">
    <cfRule type="expression" dxfId="65" priority="2">
      <formula>$D$62&gt;$D$64</formula>
    </cfRule>
  </conditionalFormatting>
  <conditionalFormatting sqref="D63">
    <cfRule type="expression" dxfId="64" priority="1">
      <formula>$D$63&lt;0</formula>
    </cfRule>
  </conditionalFormatting>
  <conditionalFormatting sqref="E33">
    <cfRule type="cellIs" dxfId="63" priority="96" stopIfTrue="1" operator="greaterThan">
      <formula>$E$35*0.1+$E$69</formula>
    </cfRule>
  </conditionalFormatting>
  <conditionalFormatting sqref="E60">
    <cfRule type="cellIs" dxfId="62" priority="10" stopIfTrue="1" operator="greaterThan">
      <formula>$E$62*0.1</formula>
    </cfRule>
  </conditionalFormatting>
  <conditionalFormatting sqref="E65">
    <cfRule type="cellIs" dxfId="61" priority="7" stopIfTrue="1" operator="greaterThan">
      <formula>$E$62/0.95-$E$62</formula>
    </cfRule>
  </conditionalFormatting>
  <conditionalFormatting sqref="J69">
    <cfRule type="containsText" dxfId="60" priority="5" operator="containsText" text="Yes">
      <formula>NOT(ISERROR(SEARCH("Yes",J69)))</formula>
    </cfRule>
  </conditionalFormatting>
  <pageMargins left="1" right="1" top="0.5" bottom="0.5" header="0.5" footer="0.5"/>
  <pageSetup scale="67" orientation="portrait" blackAndWhite="1" horizontalDpi="120" verticalDpi="144" r:id="rId1"/>
  <headerFooter alignWithMargins="0">
    <oddHeader xml:space="preserve">&amp;RState of Kansas
Special District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B1:K72"/>
  <sheetViews>
    <sheetView workbookViewId="0">
      <selection activeCell="B50" sqref="B50"/>
    </sheetView>
  </sheetViews>
  <sheetFormatPr defaultRowHeight="15.75" x14ac:dyDescent="0.2"/>
  <cols>
    <col min="1" max="1" width="2.44140625" style="1" customWidth="1"/>
    <col min="2" max="2" width="31.109375" style="1" customWidth="1"/>
    <col min="3" max="5" width="15.77734375" style="1" customWidth="1"/>
    <col min="6" max="6" width="7.44140625" style="58" customWidth="1"/>
    <col min="7" max="7" width="10.21875" style="58" customWidth="1"/>
    <col min="8" max="8" width="8.88671875" style="58"/>
    <col min="9" max="9" width="5.77734375" style="58" customWidth="1"/>
    <col min="10" max="10" width="10" style="58" customWidth="1"/>
    <col min="11" max="16384" width="8.88671875" style="1"/>
  </cols>
  <sheetData>
    <row r="1" spans="2:6" x14ac:dyDescent="0.2">
      <c r="B1" s="96">
        <f>inputPrYr!D3</f>
        <v>0</v>
      </c>
      <c r="C1" s="3"/>
      <c r="D1" s="3"/>
      <c r="E1" s="166">
        <f>inputPrYr!$D$6</f>
        <v>2025</v>
      </c>
    </row>
    <row r="2" spans="2:6" x14ac:dyDescent="0.2">
      <c r="B2" s="96">
        <f>inputPrYr!D4</f>
        <v>0</v>
      </c>
      <c r="C2" s="3"/>
      <c r="D2" s="3"/>
      <c r="E2" s="166"/>
    </row>
    <row r="3" spans="2:6" x14ac:dyDescent="0.2">
      <c r="B3" s="279" t="s">
        <v>71</v>
      </c>
      <c r="C3" s="154"/>
      <c r="D3" s="154"/>
      <c r="E3" s="167"/>
      <c r="F3" s="327"/>
    </row>
    <row r="4" spans="2:6" x14ac:dyDescent="0.2">
      <c r="B4" s="23" t="s">
        <v>27</v>
      </c>
      <c r="C4" s="244" t="s">
        <v>157</v>
      </c>
      <c r="D4" s="245" t="s">
        <v>158</v>
      </c>
      <c r="E4" s="155" t="s">
        <v>155</v>
      </c>
    </row>
    <row r="5" spans="2:6" x14ac:dyDescent="0.2">
      <c r="B5" s="257" t="s">
        <v>179</v>
      </c>
      <c r="C5" s="250" t="str">
        <f>CONCATENATE("Actual for ",E1-2,"")</f>
        <v>Actual for 2023</v>
      </c>
      <c r="D5" s="250" t="str">
        <f>CONCATENATE("Estimate for ",E1-1,"")</f>
        <v>Estimate for 2024</v>
      </c>
      <c r="E5" s="104" t="str">
        <f>CONCATENATE("Year for ",E1,"")</f>
        <v>Year for 2025</v>
      </c>
    </row>
    <row r="6" spans="2:6" x14ac:dyDescent="0.2">
      <c r="B6" s="74" t="s">
        <v>83</v>
      </c>
      <c r="C6" s="248"/>
      <c r="D6" s="251">
        <f>C53</f>
        <v>0</v>
      </c>
      <c r="E6" s="168">
        <f>D53</f>
        <v>0</v>
      </c>
    </row>
    <row r="7" spans="2:6" x14ac:dyDescent="0.2">
      <c r="B7" s="169" t="s">
        <v>85</v>
      </c>
      <c r="C7" s="249"/>
      <c r="D7" s="251"/>
      <c r="E7" s="168"/>
    </row>
    <row r="8" spans="2:6" x14ac:dyDescent="0.2">
      <c r="B8" s="74" t="s">
        <v>28</v>
      </c>
      <c r="C8" s="242"/>
      <c r="D8" s="249">
        <f>IF(inputPrYr!H18&gt;0,inputPrYr!G20,inputPrYr!E20)</f>
        <v>0</v>
      </c>
      <c r="E8" s="170" t="s">
        <v>23</v>
      </c>
    </row>
    <row r="9" spans="2:6" x14ac:dyDescent="0.2">
      <c r="B9" s="74" t="s">
        <v>29</v>
      </c>
      <c r="C9" s="242"/>
      <c r="D9" s="242"/>
      <c r="E9" s="171"/>
    </row>
    <row r="10" spans="2:6" x14ac:dyDescent="0.2">
      <c r="B10" s="74" t="s">
        <v>30</v>
      </c>
      <c r="C10" s="242"/>
      <c r="D10" s="242"/>
      <c r="E10" s="172">
        <f>Mvalloc!D12</f>
        <v>0</v>
      </c>
    </row>
    <row r="11" spans="2:6" x14ac:dyDescent="0.2">
      <c r="B11" s="74" t="s">
        <v>31</v>
      </c>
      <c r="C11" s="242"/>
      <c r="D11" s="242"/>
      <c r="E11" s="172">
        <f>Mvalloc!E12</f>
        <v>0</v>
      </c>
    </row>
    <row r="12" spans="2:6" x14ac:dyDescent="0.2">
      <c r="B12" s="80" t="s">
        <v>79</v>
      </c>
      <c r="C12" s="242"/>
      <c r="D12" s="242"/>
      <c r="E12" s="172">
        <f>Mvalloc!F12</f>
        <v>0</v>
      </c>
    </row>
    <row r="13" spans="2:6" x14ac:dyDescent="0.2">
      <c r="B13" s="80" t="s">
        <v>482</v>
      </c>
      <c r="C13" s="242"/>
      <c r="D13" s="242"/>
      <c r="E13" s="172">
        <f>Mvalloc!G12</f>
        <v>0</v>
      </c>
    </row>
    <row r="14" spans="2:6" x14ac:dyDescent="0.2">
      <c r="B14" s="80" t="s">
        <v>483</v>
      </c>
      <c r="C14" s="242"/>
      <c r="D14" s="242"/>
      <c r="E14" s="172">
        <f>Mvalloc!H12</f>
        <v>0</v>
      </c>
    </row>
    <row r="15" spans="2:6" x14ac:dyDescent="0.2">
      <c r="B15" s="173"/>
      <c r="C15" s="242"/>
      <c r="D15" s="242"/>
      <c r="E15" s="171"/>
    </row>
    <row r="16" spans="2:6" x14ac:dyDescent="0.2">
      <c r="B16" s="173"/>
      <c r="C16" s="242"/>
      <c r="D16" s="242"/>
      <c r="E16" s="174"/>
    </row>
    <row r="17" spans="2:10" x14ac:dyDescent="0.2">
      <c r="B17" s="173"/>
      <c r="C17" s="242"/>
      <c r="D17" s="242"/>
      <c r="E17" s="171"/>
    </row>
    <row r="18" spans="2:10" x14ac:dyDescent="0.2">
      <c r="B18" s="173"/>
      <c r="C18" s="242"/>
      <c r="D18" s="242"/>
      <c r="E18" s="171"/>
    </row>
    <row r="19" spans="2:10" x14ac:dyDescent="0.2">
      <c r="B19" s="173"/>
      <c r="C19" s="242"/>
      <c r="D19" s="242"/>
      <c r="E19" s="171"/>
    </row>
    <row r="20" spans="2:10" x14ac:dyDescent="0.2">
      <c r="B20" s="173"/>
      <c r="C20" s="242"/>
      <c r="D20" s="242"/>
      <c r="E20" s="171"/>
    </row>
    <row r="21" spans="2:10" x14ac:dyDescent="0.2">
      <c r="B21" s="173"/>
      <c r="C21" s="242"/>
      <c r="D21" s="242"/>
      <c r="E21" s="171"/>
    </row>
    <row r="22" spans="2:10" x14ac:dyDescent="0.2">
      <c r="B22" s="173"/>
      <c r="C22" s="242"/>
      <c r="D22" s="242"/>
      <c r="E22" s="171"/>
    </row>
    <row r="23" spans="2:10" x14ac:dyDescent="0.2">
      <c r="B23" s="173"/>
      <c r="C23" s="242"/>
      <c r="D23" s="242"/>
      <c r="E23" s="171"/>
    </row>
    <row r="24" spans="2:10" x14ac:dyDescent="0.2">
      <c r="B24" s="173" t="s">
        <v>101</v>
      </c>
      <c r="C24" s="242"/>
      <c r="D24" s="242"/>
      <c r="E24" s="171"/>
    </row>
    <row r="25" spans="2:10" x14ac:dyDescent="0.2">
      <c r="B25" s="175" t="s">
        <v>33</v>
      </c>
      <c r="C25" s="242"/>
      <c r="D25" s="242"/>
      <c r="E25" s="171"/>
    </row>
    <row r="26" spans="2:10" x14ac:dyDescent="0.2">
      <c r="B26" s="82" t="s">
        <v>138</v>
      </c>
      <c r="C26" s="242"/>
      <c r="D26" s="242"/>
      <c r="E26" s="25">
        <f>'NR Rebate'!E8*-1</f>
        <v>0</v>
      </c>
    </row>
    <row r="27" spans="2:10" x14ac:dyDescent="0.2">
      <c r="B27" s="161" t="s">
        <v>137</v>
      </c>
      <c r="C27" s="248"/>
      <c r="D27" s="248"/>
      <c r="E27" s="171"/>
    </row>
    <row r="28" spans="2:10" x14ac:dyDescent="0.2">
      <c r="B28" s="161" t="s">
        <v>417</v>
      </c>
      <c r="C28" s="243" t="str">
        <f>IF(C29*0.1&lt;C27,"Exceed 10% Rule","")</f>
        <v/>
      </c>
      <c r="D28" s="243" t="str">
        <f>IF(D29*0.1&lt;D27,"Exceed 10% Rule","")</f>
        <v/>
      </c>
      <c r="E28" s="256" t="str">
        <f>IF(E29*0.1+E59&lt;E27,"Exceed 10% Rule","")</f>
        <v/>
      </c>
    </row>
    <row r="29" spans="2:10" x14ac:dyDescent="0.2">
      <c r="B29" s="164" t="s">
        <v>34</v>
      </c>
      <c r="C29" s="494">
        <f>SUM(C8:C27)</f>
        <v>0</v>
      </c>
      <c r="D29" s="494">
        <f>SUM(D8:D27)</f>
        <v>0</v>
      </c>
      <c r="E29" s="494">
        <f>SUM(E8:E27)</f>
        <v>0</v>
      </c>
    </row>
    <row r="30" spans="2:10" x14ac:dyDescent="0.2">
      <c r="B30" s="164" t="s">
        <v>35</v>
      </c>
      <c r="C30" s="494">
        <f>C6+C29</f>
        <v>0</v>
      </c>
      <c r="D30" s="494">
        <f>D6+D29</f>
        <v>0</v>
      </c>
      <c r="E30" s="494">
        <f>E6+E29</f>
        <v>0</v>
      </c>
      <c r="G30" s="586" t="str">
        <f>CONCATENATE("Desired Carryover Into ",E1+1,"")</f>
        <v>Desired Carryover Into 2026</v>
      </c>
      <c r="H30" s="601"/>
      <c r="I30" s="601"/>
      <c r="J30" s="602"/>
    </row>
    <row r="31" spans="2:10" x14ac:dyDescent="0.2">
      <c r="B31" s="169" t="s">
        <v>36</v>
      </c>
      <c r="C31" s="249"/>
      <c r="D31" s="249"/>
      <c r="E31" s="172"/>
      <c r="G31" s="267"/>
      <c r="H31" s="3"/>
      <c r="I31" s="273"/>
      <c r="J31" s="266"/>
    </row>
    <row r="32" spans="2:10" x14ac:dyDescent="0.2">
      <c r="B32" s="176"/>
      <c r="C32" s="242"/>
      <c r="D32" s="242"/>
      <c r="E32" s="171"/>
      <c r="G32" s="265" t="s">
        <v>442</v>
      </c>
      <c r="H32" s="273"/>
      <c r="I32" s="273"/>
      <c r="J32" s="264">
        <v>0</v>
      </c>
    </row>
    <row r="33" spans="2:11" x14ac:dyDescent="0.2">
      <c r="B33" s="176"/>
      <c r="C33" s="242"/>
      <c r="D33" s="242"/>
      <c r="E33" s="171"/>
      <c r="G33" s="267" t="s">
        <v>443</v>
      </c>
      <c r="H33" s="3"/>
      <c r="I33" s="3"/>
      <c r="J33" s="342" t="str">
        <f>IF(J32=0,"",ROUND((J32+E59-G45)/inputOth!E7*1000,3)-G50)</f>
        <v/>
      </c>
    </row>
    <row r="34" spans="2:11" x14ac:dyDescent="0.2">
      <c r="B34" s="176"/>
      <c r="C34" s="242"/>
      <c r="D34" s="242"/>
      <c r="E34" s="171"/>
      <c r="G34" s="331" t="str">
        <f>CONCATENATE("",E1," Tot Exp/Non-Appr Must Be:")</f>
        <v>2025 Tot Exp/Non-Appr Must Be:</v>
      </c>
      <c r="H34" s="329"/>
      <c r="I34" s="328"/>
      <c r="J34" s="332">
        <f>IF(J32&gt;0,IF(E56&lt;E30,IF(J32=G45,E56,((J32-G45)*(1-D58))+E30),E56+(J32-G45)),0)</f>
        <v>0</v>
      </c>
    </row>
    <row r="35" spans="2:11" x14ac:dyDescent="0.2">
      <c r="B35" s="176"/>
      <c r="C35" s="242"/>
      <c r="D35" s="242"/>
      <c r="E35" s="171"/>
      <c r="G35" s="333" t="s">
        <v>458</v>
      </c>
      <c r="H35" s="334"/>
      <c r="I35" s="334"/>
      <c r="J35" s="335">
        <f>IF(J32&gt;0,J34-E56,0)</f>
        <v>0</v>
      </c>
    </row>
    <row r="36" spans="2:11" x14ac:dyDescent="0.25">
      <c r="B36" s="176"/>
      <c r="C36" s="242"/>
      <c r="D36" s="242"/>
      <c r="E36" s="171"/>
      <c r="G36" s="341"/>
      <c r="H36" s="341"/>
      <c r="I36" s="341"/>
      <c r="J36" s="341"/>
    </row>
    <row r="37" spans="2:11" x14ac:dyDescent="0.2">
      <c r="B37" s="176"/>
      <c r="C37" s="242"/>
      <c r="D37" s="242"/>
      <c r="E37" s="171"/>
      <c r="G37" s="586" t="str">
        <f>CONCATENATE("Projected Carryover Into ",E1+1,"")</f>
        <v>Projected Carryover Into 2026</v>
      </c>
      <c r="H37" s="601"/>
      <c r="I37" s="601"/>
      <c r="J37" s="602"/>
    </row>
    <row r="38" spans="2:11" x14ac:dyDescent="0.2">
      <c r="B38" s="176"/>
      <c r="C38" s="242"/>
      <c r="D38" s="242"/>
      <c r="E38" s="171"/>
      <c r="G38" s="267"/>
      <c r="H38" s="273"/>
      <c r="I38" s="273"/>
      <c r="J38" s="343"/>
    </row>
    <row r="39" spans="2:11" x14ac:dyDescent="0.2">
      <c r="B39" s="176"/>
      <c r="C39" s="242"/>
      <c r="D39" s="242"/>
      <c r="E39" s="171"/>
      <c r="G39" s="278">
        <f>D53</f>
        <v>0</v>
      </c>
      <c r="H39" s="277" t="str">
        <f>CONCATENATE("",E1-1," Ending Cash Balance (est.)")</f>
        <v>2024 Ending Cash Balance (est.)</v>
      </c>
      <c r="I39" s="336"/>
      <c r="J39" s="343"/>
    </row>
    <row r="40" spans="2:11" x14ac:dyDescent="0.2">
      <c r="B40" s="176"/>
      <c r="C40" s="242"/>
      <c r="D40" s="242"/>
      <c r="E40" s="171"/>
      <c r="G40" s="278">
        <f>E29</f>
        <v>0</v>
      </c>
      <c r="H40" s="273" t="str">
        <f>CONCATENATE("",E1," Non-AV Receipts (est.)")</f>
        <v>2025 Non-AV Receipts (est.)</v>
      </c>
      <c r="I40" s="336"/>
      <c r="J40" s="343"/>
    </row>
    <row r="41" spans="2:11" x14ac:dyDescent="0.2">
      <c r="B41" s="176"/>
      <c r="C41" s="242"/>
      <c r="D41" s="242"/>
      <c r="E41" s="171"/>
      <c r="G41" s="272">
        <f>IF(E58&gt;0,E57,E59)</f>
        <v>0</v>
      </c>
      <c r="H41" s="273" t="str">
        <f>CONCATENATE("",E1," Ad Valorem Tax (est.)")</f>
        <v>2025 Ad Valorem Tax (est.)</v>
      </c>
      <c r="I41" s="336"/>
      <c r="J41" s="343"/>
      <c r="K41" s="337" t="str">
        <f>IF(G41=E59,"","Note: Does not include Delinquent Taxes")</f>
        <v/>
      </c>
    </row>
    <row r="42" spans="2:11" x14ac:dyDescent="0.2">
      <c r="B42" s="176"/>
      <c r="C42" s="242"/>
      <c r="D42" s="242"/>
      <c r="E42" s="171"/>
      <c r="G42" s="278">
        <f>SUM(G39:G41)</f>
        <v>0</v>
      </c>
      <c r="H42" s="273" t="str">
        <f>CONCATENATE("Total ",E1," Resources Available")</f>
        <v>Total 2025 Resources Available</v>
      </c>
      <c r="I42" s="336"/>
      <c r="J42" s="343"/>
    </row>
    <row r="43" spans="2:11" x14ac:dyDescent="0.25">
      <c r="B43" s="176"/>
      <c r="C43" s="242"/>
      <c r="D43" s="242"/>
      <c r="E43" s="171"/>
      <c r="F43" s="341"/>
      <c r="G43" s="271"/>
      <c r="H43" s="273"/>
      <c r="I43" s="273"/>
      <c r="J43" s="343"/>
    </row>
    <row r="44" spans="2:11" x14ac:dyDescent="0.25">
      <c r="B44" s="176"/>
      <c r="C44" s="242"/>
      <c r="D44" s="242"/>
      <c r="E44" s="171"/>
      <c r="F44" s="341"/>
      <c r="G44" s="272">
        <f>C52</f>
        <v>0</v>
      </c>
      <c r="H44" s="273" t="str">
        <f>CONCATENATE("Less ",E1-2," Expenditures")</f>
        <v>Less 2023 Expenditures</v>
      </c>
      <c r="I44" s="273"/>
      <c r="J44" s="343"/>
    </row>
    <row r="45" spans="2:11" x14ac:dyDescent="0.25">
      <c r="B45" s="176"/>
      <c r="C45" s="242"/>
      <c r="D45" s="242"/>
      <c r="E45" s="171"/>
      <c r="F45" s="341"/>
      <c r="G45" s="303">
        <f>G42-G44</f>
        <v>0</v>
      </c>
      <c r="H45" s="262" t="str">
        <f>CONCATENATE("Projected ",E1+1," carryover (est.)")</f>
        <v>Projected 2026 carryover (est.)</v>
      </c>
      <c r="I45" s="339"/>
      <c r="J45" s="345"/>
    </row>
    <row r="46" spans="2:11" x14ac:dyDescent="0.25">
      <c r="B46" s="176"/>
      <c r="C46" s="242"/>
      <c r="D46" s="242"/>
      <c r="E46" s="171"/>
      <c r="F46" s="341"/>
      <c r="G46" s="341"/>
      <c r="H46" s="341"/>
      <c r="I46" s="341"/>
      <c r="J46" s="341"/>
      <c r="K46" s="341"/>
    </row>
    <row r="47" spans="2:11" x14ac:dyDescent="0.25">
      <c r="B47" s="176"/>
      <c r="C47" s="242"/>
      <c r="D47" s="242"/>
      <c r="E47" s="171"/>
      <c r="F47" s="341"/>
      <c r="G47" s="589" t="s">
        <v>722</v>
      </c>
      <c r="H47" s="590"/>
      <c r="I47" s="590"/>
      <c r="J47" s="591"/>
      <c r="K47" s="341"/>
    </row>
    <row r="48" spans="2:11" x14ac:dyDescent="0.25">
      <c r="B48" s="176"/>
      <c r="C48" s="242"/>
      <c r="D48" s="242"/>
      <c r="E48" s="171"/>
      <c r="F48" s="341"/>
      <c r="G48" s="592"/>
      <c r="H48" s="593"/>
      <c r="I48" s="593"/>
      <c r="J48" s="594"/>
      <c r="K48" s="341"/>
    </row>
    <row r="49" spans="2:11" x14ac:dyDescent="0.25">
      <c r="B49" s="82" t="str">
        <f>CONCATENATE("Cash Reserve (",E1," column)")</f>
        <v>Cash Reserve (2025 column)</v>
      </c>
      <c r="C49" s="242"/>
      <c r="D49" s="242"/>
      <c r="E49" s="171"/>
      <c r="F49" s="341"/>
      <c r="G49" s="462" t="str">
        <f>'Budget Hearing Notice'!H17</f>
        <v xml:space="preserve"> </v>
      </c>
      <c r="H49" s="463" t="str">
        <f>CONCATENATE("",E1," Estimated Fund Mill Rate")</f>
        <v>2025 Estimated Fund Mill Rate</v>
      </c>
      <c r="I49" s="464"/>
      <c r="J49" s="465"/>
      <c r="K49" s="341"/>
    </row>
    <row r="50" spans="2:11" x14ac:dyDescent="0.25">
      <c r="B50" s="82" t="s">
        <v>137</v>
      </c>
      <c r="C50" s="248"/>
      <c r="D50" s="248"/>
      <c r="E50" s="171"/>
      <c r="F50" s="341"/>
      <c r="G50" s="466" t="str">
        <f>'Budget Hearing Notice'!E17</f>
        <v xml:space="preserve">  </v>
      </c>
      <c r="H50" s="463" t="str">
        <f>CONCATENATE("",E1-1," Fund Mill Rate")</f>
        <v>2024 Fund Mill Rate</v>
      </c>
      <c r="I50" s="464"/>
      <c r="J50" s="465"/>
      <c r="K50" s="341"/>
    </row>
    <row r="51" spans="2:11" x14ac:dyDescent="0.25">
      <c r="B51" s="82" t="s">
        <v>416</v>
      </c>
      <c r="C51" s="243" t="str">
        <f>IF(C52*0.1&lt;C50,"Exceed 10% Rule","")</f>
        <v/>
      </c>
      <c r="D51" s="243" t="str">
        <f>IF(D52*0.1&lt;D50,"Exceed 10% Rule","")</f>
        <v/>
      </c>
      <c r="E51" s="256" t="str">
        <f>IF(E52*0.1&lt;E50,"Exceed 10% Rule","")</f>
        <v/>
      </c>
      <c r="F51" s="341"/>
      <c r="G51" s="467">
        <f>'Budget Hearing Notice'!H24</f>
        <v>0</v>
      </c>
      <c r="H51" s="468" t="s">
        <v>723</v>
      </c>
      <c r="I51" s="464"/>
      <c r="J51" s="465"/>
      <c r="K51" s="341"/>
    </row>
    <row r="52" spans="2:11" x14ac:dyDescent="0.25">
      <c r="B52" s="164" t="s">
        <v>37</v>
      </c>
      <c r="C52" s="494">
        <f>SUM(C32:C50)</f>
        <v>0</v>
      </c>
      <c r="D52" s="494">
        <f>SUM(D32:D50)</f>
        <v>0</v>
      </c>
      <c r="E52" s="494">
        <f>SUM(E32:E50)</f>
        <v>0</v>
      </c>
      <c r="F52" s="341"/>
      <c r="G52" s="462">
        <f>'Budget Hearing Notice'!H23</f>
        <v>0</v>
      </c>
      <c r="H52" s="463" t="str">
        <f>CONCATENATE(E1," Estimated Total Mill Rate")</f>
        <v>2025 Estimated Total Mill Rate</v>
      </c>
      <c r="I52" s="464"/>
      <c r="J52" s="465"/>
      <c r="K52" s="341"/>
    </row>
    <row r="53" spans="2:11" x14ac:dyDescent="0.25">
      <c r="B53" s="74" t="s">
        <v>84</v>
      </c>
      <c r="C53" s="25">
        <f>C30-C52</f>
        <v>0</v>
      </c>
      <c r="D53" s="25">
        <f>D30-D52</f>
        <v>0</v>
      </c>
      <c r="E53" s="170" t="s">
        <v>23</v>
      </c>
      <c r="F53"/>
      <c r="G53" s="469">
        <f>'Budget Hearing Notice'!E23</f>
        <v>0</v>
      </c>
      <c r="H53" s="463" t="str">
        <f>CONCATENATE(E1-1," Total Mill Rate")</f>
        <v>2024 Total Mill Rate</v>
      </c>
      <c r="I53" s="464"/>
      <c r="J53" s="465"/>
      <c r="K53" s="341"/>
    </row>
    <row r="54" spans="2:11" x14ac:dyDescent="0.2">
      <c r="B54" s="2" t="str">
        <f>CONCATENATE("",E1-2,"/",E1-1,"/",E1," Budget Authority Amount:")</f>
        <v>2023/2024/2025 Budget Authority Amount:</v>
      </c>
      <c r="C54" s="172">
        <f>inputOth!B44</f>
        <v>0</v>
      </c>
      <c r="D54" s="172">
        <f>inputPrYr!D20</f>
        <v>0</v>
      </c>
      <c r="E54" s="25">
        <f>E52</f>
        <v>0</v>
      </c>
      <c r="F54" s="177"/>
      <c r="G54" s="470"/>
      <c r="H54" s="405"/>
      <c r="I54" s="405"/>
      <c r="J54" s="471"/>
    </row>
    <row r="55" spans="2:11" x14ac:dyDescent="0.2">
      <c r="B55" s="92"/>
      <c r="C55" s="582" t="s">
        <v>436</v>
      </c>
      <c r="D55" s="583"/>
      <c r="E55" s="15"/>
      <c r="F55" s="344" t="str">
        <f>IF(E52/0.95-E52&lt;E55,"Exceeds 5%","")</f>
        <v/>
      </c>
      <c r="G55" s="595" t="s">
        <v>724</v>
      </c>
      <c r="H55" s="596"/>
      <c r="I55" s="596"/>
      <c r="J55" s="599" t="str">
        <f>IF(G52&gt;G51, "Yes", "No")</f>
        <v>No</v>
      </c>
    </row>
    <row r="56" spans="2:11" x14ac:dyDescent="0.2">
      <c r="B56" s="255" t="str">
        <f>CONCATENATE(C71,"     ",D71)</f>
        <v xml:space="preserve">     </v>
      </c>
      <c r="C56" s="584" t="s">
        <v>437</v>
      </c>
      <c r="D56" s="585"/>
      <c r="E56" s="25">
        <f>E52+E55</f>
        <v>0</v>
      </c>
      <c r="F56"/>
      <c r="G56" s="597"/>
      <c r="H56" s="598"/>
      <c r="I56" s="598"/>
      <c r="J56" s="600"/>
    </row>
    <row r="57" spans="2:11" x14ac:dyDescent="0.2">
      <c r="B57" s="255" t="str">
        <f>CONCATENATE(C72,"     ",D72)</f>
        <v xml:space="preserve">     </v>
      </c>
      <c r="C57" s="282"/>
      <c r="D57" s="281" t="s">
        <v>438</v>
      </c>
      <c r="E57" s="25">
        <f>IF(E56-E30&gt;0,E56-E30,0)</f>
        <v>0</v>
      </c>
      <c r="F57"/>
      <c r="G57" s="578" t="str">
        <f>IF(J55="Yes", "Follow procedure prescribed by KSA 79-2988 to exceed the Revenue Neutral Rate.", " ")</f>
        <v xml:space="preserve"> </v>
      </c>
      <c r="H57" s="578"/>
      <c r="I57" s="578"/>
      <c r="J57" s="578"/>
    </row>
    <row r="58" spans="2:11" x14ac:dyDescent="0.25">
      <c r="B58" s="95"/>
      <c r="C58" s="280" t="s">
        <v>439</v>
      </c>
      <c r="D58" s="340">
        <f>inputOth!$E$37</f>
        <v>0</v>
      </c>
      <c r="E58" s="25">
        <f>ROUND(IF(D58&gt;0,(E57*D58),0),0)</f>
        <v>0</v>
      </c>
      <c r="F58"/>
      <c r="G58" s="579"/>
      <c r="H58" s="579"/>
      <c r="I58" s="579"/>
      <c r="J58" s="579"/>
      <c r="K58" s="341"/>
    </row>
    <row r="59" spans="2:11" x14ac:dyDescent="0.25">
      <c r="B59" s="3"/>
      <c r="C59" s="580" t="str">
        <f>CONCATENATE("Amount of  ",$E$1-1," Ad Valorem Tax")</f>
        <v>Amount of  2024 Ad Valorem Tax</v>
      </c>
      <c r="D59" s="581"/>
      <c r="E59" s="25">
        <f>E57+E58</f>
        <v>0</v>
      </c>
      <c r="F59"/>
      <c r="G59" s="579"/>
      <c r="H59" s="579"/>
      <c r="I59" s="579"/>
      <c r="J59" s="579"/>
      <c r="K59" s="341"/>
    </row>
    <row r="60" spans="2:11" x14ac:dyDescent="0.2">
      <c r="B60" s="3"/>
      <c r="C60" s="3"/>
      <c r="D60" s="3"/>
      <c r="E60" s="3"/>
      <c r="F60"/>
    </row>
    <row r="61" spans="2:11" x14ac:dyDescent="0.2">
      <c r="B61" s="428" t="s">
        <v>605</v>
      </c>
      <c r="C61" s="85"/>
      <c r="D61" s="85"/>
      <c r="E61" s="425"/>
      <c r="F61"/>
    </row>
    <row r="62" spans="2:11" x14ac:dyDescent="0.2">
      <c r="B62" s="283"/>
      <c r="C62" s="3"/>
      <c r="D62" s="3"/>
      <c r="E62" s="274"/>
      <c r="F62"/>
    </row>
    <row r="63" spans="2:11" x14ac:dyDescent="0.2">
      <c r="B63" s="79"/>
      <c r="C63" s="20"/>
      <c r="D63" s="20"/>
      <c r="E63" s="24"/>
      <c r="F63"/>
    </row>
    <row r="64" spans="2:11" x14ac:dyDescent="0.2">
      <c r="B64" s="3"/>
      <c r="C64" s="3"/>
      <c r="D64" s="3"/>
      <c r="E64" s="3"/>
      <c r="F64"/>
    </row>
    <row r="65" spans="2:6" x14ac:dyDescent="0.2">
      <c r="B65" s="92" t="s">
        <v>39</v>
      </c>
      <c r="C65" s="396"/>
      <c r="D65" s="3"/>
      <c r="E65" s="3"/>
      <c r="F65"/>
    </row>
    <row r="66" spans="2:6" x14ac:dyDescent="0.2">
      <c r="F66"/>
    </row>
    <row r="67" spans="2:6" x14ac:dyDescent="0.2">
      <c r="F67"/>
    </row>
    <row r="68" spans="2:6" x14ac:dyDescent="0.2">
      <c r="F68"/>
    </row>
    <row r="69" spans="2:6" x14ac:dyDescent="0.2">
      <c r="F69"/>
    </row>
    <row r="71" spans="2:6" ht="15.75" hidden="1" customHeight="1" x14ac:dyDescent="0.2">
      <c r="C71" s="1" t="str">
        <f>IF(C52&gt;C54,"See Tab A","")</f>
        <v/>
      </c>
      <c r="D71" s="1" t="str">
        <f>IF(D52&gt;D54,"See Tab C","")</f>
        <v/>
      </c>
    </row>
    <row r="72" spans="2:6" ht="15.75" hidden="1" customHeight="1" x14ac:dyDescent="0.2">
      <c r="C72" s="1" t="str">
        <f>IF(C53&lt;0,"See Tab B","")</f>
        <v/>
      </c>
      <c r="D72" s="1" t="str">
        <f>IF(D53&lt;0,"See Tab D","")</f>
        <v/>
      </c>
    </row>
  </sheetData>
  <sheetProtection sheet="1"/>
  <mergeCells count="9">
    <mergeCell ref="G30:J30"/>
    <mergeCell ref="G37:J37"/>
    <mergeCell ref="C59:D59"/>
    <mergeCell ref="C55:D55"/>
    <mergeCell ref="C56:D56"/>
    <mergeCell ref="G47:J48"/>
    <mergeCell ref="G55:I56"/>
    <mergeCell ref="J55:J56"/>
    <mergeCell ref="G57:J59"/>
  </mergeCells>
  <phoneticPr fontId="11" type="noConversion"/>
  <conditionalFormatting sqref="C27">
    <cfRule type="cellIs" dxfId="59" priority="10" stopIfTrue="1" operator="greaterThan">
      <formula>$C$29*0.1</formula>
    </cfRule>
  </conditionalFormatting>
  <conditionalFormatting sqref="C50">
    <cfRule type="cellIs" dxfId="58" priority="6" stopIfTrue="1" operator="greaterThan">
      <formula>$C$52*0.1</formula>
    </cfRule>
  </conditionalFormatting>
  <conditionalFormatting sqref="C52">
    <cfRule type="expression" dxfId="57" priority="2">
      <formula>$C$52&gt;$C$54</formula>
    </cfRule>
  </conditionalFormatting>
  <conditionalFormatting sqref="C53:D53">
    <cfRule type="expression" dxfId="56" priority="3">
      <formula>$D$53&lt;0</formula>
    </cfRule>
  </conditionalFormatting>
  <conditionalFormatting sqref="D27">
    <cfRule type="cellIs" dxfId="55" priority="11" stopIfTrue="1" operator="greaterThan">
      <formula>$D$29*0.1</formula>
    </cfRule>
  </conditionalFormatting>
  <conditionalFormatting sqref="D50">
    <cfRule type="cellIs" dxfId="54" priority="7" stopIfTrue="1" operator="greaterThan">
      <formula>$D$52*0.1</formula>
    </cfRule>
  </conditionalFormatting>
  <conditionalFormatting sqref="D52">
    <cfRule type="expression" dxfId="53" priority="1">
      <formula>$D$52&gt;$D$54</formula>
    </cfRule>
  </conditionalFormatting>
  <conditionalFormatting sqref="E27">
    <cfRule type="cellIs" dxfId="52" priority="96" stopIfTrue="1" operator="greaterThan">
      <formula>$E$29*0.1+$E$59</formula>
    </cfRule>
  </conditionalFormatting>
  <conditionalFormatting sqref="E50">
    <cfRule type="cellIs" dxfId="51" priority="8" stopIfTrue="1" operator="greaterThan">
      <formula>$E$52*0.1</formula>
    </cfRule>
  </conditionalFormatting>
  <conditionalFormatting sqref="E55">
    <cfRule type="cellIs" dxfId="50" priority="9" stopIfTrue="1" operator="greaterThan">
      <formula>$E$52/0.95-$E$52</formula>
    </cfRule>
  </conditionalFormatting>
  <conditionalFormatting sqref="J55">
    <cfRule type="containsText" dxfId="49" priority="4" operator="containsText" text="Yes">
      <formula>NOT(ISERROR(SEARCH("Yes",J55)))</formula>
    </cfRule>
  </conditionalFormatting>
  <pageMargins left="0.75" right="0.75" top="1" bottom="1" header="0.5" footer="0.5"/>
  <pageSetup scale="72" orientation="portrait" blackAndWhite="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B1:K96"/>
  <sheetViews>
    <sheetView zoomScaleNormal="100" workbookViewId="0">
      <selection activeCell="C71" sqref="C71"/>
    </sheetView>
  </sheetViews>
  <sheetFormatPr defaultRowHeight="15.75" x14ac:dyDescent="0.2"/>
  <cols>
    <col min="1" max="1" width="2.44140625" style="58" customWidth="1"/>
    <col min="2" max="2" width="31.109375" style="58" customWidth="1"/>
    <col min="3" max="5" width="15.77734375" style="58" customWidth="1"/>
    <col min="6" max="6" width="7.44140625" style="58" customWidth="1"/>
    <col min="7" max="7" width="10.21875" style="58" customWidth="1"/>
    <col min="8" max="8" width="8.88671875" style="58"/>
    <col min="9" max="9" width="5.77734375" style="58" customWidth="1"/>
    <col min="10" max="10" width="10" style="58" customWidth="1"/>
    <col min="11" max="16384" width="8.88671875" style="58"/>
  </cols>
  <sheetData>
    <row r="1" spans="2:11" x14ac:dyDescent="0.2">
      <c r="B1" s="3">
        <f>inputPrYr!D3</f>
        <v>0</v>
      </c>
      <c r="C1" s="3"/>
      <c r="D1" s="3"/>
      <c r="E1" s="92">
        <f>inputPrYr!D6</f>
        <v>2025</v>
      </c>
    </row>
    <row r="2" spans="2:11" x14ac:dyDescent="0.2">
      <c r="B2" s="3">
        <f>inputPrYr!D4</f>
        <v>0</v>
      </c>
      <c r="C2" s="3"/>
      <c r="D2" s="3"/>
      <c r="E2" s="92"/>
    </row>
    <row r="3" spans="2:11" x14ac:dyDescent="0.2">
      <c r="B3" s="9" t="s">
        <v>71</v>
      </c>
      <c r="C3" s="154"/>
      <c r="D3" s="154"/>
      <c r="E3" s="3"/>
      <c r="F3" s="327"/>
    </row>
    <row r="4" spans="2:11" x14ac:dyDescent="0.2">
      <c r="B4" s="3"/>
      <c r="C4" s="68"/>
      <c r="D4" s="68"/>
      <c r="E4" s="68"/>
    </row>
    <row r="5" spans="2:11" x14ac:dyDescent="0.2">
      <c r="B5" s="2" t="s">
        <v>27</v>
      </c>
      <c r="C5" s="244" t="s">
        <v>157</v>
      </c>
      <c r="D5" s="245" t="s">
        <v>156</v>
      </c>
      <c r="E5" s="155" t="s">
        <v>155</v>
      </c>
    </row>
    <row r="6" spans="2:11" x14ac:dyDescent="0.2">
      <c r="B6" s="9">
        <f>inputPrYr!B22</f>
        <v>0</v>
      </c>
      <c r="C6" s="246" t="str">
        <f>CONCATENATE("Actual for ",$E$1-2,"")</f>
        <v>Actual for 2023</v>
      </c>
      <c r="D6" s="246" t="str">
        <f>CONCATENATE("Estimate for ",E1-1,"")</f>
        <v>Estimate for 2024</v>
      </c>
      <c r="E6" s="75" t="str">
        <f>CONCATENATE("Year for ",E1,"")</f>
        <v>Year for 2025</v>
      </c>
    </row>
    <row r="7" spans="2:11" x14ac:dyDescent="0.2">
      <c r="B7" s="80" t="s">
        <v>83</v>
      </c>
      <c r="C7" s="242"/>
      <c r="D7" s="247">
        <f>C35</f>
        <v>0</v>
      </c>
      <c r="E7" s="25">
        <f>D35</f>
        <v>0</v>
      </c>
      <c r="G7" s="603" t="str">
        <f>CONCATENATE("Desired Carryover Into ",E1+1,"")</f>
        <v>Desired Carryover Into 2026</v>
      </c>
      <c r="H7" s="604"/>
      <c r="I7" s="604"/>
      <c r="J7" s="605"/>
    </row>
    <row r="8" spans="2:11" x14ac:dyDescent="0.2">
      <c r="B8" s="157" t="s">
        <v>85</v>
      </c>
      <c r="C8" s="158"/>
      <c r="D8" s="158"/>
      <c r="E8" s="57"/>
      <c r="G8" s="267"/>
      <c r="H8" s="3"/>
      <c r="I8" s="273"/>
      <c r="J8" s="266"/>
    </row>
    <row r="9" spans="2:11" x14ac:dyDescent="0.2">
      <c r="B9" s="80" t="s">
        <v>28</v>
      </c>
      <c r="C9" s="242"/>
      <c r="D9" s="247">
        <f>IF(inputPrYr!H18&gt;0,inputPrYr!G22,inputPrYr!E22)</f>
        <v>0</v>
      </c>
      <c r="E9" s="88" t="s">
        <v>23</v>
      </c>
      <c r="G9" s="265" t="s">
        <v>442</v>
      </c>
      <c r="H9" s="273"/>
      <c r="I9" s="273"/>
      <c r="J9" s="264">
        <v>0</v>
      </c>
    </row>
    <row r="10" spans="2:11" x14ac:dyDescent="0.2">
      <c r="B10" s="80" t="s">
        <v>29</v>
      </c>
      <c r="C10" s="242"/>
      <c r="D10" s="242"/>
      <c r="E10" s="131"/>
      <c r="G10" s="267" t="s">
        <v>443</v>
      </c>
      <c r="H10" s="3"/>
      <c r="I10" s="3"/>
      <c r="J10" s="342" t="str">
        <f>IF(J9=0,"",ROUND((J9+E41-G22)/inputOth!E7*1000,3)-G27)</f>
        <v/>
      </c>
    </row>
    <row r="11" spans="2:11" x14ac:dyDescent="0.2">
      <c r="B11" s="80" t="s">
        <v>30</v>
      </c>
      <c r="C11" s="242"/>
      <c r="D11" s="242"/>
      <c r="E11" s="25">
        <f>Mvalloc!D13</f>
        <v>0</v>
      </c>
      <c r="G11" s="331" t="str">
        <f>CONCATENATE("",E3," Tot Exp/Non-Appr Must Be:")</f>
        <v xml:space="preserve"> Tot Exp/Non-Appr Must Be:</v>
      </c>
      <c r="H11" s="329"/>
      <c r="I11" s="328"/>
      <c r="J11" s="332">
        <f>IF(J9&gt;0,IF(E38&lt;E25,IF(J9=G22,E38,((J9-G22)*(1-D40))+E25),E38+(J9-G22)),0)</f>
        <v>0</v>
      </c>
    </row>
    <row r="12" spans="2:11" x14ac:dyDescent="0.2">
      <c r="B12" s="80" t="s">
        <v>31</v>
      </c>
      <c r="C12" s="242"/>
      <c r="D12" s="242"/>
      <c r="E12" s="25">
        <f>Mvalloc!E13</f>
        <v>0</v>
      </c>
      <c r="G12" s="333" t="s">
        <v>458</v>
      </c>
      <c r="H12" s="334"/>
      <c r="I12" s="334"/>
      <c r="J12" s="335">
        <f>IF(J9&gt;0,J11-E38,0)</f>
        <v>0</v>
      </c>
    </row>
    <row r="13" spans="2:11" x14ac:dyDescent="0.25">
      <c r="B13" s="158" t="s">
        <v>79</v>
      </c>
      <c r="C13" s="242"/>
      <c r="D13" s="242"/>
      <c r="E13" s="25">
        <f>Mvalloc!F13</f>
        <v>0</v>
      </c>
      <c r="G13" s="1"/>
      <c r="H13" s="1"/>
      <c r="I13" s="1"/>
      <c r="J13" s="341"/>
    </row>
    <row r="14" spans="2:11" x14ac:dyDescent="0.2">
      <c r="B14" s="80" t="s">
        <v>482</v>
      </c>
      <c r="C14" s="242"/>
      <c r="D14" s="242"/>
      <c r="E14" s="25">
        <f>Mvalloc!G13</f>
        <v>0</v>
      </c>
      <c r="G14" s="586" t="str">
        <f>CONCATENATE("Projected Carryover Into ",E1+1,"")</f>
        <v>Projected Carryover Into 2026</v>
      </c>
      <c r="H14" s="601"/>
      <c r="I14" s="601"/>
      <c r="J14" s="602"/>
    </row>
    <row r="15" spans="2:11" x14ac:dyDescent="0.25">
      <c r="B15" s="80" t="s">
        <v>483</v>
      </c>
      <c r="C15" s="242"/>
      <c r="D15" s="242"/>
      <c r="E15" s="25">
        <f>Mvalloc!H13</f>
        <v>0</v>
      </c>
      <c r="G15" s="267"/>
      <c r="H15" s="273"/>
      <c r="I15" s="273"/>
      <c r="J15" s="346"/>
    </row>
    <row r="16" spans="2:11" x14ac:dyDescent="0.25">
      <c r="B16" s="159"/>
      <c r="C16" s="242"/>
      <c r="D16" s="242"/>
      <c r="E16" s="131"/>
      <c r="G16" s="278">
        <f>D35</f>
        <v>0</v>
      </c>
      <c r="H16" s="277" t="str">
        <f>CONCATENATE("",E1-1," Ending Cash Balance (est.)")</f>
        <v>2024 Ending Cash Balance (est.)</v>
      </c>
      <c r="I16" s="336"/>
      <c r="J16" s="346"/>
      <c r="K16" s="1"/>
    </row>
    <row r="17" spans="2:11" x14ac:dyDescent="0.25">
      <c r="B17" s="159"/>
      <c r="C17" s="242"/>
      <c r="D17" s="242"/>
      <c r="E17" s="131"/>
      <c r="G17" s="278">
        <f>E24</f>
        <v>0</v>
      </c>
      <c r="H17" s="273" t="str">
        <f>CONCATENATE("",E1," Non-AV Receipts (est.)")</f>
        <v>2025 Non-AV Receipts (est.)</v>
      </c>
      <c r="I17" s="273"/>
      <c r="J17" s="346"/>
      <c r="K17" s="1"/>
    </row>
    <row r="18" spans="2:11" x14ac:dyDescent="0.2">
      <c r="B18" s="159"/>
      <c r="C18" s="242"/>
      <c r="D18" s="242"/>
      <c r="E18" s="131"/>
      <c r="G18" s="272">
        <f>IF(E40&gt;0,E39,E41)</f>
        <v>0</v>
      </c>
      <c r="H18" s="273" t="str">
        <f>CONCATENATE("",E1," Ad Valorem Tax (est.)")</f>
        <v>2025 Ad Valorem Tax (est.)</v>
      </c>
      <c r="I18" s="273"/>
      <c r="J18" s="426"/>
      <c r="K18" s="368" t="str">
        <f>IF(G18=E41,"","Note: Does not include Delinquent Taxes")</f>
        <v/>
      </c>
    </row>
    <row r="19" spans="2:11" x14ac:dyDescent="0.25">
      <c r="B19" s="159"/>
      <c r="C19" s="242"/>
      <c r="D19" s="242"/>
      <c r="E19" s="131"/>
      <c r="G19" s="278">
        <f>SUM(G16:G18)</f>
        <v>0</v>
      </c>
      <c r="H19" s="273" t="str">
        <f>CONCATENATE("Total ",E1," Resources Available")</f>
        <v>Total 2025 Resources Available</v>
      </c>
      <c r="I19" s="336"/>
      <c r="J19" s="346"/>
      <c r="K19" s="1"/>
    </row>
    <row r="20" spans="2:11" x14ac:dyDescent="0.25">
      <c r="B20" s="160" t="s">
        <v>33</v>
      </c>
      <c r="C20" s="242"/>
      <c r="D20" s="242"/>
      <c r="E20" s="131"/>
      <c r="G20" s="271"/>
      <c r="H20" s="273"/>
      <c r="I20" s="273"/>
      <c r="J20" s="346"/>
      <c r="K20" s="1"/>
    </row>
    <row r="21" spans="2:11" x14ac:dyDescent="0.25">
      <c r="B21" s="82" t="s">
        <v>138</v>
      </c>
      <c r="C21" s="242"/>
      <c r="D21" s="242"/>
      <c r="E21" s="25">
        <f>'NR Rebate'!E9*-1</f>
        <v>0</v>
      </c>
      <c r="G21" s="272">
        <f>ROUND(C34*0.05+C34,0)</f>
        <v>0</v>
      </c>
      <c r="H21" s="273" t="str">
        <f>CONCATENATE("Less ",E1-2," Expenditures + 5%")</f>
        <v>Less 2023 Expenditures + 5%</v>
      </c>
      <c r="I21" s="336"/>
      <c r="J21" s="346"/>
      <c r="K21" s="1"/>
    </row>
    <row r="22" spans="2:11" x14ac:dyDescent="0.25">
      <c r="B22" s="161" t="s">
        <v>137</v>
      </c>
      <c r="C22" s="242"/>
      <c r="D22" s="242"/>
      <c r="E22" s="15"/>
      <c r="G22" s="303">
        <f>G19-G21</f>
        <v>0</v>
      </c>
      <c r="H22" s="262" t="str">
        <f>CONCATENATE("Projected ",E1+1," carryover (est.)")</f>
        <v>Projected 2026 carryover (est.)</v>
      </c>
      <c r="I22" s="339"/>
      <c r="J22" s="347"/>
      <c r="K22" s="1"/>
    </row>
    <row r="23" spans="2:11" x14ac:dyDescent="0.25">
      <c r="B23" s="161" t="s">
        <v>417</v>
      </c>
      <c r="C23" s="243" t="str">
        <f>IF(C24*0.1&lt;C22,"Exceed 10% Rule","")</f>
        <v/>
      </c>
      <c r="D23" s="243" t="str">
        <f>IF(D24*0.1&lt;D22,"Exceed 10% Rule","")</f>
        <v/>
      </c>
      <c r="E23" s="256" t="str">
        <f>IF(E24*0.1+E41&lt;E22,"Exceed 10% Rule","")</f>
        <v/>
      </c>
      <c r="G23" s="341"/>
      <c r="H23" s="341"/>
      <c r="I23" s="341"/>
      <c r="J23" s="341"/>
      <c r="K23" s="1"/>
    </row>
    <row r="24" spans="2:11" x14ac:dyDescent="0.2">
      <c r="B24" s="164" t="s">
        <v>34</v>
      </c>
      <c r="C24" s="494">
        <f>SUM(C9:C22)</f>
        <v>0</v>
      </c>
      <c r="D24" s="494">
        <f>SUM(D9:D22)</f>
        <v>0</v>
      </c>
      <c r="E24" s="494">
        <f>SUM(E9:E22)</f>
        <v>0</v>
      </c>
      <c r="G24" s="589" t="s">
        <v>722</v>
      </c>
      <c r="H24" s="590"/>
      <c r="I24" s="590"/>
      <c r="J24" s="591"/>
      <c r="K24" s="1"/>
    </row>
    <row r="25" spans="2:11" x14ac:dyDescent="0.2">
      <c r="B25" s="164" t="s">
        <v>35</v>
      </c>
      <c r="C25" s="494">
        <f>C7+C24</f>
        <v>0</v>
      </c>
      <c r="D25" s="494">
        <f>D7+D24</f>
        <v>0</v>
      </c>
      <c r="E25" s="494">
        <f>E7+E24</f>
        <v>0</v>
      </c>
      <c r="G25" s="592"/>
      <c r="H25" s="593"/>
      <c r="I25" s="593"/>
      <c r="J25" s="594"/>
      <c r="K25" s="1"/>
    </row>
    <row r="26" spans="2:11" x14ac:dyDescent="0.2">
      <c r="B26" s="80" t="s">
        <v>36</v>
      </c>
      <c r="C26" s="82"/>
      <c r="D26" s="82"/>
      <c r="E26" s="16"/>
      <c r="G26" s="462" t="str">
        <f>'Budget Hearing Notice'!H18</f>
        <v xml:space="preserve"> </v>
      </c>
      <c r="H26" s="463" t="str">
        <f>CONCATENATE("",E1," Estimated Fund Mill Rate")</f>
        <v>2025 Estimated Fund Mill Rate</v>
      </c>
      <c r="I26" s="464"/>
      <c r="J26" s="465"/>
      <c r="K26" s="1"/>
    </row>
    <row r="27" spans="2:11" x14ac:dyDescent="0.2">
      <c r="B27" s="159"/>
      <c r="C27" s="242"/>
      <c r="D27" s="242"/>
      <c r="E27" s="131"/>
      <c r="F27" s="1"/>
      <c r="G27" s="466" t="str">
        <f>'Budget Hearing Notice'!E18</f>
        <v xml:space="preserve">  </v>
      </c>
      <c r="H27" s="463" t="str">
        <f>CONCATENATE("",E1-1," Fund Mill Rate")</f>
        <v>2024 Fund Mill Rate</v>
      </c>
      <c r="I27" s="464"/>
      <c r="J27" s="465"/>
    </row>
    <row r="28" spans="2:11" x14ac:dyDescent="0.2">
      <c r="B28" s="159"/>
      <c r="C28" s="242"/>
      <c r="D28" s="242"/>
      <c r="E28" s="131"/>
      <c r="F28" s="1"/>
      <c r="G28" s="467">
        <f>'Budget Hearing Notice'!H24</f>
        <v>0</v>
      </c>
      <c r="H28" s="468" t="s">
        <v>723</v>
      </c>
      <c r="I28" s="464"/>
      <c r="J28" s="465"/>
      <c r="K28" s="1"/>
    </row>
    <row r="29" spans="2:11" x14ac:dyDescent="0.2">
      <c r="B29" s="159"/>
      <c r="C29" s="242"/>
      <c r="D29" s="242"/>
      <c r="E29" s="131"/>
      <c r="F29" s="1"/>
      <c r="G29" s="462">
        <f>'Budget Hearing Notice'!H23</f>
        <v>0</v>
      </c>
      <c r="H29" s="463" t="str">
        <f>CONCATENATE(E1," Estimated Total Mill Rate")</f>
        <v>2025 Estimated Total Mill Rate</v>
      </c>
      <c r="I29" s="464"/>
      <c r="J29" s="465"/>
      <c r="K29" s="1"/>
    </row>
    <row r="30" spans="2:11" x14ac:dyDescent="0.2">
      <c r="B30" s="159"/>
      <c r="C30" s="242"/>
      <c r="D30" s="242"/>
      <c r="E30" s="131"/>
      <c r="F30" s="1"/>
      <c r="G30" s="469">
        <f>'Budget Hearing Notice'!E23</f>
        <v>0</v>
      </c>
      <c r="H30" s="463" t="str">
        <f>CONCATENATE(E1-1," Total Mill Rate")</f>
        <v>2024 Total Mill Rate</v>
      </c>
      <c r="I30" s="464"/>
      <c r="J30" s="465"/>
      <c r="K30" s="1"/>
    </row>
    <row r="31" spans="2:11" x14ac:dyDescent="0.2">
      <c r="B31" s="82" t="str">
        <f>CONCATENATE("Cash Reserve (",E1," column)")</f>
        <v>Cash Reserve (2025 column)</v>
      </c>
      <c r="C31" s="242"/>
      <c r="D31" s="242"/>
      <c r="E31" s="131"/>
      <c r="F31" s="1"/>
      <c r="G31" s="470"/>
      <c r="H31" s="405"/>
      <c r="I31" s="405"/>
      <c r="J31" s="471"/>
    </row>
    <row r="32" spans="2:11" x14ac:dyDescent="0.2">
      <c r="B32" s="82" t="s">
        <v>137</v>
      </c>
      <c r="C32" s="159"/>
      <c r="D32" s="159"/>
      <c r="E32" s="131"/>
      <c r="F32" s="1"/>
      <c r="G32" s="595" t="s">
        <v>724</v>
      </c>
      <c r="H32" s="596"/>
      <c r="I32" s="596"/>
      <c r="J32" s="599" t="str">
        <f>IF(G29&gt;G28, "Yes", "No")</f>
        <v>No</v>
      </c>
    </row>
    <row r="33" spans="2:11" x14ac:dyDescent="0.2">
      <c r="B33" s="82" t="s">
        <v>416</v>
      </c>
      <c r="C33" s="243" t="str">
        <f>IF(C34*0.1&lt;C32,"Exceed 10% Rule","")</f>
        <v/>
      </c>
      <c r="D33" s="243" t="str">
        <f>IF(D34*0.1&lt;D32,"Exceed 10% Rule","")</f>
        <v/>
      </c>
      <c r="E33" s="256" t="str">
        <f>IF(E34*0.1&lt;E32,"Exceed 10% Rule","")</f>
        <v/>
      </c>
      <c r="F33" s="1"/>
      <c r="G33" s="597"/>
      <c r="H33" s="598"/>
      <c r="I33" s="598"/>
      <c r="J33" s="600"/>
    </row>
    <row r="34" spans="2:11" x14ac:dyDescent="0.2">
      <c r="B34" s="164" t="s">
        <v>37</v>
      </c>
      <c r="C34" s="494">
        <f>SUM(C27:C32)</f>
        <v>0</v>
      </c>
      <c r="D34" s="494">
        <f>SUM(D27:D32)</f>
        <v>0</v>
      </c>
      <c r="E34" s="494">
        <f>SUM(E27:E32)</f>
        <v>0</v>
      </c>
      <c r="F34" s="1"/>
      <c r="G34" s="578" t="str">
        <f>IF(J32="Yes", "Follow procedure prescribed by KSA 79-2988 to exceed the Revenue Neutral Rate.", " ")</f>
        <v xml:space="preserve"> </v>
      </c>
      <c r="H34" s="578"/>
      <c r="I34" s="578"/>
      <c r="J34" s="578"/>
    </row>
    <row r="35" spans="2:11" x14ac:dyDescent="0.2">
      <c r="B35" s="80" t="s">
        <v>84</v>
      </c>
      <c r="C35" s="25">
        <f>C25-C34</f>
        <v>0</v>
      </c>
      <c r="D35" s="25">
        <f>D25-D34</f>
        <v>0</v>
      </c>
      <c r="E35" s="88" t="s">
        <v>23</v>
      </c>
      <c r="F35" s="1"/>
      <c r="G35" s="579"/>
      <c r="H35" s="579"/>
      <c r="I35" s="579"/>
      <c r="J35" s="579"/>
      <c r="K35" s="1"/>
    </row>
    <row r="36" spans="2:11" x14ac:dyDescent="0.2">
      <c r="B36" s="2" t="str">
        <f>CONCATENATE("",E1-2,"/",E1-1,"/",E1," Budget Authority Amount:")</f>
        <v>2023/2024/2025 Budget Authority Amount:</v>
      </c>
      <c r="C36" s="172">
        <f>inputOth!B45</f>
        <v>0</v>
      </c>
      <c r="D36" s="172">
        <f>inputPrYr!D22</f>
        <v>0</v>
      </c>
      <c r="E36" s="25">
        <f>E34</f>
        <v>0</v>
      </c>
      <c r="F36" s="1"/>
      <c r="G36" s="579"/>
      <c r="H36" s="579"/>
      <c r="I36" s="579"/>
      <c r="J36" s="579"/>
      <c r="K36" s="1"/>
    </row>
    <row r="37" spans="2:11" x14ac:dyDescent="0.2">
      <c r="B37" s="92"/>
      <c r="C37" s="582" t="s">
        <v>436</v>
      </c>
      <c r="D37" s="583"/>
      <c r="E37" s="15"/>
      <c r="F37" s="353" t="str">
        <f>IF(E34/0.95-E34&lt;E37,"Exceeds 5%","")</f>
        <v/>
      </c>
      <c r="K37" s="1"/>
    </row>
    <row r="38" spans="2:11" x14ac:dyDescent="0.2">
      <c r="B38" s="255" t="str">
        <f>CONCATENATE(C93,"     ",D93)</f>
        <v xml:space="preserve">     </v>
      </c>
      <c r="C38" s="584" t="s">
        <v>437</v>
      </c>
      <c r="D38" s="585"/>
      <c r="E38" s="25">
        <f>E34+E37</f>
        <v>0</v>
      </c>
      <c r="K38" s="1"/>
    </row>
    <row r="39" spans="2:11" x14ac:dyDescent="0.2">
      <c r="B39" s="255" t="str">
        <f>CONCATENATE(C94,"     ",D94)</f>
        <v xml:space="preserve">     </v>
      </c>
      <c r="C39" s="282"/>
      <c r="D39" s="281" t="s">
        <v>438</v>
      </c>
      <c r="E39" s="25">
        <f>IF(E38-E25&gt;0,E38-E25,0)</f>
        <v>0</v>
      </c>
      <c r="F39" s="1"/>
      <c r="K39" s="1"/>
    </row>
    <row r="40" spans="2:11" x14ac:dyDescent="0.2">
      <c r="B40" s="95"/>
      <c r="C40" s="280" t="s">
        <v>439</v>
      </c>
      <c r="D40" s="340">
        <f>inputOth!$E$37</f>
        <v>0</v>
      </c>
      <c r="E40" s="25">
        <f>ROUND(IF(D40&gt;0,(E39*D40),0),0)</f>
        <v>0</v>
      </c>
      <c r="F40" s="1"/>
      <c r="K40" s="1"/>
    </row>
    <row r="41" spans="2:11" x14ac:dyDescent="0.2">
      <c r="B41" s="3"/>
      <c r="C41" s="580" t="str">
        <f>CONCATENATE("Amount of  ",$E$1-1," Ad Valorem Tax")</f>
        <v>Amount of  2024 Ad Valorem Tax</v>
      </c>
      <c r="D41" s="581"/>
      <c r="E41" s="25">
        <f>E39+E40</f>
        <v>0</v>
      </c>
      <c r="F41" s="1"/>
      <c r="K41" s="1"/>
    </row>
    <row r="42" spans="2:11" x14ac:dyDescent="0.2">
      <c r="B42" s="3"/>
      <c r="C42" s="3"/>
      <c r="D42" s="3"/>
      <c r="E42" s="3"/>
      <c r="F42" s="1"/>
      <c r="G42" s="1"/>
      <c r="H42" s="1"/>
      <c r="I42" s="1"/>
      <c r="J42" s="1"/>
      <c r="K42" s="1"/>
    </row>
    <row r="43" spans="2:11" x14ac:dyDescent="0.2">
      <c r="B43" s="2" t="s">
        <v>27</v>
      </c>
      <c r="C43" s="68"/>
      <c r="D43" s="68"/>
      <c r="E43" s="68"/>
      <c r="F43" s="1"/>
      <c r="G43" s="1"/>
      <c r="H43" s="1"/>
      <c r="I43" s="1"/>
      <c r="J43" s="1"/>
      <c r="K43" s="1"/>
    </row>
    <row r="44" spans="2:11" ht="15.75" customHeight="1" x14ac:dyDescent="0.2">
      <c r="B44" s="3"/>
      <c r="C44" s="244" t="s">
        <v>157</v>
      </c>
      <c r="D44" s="245" t="s">
        <v>158</v>
      </c>
      <c r="E44" s="155" t="s">
        <v>155</v>
      </c>
      <c r="F44" s="1"/>
      <c r="K44" s="1"/>
    </row>
    <row r="45" spans="2:11" ht="15.75" customHeight="1" x14ac:dyDescent="0.2">
      <c r="B45" s="9">
        <f>inputPrYr!B23</f>
        <v>0</v>
      </c>
      <c r="C45" s="246" t="str">
        <f>C6</f>
        <v>Actual for 2023</v>
      </c>
      <c r="D45" s="246" t="str">
        <f>D6</f>
        <v>Estimate for 2024</v>
      </c>
      <c r="E45" s="75" t="str">
        <f>E6</f>
        <v>Year for 2025</v>
      </c>
      <c r="F45" s="1"/>
      <c r="K45" s="1"/>
    </row>
    <row r="46" spans="2:11" x14ac:dyDescent="0.2">
      <c r="B46" s="80" t="s">
        <v>83</v>
      </c>
      <c r="C46" s="242"/>
      <c r="D46" s="247">
        <f>C74</f>
        <v>0</v>
      </c>
      <c r="E46" s="25">
        <f>D74</f>
        <v>0</v>
      </c>
      <c r="F46" s="1"/>
    </row>
    <row r="47" spans="2:11" x14ac:dyDescent="0.2">
      <c r="B47" s="157" t="s">
        <v>85</v>
      </c>
      <c r="C47" s="158"/>
      <c r="D47" s="158"/>
      <c r="E47" s="57"/>
      <c r="F47" s="1"/>
    </row>
    <row r="48" spans="2:11" x14ac:dyDescent="0.2">
      <c r="B48" s="80" t="s">
        <v>28</v>
      </c>
      <c r="C48" s="242"/>
      <c r="D48" s="247">
        <f>IF(inputPrYr!H18&gt;0,inputPrYr!G23,inputPrYr!E23)</f>
        <v>0</v>
      </c>
      <c r="E48" s="88" t="s">
        <v>23</v>
      </c>
      <c r="F48" s="1"/>
    </row>
    <row r="49" spans="2:11" x14ac:dyDescent="0.2">
      <c r="B49" s="80" t="s">
        <v>29</v>
      </c>
      <c r="C49" s="242"/>
      <c r="D49" s="242"/>
      <c r="E49" s="131"/>
      <c r="F49" s="1"/>
    </row>
    <row r="50" spans="2:11" x14ac:dyDescent="0.2">
      <c r="B50" s="80" t="s">
        <v>30</v>
      </c>
      <c r="C50" s="242"/>
      <c r="D50" s="242"/>
      <c r="E50" s="25">
        <f>Mvalloc!D14</f>
        <v>0</v>
      </c>
      <c r="F50" s="1"/>
    </row>
    <row r="51" spans="2:11" x14ac:dyDescent="0.2">
      <c r="B51" s="80" t="s">
        <v>31</v>
      </c>
      <c r="C51" s="242"/>
      <c r="D51" s="242"/>
      <c r="E51" s="25">
        <f>Mvalloc!E14</f>
        <v>0</v>
      </c>
      <c r="F51" s="1"/>
      <c r="G51" s="603" t="str">
        <f>CONCATENATE("Desired Carryover Into ",E1+1,"")</f>
        <v>Desired Carryover Into 2026</v>
      </c>
      <c r="H51" s="604"/>
      <c r="I51" s="604"/>
      <c r="J51" s="605"/>
      <c r="K51" s="1"/>
    </row>
    <row r="52" spans="2:11" x14ac:dyDescent="0.2">
      <c r="B52" s="158" t="s">
        <v>79</v>
      </c>
      <c r="C52" s="242"/>
      <c r="D52" s="242"/>
      <c r="E52" s="25">
        <f>Mvalloc!F14</f>
        <v>0</v>
      </c>
      <c r="F52" s="1"/>
      <c r="G52" s="267"/>
      <c r="H52" s="3"/>
      <c r="I52" s="273"/>
      <c r="J52" s="266"/>
      <c r="K52" s="1"/>
    </row>
    <row r="53" spans="2:11" x14ac:dyDescent="0.2">
      <c r="B53" s="80" t="s">
        <v>482</v>
      </c>
      <c r="C53" s="242"/>
      <c r="D53" s="242"/>
      <c r="E53" s="25">
        <f>Mvalloc!G14</f>
        <v>0</v>
      </c>
      <c r="F53" s="1"/>
      <c r="G53" s="265" t="s">
        <v>442</v>
      </c>
      <c r="H53" s="273"/>
      <c r="I53" s="273"/>
      <c r="J53" s="264">
        <v>0</v>
      </c>
      <c r="K53" s="1"/>
    </row>
    <row r="54" spans="2:11" x14ac:dyDescent="0.2">
      <c r="B54" s="80" t="s">
        <v>483</v>
      </c>
      <c r="C54" s="242"/>
      <c r="D54" s="242"/>
      <c r="E54" s="25">
        <f>Mvalloc!H14</f>
        <v>0</v>
      </c>
      <c r="F54" s="1"/>
      <c r="G54" s="267" t="s">
        <v>443</v>
      </c>
      <c r="H54" s="3"/>
      <c r="I54" s="3"/>
      <c r="J54" s="342" t="str">
        <f>IF(J53=0,"",ROUND((J53+E87-G66)/inputOth!E7*1000,3)-G71)</f>
        <v/>
      </c>
      <c r="K54" s="1"/>
    </row>
    <row r="55" spans="2:11" x14ac:dyDescent="0.2">
      <c r="B55" s="159"/>
      <c r="C55" s="242"/>
      <c r="D55" s="242"/>
      <c r="E55" s="131"/>
      <c r="F55" s="1"/>
      <c r="G55" s="331" t="str">
        <f>CONCATENATE("",E3," Tot Exp/Non-Appr Must Be:")</f>
        <v xml:space="preserve"> Tot Exp/Non-Appr Must Be:</v>
      </c>
      <c r="H55" s="329"/>
      <c r="I55" s="328"/>
      <c r="J55" s="332">
        <f>IF(J53&gt;0,IF(E77&lt;E64,IF(J53=G66,E77,((J53-G66)*(1-D79))+E64),E77+(J53-G66)),0)</f>
        <v>0</v>
      </c>
      <c r="K55" s="1"/>
    </row>
    <row r="56" spans="2:11" x14ac:dyDescent="0.2">
      <c r="B56" s="159"/>
      <c r="C56" s="242"/>
      <c r="D56" s="242"/>
      <c r="E56" s="131"/>
      <c r="F56" s="1"/>
      <c r="G56" s="333" t="s">
        <v>458</v>
      </c>
      <c r="H56" s="334"/>
      <c r="I56" s="334"/>
      <c r="J56" s="335">
        <f>IF(J53&gt;0,J55-E77,0)</f>
        <v>0</v>
      </c>
      <c r="K56" s="1"/>
    </row>
    <row r="57" spans="2:11" x14ac:dyDescent="0.25">
      <c r="B57" s="159"/>
      <c r="C57" s="242"/>
      <c r="D57" s="242"/>
      <c r="E57" s="131"/>
      <c r="F57" s="1"/>
      <c r="G57" s="1"/>
      <c r="H57" s="1"/>
      <c r="I57" s="1"/>
      <c r="J57" s="341"/>
      <c r="K57" s="1"/>
    </row>
    <row r="58" spans="2:11" x14ac:dyDescent="0.2">
      <c r="B58" s="159"/>
      <c r="C58" s="242"/>
      <c r="D58" s="242"/>
      <c r="E58" s="131"/>
      <c r="F58" s="1"/>
      <c r="G58" s="603" t="str">
        <f>CONCATENATE("Projected Carryover Into ",E1+1,"")</f>
        <v>Projected Carryover Into 2026</v>
      </c>
      <c r="H58" s="604"/>
      <c r="I58" s="604"/>
      <c r="J58" s="605"/>
      <c r="K58" s="1"/>
    </row>
    <row r="59" spans="2:11" x14ac:dyDescent="0.2">
      <c r="B59" s="160" t="s">
        <v>33</v>
      </c>
      <c r="C59" s="242"/>
      <c r="D59" s="242"/>
      <c r="E59" s="131"/>
      <c r="F59" s="1"/>
      <c r="G59" s="283"/>
      <c r="H59" s="3"/>
      <c r="I59" s="3"/>
      <c r="J59" s="274"/>
      <c r="K59" s="1"/>
    </row>
    <row r="60" spans="2:11" x14ac:dyDescent="0.2">
      <c r="B60" s="82" t="s">
        <v>138</v>
      </c>
      <c r="C60" s="242"/>
      <c r="D60" s="242"/>
      <c r="E60" s="25">
        <f>'NR Rebate'!E10*-1</f>
        <v>0</v>
      </c>
      <c r="F60" s="1"/>
      <c r="G60" s="278">
        <f>D74</f>
        <v>0</v>
      </c>
      <c r="H60" s="277" t="str">
        <f>CONCATENATE("",E1-1," Ending Cash Balance (est.)")</f>
        <v>2024 Ending Cash Balance (est.)</v>
      </c>
      <c r="I60" s="336"/>
      <c r="J60" s="274"/>
      <c r="K60" s="1"/>
    </row>
    <row r="61" spans="2:11" x14ac:dyDescent="0.2">
      <c r="B61" s="161" t="s">
        <v>137</v>
      </c>
      <c r="C61" s="159"/>
      <c r="D61" s="159"/>
      <c r="E61" s="131"/>
      <c r="F61" s="1"/>
      <c r="G61" s="278">
        <f>E63</f>
        <v>0</v>
      </c>
      <c r="H61" s="273" t="str">
        <f>CONCATENATE("",E1," Non-AV Receipts (est.)")</f>
        <v>2025 Non-AV Receipts (est.)</v>
      </c>
      <c r="I61" s="273"/>
      <c r="J61" s="274"/>
      <c r="K61" s="1"/>
    </row>
    <row r="62" spans="2:11" x14ac:dyDescent="0.2">
      <c r="B62" s="161" t="s">
        <v>417</v>
      </c>
      <c r="C62" s="243" t="str">
        <f>IF(C63*0.1&lt;C61,"Exceed 10% Rule","")</f>
        <v/>
      </c>
      <c r="D62" s="243" t="str">
        <f>IF(D63*0.1&lt;D61,"Exceed 10% Rule","")</f>
        <v/>
      </c>
      <c r="E62" s="256" t="str">
        <f>IF(E63*0.1+E80&lt;E61,"Exceed 10% Rule","")</f>
        <v/>
      </c>
      <c r="F62" s="1"/>
      <c r="G62" s="272">
        <f>IF(E79&gt;0,E78,E80)</f>
        <v>0</v>
      </c>
      <c r="H62" s="273" t="str">
        <f>CONCATENATE("",E1," Ad Valorem Tax (est.)")</f>
        <v>2025 Ad Valorem Tax (est.)</v>
      </c>
      <c r="I62" s="273"/>
      <c r="J62" s="274"/>
      <c r="K62" s="368" t="str">
        <f>IF(G62=E80,"","Note: Does not include Delinquent Taxes")</f>
        <v/>
      </c>
    </row>
    <row r="63" spans="2:11" x14ac:dyDescent="0.2">
      <c r="B63" s="164" t="s">
        <v>34</v>
      </c>
      <c r="C63" s="494">
        <f>SUM(C48:C61)</f>
        <v>0</v>
      </c>
      <c r="D63" s="494">
        <f>SUM(D48:D61)</f>
        <v>0</v>
      </c>
      <c r="E63" s="494">
        <f>SUM(E48:E61)</f>
        <v>0</v>
      </c>
      <c r="F63" s="1"/>
      <c r="G63" s="348">
        <f>SUM(G60:G62)</f>
        <v>0</v>
      </c>
      <c r="H63" s="273" t="str">
        <f>CONCATENATE("Total ",E1," Resources Available")</f>
        <v>Total 2025 Resources Available</v>
      </c>
      <c r="I63" s="274"/>
      <c r="J63" s="274"/>
      <c r="K63" s="1"/>
    </row>
    <row r="64" spans="2:11" x14ac:dyDescent="0.2">
      <c r="B64" s="164" t="s">
        <v>35</v>
      </c>
      <c r="C64" s="494">
        <f>C46+C63</f>
        <v>0</v>
      </c>
      <c r="D64" s="494">
        <f>D46+D63</f>
        <v>0</v>
      </c>
      <c r="E64" s="494">
        <f>E46+E63</f>
        <v>0</v>
      </c>
      <c r="F64" s="1"/>
      <c r="G64" s="349"/>
      <c r="H64" s="188"/>
      <c r="I64" s="3"/>
      <c r="J64" s="274"/>
      <c r="K64" s="1"/>
    </row>
    <row r="65" spans="2:11" x14ac:dyDescent="0.2">
      <c r="B65" s="80" t="s">
        <v>36</v>
      </c>
      <c r="C65" s="82"/>
      <c r="D65" s="82"/>
      <c r="E65" s="16"/>
      <c r="F65" s="1"/>
      <c r="G65" s="350">
        <f>ROUND(C73*0.05+C73,0)</f>
        <v>0</v>
      </c>
      <c r="H65" s="188" t="str">
        <f>CONCATENATE("Less ",E1-2," Expenditures + 5%")</f>
        <v>Less 2023 Expenditures + 5%</v>
      </c>
      <c r="I65" s="3"/>
      <c r="J65" s="274"/>
      <c r="K65" s="1"/>
    </row>
    <row r="66" spans="2:11" x14ac:dyDescent="0.25">
      <c r="B66" s="159"/>
      <c r="C66" s="242"/>
      <c r="D66" s="242"/>
      <c r="E66" s="131"/>
      <c r="F66" s="1"/>
      <c r="G66" s="351">
        <f>G63-G65</f>
        <v>0</v>
      </c>
      <c r="H66" s="284" t="str">
        <f>CONCATENATE("Projected ",E1+1," carryover (est.)")</f>
        <v>Projected 2026 carryover (est.)</v>
      </c>
      <c r="I66" s="263"/>
      <c r="J66" s="347"/>
      <c r="K66" s="1"/>
    </row>
    <row r="67" spans="2:11" x14ac:dyDescent="0.25">
      <c r="B67" s="159"/>
      <c r="C67" s="242"/>
      <c r="D67" s="242"/>
      <c r="E67" s="131"/>
      <c r="F67" s="1"/>
      <c r="G67" s="341"/>
      <c r="H67" s="341"/>
      <c r="I67" s="341"/>
      <c r="J67" s="1"/>
      <c r="K67" s="1"/>
    </row>
    <row r="68" spans="2:11" x14ac:dyDescent="0.2">
      <c r="B68" s="159"/>
      <c r="C68" s="242"/>
      <c r="D68" s="242"/>
      <c r="E68" s="131"/>
      <c r="F68" s="1"/>
      <c r="G68" s="589" t="s">
        <v>722</v>
      </c>
      <c r="H68" s="590"/>
      <c r="I68" s="590"/>
      <c r="J68" s="591"/>
      <c r="K68" s="1"/>
    </row>
    <row r="69" spans="2:11" x14ac:dyDescent="0.2">
      <c r="B69" s="159"/>
      <c r="C69" s="242"/>
      <c r="D69" s="242"/>
      <c r="E69" s="131"/>
      <c r="F69" s="1"/>
      <c r="G69" s="592"/>
      <c r="H69" s="593"/>
      <c r="I69" s="593"/>
      <c r="J69" s="594"/>
      <c r="K69" s="1"/>
    </row>
    <row r="70" spans="2:11" x14ac:dyDescent="0.2">
      <c r="B70" s="82" t="str">
        <f>CONCATENATE("Cash Reserve (",E1," column)")</f>
        <v>Cash Reserve (2025 column)</v>
      </c>
      <c r="C70" s="242"/>
      <c r="D70" s="242"/>
      <c r="E70" s="131"/>
      <c r="F70" s="1"/>
      <c r="G70" s="462" t="str">
        <f>'Budget Hearing Notice'!H19</f>
        <v xml:space="preserve"> </v>
      </c>
      <c r="H70" s="463" t="str">
        <f>CONCATENATE("",E1," Estimated Fund Mill Rate")</f>
        <v>2025 Estimated Fund Mill Rate</v>
      </c>
      <c r="I70" s="464"/>
      <c r="J70" s="465"/>
      <c r="K70" s="1"/>
    </row>
    <row r="71" spans="2:11" x14ac:dyDescent="0.2">
      <c r="B71" s="82" t="s">
        <v>137</v>
      </c>
      <c r="C71" s="159"/>
      <c r="D71" s="159"/>
      <c r="E71" s="131"/>
      <c r="F71" s="1"/>
      <c r="G71" s="466" t="str">
        <f>'Budget Hearing Notice'!E19</f>
        <v xml:space="preserve">  </v>
      </c>
      <c r="H71" s="463" t="str">
        <f>CONCATENATE("",E1-1," Fund Mill Rate")</f>
        <v>2024 Fund Mill Rate</v>
      </c>
      <c r="I71" s="464"/>
      <c r="J71" s="465"/>
      <c r="K71" s="1"/>
    </row>
    <row r="72" spans="2:11" x14ac:dyDescent="0.2">
      <c r="B72" s="82" t="s">
        <v>416</v>
      </c>
      <c r="C72" s="243" t="str">
        <f>IF(C73*0.1&lt;C71,"Exceed 10% Rule","")</f>
        <v/>
      </c>
      <c r="D72" s="243" t="str">
        <f>IF(D73*0.1&lt;D71,"Exceed 10% Rule","")</f>
        <v/>
      </c>
      <c r="E72" s="256" t="str">
        <f>IF(E73*0.1&lt;E71,"Exceed 10% Rule","")</f>
        <v/>
      </c>
      <c r="F72" s="1"/>
      <c r="G72" s="467">
        <f>'Budget Hearing Notice'!H24</f>
        <v>0</v>
      </c>
      <c r="H72" s="468" t="s">
        <v>723</v>
      </c>
      <c r="I72" s="464"/>
      <c r="J72" s="465"/>
      <c r="K72" s="415"/>
    </row>
    <row r="73" spans="2:11" x14ac:dyDescent="0.2">
      <c r="B73" s="164" t="s">
        <v>37</v>
      </c>
      <c r="C73" s="494">
        <f>SUM(C66:C71)</f>
        <v>0</v>
      </c>
      <c r="D73" s="494">
        <f>SUM(D66:D71)</f>
        <v>0</v>
      </c>
      <c r="E73" s="494">
        <f>SUM(E66:E71)</f>
        <v>0</v>
      </c>
      <c r="F73" s="1"/>
      <c r="G73" s="462">
        <f>'Budget Hearing Notice'!H23</f>
        <v>0</v>
      </c>
      <c r="H73" s="463" t="str">
        <f>CONCATENATE(E1," Estimated Total Mill Rate")</f>
        <v>2025 Estimated Total Mill Rate</v>
      </c>
      <c r="I73" s="464"/>
      <c r="J73" s="465"/>
    </row>
    <row r="74" spans="2:11" x14ac:dyDescent="0.2">
      <c r="B74" s="80" t="s">
        <v>84</v>
      </c>
      <c r="C74" s="25">
        <f>C64-C73</f>
        <v>0</v>
      </c>
      <c r="D74" s="25">
        <f>D64-D73</f>
        <v>0</v>
      </c>
      <c r="E74" s="88" t="s">
        <v>23</v>
      </c>
      <c r="F74" s="1"/>
      <c r="G74" s="469">
        <f>'Budget Hearing Notice'!E23</f>
        <v>0</v>
      </c>
      <c r="H74" s="463" t="str">
        <f>CONCATENATE(E1-1," Total Mill Rate")</f>
        <v>2024 Total Mill Rate</v>
      </c>
      <c r="I74" s="464"/>
      <c r="J74" s="465"/>
      <c r="K74" s="1"/>
    </row>
    <row r="75" spans="2:11" x14ac:dyDescent="0.2">
      <c r="B75" s="2" t="str">
        <f>CONCATENATE("",E1-2,"/",E1-1,"/",E1," Budget Authority Amount:")</f>
        <v>2023/2024/2025 Budget Authority Amount:</v>
      </c>
      <c r="C75" s="172">
        <f>inputOth!B46</f>
        <v>0</v>
      </c>
      <c r="D75" s="172">
        <f>inputPrYr!D23</f>
        <v>0</v>
      </c>
      <c r="E75" s="25">
        <f>E73</f>
        <v>0</v>
      </c>
      <c r="F75" s="1"/>
      <c r="G75" s="470"/>
      <c r="H75" s="405"/>
      <c r="I75" s="405"/>
      <c r="J75" s="471"/>
    </row>
    <row r="76" spans="2:11" x14ac:dyDescent="0.2">
      <c r="B76" s="92"/>
      <c r="C76" s="582" t="s">
        <v>436</v>
      </c>
      <c r="D76" s="583"/>
      <c r="E76" s="15"/>
      <c r="F76" s="354" t="str">
        <f>IF(E73/0.95-E73&lt;E76,"Exceeds 5%","")</f>
        <v/>
      </c>
      <c r="G76" s="595" t="s">
        <v>724</v>
      </c>
      <c r="H76" s="596"/>
      <c r="I76" s="596"/>
      <c r="J76" s="599" t="str">
        <f>IF(G73&gt;G72, "Yes", "No")</f>
        <v>No</v>
      </c>
    </row>
    <row r="77" spans="2:11" x14ac:dyDescent="0.2">
      <c r="B77" s="255" t="str">
        <f>CONCATENATE(C95,"     ",D95)</f>
        <v xml:space="preserve">     </v>
      </c>
      <c r="C77" s="584" t="s">
        <v>437</v>
      </c>
      <c r="D77" s="585"/>
      <c r="E77" s="25">
        <f>E73+E76</f>
        <v>0</v>
      </c>
      <c r="F77" s="1"/>
      <c r="G77" s="597"/>
      <c r="H77" s="598"/>
      <c r="I77" s="598"/>
      <c r="J77" s="600"/>
    </row>
    <row r="78" spans="2:11" x14ac:dyDescent="0.2">
      <c r="B78" s="255" t="str">
        <f>CONCATENATE(C96,"     ",D96)</f>
        <v xml:space="preserve">     </v>
      </c>
      <c r="C78" s="282"/>
      <c r="D78" s="281" t="s">
        <v>438</v>
      </c>
      <c r="E78" s="25">
        <f>IF(E77-E64&gt;0,E77-E64,0)</f>
        <v>0</v>
      </c>
      <c r="F78" s="177"/>
      <c r="G78" s="578" t="str">
        <f>IF(J76="Yes", "Follow procedure prescribed by KSA 79-2988 to exceed the Revenue Neutral Rate.", " ")</f>
        <v xml:space="preserve"> </v>
      </c>
      <c r="H78" s="578"/>
      <c r="I78" s="578"/>
      <c r="J78" s="578"/>
      <c r="K78" s="1"/>
    </row>
    <row r="79" spans="2:11" x14ac:dyDescent="0.2">
      <c r="B79" s="95"/>
      <c r="C79" s="280" t="s">
        <v>439</v>
      </c>
      <c r="D79" s="340">
        <f>inputOth!$E$37</f>
        <v>0</v>
      </c>
      <c r="E79" s="25">
        <f>ROUND(IF(D79&gt;0,(E78*D79),0),0)</f>
        <v>0</v>
      </c>
      <c r="G79" s="579"/>
      <c r="H79" s="579"/>
      <c r="I79" s="579"/>
      <c r="J79" s="579"/>
      <c r="K79" s="1"/>
    </row>
    <row r="80" spans="2:11" x14ac:dyDescent="0.2">
      <c r="B80" s="3"/>
      <c r="C80" s="580" t="str">
        <f>CONCATENATE("Amount of  ",$E$1-1," Ad Valorem Tax")</f>
        <v>Amount of  2024 Ad Valorem Tax</v>
      </c>
      <c r="D80" s="581"/>
      <c r="E80" s="25">
        <f>E78+E79</f>
        <v>0</v>
      </c>
      <c r="F80" s="1"/>
      <c r="G80" s="579"/>
      <c r="H80" s="579"/>
      <c r="I80" s="579"/>
      <c r="J80" s="579"/>
      <c r="K80" s="1"/>
    </row>
    <row r="81" spans="2:6" x14ac:dyDescent="0.2">
      <c r="B81" s="3"/>
      <c r="C81" s="3"/>
      <c r="D81" s="3"/>
      <c r="E81" s="3"/>
      <c r="F81" s="1"/>
    </row>
    <row r="82" spans="2:6" x14ac:dyDescent="0.2">
      <c r="B82" s="428" t="s">
        <v>605</v>
      </c>
      <c r="C82" s="85"/>
      <c r="D82" s="85"/>
      <c r="E82" s="425"/>
      <c r="F82" s="1"/>
    </row>
    <row r="83" spans="2:6" x14ac:dyDescent="0.2">
      <c r="B83" s="283"/>
      <c r="C83" s="3"/>
      <c r="D83" s="3"/>
      <c r="E83" s="274"/>
      <c r="F83" s="1"/>
    </row>
    <row r="84" spans="2:6" x14ac:dyDescent="0.2">
      <c r="B84" s="79"/>
      <c r="C84" s="20"/>
      <c r="D84" s="20"/>
      <c r="E84" s="24"/>
      <c r="F84" s="1"/>
    </row>
    <row r="85" spans="2:6" x14ac:dyDescent="0.2">
      <c r="B85" s="3"/>
      <c r="C85" s="3"/>
      <c r="D85" s="3"/>
      <c r="E85" s="3"/>
      <c r="F85" s="1"/>
    </row>
    <row r="86" spans="2:6" x14ac:dyDescent="0.2">
      <c r="B86" s="92" t="s">
        <v>39</v>
      </c>
      <c r="C86" s="396"/>
      <c r="D86" s="3"/>
      <c r="E86" s="3"/>
      <c r="F86" s="1"/>
    </row>
    <row r="87" spans="2:6" x14ac:dyDescent="0.2">
      <c r="F87" s="1"/>
    </row>
    <row r="88" spans="2:6" x14ac:dyDescent="0.2">
      <c r="F88" s="1"/>
    </row>
    <row r="89" spans="2:6" x14ac:dyDescent="0.2">
      <c r="F89" s="1"/>
    </row>
    <row r="90" spans="2:6" x14ac:dyDescent="0.2">
      <c r="F90" s="1"/>
    </row>
    <row r="91" spans="2:6" x14ac:dyDescent="0.2">
      <c r="F91" s="1"/>
    </row>
    <row r="92" spans="2:6" ht="15.75" customHeight="1" x14ac:dyDescent="0.2">
      <c r="F92" s="1"/>
    </row>
    <row r="93" spans="2:6" ht="15.75" customHeight="1" x14ac:dyDescent="0.2">
      <c r="C93" s="58" t="str">
        <f>IF(C34&gt;C36,"See Tab A","")</f>
        <v/>
      </c>
      <c r="D93" s="58" t="str">
        <f>IF(D34&gt;D36,"See Tab C","")</f>
        <v/>
      </c>
      <c r="F93" s="1"/>
    </row>
    <row r="94" spans="2:6" ht="15.75" customHeight="1" x14ac:dyDescent="0.2">
      <c r="C94" s="58" t="str">
        <f>IF(C35&lt;0,"See Tab B","")</f>
        <v/>
      </c>
      <c r="D94" s="58" t="str">
        <f>IF(D35&lt;0,"See Tab D","")</f>
        <v/>
      </c>
    </row>
    <row r="95" spans="2:6" ht="15.75" customHeight="1" x14ac:dyDescent="0.2">
      <c r="C95" s="58" t="str">
        <f>IF(C73&gt;C75,"See Tab A","")</f>
        <v/>
      </c>
      <c r="D95" s="58" t="str">
        <f>IF(D73&gt;D75,"See Tab C","")</f>
        <v/>
      </c>
    </row>
    <row r="96" spans="2:6" ht="21" customHeight="1" x14ac:dyDescent="0.2">
      <c r="C96" s="58" t="str">
        <f>IF(C74&lt;0,"See Tab B","")</f>
        <v/>
      </c>
      <c r="D96" s="58" t="str">
        <f>IF(D74&lt;0,"See Tab D","")</f>
        <v/>
      </c>
    </row>
  </sheetData>
  <sheetProtection sheet="1"/>
  <mergeCells count="18">
    <mergeCell ref="C80:D80"/>
    <mergeCell ref="C41:D41"/>
    <mergeCell ref="C76:D76"/>
    <mergeCell ref="C77:D77"/>
    <mergeCell ref="G78:J80"/>
    <mergeCell ref="C37:D37"/>
    <mergeCell ref="C38:D38"/>
    <mergeCell ref="G7:J7"/>
    <mergeCell ref="G14:J14"/>
    <mergeCell ref="J76:J77"/>
    <mergeCell ref="G58:J58"/>
    <mergeCell ref="G51:J51"/>
    <mergeCell ref="G24:J25"/>
    <mergeCell ref="G32:I33"/>
    <mergeCell ref="J32:J33"/>
    <mergeCell ref="G34:J36"/>
    <mergeCell ref="G68:J69"/>
    <mergeCell ref="G76:I77"/>
  </mergeCells>
  <phoneticPr fontId="0" type="noConversion"/>
  <conditionalFormatting sqref="C22">
    <cfRule type="cellIs" dxfId="48" priority="16" stopIfTrue="1" operator="greaterThan">
      <formula>$C$24*0.1</formula>
    </cfRule>
  </conditionalFormatting>
  <conditionalFormatting sqref="C32">
    <cfRule type="cellIs" dxfId="47" priority="18" stopIfTrue="1" operator="greaterThan">
      <formula>$C$34*0.1</formula>
    </cfRule>
  </conditionalFormatting>
  <conditionalFormatting sqref="C35">
    <cfRule type="expression" dxfId="46" priority="7">
      <formula>$C$35&lt;0</formula>
    </cfRule>
  </conditionalFormatting>
  <conditionalFormatting sqref="C61">
    <cfRule type="cellIs" dxfId="45" priority="21" stopIfTrue="1" operator="greaterThan">
      <formula>$C$63*0.1</formula>
    </cfRule>
  </conditionalFormatting>
  <conditionalFormatting sqref="C71">
    <cfRule type="cellIs" dxfId="44" priority="23" stopIfTrue="1" operator="greaterThan">
      <formula>$C$73*0.1</formula>
    </cfRule>
  </conditionalFormatting>
  <conditionalFormatting sqref="C73">
    <cfRule type="expression" dxfId="43" priority="4">
      <formula>$C$73&gt;$C$75</formula>
    </cfRule>
  </conditionalFormatting>
  <conditionalFormatting sqref="C74">
    <cfRule type="expression" dxfId="42" priority="3">
      <formula>$C$74&lt;0</formula>
    </cfRule>
  </conditionalFormatting>
  <conditionalFormatting sqref="C34:D34">
    <cfRule type="expression" dxfId="41" priority="8">
      <formula>$C$34&gt;$C$36</formula>
    </cfRule>
  </conditionalFormatting>
  <conditionalFormatting sqref="D22">
    <cfRule type="cellIs" dxfId="40" priority="17" stopIfTrue="1" operator="greaterThan">
      <formula>$D$24*0.1</formula>
    </cfRule>
  </conditionalFormatting>
  <conditionalFormatting sqref="D32">
    <cfRule type="cellIs" dxfId="39" priority="19" stopIfTrue="1" operator="greaterThan">
      <formula>$D$34*0.1</formula>
    </cfRule>
  </conditionalFormatting>
  <conditionalFormatting sqref="D34">
    <cfRule type="expression" dxfId="38" priority="6">
      <formula>$D$34&gt;$D$36</formula>
    </cfRule>
  </conditionalFormatting>
  <conditionalFormatting sqref="D35">
    <cfRule type="expression" dxfId="37" priority="5">
      <formula>$D$35&lt;0</formula>
    </cfRule>
  </conditionalFormatting>
  <conditionalFormatting sqref="D61">
    <cfRule type="cellIs" dxfId="36" priority="22" stopIfTrue="1" operator="greaterThan">
      <formula>$D$63*0.1</formula>
    </cfRule>
  </conditionalFormatting>
  <conditionalFormatting sqref="D71">
    <cfRule type="cellIs" dxfId="35" priority="24" stopIfTrue="1" operator="greaterThan">
      <formula>$D$73*0.1</formula>
    </cfRule>
  </conditionalFormatting>
  <conditionalFormatting sqref="D73">
    <cfRule type="expression" dxfId="34" priority="2">
      <formula>$D$73&gt;$D$75</formula>
    </cfRule>
  </conditionalFormatting>
  <conditionalFormatting sqref="D74">
    <cfRule type="expression" dxfId="33" priority="1">
      <formula>$D$74&lt;0</formula>
    </cfRule>
  </conditionalFormatting>
  <conditionalFormatting sqref="E22">
    <cfRule type="cellIs" dxfId="32" priority="106" stopIfTrue="1" operator="greaterThan">
      <formula>$E$24*0.1+$E$41</formula>
    </cfRule>
  </conditionalFormatting>
  <conditionalFormatting sqref="E32">
    <cfRule type="cellIs" dxfId="31" priority="20" stopIfTrue="1" operator="greaterThan">
      <formula>$E$34*0.1</formula>
    </cfRule>
  </conditionalFormatting>
  <conditionalFormatting sqref="E37">
    <cfRule type="cellIs" dxfId="30" priority="27" stopIfTrue="1" operator="greaterThan">
      <formula>$E$34/0.95-$E$34</formula>
    </cfRule>
  </conditionalFormatting>
  <conditionalFormatting sqref="E61">
    <cfRule type="cellIs" dxfId="29" priority="105" stopIfTrue="1" operator="greaterThan">
      <formula>$E$63*0.1+$E$80</formula>
    </cfRule>
  </conditionalFormatting>
  <conditionalFormatting sqref="E71">
    <cfRule type="cellIs" dxfId="28" priority="25" stopIfTrue="1" operator="greaterThan">
      <formula>$E$73*0.1</formula>
    </cfRule>
  </conditionalFormatting>
  <conditionalFormatting sqref="E76">
    <cfRule type="cellIs" dxfId="27" priority="26" stopIfTrue="1" operator="greaterThan">
      <formula>$E$73/0.95-$E$73</formula>
    </cfRule>
  </conditionalFormatting>
  <conditionalFormatting sqref="J32">
    <cfRule type="containsText" dxfId="26" priority="9" operator="containsText" text="Yes">
      <formula>NOT(ISERROR(SEARCH("Yes",J32)))</formula>
    </cfRule>
  </conditionalFormatting>
  <conditionalFormatting sqref="J76">
    <cfRule type="containsText" dxfId="25" priority="10" operator="containsText" text="Yes">
      <formula>NOT(ISERROR(SEARCH("Yes",J76)))</formula>
    </cfRule>
  </conditionalFormatting>
  <pageMargins left="1" right="1" top="0.5" bottom="0.5" header="0.5" footer="0.5"/>
  <pageSetup scale="47" orientation="portrait" blackAndWhite="1" horizontalDpi="120" verticalDpi="144" r:id="rId1"/>
  <headerFooter alignWithMargins="0">
    <oddHeader xml:space="preserve">&amp;RState of Kansas
Special District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B1:E70"/>
  <sheetViews>
    <sheetView workbookViewId="0">
      <selection activeCell="D54" sqref="D54"/>
    </sheetView>
  </sheetViews>
  <sheetFormatPr defaultColWidth="27.77734375" defaultRowHeight="15.75" x14ac:dyDescent="0.2"/>
  <cols>
    <col min="1" max="1" width="2.44140625" style="58" customWidth="1"/>
    <col min="2" max="2" width="31.109375" style="58" customWidth="1"/>
    <col min="3" max="4" width="15.77734375" style="58" customWidth="1"/>
    <col min="5" max="5" width="17.6640625" style="58" customWidth="1"/>
    <col min="6" max="16384" width="27.77734375" style="58"/>
  </cols>
  <sheetData>
    <row r="1" spans="2:5" x14ac:dyDescent="0.2">
      <c r="B1" s="3">
        <f>inputPrYr!D3</f>
        <v>0</v>
      </c>
      <c r="C1" s="154"/>
      <c r="D1" s="3"/>
      <c r="E1" s="92">
        <f>inputPrYr!D6</f>
        <v>2025</v>
      </c>
    </row>
    <row r="2" spans="2:5" x14ac:dyDescent="0.2">
      <c r="B2" s="3">
        <f>inputPrYr!D4</f>
        <v>0</v>
      </c>
      <c r="C2" s="154"/>
      <c r="D2" s="3"/>
      <c r="E2" s="92"/>
    </row>
    <row r="3" spans="2:5" x14ac:dyDescent="0.2">
      <c r="B3" s="9" t="s">
        <v>72</v>
      </c>
      <c r="C3" s="154"/>
      <c r="D3" s="154"/>
      <c r="E3" s="92"/>
    </row>
    <row r="4" spans="2:5" x14ac:dyDescent="0.2">
      <c r="B4" s="3"/>
      <c r="C4" s="68"/>
      <c r="D4" s="68"/>
      <c r="E4" s="68"/>
    </row>
    <row r="5" spans="2:5" x14ac:dyDescent="0.2">
      <c r="B5" s="2" t="s">
        <v>27</v>
      </c>
      <c r="C5" s="178" t="s">
        <v>157</v>
      </c>
      <c r="D5" s="155" t="s">
        <v>158</v>
      </c>
      <c r="E5" s="155" t="s">
        <v>155</v>
      </c>
    </row>
    <row r="6" spans="2:5" x14ac:dyDescent="0.2">
      <c r="B6" s="9">
        <f>inputPrYr!B26</f>
        <v>0</v>
      </c>
      <c r="C6" s="75" t="str">
        <f>CONCATENATE("Actual for ",E1-2,"")</f>
        <v>Actual for 2023</v>
      </c>
      <c r="D6" s="75" t="str">
        <f>CONCATENATE("Estimate for ",E1-1,"")</f>
        <v>Estimate for 2024</v>
      </c>
      <c r="E6" s="75" t="str">
        <f>CONCATENATE("Year for ",E1,"")</f>
        <v>Year for 2025</v>
      </c>
    </row>
    <row r="7" spans="2:5" x14ac:dyDescent="0.2">
      <c r="B7" s="80" t="s">
        <v>83</v>
      </c>
      <c r="C7" s="15"/>
      <c r="D7" s="25">
        <f>C31</f>
        <v>0</v>
      </c>
      <c r="E7" s="25">
        <f>D31</f>
        <v>0</v>
      </c>
    </row>
    <row r="8" spans="2:5" x14ac:dyDescent="0.2">
      <c r="B8" s="157" t="s">
        <v>85</v>
      </c>
      <c r="C8" s="16"/>
      <c r="D8" s="16"/>
      <c r="E8" s="16"/>
    </row>
    <row r="9" spans="2:5" x14ac:dyDescent="0.2">
      <c r="B9" s="159"/>
      <c r="C9" s="131"/>
      <c r="D9" s="131"/>
      <c r="E9" s="131"/>
    </row>
    <row r="10" spans="2:5" x14ac:dyDescent="0.2">
      <c r="B10" s="159"/>
      <c r="C10" s="131"/>
      <c r="D10" s="131"/>
      <c r="E10" s="131"/>
    </row>
    <row r="11" spans="2:5" x14ac:dyDescent="0.2">
      <c r="B11" s="159"/>
      <c r="C11" s="131"/>
      <c r="D11" s="131"/>
      <c r="E11" s="131"/>
    </row>
    <row r="12" spans="2:5" x14ac:dyDescent="0.2">
      <c r="B12" s="159"/>
      <c r="C12" s="131"/>
      <c r="D12" s="131"/>
      <c r="E12" s="131"/>
    </row>
    <row r="13" spans="2:5" x14ac:dyDescent="0.2">
      <c r="B13" s="159"/>
      <c r="C13" s="131"/>
      <c r="D13" s="131"/>
      <c r="E13" s="131"/>
    </row>
    <row r="14" spans="2:5" x14ac:dyDescent="0.2">
      <c r="B14" s="159"/>
      <c r="C14" s="131"/>
      <c r="D14" s="131"/>
      <c r="E14" s="131"/>
    </row>
    <row r="15" spans="2:5" x14ac:dyDescent="0.2">
      <c r="B15" s="160" t="s">
        <v>33</v>
      </c>
      <c r="C15" s="131"/>
      <c r="D15" s="131"/>
      <c r="E15" s="131"/>
    </row>
    <row r="16" spans="2:5" x14ac:dyDescent="0.2">
      <c r="B16" s="161" t="s">
        <v>137</v>
      </c>
      <c r="C16" s="131"/>
      <c r="D16" s="162"/>
      <c r="E16" s="162"/>
    </row>
    <row r="17" spans="2:5" x14ac:dyDescent="0.2">
      <c r="B17" s="161" t="s">
        <v>417</v>
      </c>
      <c r="C17" s="256" t="str">
        <f>IF(C18*0.1&lt;C16,"Exceed 10% Rule","")</f>
        <v/>
      </c>
      <c r="D17" s="163" t="str">
        <f>IF(D18*0.1&lt;D16,"Exceed 10% Rule","")</f>
        <v/>
      </c>
      <c r="E17" s="163" t="str">
        <f>IF(E18*0.1&lt;E16,"Exceed 10% Rule","")</f>
        <v/>
      </c>
    </row>
    <row r="18" spans="2:5" x14ac:dyDescent="0.2">
      <c r="B18" s="164" t="s">
        <v>34</v>
      </c>
      <c r="C18" s="495">
        <f>SUM(C9:C16)</f>
        <v>0</v>
      </c>
      <c r="D18" s="495">
        <f>SUM(D9:D16)</f>
        <v>0</v>
      </c>
      <c r="E18" s="495">
        <f>SUM(E9:E16)</f>
        <v>0</v>
      </c>
    </row>
    <row r="19" spans="2:5" x14ac:dyDescent="0.2">
      <c r="B19" s="164" t="s">
        <v>35</v>
      </c>
      <c r="C19" s="495">
        <f>C18+C7</f>
        <v>0</v>
      </c>
      <c r="D19" s="495">
        <f>D18+D7</f>
        <v>0</v>
      </c>
      <c r="E19" s="495">
        <f>E18+E7</f>
        <v>0</v>
      </c>
    </row>
    <row r="20" spans="2:5" x14ac:dyDescent="0.2">
      <c r="B20" s="80" t="s">
        <v>36</v>
      </c>
      <c r="C20" s="16"/>
      <c r="D20" s="16"/>
      <c r="E20" s="16"/>
    </row>
    <row r="21" spans="2:5" x14ac:dyDescent="0.2">
      <c r="B21" s="159"/>
      <c r="C21" s="131"/>
      <c r="D21" s="131"/>
      <c r="E21" s="131"/>
    </row>
    <row r="22" spans="2:5" x14ac:dyDescent="0.2">
      <c r="B22" s="159"/>
      <c r="C22" s="131"/>
      <c r="D22" s="131"/>
      <c r="E22" s="131"/>
    </row>
    <row r="23" spans="2:5" x14ac:dyDescent="0.2">
      <c r="B23" s="159"/>
      <c r="C23" s="131"/>
      <c r="D23" s="131"/>
      <c r="E23" s="131"/>
    </row>
    <row r="24" spans="2:5" x14ac:dyDescent="0.2">
      <c r="B24" s="159"/>
      <c r="C24" s="131"/>
      <c r="D24" s="131"/>
      <c r="E24" s="131"/>
    </row>
    <row r="25" spans="2:5" x14ac:dyDescent="0.2">
      <c r="B25" s="159"/>
      <c r="C25" s="131"/>
      <c r="D25" s="131"/>
      <c r="E25" s="131"/>
    </row>
    <row r="26" spans="2:5" x14ac:dyDescent="0.2">
      <c r="B26" s="159"/>
      <c r="C26" s="131"/>
      <c r="D26" s="131"/>
      <c r="E26" s="131"/>
    </row>
    <row r="27" spans="2:5" x14ac:dyDescent="0.2">
      <c r="B27" s="82" t="str">
        <f>CONCATENATE("Cash Reserve (",E1," column)")</f>
        <v>Cash Reserve (2025 column)</v>
      </c>
      <c r="C27" s="131"/>
      <c r="D27" s="131"/>
      <c r="E27" s="131"/>
    </row>
    <row r="28" spans="2:5" x14ac:dyDescent="0.2">
      <c r="B28" s="82" t="s">
        <v>137</v>
      </c>
      <c r="C28" s="15"/>
      <c r="D28" s="156"/>
      <c r="E28" s="156"/>
    </row>
    <row r="29" spans="2:5" x14ac:dyDescent="0.2">
      <c r="B29" s="82" t="s">
        <v>416</v>
      </c>
      <c r="C29" s="256" t="str">
        <f>IF(C30*0.1&lt;C28,"Exceed 10% Rule","")</f>
        <v/>
      </c>
      <c r="D29" s="163" t="str">
        <f>IF(D30*0.1&lt;D28,"Exceed 10% Rule","")</f>
        <v/>
      </c>
      <c r="E29" s="163" t="str">
        <f>IF(E30*0.1&lt;E28,"Exceed 10% Rule","")</f>
        <v/>
      </c>
    </row>
    <row r="30" spans="2:5" x14ac:dyDescent="0.2">
      <c r="B30" s="164" t="s">
        <v>37</v>
      </c>
      <c r="C30" s="495">
        <f>SUM(C21:C28)</f>
        <v>0</v>
      </c>
      <c r="D30" s="495">
        <f>SUM(D21:D28)</f>
        <v>0</v>
      </c>
      <c r="E30" s="495">
        <f>SUM(E21:E28)</f>
        <v>0</v>
      </c>
    </row>
    <row r="31" spans="2:5" x14ac:dyDescent="0.2">
      <c r="B31" s="80" t="s">
        <v>84</v>
      </c>
      <c r="C31" s="172">
        <f>C19-C30</f>
        <v>0</v>
      </c>
      <c r="D31" s="172">
        <f>D19-D30</f>
        <v>0</v>
      </c>
      <c r="E31" s="172">
        <f>E19-E30</f>
        <v>0</v>
      </c>
    </row>
    <row r="32" spans="2:5" x14ac:dyDescent="0.2">
      <c r="B32" s="2" t="str">
        <f>CONCATENATE("",E1-2,"/",E1-1,"/",E1," Budget Authority Amount:")</f>
        <v>2023/2024/2025 Budget Authority Amount:</v>
      </c>
      <c r="C32" s="172">
        <f>inputOth!B47</f>
        <v>0</v>
      </c>
      <c r="D32" s="172">
        <f>inputPrYr!D26</f>
        <v>0</v>
      </c>
      <c r="E32" s="323">
        <f>E30</f>
        <v>0</v>
      </c>
    </row>
    <row r="33" spans="2:5" x14ac:dyDescent="0.2">
      <c r="B33" s="92"/>
      <c r="C33" s="165" t="str">
        <f>IF(C30&gt;C32,"See Tab A","")</f>
        <v/>
      </c>
      <c r="D33" s="165" t="str">
        <f>IF(D30&gt;D32,"See Tab C","")</f>
        <v/>
      </c>
      <c r="E33" s="369" t="str">
        <f>IF(E31&lt;0,"See Tab E","")</f>
        <v/>
      </c>
    </row>
    <row r="34" spans="2:5" x14ac:dyDescent="0.2">
      <c r="B34" s="92"/>
      <c r="C34" s="165" t="str">
        <f>IF(C31&lt;0,"See Tab B","")</f>
        <v/>
      </c>
      <c r="D34" s="165" t="str">
        <f>IF(D31&lt;0,"See Tab D","")</f>
        <v/>
      </c>
      <c r="E34" s="17"/>
    </row>
    <row r="35" spans="2:5" x14ac:dyDescent="0.2">
      <c r="B35" s="3"/>
      <c r="C35" s="96"/>
      <c r="D35" s="96"/>
      <c r="E35" s="96"/>
    </row>
    <row r="36" spans="2:5" x14ac:dyDescent="0.2">
      <c r="B36" s="3"/>
      <c r="C36" s="68"/>
      <c r="D36" s="68"/>
      <c r="E36" s="68"/>
    </row>
    <row r="37" spans="2:5" ht="15.75" customHeight="1" x14ac:dyDescent="0.2">
      <c r="B37" s="2" t="s">
        <v>27</v>
      </c>
      <c r="C37" s="178" t="s">
        <v>157</v>
      </c>
      <c r="D37" s="155" t="s">
        <v>158</v>
      </c>
      <c r="E37" s="155" t="s">
        <v>155</v>
      </c>
    </row>
    <row r="38" spans="2:5" ht="15.75" customHeight="1" x14ac:dyDescent="0.2">
      <c r="B38" s="9">
        <f>inputPrYr!B27</f>
        <v>0</v>
      </c>
      <c r="C38" s="75" t="str">
        <f>C6</f>
        <v>Actual for 2023</v>
      </c>
      <c r="D38" s="75" t="str">
        <f>D6</f>
        <v>Estimate for 2024</v>
      </c>
      <c r="E38" s="75" t="str">
        <f>E6</f>
        <v>Year for 2025</v>
      </c>
    </row>
    <row r="39" spans="2:5" x14ac:dyDescent="0.2">
      <c r="B39" s="80" t="s">
        <v>83</v>
      </c>
      <c r="C39" s="15"/>
      <c r="D39" s="25">
        <f>C63</f>
        <v>0</v>
      </c>
      <c r="E39" s="25">
        <f>D63</f>
        <v>0</v>
      </c>
    </row>
    <row r="40" spans="2:5" x14ac:dyDescent="0.2">
      <c r="B40" s="157" t="s">
        <v>85</v>
      </c>
      <c r="C40" s="16"/>
      <c r="D40" s="16"/>
      <c r="E40" s="16"/>
    </row>
    <row r="41" spans="2:5" x14ac:dyDescent="0.2">
      <c r="B41" s="159"/>
      <c r="C41" s="131"/>
      <c r="D41" s="131"/>
      <c r="E41" s="131"/>
    </row>
    <row r="42" spans="2:5" x14ac:dyDescent="0.2">
      <c r="B42" s="159"/>
      <c r="C42" s="131"/>
      <c r="D42" s="131"/>
      <c r="E42" s="131"/>
    </row>
    <row r="43" spans="2:5" x14ac:dyDescent="0.2">
      <c r="B43" s="159"/>
      <c r="C43" s="131"/>
      <c r="D43" s="131"/>
      <c r="E43" s="131"/>
    </row>
    <row r="44" spans="2:5" x14ac:dyDescent="0.2">
      <c r="B44" s="159"/>
      <c r="C44" s="131"/>
      <c r="D44" s="131"/>
      <c r="E44" s="131"/>
    </row>
    <row r="45" spans="2:5" x14ac:dyDescent="0.2">
      <c r="B45" s="159"/>
      <c r="C45" s="131"/>
      <c r="D45" s="131"/>
      <c r="E45" s="131"/>
    </row>
    <row r="46" spans="2:5" x14ac:dyDescent="0.2">
      <c r="B46" s="159"/>
      <c r="C46" s="131"/>
      <c r="D46" s="131"/>
      <c r="E46" s="131"/>
    </row>
    <row r="47" spans="2:5" x14ac:dyDescent="0.2">
      <c r="B47" s="160" t="s">
        <v>33</v>
      </c>
      <c r="C47" s="131"/>
      <c r="D47" s="131"/>
      <c r="E47" s="131"/>
    </row>
    <row r="48" spans="2:5" x14ac:dyDescent="0.2">
      <c r="B48" s="161" t="s">
        <v>137</v>
      </c>
      <c r="C48" s="131"/>
      <c r="D48" s="162"/>
      <c r="E48" s="162"/>
    </row>
    <row r="49" spans="2:5" x14ac:dyDescent="0.2">
      <c r="B49" s="161" t="s">
        <v>417</v>
      </c>
      <c r="C49" s="256" t="str">
        <f>IF(C50*0.1&lt;C48,"Exceed 10% Rule","")</f>
        <v/>
      </c>
      <c r="D49" s="163" t="str">
        <f>IF(D50*0.1&lt;D48,"Exceed 10% Rule","")</f>
        <v/>
      </c>
      <c r="E49" s="163" t="str">
        <f>IF(E50*0.1&lt;E48,"Exceed 10% Rule","")</f>
        <v/>
      </c>
    </row>
    <row r="50" spans="2:5" x14ac:dyDescent="0.2">
      <c r="B50" s="164" t="s">
        <v>34</v>
      </c>
      <c r="C50" s="495">
        <f>SUM(C41:C48)</f>
        <v>0</v>
      </c>
      <c r="D50" s="495">
        <f>SUM(D41:D48)</f>
        <v>0</v>
      </c>
      <c r="E50" s="495">
        <f>SUM(E41:E48)</f>
        <v>0</v>
      </c>
    </row>
    <row r="51" spans="2:5" x14ac:dyDescent="0.2">
      <c r="B51" s="164" t="s">
        <v>35</v>
      </c>
      <c r="C51" s="495">
        <f>C50+C39</f>
        <v>0</v>
      </c>
      <c r="D51" s="495">
        <f>D50+D39</f>
        <v>0</v>
      </c>
      <c r="E51" s="495">
        <f>E50+E39</f>
        <v>0</v>
      </c>
    </row>
    <row r="52" spans="2:5" x14ac:dyDescent="0.2">
      <c r="B52" s="80" t="s">
        <v>36</v>
      </c>
      <c r="C52" s="16"/>
      <c r="D52" s="16"/>
      <c r="E52" s="16"/>
    </row>
    <row r="53" spans="2:5" x14ac:dyDescent="0.2">
      <c r="B53" s="159"/>
      <c r="C53" s="131"/>
      <c r="D53" s="131"/>
      <c r="E53" s="131"/>
    </row>
    <row r="54" spans="2:5" x14ac:dyDescent="0.2">
      <c r="B54" s="159"/>
      <c r="C54" s="131"/>
      <c r="D54" s="131"/>
      <c r="E54" s="131"/>
    </row>
    <row r="55" spans="2:5" x14ac:dyDescent="0.2">
      <c r="B55" s="159"/>
      <c r="C55" s="131"/>
      <c r="D55" s="131"/>
      <c r="E55" s="131"/>
    </row>
    <row r="56" spans="2:5" x14ac:dyDescent="0.2">
      <c r="B56" s="159"/>
      <c r="C56" s="131"/>
      <c r="D56" s="131"/>
      <c r="E56" s="131"/>
    </row>
    <row r="57" spans="2:5" x14ac:dyDescent="0.2">
      <c r="B57" s="159"/>
      <c r="C57" s="131"/>
      <c r="D57" s="131"/>
      <c r="E57" s="131"/>
    </row>
    <row r="58" spans="2:5" x14ac:dyDescent="0.2">
      <c r="B58" s="159"/>
      <c r="C58" s="131"/>
      <c r="D58" s="131"/>
      <c r="E58" s="131"/>
    </row>
    <row r="59" spans="2:5" x14ac:dyDescent="0.2">
      <c r="B59" s="82" t="str">
        <f>CONCATENATE("Cash Reserve (",E1," column)")</f>
        <v>Cash Reserve (2025 column)</v>
      </c>
      <c r="C59" s="131"/>
      <c r="D59" s="131"/>
      <c r="E59" s="131"/>
    </row>
    <row r="60" spans="2:5" x14ac:dyDescent="0.2">
      <c r="B60" s="82" t="s">
        <v>137</v>
      </c>
      <c r="C60" s="15"/>
      <c r="D60" s="156"/>
      <c r="E60" s="156"/>
    </row>
    <row r="61" spans="2:5" x14ac:dyDescent="0.2">
      <c r="B61" s="82" t="s">
        <v>416</v>
      </c>
      <c r="C61" s="256" t="str">
        <f>IF(C62*0.1&lt;C60,"Exceed 10% Rule","")</f>
        <v/>
      </c>
      <c r="D61" s="163" t="str">
        <f>IF(D62*0.1&lt;D60,"Exceed 10% Rule","")</f>
        <v/>
      </c>
      <c r="E61" s="163" t="str">
        <f>IF(E62*0.1&lt;E60,"Exceed 10% Rule","")</f>
        <v/>
      </c>
    </row>
    <row r="62" spans="2:5" x14ac:dyDescent="0.2">
      <c r="B62" s="164" t="s">
        <v>37</v>
      </c>
      <c r="C62" s="495">
        <f>SUM(C53:C60)</f>
        <v>0</v>
      </c>
      <c r="D62" s="495">
        <f>SUM(D53:D60)</f>
        <v>0</v>
      </c>
      <c r="E62" s="495">
        <f>SUM(E53:E60)</f>
        <v>0</v>
      </c>
    </row>
    <row r="63" spans="2:5" x14ac:dyDescent="0.2">
      <c r="B63" s="80" t="s">
        <v>84</v>
      </c>
      <c r="C63" s="172">
        <f>C51-C62</f>
        <v>0</v>
      </c>
      <c r="D63" s="172">
        <f>D51-D62</f>
        <v>0</v>
      </c>
      <c r="E63" s="172">
        <f>E51-E62</f>
        <v>0</v>
      </c>
    </row>
    <row r="64" spans="2:5" x14ac:dyDescent="0.2">
      <c r="B64" s="2" t="str">
        <f>CONCATENATE("",E1-2,"/",E1-1,"/",E1," Budget Authority Amount:")</f>
        <v>2023/2024/2025 Budget Authority Amount:</v>
      </c>
      <c r="C64" s="172">
        <f>inputOth!B48</f>
        <v>0</v>
      </c>
      <c r="D64" s="172">
        <f>inputPrYr!D27</f>
        <v>0</v>
      </c>
      <c r="E64" s="323">
        <f>E62</f>
        <v>0</v>
      </c>
    </row>
    <row r="65" spans="2:5" x14ac:dyDescent="0.2">
      <c r="B65" s="92"/>
      <c r="C65" s="165" t="str">
        <f>IF(C62&gt;C64,"See Tab A","")</f>
        <v/>
      </c>
      <c r="D65" s="165" t="str">
        <f>IF(D62&gt;D64,"See Tab C","")</f>
        <v/>
      </c>
      <c r="E65" s="369" t="str">
        <f>IF(E63&lt;0,"See Tab E","")</f>
        <v/>
      </c>
    </row>
    <row r="66" spans="2:5" x14ac:dyDescent="0.2">
      <c r="B66" s="427" t="s">
        <v>605</v>
      </c>
      <c r="C66" s="429"/>
      <c r="D66" s="429"/>
      <c r="E66" s="430"/>
    </row>
    <row r="67" spans="2:5" x14ac:dyDescent="0.2">
      <c r="B67" s="431"/>
      <c r="C67" s="432"/>
      <c r="D67" s="432"/>
      <c r="E67" s="433"/>
    </row>
    <row r="68" spans="2:5" x14ac:dyDescent="0.2">
      <c r="B68" s="434"/>
      <c r="C68" s="435" t="str">
        <f>IF(C63&lt;0,"See Tab B","")</f>
        <v/>
      </c>
      <c r="D68" s="435" t="str">
        <f>IF(D63&lt;0,"See Tab D","")</f>
        <v/>
      </c>
      <c r="E68" s="436"/>
    </row>
    <row r="69" spans="2:5" x14ac:dyDescent="0.2">
      <c r="B69" s="3"/>
      <c r="C69" s="3"/>
      <c r="D69" s="154"/>
      <c r="E69" s="154"/>
    </row>
    <row r="70" spans="2:5" x14ac:dyDescent="0.2">
      <c r="B70" s="92" t="s">
        <v>39</v>
      </c>
      <c r="C70" s="396"/>
      <c r="D70" s="3"/>
      <c r="E70" s="3"/>
    </row>
  </sheetData>
  <sheetProtection sheet="1"/>
  <phoneticPr fontId="0" type="noConversion"/>
  <conditionalFormatting sqref="C16">
    <cfRule type="cellIs" dxfId="24" priority="24" stopIfTrue="1" operator="greaterThan">
      <formula>$C$18*0.1</formula>
    </cfRule>
  </conditionalFormatting>
  <conditionalFormatting sqref="C28">
    <cfRule type="cellIs" dxfId="23" priority="25" stopIfTrue="1" operator="greaterThan">
      <formula>$C$30*0.1</formula>
    </cfRule>
  </conditionalFormatting>
  <conditionalFormatting sqref="C30">
    <cfRule type="expression" dxfId="22" priority="10">
      <formula>$C$30&gt;$C$32</formula>
    </cfRule>
  </conditionalFormatting>
  <conditionalFormatting sqref="C31">
    <cfRule type="expression" dxfId="21" priority="8">
      <formula>$C$31&lt;0</formula>
    </cfRule>
  </conditionalFormatting>
  <conditionalFormatting sqref="C48">
    <cfRule type="cellIs" dxfId="20" priority="26" stopIfTrue="1" operator="greaterThan">
      <formula>$C$50*0.1</formula>
    </cfRule>
  </conditionalFormatting>
  <conditionalFormatting sqref="C60">
    <cfRule type="cellIs" dxfId="19" priority="27" stopIfTrue="1" operator="greaterThan">
      <formula>$C$62*0.1</formula>
    </cfRule>
  </conditionalFormatting>
  <conditionalFormatting sqref="C62">
    <cfRule type="expression" dxfId="18" priority="5">
      <formula>$C$62&gt;$C$64</formula>
    </cfRule>
  </conditionalFormatting>
  <conditionalFormatting sqref="C63">
    <cfRule type="expression" dxfId="17" priority="4">
      <formula>$C$63&lt;0</formula>
    </cfRule>
  </conditionalFormatting>
  <conditionalFormatting sqref="D16">
    <cfRule type="cellIs" dxfId="16" priority="20" stopIfTrue="1" operator="greaterThan">
      <formula>$D$18*0.1</formula>
    </cfRule>
  </conditionalFormatting>
  <conditionalFormatting sqref="D28">
    <cfRule type="cellIs" dxfId="15" priority="21" stopIfTrue="1" operator="greaterThan">
      <formula>$D$30*0.1</formula>
    </cfRule>
  </conditionalFormatting>
  <conditionalFormatting sqref="D30">
    <cfRule type="expression" dxfId="14" priority="9">
      <formula>$D$30&gt;$D$32</formula>
    </cfRule>
  </conditionalFormatting>
  <conditionalFormatting sqref="D31">
    <cfRule type="expression" dxfId="13" priority="7">
      <formula>$D$31&lt;0</formula>
    </cfRule>
  </conditionalFormatting>
  <conditionalFormatting sqref="D48">
    <cfRule type="cellIs" dxfId="12" priority="22" stopIfTrue="1" operator="greaterThan">
      <formula>$D$50*0.1</formula>
    </cfRule>
  </conditionalFormatting>
  <conditionalFormatting sqref="D60">
    <cfRule type="cellIs" dxfId="11" priority="23" stopIfTrue="1" operator="greaterThan">
      <formula>$D$62*0.1</formula>
    </cfRule>
  </conditionalFormatting>
  <conditionalFormatting sqref="D62">
    <cfRule type="expression" dxfId="10" priority="3">
      <formula>$D$62&gt;$D$64</formula>
    </cfRule>
  </conditionalFormatting>
  <conditionalFormatting sqref="D63">
    <cfRule type="expression" dxfId="9" priority="2">
      <formula>$D$63&lt;0</formula>
    </cfRule>
  </conditionalFormatting>
  <conditionalFormatting sqref="E16">
    <cfRule type="cellIs" dxfId="8" priority="16" stopIfTrue="1" operator="greaterThan">
      <formula>$E$18*0.1</formula>
    </cfRule>
  </conditionalFormatting>
  <conditionalFormatting sqref="E28">
    <cfRule type="cellIs" dxfId="7" priority="17" stopIfTrue="1" operator="greaterThan">
      <formula>$E$30*0.1</formula>
    </cfRule>
  </conditionalFormatting>
  <conditionalFormatting sqref="E31">
    <cfRule type="expression" dxfId="6" priority="6">
      <formula>$E$31&lt;0</formula>
    </cfRule>
  </conditionalFormatting>
  <conditionalFormatting sqref="E48">
    <cfRule type="cellIs" dxfId="5" priority="18" stopIfTrue="1" operator="greaterThan">
      <formula>$E$50*0.1</formula>
    </cfRule>
  </conditionalFormatting>
  <conditionalFormatting sqref="E60">
    <cfRule type="cellIs" dxfId="4" priority="19" stopIfTrue="1" operator="greaterThan">
      <formula>$E$62*0.1</formula>
    </cfRule>
  </conditionalFormatting>
  <conditionalFormatting sqref="E63">
    <cfRule type="expression" dxfId="3" priority="1">
      <formula>$E$63&lt;0</formula>
    </cfRule>
  </conditionalFormatting>
  <pageMargins left="1" right="1" top="0.5" bottom="0.5" header="0.5" footer="0.5"/>
  <pageSetup scale="66" orientation="portrait" blackAndWhite="1" horizontalDpi="120" verticalDpi="144" r:id="rId1"/>
  <headerFooter alignWithMargins="0">
    <oddHeader xml:space="preserve">&amp;RState of Kansas
Special District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L45"/>
  <sheetViews>
    <sheetView workbookViewId="0">
      <selection activeCell="G32" sqref="G32"/>
    </sheetView>
  </sheetViews>
  <sheetFormatPr defaultRowHeight="15.75" x14ac:dyDescent="0.2"/>
  <cols>
    <col min="1" max="1" width="11.5546875" style="58" customWidth="1"/>
    <col min="2" max="2" width="7.44140625" style="58" customWidth="1"/>
    <col min="3" max="3" width="11.5546875" style="58" customWidth="1"/>
    <col min="4" max="4" width="7.44140625" style="58" customWidth="1"/>
    <col min="5" max="5" width="11.5546875" style="58" customWidth="1"/>
    <col min="6" max="6" width="7.44140625" style="58" customWidth="1"/>
    <col min="7" max="7" width="11.5546875" style="58" customWidth="1"/>
    <col min="8" max="8" width="7.44140625" style="58" customWidth="1"/>
    <col min="9" max="9" width="11.5546875" style="58" customWidth="1"/>
    <col min="10" max="16384" width="8.88671875" style="58"/>
  </cols>
  <sheetData>
    <row r="1" spans="1:11" x14ac:dyDescent="0.2">
      <c r="A1" s="96">
        <f>inputPrYr!$D$3</f>
        <v>0</v>
      </c>
      <c r="B1" s="10"/>
      <c r="C1" s="3"/>
      <c r="D1" s="3"/>
      <c r="E1" s="3"/>
      <c r="F1" s="59" t="s">
        <v>142</v>
      </c>
      <c r="G1" s="3"/>
      <c r="H1" s="3"/>
      <c r="I1" s="3"/>
      <c r="J1" s="3"/>
      <c r="K1" s="3">
        <f>inputPrYr!$D$6</f>
        <v>2025</v>
      </c>
    </row>
    <row r="2" spans="1:11" x14ac:dyDescent="0.2">
      <c r="A2" s="3"/>
      <c r="B2" s="3"/>
      <c r="C2" s="3"/>
      <c r="D2" s="3"/>
      <c r="E2" s="3"/>
      <c r="F2" s="179" t="str">
        <f>CONCATENATE("(Only the actual budget year for ",K1-2," is reported)")</f>
        <v>(Only the actual budget year for 2023 is reported)</v>
      </c>
      <c r="G2" s="3"/>
      <c r="H2" s="3"/>
      <c r="I2" s="3"/>
      <c r="J2" s="3"/>
      <c r="K2" s="3"/>
    </row>
    <row r="3" spans="1:11" x14ac:dyDescent="0.2">
      <c r="A3" s="3" t="s">
        <v>143</v>
      </c>
      <c r="B3" s="3"/>
      <c r="C3" s="3"/>
      <c r="D3" s="3"/>
      <c r="E3" s="3"/>
      <c r="F3" s="10"/>
      <c r="G3" s="3"/>
      <c r="H3" s="3"/>
      <c r="I3" s="3"/>
      <c r="J3" s="3"/>
      <c r="K3" s="3"/>
    </row>
    <row r="4" spans="1:11" x14ac:dyDescent="0.2">
      <c r="A4" s="3" t="s">
        <v>144</v>
      </c>
      <c r="B4" s="3"/>
      <c r="C4" s="3" t="s">
        <v>145</v>
      </c>
      <c r="D4" s="3"/>
      <c r="E4" s="3" t="s">
        <v>146</v>
      </c>
      <c r="F4" s="10"/>
      <c r="G4" s="3" t="s">
        <v>147</v>
      </c>
      <c r="H4" s="3"/>
      <c r="I4" s="3" t="s">
        <v>148</v>
      </c>
      <c r="J4" s="3"/>
      <c r="K4" s="3"/>
    </row>
    <row r="5" spans="1:11" x14ac:dyDescent="0.2">
      <c r="A5" s="607">
        <f>inputPrYr!B30</f>
        <v>0</v>
      </c>
      <c r="B5" s="608"/>
      <c r="C5" s="607">
        <f>inputPrYr!B31</f>
        <v>0</v>
      </c>
      <c r="D5" s="608"/>
      <c r="E5" s="607">
        <f>inputPrYr!B32</f>
        <v>0</v>
      </c>
      <c r="F5" s="608"/>
      <c r="G5" s="607">
        <f>inputPrYr!B33</f>
        <v>0</v>
      </c>
      <c r="H5" s="608"/>
      <c r="I5" s="607">
        <f>inputPrYr!B34</f>
        <v>0</v>
      </c>
      <c r="J5" s="608"/>
      <c r="K5" s="20"/>
    </row>
    <row r="6" spans="1:11" x14ac:dyDescent="0.2">
      <c r="A6" s="180" t="s">
        <v>149</v>
      </c>
      <c r="B6" s="181"/>
      <c r="C6" s="182" t="s">
        <v>149</v>
      </c>
      <c r="D6" s="183"/>
      <c r="E6" s="182" t="s">
        <v>149</v>
      </c>
      <c r="F6" s="83"/>
      <c r="G6" s="182" t="s">
        <v>149</v>
      </c>
      <c r="H6" s="77"/>
      <c r="I6" s="182" t="s">
        <v>149</v>
      </c>
      <c r="J6" s="3"/>
      <c r="K6" s="72" t="s">
        <v>11</v>
      </c>
    </row>
    <row r="7" spans="1:11" x14ac:dyDescent="0.2">
      <c r="A7" s="184" t="s">
        <v>150</v>
      </c>
      <c r="B7" s="185"/>
      <c r="C7" s="186" t="s">
        <v>150</v>
      </c>
      <c r="D7" s="185"/>
      <c r="E7" s="186" t="s">
        <v>150</v>
      </c>
      <c r="F7" s="185"/>
      <c r="G7" s="186" t="s">
        <v>150</v>
      </c>
      <c r="H7" s="185"/>
      <c r="I7" s="186" t="s">
        <v>150</v>
      </c>
      <c r="J7" s="185"/>
      <c r="K7" s="187">
        <f>SUM(B7+D7+F7+H7+J7)</f>
        <v>0</v>
      </c>
    </row>
    <row r="8" spans="1:11" x14ac:dyDescent="0.2">
      <c r="A8" s="188" t="s">
        <v>85</v>
      </c>
      <c r="B8" s="189"/>
      <c r="C8" s="188" t="s">
        <v>85</v>
      </c>
      <c r="D8" s="190"/>
      <c r="E8" s="188" t="s">
        <v>85</v>
      </c>
      <c r="F8" s="10"/>
      <c r="G8" s="188" t="s">
        <v>85</v>
      </c>
      <c r="H8" s="3"/>
      <c r="I8" s="188" t="s">
        <v>85</v>
      </c>
      <c r="J8" s="3"/>
      <c r="K8" s="10"/>
    </row>
    <row r="9" spans="1:11" x14ac:dyDescent="0.2">
      <c r="A9" s="191"/>
      <c r="B9" s="185"/>
      <c r="C9" s="191"/>
      <c r="D9" s="185"/>
      <c r="E9" s="191"/>
      <c r="F9" s="185"/>
      <c r="G9" s="191"/>
      <c r="H9" s="185"/>
      <c r="I9" s="191"/>
      <c r="J9" s="185"/>
      <c r="K9" s="10"/>
    </row>
    <row r="10" spans="1:11" x14ac:dyDescent="0.2">
      <c r="A10" s="191"/>
      <c r="B10" s="185"/>
      <c r="C10" s="191"/>
      <c r="D10" s="185"/>
      <c r="E10" s="191"/>
      <c r="F10" s="185"/>
      <c r="G10" s="191"/>
      <c r="H10" s="185"/>
      <c r="I10" s="191"/>
      <c r="J10" s="185"/>
      <c r="K10" s="10"/>
    </row>
    <row r="11" spans="1:11" x14ac:dyDescent="0.2">
      <c r="A11" s="191"/>
      <c r="B11" s="185"/>
      <c r="C11" s="192"/>
      <c r="D11" s="193"/>
      <c r="E11" s="192"/>
      <c r="F11" s="185"/>
      <c r="G11" s="192"/>
      <c r="H11" s="185"/>
      <c r="I11" s="194"/>
      <c r="J11" s="185"/>
      <c r="K11" s="10"/>
    </row>
    <row r="12" spans="1:11" x14ac:dyDescent="0.2">
      <c r="A12" s="191"/>
      <c r="B12" s="195"/>
      <c r="C12" s="191"/>
      <c r="D12" s="196"/>
      <c r="E12" s="197"/>
      <c r="F12" s="185"/>
      <c r="G12" s="197"/>
      <c r="H12" s="185"/>
      <c r="I12" s="197"/>
      <c r="J12" s="185"/>
      <c r="K12" s="10"/>
    </row>
    <row r="13" spans="1:11" x14ac:dyDescent="0.2">
      <c r="A13" s="198"/>
      <c r="B13" s="199"/>
      <c r="C13" s="200"/>
      <c r="D13" s="196"/>
      <c r="E13" s="200"/>
      <c r="F13" s="185"/>
      <c r="G13" s="200"/>
      <c r="H13" s="185"/>
      <c r="I13" s="194"/>
      <c r="J13" s="185"/>
      <c r="K13" s="10"/>
    </row>
    <row r="14" spans="1:11" x14ac:dyDescent="0.2">
      <c r="A14" s="191"/>
      <c r="B14" s="185"/>
      <c r="C14" s="197"/>
      <c r="D14" s="196"/>
      <c r="E14" s="197"/>
      <c r="F14" s="185"/>
      <c r="G14" s="197"/>
      <c r="H14" s="185"/>
      <c r="I14" s="197"/>
      <c r="J14" s="185"/>
      <c r="K14" s="10"/>
    </row>
    <row r="15" spans="1:11" x14ac:dyDescent="0.2">
      <c r="A15" s="191"/>
      <c r="B15" s="185"/>
      <c r="C15" s="197"/>
      <c r="D15" s="196"/>
      <c r="E15" s="197"/>
      <c r="F15" s="185"/>
      <c r="G15" s="197"/>
      <c r="H15" s="185"/>
      <c r="I15" s="197"/>
      <c r="J15" s="185"/>
      <c r="K15" s="10"/>
    </row>
    <row r="16" spans="1:11" x14ac:dyDescent="0.2">
      <c r="A16" s="191"/>
      <c r="B16" s="199"/>
      <c r="C16" s="191"/>
      <c r="D16" s="196"/>
      <c r="E16" s="191"/>
      <c r="F16" s="185"/>
      <c r="G16" s="197"/>
      <c r="H16" s="185"/>
      <c r="I16" s="191"/>
      <c r="J16" s="185"/>
      <c r="K16" s="10"/>
    </row>
    <row r="17" spans="1:12" x14ac:dyDescent="0.2">
      <c r="A17" s="188" t="s">
        <v>34</v>
      </c>
      <c r="B17" s="187">
        <f>SUM(B9:B16)</f>
        <v>0</v>
      </c>
      <c r="C17" s="188" t="s">
        <v>34</v>
      </c>
      <c r="D17" s="187">
        <f>SUM(D9:D16)</f>
        <v>0</v>
      </c>
      <c r="E17" s="188" t="s">
        <v>34</v>
      </c>
      <c r="F17" s="201">
        <f>SUM(F9:F16)</f>
        <v>0</v>
      </c>
      <c r="G17" s="188" t="s">
        <v>34</v>
      </c>
      <c r="H17" s="187">
        <f>SUM(H9:H16)</f>
        <v>0</v>
      </c>
      <c r="I17" s="188" t="s">
        <v>34</v>
      </c>
      <c r="J17" s="187">
        <f>SUM(J9:J16)</f>
        <v>0</v>
      </c>
      <c r="K17" s="187">
        <f>SUM(B17+D17+F17+H17+J17)</f>
        <v>0</v>
      </c>
    </row>
    <row r="18" spans="1:12" x14ac:dyDescent="0.2">
      <c r="A18" s="188" t="s">
        <v>35</v>
      </c>
      <c r="B18" s="187">
        <f>SUM(B7+B17)</f>
        <v>0</v>
      </c>
      <c r="C18" s="188" t="s">
        <v>35</v>
      </c>
      <c r="D18" s="187">
        <f>SUM(D7+D17)</f>
        <v>0</v>
      </c>
      <c r="E18" s="188" t="s">
        <v>35</v>
      </c>
      <c r="F18" s="187">
        <f>SUM(F7+F17)</f>
        <v>0</v>
      </c>
      <c r="G18" s="188" t="s">
        <v>35</v>
      </c>
      <c r="H18" s="187">
        <f>SUM(H7+H17)</f>
        <v>0</v>
      </c>
      <c r="I18" s="188" t="s">
        <v>35</v>
      </c>
      <c r="J18" s="187">
        <f>SUM(J7+J17)</f>
        <v>0</v>
      </c>
      <c r="K18" s="187">
        <f>SUM(B18+D18+F18+H18+J18)</f>
        <v>0</v>
      </c>
    </row>
    <row r="19" spans="1:12" x14ac:dyDescent="0.2">
      <c r="A19" s="188" t="s">
        <v>36</v>
      </c>
      <c r="B19" s="189"/>
      <c r="C19" s="188" t="s">
        <v>36</v>
      </c>
      <c r="D19" s="190"/>
      <c r="E19" s="188" t="s">
        <v>36</v>
      </c>
      <c r="F19" s="10"/>
      <c r="G19" s="188" t="s">
        <v>36</v>
      </c>
      <c r="H19" s="3"/>
      <c r="I19" s="188" t="s">
        <v>36</v>
      </c>
      <c r="J19" s="3"/>
      <c r="K19" s="10"/>
    </row>
    <row r="20" spans="1:12" x14ac:dyDescent="0.2">
      <c r="A20" s="191"/>
      <c r="B20" s="185"/>
      <c r="C20" s="197"/>
      <c r="D20" s="185"/>
      <c r="E20" s="197"/>
      <c r="F20" s="185"/>
      <c r="G20" s="197"/>
      <c r="H20" s="185"/>
      <c r="I20" s="197"/>
      <c r="J20" s="185"/>
      <c r="K20" s="10"/>
    </row>
    <row r="21" spans="1:12" x14ac:dyDescent="0.2">
      <c r="A21" s="191"/>
      <c r="B21" s="185"/>
      <c r="C21" s="197"/>
      <c r="D21" s="185"/>
      <c r="E21" s="197"/>
      <c r="F21" s="185"/>
      <c r="G21" s="197"/>
      <c r="H21" s="185"/>
      <c r="I21" s="197"/>
      <c r="J21" s="185"/>
      <c r="K21" s="10"/>
    </row>
    <row r="22" spans="1:12" x14ac:dyDescent="0.2">
      <c r="A22" s="191"/>
      <c r="B22" s="185"/>
      <c r="C22" s="200"/>
      <c r="D22" s="185"/>
      <c r="E22" s="200"/>
      <c r="F22" s="185"/>
      <c r="G22" s="200"/>
      <c r="H22" s="185"/>
      <c r="I22" s="194"/>
      <c r="J22" s="185"/>
      <c r="K22" s="10"/>
    </row>
    <row r="23" spans="1:12" x14ac:dyDescent="0.2">
      <c r="A23" s="191"/>
      <c r="B23" s="185"/>
      <c r="C23" s="197"/>
      <c r="D23" s="185"/>
      <c r="E23" s="197"/>
      <c r="F23" s="185"/>
      <c r="G23" s="197"/>
      <c r="H23" s="185"/>
      <c r="I23" s="197"/>
      <c r="J23" s="185"/>
      <c r="K23" s="10"/>
    </row>
    <row r="24" spans="1:12" x14ac:dyDescent="0.2">
      <c r="A24" s="191"/>
      <c r="B24" s="185"/>
      <c r="C24" s="200"/>
      <c r="D24" s="185"/>
      <c r="E24" s="200"/>
      <c r="F24" s="185"/>
      <c r="G24" s="200"/>
      <c r="H24" s="185"/>
      <c r="I24" s="194"/>
      <c r="J24" s="185"/>
      <c r="K24" s="10"/>
    </row>
    <row r="25" spans="1:12" x14ac:dyDescent="0.2">
      <c r="A25" s="191"/>
      <c r="B25" s="185"/>
      <c r="C25" s="197"/>
      <c r="D25" s="185"/>
      <c r="E25" s="197"/>
      <c r="F25" s="185"/>
      <c r="G25" s="197"/>
      <c r="H25" s="185"/>
      <c r="I25" s="197"/>
      <c r="J25" s="185"/>
      <c r="K25" s="10"/>
    </row>
    <row r="26" spans="1:12" x14ac:dyDescent="0.2">
      <c r="A26" s="191"/>
      <c r="B26" s="185"/>
      <c r="C26" s="197"/>
      <c r="D26" s="185"/>
      <c r="E26" s="197"/>
      <c r="F26" s="185"/>
      <c r="G26" s="197"/>
      <c r="H26" s="185"/>
      <c r="I26" s="197"/>
      <c r="J26" s="185"/>
      <c r="K26" s="10"/>
    </row>
    <row r="27" spans="1:12" x14ac:dyDescent="0.2">
      <c r="A27" s="191"/>
      <c r="B27" s="185"/>
      <c r="C27" s="191"/>
      <c r="D27" s="185"/>
      <c r="E27" s="191"/>
      <c r="F27" s="185"/>
      <c r="G27" s="197"/>
      <c r="H27" s="185"/>
      <c r="I27" s="197"/>
      <c r="J27" s="185"/>
      <c r="K27" s="10"/>
    </row>
    <row r="28" spans="1:12" x14ac:dyDescent="0.2">
      <c r="A28" s="188" t="s">
        <v>37</v>
      </c>
      <c r="B28" s="187">
        <f>SUM(B20:B27)</f>
        <v>0</v>
      </c>
      <c r="C28" s="188" t="s">
        <v>37</v>
      </c>
      <c r="D28" s="187">
        <f>SUM(D20:D27)</f>
        <v>0</v>
      </c>
      <c r="E28" s="188" t="s">
        <v>37</v>
      </c>
      <c r="F28" s="201">
        <f>SUM(F20:F27)</f>
        <v>0</v>
      </c>
      <c r="G28" s="188" t="s">
        <v>37</v>
      </c>
      <c r="H28" s="201">
        <f>SUM(H20:H27)</f>
        <v>0</v>
      </c>
      <c r="I28" s="188" t="s">
        <v>37</v>
      </c>
      <c r="J28" s="187">
        <f>SUM(J20:J27)</f>
        <v>0</v>
      </c>
      <c r="K28" s="187">
        <f>SUM(B28+D28+F28+H28+J28)</f>
        <v>0</v>
      </c>
    </row>
    <row r="29" spans="1:12" x14ac:dyDescent="0.2">
      <c r="A29" s="188" t="s">
        <v>151</v>
      </c>
      <c r="B29" s="187">
        <f>SUM(B18-B28)</f>
        <v>0</v>
      </c>
      <c r="C29" s="188" t="s">
        <v>151</v>
      </c>
      <c r="D29" s="187">
        <f>SUM(D18-D28)</f>
        <v>0</v>
      </c>
      <c r="E29" s="188" t="s">
        <v>151</v>
      </c>
      <c r="F29" s="187">
        <f>SUM(F18-F28)</f>
        <v>0</v>
      </c>
      <c r="G29" s="188" t="s">
        <v>151</v>
      </c>
      <c r="H29" s="187">
        <f>SUM(H18-H28)</f>
        <v>0</v>
      </c>
      <c r="I29" s="188" t="s">
        <v>151</v>
      </c>
      <c r="J29" s="187">
        <f>SUM(J18-J28)</f>
        <v>0</v>
      </c>
      <c r="K29" s="202">
        <f>SUM(B29+D29+F29+H29+J29)</f>
        <v>0</v>
      </c>
      <c r="L29" s="58" t="s">
        <v>152</v>
      </c>
    </row>
    <row r="30" spans="1:12" x14ac:dyDescent="0.2">
      <c r="A30" s="188"/>
      <c r="B30" s="229" t="str">
        <f>IF(B29&lt;0,"See Tab B","")</f>
        <v/>
      </c>
      <c r="C30" s="188"/>
      <c r="D30" s="229" t="str">
        <f>IF(D29&lt;0,"See Tab B","")</f>
        <v/>
      </c>
      <c r="E30" s="188"/>
      <c r="F30" s="229" t="str">
        <f>IF(F29&lt;0,"See Tab B","")</f>
        <v/>
      </c>
      <c r="G30" s="3"/>
      <c r="H30" s="229" t="str">
        <f>IF(H29&lt;0,"See Tab B","")</f>
        <v/>
      </c>
      <c r="I30" s="3"/>
      <c r="J30" s="229" t="str">
        <f>IF(J29&lt;0,"See Tab B","")</f>
        <v/>
      </c>
      <c r="K30" s="202">
        <f>SUM(K7+K17-K28)</f>
        <v>0</v>
      </c>
      <c r="L30" s="58" t="s">
        <v>152</v>
      </c>
    </row>
    <row r="31" spans="1:12" x14ac:dyDescent="0.2">
      <c r="A31" s="3"/>
      <c r="B31" s="17"/>
      <c r="C31" s="3"/>
      <c r="D31" s="10"/>
      <c r="E31" s="3"/>
      <c r="F31" s="3"/>
      <c r="G31" s="3"/>
      <c r="H31" s="606" t="s">
        <v>153</v>
      </c>
      <c r="I31" s="606"/>
      <c r="J31" s="606"/>
      <c r="K31" s="606"/>
    </row>
    <row r="32" spans="1:12" x14ac:dyDescent="0.2">
      <c r="A32" s="3"/>
      <c r="B32" s="3"/>
      <c r="C32" s="3"/>
      <c r="D32" s="3"/>
      <c r="E32" s="3"/>
      <c r="F32" s="3"/>
      <c r="G32" s="3"/>
      <c r="H32" s="3"/>
      <c r="I32" s="3"/>
      <c r="J32" s="3"/>
      <c r="K32" s="3"/>
    </row>
    <row r="33" spans="1:11" x14ac:dyDescent="0.2">
      <c r="A33" s="427" t="s">
        <v>605</v>
      </c>
      <c r="B33" s="437"/>
      <c r="C33" s="437"/>
      <c r="D33" s="437"/>
      <c r="E33" s="437"/>
      <c r="F33" s="437"/>
      <c r="G33" s="437"/>
      <c r="H33" s="437"/>
      <c r="I33" s="437"/>
      <c r="J33" s="437"/>
      <c r="K33" s="438"/>
    </row>
    <row r="34" spans="1:11" x14ac:dyDescent="0.2">
      <c r="A34" s="431"/>
      <c r="B34" s="439"/>
      <c r="C34" s="439"/>
      <c r="D34" s="439"/>
      <c r="E34" s="439"/>
      <c r="F34" s="439"/>
      <c r="G34" s="439"/>
      <c r="H34" s="439"/>
      <c r="I34" s="439"/>
      <c r="J34" s="439"/>
      <c r="K34" s="440"/>
    </row>
    <row r="35" spans="1:11" x14ac:dyDescent="0.2">
      <c r="A35" s="434"/>
      <c r="B35" s="441"/>
      <c r="C35" s="441"/>
      <c r="D35" s="441"/>
      <c r="E35" s="441"/>
      <c r="F35" s="441"/>
      <c r="G35" s="441"/>
      <c r="H35" s="441"/>
      <c r="I35" s="441"/>
      <c r="J35" s="441"/>
      <c r="K35" s="436"/>
    </row>
    <row r="36" spans="1:11" x14ac:dyDescent="0.2">
      <c r="A36" s="3"/>
      <c r="B36" s="17"/>
      <c r="C36" s="3"/>
      <c r="D36" s="3"/>
      <c r="E36" s="3"/>
      <c r="F36" s="3"/>
      <c r="G36" s="3"/>
      <c r="H36" s="3"/>
      <c r="I36" s="3"/>
      <c r="J36" s="3"/>
      <c r="K36" s="3"/>
    </row>
    <row r="37" spans="1:11" x14ac:dyDescent="0.2">
      <c r="A37" s="3"/>
      <c r="B37" s="17"/>
      <c r="C37" s="3"/>
      <c r="D37" s="3"/>
      <c r="E37" s="92" t="s">
        <v>39</v>
      </c>
      <c r="F37" s="396"/>
      <c r="G37" s="3"/>
      <c r="H37" s="3"/>
      <c r="I37" s="3"/>
      <c r="J37" s="3"/>
      <c r="K37" s="3"/>
    </row>
    <row r="38" spans="1:11" x14ac:dyDescent="0.2">
      <c r="B38" s="203"/>
    </row>
    <row r="39" spans="1:11" x14ac:dyDescent="0.2">
      <c r="B39" s="203"/>
    </row>
    <row r="40" spans="1:11" x14ac:dyDescent="0.2">
      <c r="B40" s="203"/>
    </row>
    <row r="41" spans="1:11" x14ac:dyDescent="0.2">
      <c r="B41" s="203"/>
    </row>
    <row r="42" spans="1:11" x14ac:dyDescent="0.2">
      <c r="B42" s="203"/>
    </row>
    <row r="43" spans="1:11" x14ac:dyDescent="0.2">
      <c r="B43" s="203"/>
    </row>
    <row r="44" spans="1:11" x14ac:dyDescent="0.2">
      <c r="B44" s="203"/>
    </row>
    <row r="45" spans="1:11" x14ac:dyDescent="0.2">
      <c r="B45" s="203"/>
    </row>
  </sheetData>
  <sheetProtection sheet="1"/>
  <mergeCells count="6">
    <mergeCell ref="H31:K31"/>
    <mergeCell ref="I5:J5"/>
    <mergeCell ref="A5:B5"/>
    <mergeCell ref="C5:D5"/>
    <mergeCell ref="E5:F5"/>
    <mergeCell ref="G5:H5"/>
  </mergeCells>
  <phoneticPr fontId="11" type="noConversion"/>
  <pageMargins left="0.75" right="0.75" top="1" bottom="1" header="0.5" footer="0.5"/>
  <pageSetup scale="88" orientation="landscape" blackAndWhite="1"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47"/>
  <sheetViews>
    <sheetView workbookViewId="0">
      <selection activeCell="F1" sqref="F1"/>
    </sheetView>
  </sheetViews>
  <sheetFormatPr defaultRowHeight="15" x14ac:dyDescent="0.2"/>
  <cols>
    <col min="1" max="1" width="62.44140625" style="36" customWidth="1"/>
    <col min="2" max="16384" width="8.88671875" style="36"/>
  </cols>
  <sheetData>
    <row r="1" spans="1:1" ht="18.75" x14ac:dyDescent="0.2">
      <c r="A1" s="225" t="s">
        <v>184</v>
      </c>
    </row>
    <row r="2" spans="1:1" ht="15.75" x14ac:dyDescent="0.2">
      <c r="A2" s="58"/>
    </row>
    <row r="3" spans="1:1" ht="15.75" x14ac:dyDescent="0.2">
      <c r="A3" s="58"/>
    </row>
    <row r="4" spans="1:1" ht="56.25" customHeight="1" x14ac:dyDescent="0.2">
      <c r="A4" s="226" t="s">
        <v>185</v>
      </c>
    </row>
    <row r="5" spans="1:1" ht="15.75" x14ac:dyDescent="0.2">
      <c r="A5" s="227"/>
    </row>
    <row r="6" spans="1:1" ht="15.75" x14ac:dyDescent="0.2">
      <c r="A6" s="58"/>
    </row>
    <row r="7" spans="1:1" ht="50.25" customHeight="1" x14ac:dyDescent="0.2">
      <c r="A7" s="226" t="s">
        <v>186</v>
      </c>
    </row>
    <row r="8" spans="1:1" ht="15.75" x14ac:dyDescent="0.2">
      <c r="A8" s="58"/>
    </row>
    <row r="9" spans="1:1" ht="15.75" x14ac:dyDescent="0.2">
      <c r="A9" s="58"/>
    </row>
    <row r="10" spans="1:1" ht="52.5" customHeight="1" x14ac:dyDescent="0.2">
      <c r="A10" s="226" t="s">
        <v>187</v>
      </c>
    </row>
    <row r="11" spans="1:1" ht="15.75" x14ac:dyDescent="0.2">
      <c r="A11" s="58"/>
    </row>
    <row r="12" spans="1:1" ht="15.75" x14ac:dyDescent="0.2">
      <c r="A12" s="58"/>
    </row>
    <row r="13" spans="1:1" ht="52.5" customHeight="1" x14ac:dyDescent="0.2">
      <c r="A13" s="226" t="s">
        <v>188</v>
      </c>
    </row>
    <row r="14" spans="1:1" ht="15.75" x14ac:dyDescent="0.2">
      <c r="A14" s="227"/>
    </row>
    <row r="15" spans="1:1" ht="15.75" x14ac:dyDescent="0.2">
      <c r="A15" s="227"/>
    </row>
    <row r="16" spans="1:1" ht="51" customHeight="1" x14ac:dyDescent="0.25">
      <c r="A16" s="260" t="s">
        <v>428</v>
      </c>
    </row>
    <row r="17" spans="1:1" ht="15.75" x14ac:dyDescent="0.2">
      <c r="A17" s="227"/>
    </row>
    <row r="18" spans="1:1" ht="15.75" x14ac:dyDescent="0.2">
      <c r="A18" s="227"/>
    </row>
    <row r="19" spans="1:1" ht="37.5" customHeight="1" x14ac:dyDescent="0.2">
      <c r="A19" s="226" t="s">
        <v>189</v>
      </c>
    </row>
    <row r="20" spans="1:1" ht="15.75" x14ac:dyDescent="0.2">
      <c r="A20" s="58"/>
    </row>
    <row r="21" spans="1:1" ht="15.75" x14ac:dyDescent="0.2">
      <c r="A21" s="58"/>
    </row>
    <row r="22" spans="1:1" ht="47.25" x14ac:dyDescent="0.2">
      <c r="A22" s="226" t="s">
        <v>190</v>
      </c>
    </row>
    <row r="23" spans="1:1" ht="15.75" x14ac:dyDescent="0.2">
      <c r="A23" s="227"/>
    </row>
    <row r="24" spans="1:1" ht="15.75" x14ac:dyDescent="0.2">
      <c r="A24" s="58"/>
    </row>
    <row r="25" spans="1:1" ht="67.5" customHeight="1" x14ac:dyDescent="0.2">
      <c r="A25" s="226" t="s">
        <v>191</v>
      </c>
    </row>
    <row r="26" spans="1:1" ht="68.25" customHeight="1" x14ac:dyDescent="0.2">
      <c r="A26" s="228" t="s">
        <v>192</v>
      </c>
    </row>
    <row r="27" spans="1:1" ht="15.75" x14ac:dyDescent="0.2">
      <c r="A27" s="58"/>
    </row>
    <row r="28" spans="1:1" ht="15.75" x14ac:dyDescent="0.2">
      <c r="A28" s="58"/>
    </row>
    <row r="29" spans="1:1" ht="51" customHeight="1" x14ac:dyDescent="0.25">
      <c r="A29" s="261" t="s">
        <v>429</v>
      </c>
    </row>
    <row r="30" spans="1:1" ht="15.75" x14ac:dyDescent="0.2">
      <c r="A30" s="58"/>
    </row>
    <row r="31" spans="1:1" ht="15.75" x14ac:dyDescent="0.2">
      <c r="A31" s="227"/>
    </row>
    <row r="32" spans="1:1" ht="69" customHeight="1" x14ac:dyDescent="0.25">
      <c r="A32" s="261" t="s">
        <v>430</v>
      </c>
    </row>
    <row r="33" spans="1:1" ht="15.75" x14ac:dyDescent="0.2">
      <c r="A33" s="227"/>
    </row>
    <row r="34" spans="1:1" ht="15.75" x14ac:dyDescent="0.2">
      <c r="A34" s="227"/>
    </row>
    <row r="35" spans="1:1" ht="52.5" customHeight="1" x14ac:dyDescent="0.25">
      <c r="A35" s="261" t="s">
        <v>431</v>
      </c>
    </row>
    <row r="36" spans="1:1" ht="15.75" x14ac:dyDescent="0.2">
      <c r="A36" s="227"/>
    </row>
    <row r="37" spans="1:1" ht="15.75" x14ac:dyDescent="0.2">
      <c r="A37" s="227"/>
    </row>
    <row r="38" spans="1:1" ht="59.25" customHeight="1" x14ac:dyDescent="0.2">
      <c r="A38" s="226" t="s">
        <v>193</v>
      </c>
    </row>
    <row r="39" spans="1:1" ht="15.75" x14ac:dyDescent="0.2">
      <c r="A39" s="58"/>
    </row>
    <row r="40" spans="1:1" ht="15.75" x14ac:dyDescent="0.2">
      <c r="A40" s="58"/>
    </row>
    <row r="41" spans="1:1" ht="53.25" customHeight="1" x14ac:dyDescent="0.2">
      <c r="A41" s="226" t="s">
        <v>194</v>
      </c>
    </row>
    <row r="42" spans="1:1" ht="15.75" x14ac:dyDescent="0.2">
      <c r="A42" s="227"/>
    </row>
    <row r="43" spans="1:1" ht="15.75" x14ac:dyDescent="0.2">
      <c r="A43" s="227"/>
    </row>
    <row r="44" spans="1:1" ht="38.25" customHeight="1" x14ac:dyDescent="0.2">
      <c r="A44" s="226" t="s">
        <v>195</v>
      </c>
    </row>
    <row r="47" spans="1:1" ht="63" x14ac:dyDescent="0.25">
      <c r="A47" s="416" t="s">
        <v>601</v>
      </c>
    </row>
  </sheetData>
  <sheetProtection sheet="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pageSetUpPr fitToPage="1"/>
  </sheetPr>
  <dimension ref="A1:M54"/>
  <sheetViews>
    <sheetView workbookViewId="0">
      <selection activeCell="H16" sqref="H16"/>
    </sheetView>
  </sheetViews>
  <sheetFormatPr defaultRowHeight="15.75" x14ac:dyDescent="0.2"/>
  <cols>
    <col min="1" max="1" width="18.6640625" style="58" customWidth="1"/>
    <col min="2" max="2" width="12.77734375" style="58" customWidth="1"/>
    <col min="3" max="3" width="8.77734375" style="58" customWidth="1"/>
    <col min="4" max="4" width="12.77734375" style="58" customWidth="1"/>
    <col min="5" max="5" width="9.21875" style="58" customWidth="1"/>
    <col min="6" max="6" width="12.77734375" style="58" customWidth="1"/>
    <col min="7" max="7" width="10.77734375" style="58" customWidth="1"/>
    <col min="8" max="8" width="8.77734375" style="58" customWidth="1"/>
    <col min="9" max="9" width="8.88671875" style="58"/>
    <col min="10" max="10" width="12.44140625" style="58" customWidth="1"/>
    <col min="11" max="11" width="12.33203125" style="58" customWidth="1"/>
    <col min="12" max="12" width="5.77734375" style="58" customWidth="1"/>
    <col min="13" max="13" width="12" style="58" customWidth="1"/>
    <col min="14" max="16384" width="8.88671875" style="58"/>
  </cols>
  <sheetData>
    <row r="1" spans="1:13" x14ac:dyDescent="0.2">
      <c r="A1" s="609" t="s">
        <v>73</v>
      </c>
      <c r="B1" s="609"/>
      <c r="C1" s="609"/>
      <c r="D1" s="609"/>
      <c r="E1" s="609"/>
      <c r="F1" s="609"/>
      <c r="G1" s="609"/>
      <c r="H1" s="567"/>
    </row>
    <row r="2" spans="1:13" x14ac:dyDescent="0.2">
      <c r="A2" s="3"/>
      <c r="B2" s="3"/>
      <c r="C2" s="3"/>
      <c r="D2" s="3"/>
      <c r="E2" s="3"/>
      <c r="F2" s="3"/>
      <c r="G2" s="3"/>
      <c r="H2" s="29">
        <f>inputPrYr!D6</f>
        <v>2025</v>
      </c>
    </row>
    <row r="3" spans="1:13" x14ac:dyDescent="0.2">
      <c r="A3" s="566" t="s">
        <v>80</v>
      </c>
      <c r="B3" s="566"/>
      <c r="C3" s="566"/>
      <c r="D3" s="566"/>
      <c r="E3" s="566"/>
      <c r="F3" s="566"/>
      <c r="G3" s="566"/>
      <c r="H3" s="566"/>
    </row>
    <row r="4" spans="1:13" x14ac:dyDescent="0.2">
      <c r="A4" s="533">
        <f>inputPrYr!D3</f>
        <v>0</v>
      </c>
      <c r="B4" s="533"/>
      <c r="C4" s="533"/>
      <c r="D4" s="533"/>
      <c r="E4" s="533"/>
      <c r="F4" s="533"/>
      <c r="G4" s="533"/>
      <c r="H4" s="533"/>
    </row>
    <row r="5" spans="1:13" x14ac:dyDescent="0.2">
      <c r="A5" s="612">
        <f>inputPrYr!D4</f>
        <v>0</v>
      </c>
      <c r="B5" s="612"/>
      <c r="C5" s="612"/>
      <c r="D5" s="612"/>
      <c r="E5" s="612"/>
      <c r="F5" s="612"/>
      <c r="G5" s="612"/>
      <c r="H5" s="612"/>
    </row>
    <row r="6" spans="1:13" x14ac:dyDescent="0.2">
      <c r="A6" s="557" t="str">
        <f>CONCATENATE("will meet on ",inputHearing!B18," at ",inputHearing!B20," at ",inputHearing!B22," for the purpose of hearing and")</f>
        <v>will meet on  at  at  for the purpose of hearing and</v>
      </c>
      <c r="B6" s="557"/>
      <c r="C6" s="557"/>
      <c r="D6" s="557"/>
      <c r="E6" s="557"/>
      <c r="F6" s="557"/>
      <c r="G6" s="557"/>
      <c r="H6" s="557"/>
    </row>
    <row r="7" spans="1:13" x14ac:dyDescent="0.2">
      <c r="A7" s="60" t="s">
        <v>215</v>
      </c>
      <c r="B7" s="8"/>
      <c r="C7" s="8"/>
      <c r="D7" s="8"/>
      <c r="E7" s="8"/>
      <c r="F7" s="8"/>
      <c r="G7" s="8"/>
      <c r="H7" s="8"/>
    </row>
    <row r="8" spans="1:13" x14ac:dyDescent="0.2">
      <c r="A8" s="60" t="str">
        <f>CONCATENATE("Detailed budget information is available at ",inputHearing!B24," and will be available at this hearing.")</f>
        <v>Detailed budget information is available at  and will be available at this hearing.</v>
      </c>
      <c r="B8" s="8"/>
      <c r="C8" s="8"/>
      <c r="D8" s="8"/>
      <c r="E8" s="8"/>
      <c r="F8" s="8"/>
      <c r="G8" s="8"/>
      <c r="H8" s="8"/>
    </row>
    <row r="9" spans="1:13" x14ac:dyDescent="0.2">
      <c r="A9" s="7" t="s">
        <v>74</v>
      </c>
      <c r="B9" s="8"/>
      <c r="C9" s="8"/>
      <c r="D9" s="8"/>
      <c r="E9" s="8"/>
      <c r="F9" s="8"/>
      <c r="G9" s="8"/>
      <c r="H9" s="8"/>
    </row>
    <row r="10" spans="1:13" x14ac:dyDescent="0.2">
      <c r="A10" s="60" t="str">
        <f>CONCATENATE("Proposed Budget ",H2," Expenditures and Amount of ",H2-1," Ad Valorem Tax establish the maximum limits")</f>
        <v>Proposed Budget 2025 Expenditures and Amount of 2024 Ad Valorem Tax establish the maximum limits</v>
      </c>
      <c r="B10" s="8"/>
      <c r="C10" s="8"/>
      <c r="D10" s="8"/>
      <c r="E10" s="8"/>
      <c r="F10" s="8"/>
      <c r="G10" s="8"/>
      <c r="H10" s="8"/>
    </row>
    <row r="11" spans="1:13" x14ac:dyDescent="0.2">
      <c r="A11" s="60" t="str">
        <f>CONCATENATE("of the ",H2," budget.  Estimated Tax Rate is subject to change depending on the final assessed valuation.")</f>
        <v>of the 2025 budget.  Estimated Tax Rate is subject to change depending on the final assessed valuation.</v>
      </c>
      <c r="B11" s="8"/>
      <c r="C11" s="8"/>
      <c r="D11" s="8"/>
      <c r="E11" s="8"/>
      <c r="F11" s="8"/>
      <c r="G11" s="8"/>
      <c r="H11" s="8"/>
    </row>
    <row r="12" spans="1:13" x14ac:dyDescent="0.25">
      <c r="A12" s="3"/>
      <c r="B12" s="62"/>
      <c r="C12" s="62"/>
      <c r="D12" s="62"/>
      <c r="E12" s="62"/>
      <c r="F12" s="62"/>
      <c r="G12" s="62"/>
      <c r="H12" s="62"/>
      <c r="J12" s="619" t="str">
        <f>CONCATENATE("Estimated Value Of One Mill For ",H2,"")</f>
        <v>Estimated Value Of One Mill For 2025</v>
      </c>
      <c r="K12" s="620"/>
      <c r="L12" s="620"/>
      <c r="M12" s="621"/>
    </row>
    <row r="13" spans="1:13" x14ac:dyDescent="0.25">
      <c r="A13" s="145"/>
      <c r="B13" s="204" t="str">
        <f>CONCATENATE("Prior Year Actual ",H2-2,"")</f>
        <v>Prior Year Actual 2023</v>
      </c>
      <c r="C13" s="205"/>
      <c r="D13" s="206" t="str">
        <f>CONCATENATE("Current Year Estimate for ",H2-1,"")</f>
        <v>Current Year Estimate for 2024</v>
      </c>
      <c r="E13" s="205"/>
      <c r="F13" s="204" t="str">
        <f>CONCATENATE("Proposed Budget Year for ",H2,"")</f>
        <v>Proposed Budget Year for 2025</v>
      </c>
      <c r="G13" s="207"/>
      <c r="H13" s="205"/>
      <c r="J13" s="285"/>
      <c r="K13" s="238"/>
      <c r="L13" s="238"/>
      <c r="M13" s="286"/>
    </row>
    <row r="14" spans="1:13" ht="18" customHeight="1" x14ac:dyDescent="0.25">
      <c r="A14" s="147"/>
      <c r="B14" s="478"/>
      <c r="C14" s="479" t="s">
        <v>44</v>
      </c>
      <c r="D14" s="67"/>
      <c r="E14" s="479" t="s">
        <v>44</v>
      </c>
      <c r="F14" s="615" t="s">
        <v>726</v>
      </c>
      <c r="G14" s="610" t="str">
        <f>CONCATENATE("Amount of ",H2-1," Ad Valorem Tax")</f>
        <v>Amount of 2024 Ad Valorem Tax</v>
      </c>
      <c r="H14" s="613" t="s">
        <v>725</v>
      </c>
      <c r="J14" s="287" t="s">
        <v>444</v>
      </c>
      <c r="K14" s="288"/>
      <c r="L14" s="288"/>
      <c r="M14" s="398">
        <f>ROUND(F28/1000,0)</f>
        <v>0</v>
      </c>
    </row>
    <row r="15" spans="1:13" ht="18" customHeight="1" x14ac:dyDescent="0.2">
      <c r="A15" s="103" t="s">
        <v>45</v>
      </c>
      <c r="B15" s="477" t="s">
        <v>46</v>
      </c>
      <c r="C15" s="480" t="s">
        <v>126</v>
      </c>
      <c r="D15" s="477" t="s">
        <v>46</v>
      </c>
      <c r="E15" s="480" t="s">
        <v>126</v>
      </c>
      <c r="F15" s="616"/>
      <c r="G15" s="611"/>
      <c r="H15" s="614"/>
      <c r="J15" s="1"/>
      <c r="K15" s="1"/>
      <c r="L15" s="1"/>
      <c r="M15" s="1"/>
    </row>
    <row r="16" spans="1:13" x14ac:dyDescent="0.25">
      <c r="A16" s="16" t="str">
        <f>inputPrYr!B19</f>
        <v>General</v>
      </c>
      <c r="B16" s="57" t="str">
        <f>IF(General!$C$62&lt;&gt;0,General!$C$62,"  ")</f>
        <v xml:space="preserve">  </v>
      </c>
      <c r="C16" s="359" t="str">
        <f>IF(inputPrYr!D38&gt;0,inputPrYr!D38,"  ")</f>
        <v xml:space="preserve">  </v>
      </c>
      <c r="D16" s="322" t="str">
        <f>IF(General!$D$62&lt;&gt;0,General!$D$62,"  ")</f>
        <v xml:space="preserve">  </v>
      </c>
      <c r="E16" s="361" t="str">
        <f>IF(inputOth!D18&gt;0,inputOth!D18,"  ")</f>
        <v xml:space="preserve">  </v>
      </c>
      <c r="F16" s="322" t="str">
        <f>IF(General!$E$62&lt;&gt;0,General!$E$62,"  ")</f>
        <v xml:space="preserve">  </v>
      </c>
      <c r="G16" s="172" t="str">
        <f>IF(General!$E$69&lt;&gt;0,General!$E$69,"  ")</f>
        <v xml:space="preserve">  </v>
      </c>
      <c r="H16" s="359" t="str">
        <f>IF(General!E69&gt;0,ROUND(G16/$F$28*1000,3)," ")</f>
        <v xml:space="preserve"> </v>
      </c>
      <c r="J16" s="619" t="str">
        <f>CONCATENATE("Want The Mill Rate The Same As For ",H2-1,"?")</f>
        <v>Want The Mill Rate The Same As For 2024?</v>
      </c>
      <c r="K16" s="620"/>
      <c r="L16" s="620"/>
      <c r="M16" s="621"/>
    </row>
    <row r="17" spans="1:13" x14ac:dyDescent="0.25">
      <c r="A17" s="16" t="s">
        <v>179</v>
      </c>
      <c r="B17" s="57" t="str">
        <f>IF('Debt Service'!$C$52&lt;&gt;0,'Debt Service'!$C$52,"  ")</f>
        <v xml:space="preserve">  </v>
      </c>
      <c r="C17" s="359" t="str">
        <f>IF(inputPrYr!D39&gt;0,inputPrYr!D39,"  ")</f>
        <v xml:space="preserve">  </v>
      </c>
      <c r="D17" s="322" t="str">
        <f>IF('Debt Service'!$D$52&lt;&gt;0,'Debt Service'!$D$52,"  ")</f>
        <v xml:space="preserve">  </v>
      </c>
      <c r="E17" s="361" t="str">
        <f>IF(inputOth!D19&gt;0,inputOth!D19,"  ")</f>
        <v xml:space="preserve">  </v>
      </c>
      <c r="F17" s="322" t="str">
        <f>IF('Debt Service'!$E$52&lt;&gt;0,'Debt Service'!$E$52,"  ")</f>
        <v xml:space="preserve">  </v>
      </c>
      <c r="G17" s="172" t="str">
        <f>IF('Debt Service'!$E$59&lt;&gt;0,'Debt Service'!$E$59,"  ")</f>
        <v xml:space="preserve">  </v>
      </c>
      <c r="H17" s="359" t="str">
        <f>IF('Debt Service'!E59&gt;0,ROUND(G17/$F$28*1000,3)," ")</f>
        <v xml:space="preserve"> </v>
      </c>
      <c r="J17" s="290"/>
      <c r="K17" s="238"/>
      <c r="L17" s="238"/>
      <c r="M17" s="291"/>
    </row>
    <row r="18" spans="1:13" x14ac:dyDescent="0.25">
      <c r="A18" s="16" t="str">
        <f>IF(inputPrYr!$B22&gt;"  ",inputPrYr!$B22,"  ")</f>
        <v xml:space="preserve">  </v>
      </c>
      <c r="B18" s="57" t="str">
        <f>IF('Levy Page 7'!$C$34&lt;&gt;0,'Levy Page 7'!$C$34,"  ")</f>
        <v xml:space="preserve">  </v>
      </c>
      <c r="C18" s="359" t="str">
        <f>IF(inputPrYr!D40&gt;0,inputPrYr!D40,"  ")</f>
        <v xml:space="preserve">  </v>
      </c>
      <c r="D18" s="322" t="str">
        <f>IF('Levy Page 7'!$D$34&lt;&gt;0,'Levy Page 7'!$D$34,"  ")</f>
        <v xml:space="preserve">  </v>
      </c>
      <c r="E18" s="361" t="str">
        <f>IF(inputOth!D20&gt;0,inputOth!D20,"  ")</f>
        <v xml:space="preserve">  </v>
      </c>
      <c r="F18" s="322" t="str">
        <f>IF('Levy Page 7'!$E$34&lt;&gt;0,'Levy Page 7'!$E$34,"  ")</f>
        <v xml:space="preserve">  </v>
      </c>
      <c r="G18" s="172" t="str">
        <f>IF('Levy Page 7'!$E$41&lt;&gt;0,'Levy Page 7'!$E$41,"  ")</f>
        <v xml:space="preserve">  </v>
      </c>
      <c r="H18" s="359" t="str">
        <f>IF('Levy Page 7'!E41&gt;0,ROUND(G18/$F$28*1000,3)," ")</f>
        <v xml:space="preserve"> </v>
      </c>
      <c r="J18" s="290" t="str">
        <f>CONCATENATE("",H2-1," Mill Rate Was:")</f>
        <v>2024 Mill Rate Was:</v>
      </c>
      <c r="K18" s="238"/>
      <c r="L18" s="238"/>
      <c r="M18" s="292">
        <f>E23</f>
        <v>0</v>
      </c>
    </row>
    <row r="19" spans="1:13" x14ac:dyDescent="0.25">
      <c r="A19" s="16" t="str">
        <f>IF(inputPrYr!$B23&gt;"  ",inputPrYr!$B23,"  ")</f>
        <v xml:space="preserve">  </v>
      </c>
      <c r="B19" s="57" t="str">
        <f>IF('Levy Page 7'!$C$73&lt;&gt;0,'Levy Page 7'!$C$73,"  ")</f>
        <v xml:space="preserve">  </v>
      </c>
      <c r="C19" s="359" t="str">
        <f>IF(inputPrYr!D41&gt;0,inputPrYr!D41,"  ")</f>
        <v xml:space="preserve">  </v>
      </c>
      <c r="D19" s="322" t="str">
        <f>IF('Levy Page 7'!$D$73&lt;&gt;0,'Levy Page 7'!$D$73,"  ")</f>
        <v xml:space="preserve">  </v>
      </c>
      <c r="E19" s="361" t="str">
        <f>IF(inputOth!D21&gt;0,inputOth!D21,"  ")</f>
        <v xml:space="preserve">  </v>
      </c>
      <c r="F19" s="322" t="str">
        <f>IF('Levy Page 7'!$E$73&lt;&gt;0,'Levy Page 7'!$E$73,"  ")</f>
        <v xml:space="preserve">  </v>
      </c>
      <c r="G19" s="172" t="str">
        <f>IF('Levy Page 7'!$E$80&lt;&gt;0,'Levy Page 7'!$E$80,"  ")</f>
        <v xml:space="preserve">  </v>
      </c>
      <c r="H19" s="359" t="str">
        <f>IF('Levy Page 7'!E80&gt;0,ROUND(G19/$F$28*1000,3)," ")</f>
        <v xml:space="preserve"> </v>
      </c>
      <c r="J19" s="293" t="str">
        <f>CONCATENATE("",H2," Tax Levy Fund Expenditures Must Be")</f>
        <v>2025 Tax Levy Fund Expenditures Must Be</v>
      </c>
      <c r="K19" s="294"/>
      <c r="L19" s="294"/>
      <c r="M19" s="291"/>
    </row>
    <row r="20" spans="1:13" x14ac:dyDescent="0.25">
      <c r="A20" s="16" t="str">
        <f>IF(inputPrYr!$B26&gt;"  ",inputPrYr!$B26,"  ")</f>
        <v xml:space="preserve">  </v>
      </c>
      <c r="B20" s="57" t="str">
        <f>IF('No Levy Page 8'!$C$30&lt;&gt;0,'No Levy Page 8'!$C$30,"  ")</f>
        <v xml:space="preserve">  </v>
      </c>
      <c r="C20" s="359"/>
      <c r="D20" s="322" t="str">
        <f>IF('No Levy Page 8'!$D$30&lt;&gt;0,'No Levy Page 8'!$D$30,"  ")</f>
        <v xml:space="preserve">  </v>
      </c>
      <c r="E20" s="361"/>
      <c r="F20" s="322" t="str">
        <f>IF('No Levy Page 8'!$E$30&lt;&gt;0,'No Levy Page 8'!$E$30,"  ")</f>
        <v xml:space="preserve">  </v>
      </c>
      <c r="G20" s="172"/>
      <c r="H20" s="359"/>
      <c r="J20" s="293" t="str">
        <f>IF(M20&gt;0,"Increased By:","")</f>
        <v/>
      </c>
      <c r="K20" s="294"/>
      <c r="L20" s="294"/>
      <c r="M20" s="295">
        <f>IF(M27&lt;0,M27*-1,0)</f>
        <v>0</v>
      </c>
    </row>
    <row r="21" spans="1:13" x14ac:dyDescent="0.2">
      <c r="A21" s="16" t="str">
        <f>IF(inputPrYr!$B27&gt;"  ",inputPrYr!$B27,"  ")</f>
        <v xml:space="preserve">  </v>
      </c>
      <c r="B21" s="57" t="str">
        <f>IF('No Levy Page 8'!$C$62&lt;&gt;0,'No Levy Page 8'!$C$62,"  ")</f>
        <v xml:space="preserve">  </v>
      </c>
      <c r="C21" s="359"/>
      <c r="D21" s="322" t="str">
        <f>IF('No Levy Page 8'!$D$62&lt;&gt;0,'No Levy Page 8'!$D$62,"  ")</f>
        <v xml:space="preserve">  </v>
      </c>
      <c r="E21" s="361"/>
      <c r="F21" s="322" t="str">
        <f>IF('No Levy Page 8'!$E$62&lt;&gt;0,'No Levy Page 8'!$E$62,"  ")</f>
        <v xml:space="preserve">  </v>
      </c>
      <c r="G21" s="172"/>
      <c r="H21" s="359"/>
      <c r="J21" s="296" t="str">
        <f>IF(M21&lt;0,"Reduced By:","")</f>
        <v/>
      </c>
      <c r="K21" s="263"/>
      <c r="L21" s="263"/>
      <c r="M21" s="297">
        <f>IF(M27&gt;0,M27*-1,0)</f>
        <v>0</v>
      </c>
    </row>
    <row r="22" spans="1:13" ht="16.5" thickBot="1" x14ac:dyDescent="0.3">
      <c r="A22" s="84" t="str">
        <f>IF((inputPrYr!$B$30&gt;" "),('Non-Budgeted Funds'!$A$3),"")</f>
        <v/>
      </c>
      <c r="B22" s="276" t="str">
        <f>IF('Non-Budgeted Funds'!K28&gt;0,'Non-Budgeted Funds'!K28,"")</f>
        <v/>
      </c>
      <c r="C22" s="360"/>
      <c r="D22" s="358"/>
      <c r="E22" s="362"/>
      <c r="F22" s="358"/>
      <c r="G22" s="363"/>
      <c r="H22" s="360"/>
      <c r="J22" s="298"/>
      <c r="K22" s="298"/>
      <c r="L22" s="298"/>
      <c r="M22" s="298"/>
    </row>
    <row r="23" spans="1:13" ht="16.5" thickBot="1" x14ac:dyDescent="0.3">
      <c r="A23" s="473" t="s">
        <v>88</v>
      </c>
      <c r="B23" s="474">
        <f>SUM(B16:B22)</f>
        <v>0</v>
      </c>
      <c r="C23" s="475">
        <f t="shared" ref="C23:H23" si="0">SUM(C16:C21)</f>
        <v>0</v>
      </c>
      <c r="D23" s="474">
        <f t="shared" si="0"/>
        <v>0</v>
      </c>
      <c r="E23" s="476">
        <f t="shared" si="0"/>
        <v>0</v>
      </c>
      <c r="F23" s="474">
        <f t="shared" si="0"/>
        <v>0</v>
      </c>
      <c r="G23" s="474">
        <f t="shared" si="0"/>
        <v>0</v>
      </c>
      <c r="H23" s="476">
        <f t="shared" si="0"/>
        <v>0</v>
      </c>
      <c r="J23" s="619" t="str">
        <f>CONCATENATE("Impact On Keeping The Same Mill Rate As For ",H2-1,"")</f>
        <v>Impact On Keeping The Same Mill Rate As For 2024</v>
      </c>
      <c r="K23" s="622"/>
      <c r="L23" s="622"/>
      <c r="M23" s="623"/>
    </row>
    <row r="24" spans="1:13" ht="16.5" thickTop="1" x14ac:dyDescent="0.25">
      <c r="A24" s="631" t="s">
        <v>621</v>
      </c>
      <c r="B24" s="632"/>
      <c r="C24" s="632"/>
      <c r="D24" s="632"/>
      <c r="E24" s="632"/>
      <c r="F24" s="632"/>
      <c r="G24" s="633"/>
      <c r="H24" s="472">
        <f>inputOth!D14</f>
        <v>0</v>
      </c>
      <c r="J24" s="290"/>
      <c r="K24" s="238"/>
      <c r="L24" s="238"/>
      <c r="M24" s="291"/>
    </row>
    <row r="25" spans="1:13" x14ac:dyDescent="0.25">
      <c r="A25" s="13" t="s">
        <v>110</v>
      </c>
      <c r="B25" s="22">
        <f>Transfers!C26</f>
        <v>0</v>
      </c>
      <c r="C25" s="86"/>
      <c r="D25" s="22">
        <f>Transfers!D26</f>
        <v>0</v>
      </c>
      <c r="E25" s="86"/>
      <c r="F25" s="357">
        <f>Transfers!E26</f>
        <v>0</v>
      </c>
      <c r="G25" s="96"/>
      <c r="H25" s="18"/>
      <c r="J25" s="290" t="str">
        <f>CONCATENATE("",H2," Ad Valorem Tax Revenue:")</f>
        <v>2025 Ad Valorem Tax Revenue:</v>
      </c>
      <c r="K25" s="238"/>
      <c r="L25" s="238"/>
      <c r="M25" s="286">
        <f>G23</f>
        <v>0</v>
      </c>
    </row>
    <row r="26" spans="1:13" ht="16.5" thickBot="1" x14ac:dyDescent="0.3">
      <c r="A26" s="13" t="s">
        <v>111</v>
      </c>
      <c r="B26" s="89">
        <f>SUM(B23-B25)</f>
        <v>0</v>
      </c>
      <c r="C26" s="208"/>
      <c r="D26" s="89">
        <f>SUM(D23-D25)</f>
        <v>0</v>
      </c>
      <c r="E26" s="208"/>
      <c r="F26" s="275">
        <f>SUM(F23-F25)</f>
        <v>0</v>
      </c>
      <c r="G26" s="96"/>
      <c r="H26" s="18"/>
      <c r="J26" s="290" t="str">
        <f>CONCATENATE("",H2-1," Ad Valorem Tax Revenue:")</f>
        <v>2024 Ad Valorem Tax Revenue:</v>
      </c>
      <c r="K26" s="238"/>
      <c r="L26" s="238"/>
      <c r="M26" s="299">
        <f>ROUND(F28*M18/1000,0)</f>
        <v>0</v>
      </c>
    </row>
    <row r="27" spans="1:13" ht="16.5" thickTop="1" x14ac:dyDescent="0.25">
      <c r="A27" s="13" t="s">
        <v>47</v>
      </c>
      <c r="B27" s="356">
        <f>inputPrYr!E44</f>
        <v>0</v>
      </c>
      <c r="C27" s="147"/>
      <c r="D27" s="356">
        <f>inputPrYr!E24</f>
        <v>0</v>
      </c>
      <c r="E27" s="147"/>
      <c r="F27" s="48" t="s">
        <v>116</v>
      </c>
      <c r="G27" s="3"/>
      <c r="H27" s="3"/>
      <c r="J27" s="300" t="s">
        <v>445</v>
      </c>
      <c r="K27" s="301"/>
      <c r="L27" s="301"/>
      <c r="M27" s="289">
        <f>M25-M26</f>
        <v>0</v>
      </c>
    </row>
    <row r="28" spans="1:13" x14ac:dyDescent="0.25">
      <c r="A28" s="13" t="s">
        <v>112</v>
      </c>
      <c r="B28" s="22">
        <f>inputPrYr!E45</f>
        <v>0</v>
      </c>
      <c r="C28" s="147"/>
      <c r="D28" s="22">
        <f>inputOth!E26</f>
        <v>0</v>
      </c>
      <c r="E28" s="147"/>
      <c r="F28" s="22">
        <f>inputOth!E7</f>
        <v>0</v>
      </c>
      <c r="G28" s="3"/>
      <c r="H28" s="3"/>
      <c r="J28" s="298"/>
      <c r="K28" s="298"/>
      <c r="L28" s="298"/>
      <c r="M28" s="298"/>
    </row>
    <row r="29" spans="1:13" x14ac:dyDescent="0.25">
      <c r="A29" s="2"/>
      <c r="B29" s="96"/>
      <c r="C29" s="3"/>
      <c r="D29" s="96"/>
      <c r="E29" s="3"/>
      <c r="F29" s="96"/>
      <c r="G29" s="3"/>
      <c r="H29" s="3"/>
      <c r="J29" s="619" t="s">
        <v>446</v>
      </c>
      <c r="K29" s="620"/>
      <c r="L29" s="620"/>
      <c r="M29" s="621"/>
    </row>
    <row r="30" spans="1:13" x14ac:dyDescent="0.25">
      <c r="A30" s="2" t="s">
        <v>48</v>
      </c>
      <c r="B30" s="3"/>
      <c r="C30" s="3"/>
      <c r="D30" s="3"/>
      <c r="E30" s="3"/>
      <c r="F30" s="3"/>
      <c r="G30" s="3"/>
      <c r="H30" s="3"/>
      <c r="J30" s="481" t="s">
        <v>619</v>
      </c>
      <c r="K30" s="238"/>
      <c r="L30" s="238"/>
      <c r="M30" s="482">
        <f>H24</f>
        <v>0</v>
      </c>
    </row>
    <row r="31" spans="1:13" x14ac:dyDescent="0.25">
      <c r="A31" s="2" t="s">
        <v>109</v>
      </c>
      <c r="B31" s="61">
        <f>H2-3</f>
        <v>2022</v>
      </c>
      <c r="C31" s="3"/>
      <c r="D31" s="61">
        <f>H2-2</f>
        <v>2023</v>
      </c>
      <c r="E31" s="3"/>
      <c r="F31" s="61">
        <f>H2-1</f>
        <v>2024</v>
      </c>
      <c r="G31" s="3"/>
      <c r="H31" s="3"/>
      <c r="J31" s="290" t="str">
        <f>CONCATENATE("Current ",H2," Estimated Mill Rate:")</f>
        <v>Current 2025 Estimated Mill Rate:</v>
      </c>
      <c r="K31" s="238"/>
      <c r="L31" s="238"/>
      <c r="M31" s="292">
        <f>H23</f>
        <v>0</v>
      </c>
    </row>
    <row r="32" spans="1:13" x14ac:dyDescent="0.25">
      <c r="A32" s="2" t="s">
        <v>49</v>
      </c>
      <c r="B32" s="209">
        <f>inputPrYr!D48</f>
        <v>0</v>
      </c>
      <c r="C32" s="96"/>
      <c r="D32" s="209">
        <f>inputPrYr!E48</f>
        <v>0</v>
      </c>
      <c r="E32" s="3"/>
      <c r="F32" s="209">
        <f>'Debt - LP Form'!F12</f>
        <v>0</v>
      </c>
      <c r="G32" s="3"/>
      <c r="H32" s="29"/>
      <c r="J32" s="290" t="str">
        <f>CONCATENATE("Desired ",H2," Mill Rate:")</f>
        <v>Desired 2025 Mill Rate:</v>
      </c>
      <c r="K32" s="238"/>
      <c r="L32" s="238"/>
      <c r="M32" s="302">
        <v>0</v>
      </c>
    </row>
    <row r="33" spans="1:13" x14ac:dyDescent="0.25">
      <c r="A33" s="3" t="s">
        <v>50</v>
      </c>
      <c r="B33" s="209">
        <f>inputPrYr!D49</f>
        <v>0</v>
      </c>
      <c r="C33" s="3"/>
      <c r="D33" s="209">
        <f>inputPrYr!E49</f>
        <v>0</v>
      </c>
      <c r="E33" s="3"/>
      <c r="F33" s="209">
        <f>'Debt - LP Form'!F16</f>
        <v>0</v>
      </c>
      <c r="G33" s="3"/>
      <c r="H33" s="29"/>
      <c r="J33" s="290" t="str">
        <f>CONCATENATE("",H2," Ad Valorem Tax:")</f>
        <v>2025 Ad Valorem Tax:</v>
      </c>
      <c r="K33" s="238"/>
      <c r="L33" s="238"/>
      <c r="M33" s="299">
        <f>ROUND(F28*M32/1000,0)</f>
        <v>0</v>
      </c>
    </row>
    <row r="34" spans="1:13" x14ac:dyDescent="0.25">
      <c r="A34" s="2" t="s">
        <v>440</v>
      </c>
      <c r="B34" s="209">
        <f>inputPrYr!D50</f>
        <v>0</v>
      </c>
      <c r="C34" s="96"/>
      <c r="D34" s="209">
        <f>inputPrYr!E50</f>
        <v>0</v>
      </c>
      <c r="E34" s="3"/>
      <c r="F34" s="209">
        <f>'Debt - LP Form'!F20</f>
        <v>0</v>
      </c>
      <c r="G34" s="3"/>
      <c r="H34" s="29"/>
      <c r="J34" s="300" t="str">
        <f>CONCATENATE("",H2," Tax Levy Fund Exp. Changed By:")</f>
        <v>2025 Tax Levy Fund Exp. Changed By:</v>
      </c>
      <c r="K34" s="301"/>
      <c r="L34" s="301"/>
      <c r="M34" s="289">
        <f>IF(M32=0,0,(M33-G23))</f>
        <v>0</v>
      </c>
    </row>
    <row r="35" spans="1:13" x14ac:dyDescent="0.2">
      <c r="A35" s="2" t="s">
        <v>89</v>
      </c>
      <c r="B35" s="209">
        <f>inputPrYr!D51</f>
        <v>0</v>
      </c>
      <c r="C35" s="3"/>
      <c r="D35" s="209">
        <f>inputPrYr!E51</f>
        <v>0</v>
      </c>
      <c r="E35" s="3"/>
      <c r="F35" s="209">
        <f>'Debt - LP Form'!G41</f>
        <v>0</v>
      </c>
      <c r="G35" s="3"/>
      <c r="H35" s="29"/>
    </row>
    <row r="36" spans="1:13" ht="16.5" thickBot="1" x14ac:dyDescent="0.25">
      <c r="A36" s="5" t="s">
        <v>51</v>
      </c>
      <c r="B36" s="210">
        <f>SUM(B32:B35)</f>
        <v>0</v>
      </c>
      <c r="C36" s="3"/>
      <c r="D36" s="210">
        <f>SUM(D32:D35)</f>
        <v>0</v>
      </c>
      <c r="E36" s="3"/>
      <c r="F36" s="210">
        <f>SUM(F32:F35)</f>
        <v>0</v>
      </c>
      <c r="G36" s="211"/>
      <c r="H36" s="29"/>
      <c r="J36" s="625" t="s">
        <v>728</v>
      </c>
      <c r="K36" s="626"/>
      <c r="L36" s="626"/>
      <c r="M36" s="629" t="str">
        <f>IF(H23&gt;H24, "Yes", "No")</f>
        <v>No</v>
      </c>
    </row>
    <row r="37" spans="1:13" ht="16.5" thickTop="1" x14ac:dyDescent="0.2">
      <c r="A37" s="29"/>
      <c r="B37" s="3"/>
      <c r="C37" s="3"/>
      <c r="D37" s="3"/>
      <c r="E37" s="3"/>
      <c r="F37" s="3"/>
      <c r="G37" s="3"/>
      <c r="H37" s="29"/>
      <c r="J37" s="627"/>
      <c r="K37" s="628"/>
      <c r="L37" s="628"/>
      <c r="M37" s="630"/>
    </row>
    <row r="38" spans="1:13" x14ac:dyDescent="0.2">
      <c r="A38" s="5" t="s">
        <v>52</v>
      </c>
      <c r="B38" s="3"/>
      <c r="C38" s="3"/>
      <c r="D38" s="3"/>
      <c r="E38" s="154"/>
      <c r="F38" s="154"/>
      <c r="G38" s="3"/>
      <c r="H38" s="29"/>
      <c r="J38" s="578" t="str">
        <f>IF(M36="Yes", "Follow procedure prescirbed by KSA 79-2988 to exceed the Revenue Neutral Rate.", " ")</f>
        <v xml:space="preserve"> </v>
      </c>
      <c r="K38" s="578"/>
      <c r="L38" s="578"/>
      <c r="M38" s="578"/>
    </row>
    <row r="39" spans="1:13" x14ac:dyDescent="0.2">
      <c r="A39" s="443" t="s">
        <v>727</v>
      </c>
      <c r="B39" s="3"/>
      <c r="C39" s="3"/>
      <c r="D39" s="3"/>
      <c r="E39" s="3"/>
      <c r="F39" s="3"/>
      <c r="G39" s="3"/>
      <c r="H39" s="29"/>
      <c r="J39" s="579"/>
      <c r="K39" s="579"/>
      <c r="L39" s="579"/>
      <c r="M39" s="579"/>
    </row>
    <row r="40" spans="1:13" x14ac:dyDescent="0.2">
      <c r="A40" s="3"/>
      <c r="B40" s="3"/>
      <c r="C40" s="3"/>
      <c r="D40" s="3"/>
      <c r="E40" s="3"/>
      <c r="F40" s="3"/>
      <c r="G40" s="3"/>
      <c r="H40" s="3"/>
      <c r="J40" s="579"/>
      <c r="K40" s="579"/>
      <c r="L40" s="579"/>
      <c r="M40" s="579"/>
    </row>
    <row r="41" spans="1:13" x14ac:dyDescent="0.2">
      <c r="A41" s="624">
        <f>inputHearing!B14</f>
        <v>0</v>
      </c>
      <c r="B41" s="565"/>
      <c r="C41" s="62"/>
      <c r="D41" s="3"/>
      <c r="E41" s="3"/>
      <c r="F41" s="3"/>
      <c r="G41" s="3"/>
      <c r="H41" s="29"/>
    </row>
    <row r="42" spans="1:13" x14ac:dyDescent="0.2">
      <c r="A42" s="617">
        <f>inputHearing!B16</f>
        <v>0</v>
      </c>
      <c r="B42" s="618"/>
      <c r="C42" s="3"/>
      <c r="D42" s="92" t="s">
        <v>39</v>
      </c>
      <c r="E42" s="397"/>
      <c r="F42" s="3"/>
      <c r="G42" s="3"/>
      <c r="H42" s="29"/>
    </row>
    <row r="44" spans="1:13" x14ac:dyDescent="0.2">
      <c r="A44" s="1"/>
      <c r="B44" s="1"/>
      <c r="C44" s="1"/>
      <c r="D44" s="1"/>
      <c r="E44" s="1"/>
      <c r="F44" s="1"/>
      <c r="G44" s="1"/>
      <c r="H44" s="1"/>
    </row>
    <row r="46" spans="1:13" x14ac:dyDescent="0.2">
      <c r="A46" s="1"/>
      <c r="B46" s="1"/>
      <c r="C46" s="1"/>
      <c r="D46" s="1"/>
      <c r="E46" s="1"/>
      <c r="F46" s="1"/>
      <c r="G46" s="1"/>
      <c r="H46" s="1"/>
    </row>
    <row r="47" spans="1:13" x14ac:dyDescent="0.2">
      <c r="A47" s="1"/>
      <c r="B47" s="1"/>
      <c r="C47" s="1"/>
      <c r="D47" s="1"/>
      <c r="E47" s="1"/>
      <c r="F47" s="1"/>
      <c r="G47" s="1"/>
      <c r="H47" s="1"/>
    </row>
    <row r="48" spans="1:13" x14ac:dyDescent="0.2">
      <c r="A48" s="1"/>
      <c r="B48" s="1"/>
      <c r="C48" s="1"/>
      <c r="D48" s="1"/>
      <c r="E48" s="1"/>
      <c r="F48" s="1"/>
      <c r="G48" s="1"/>
      <c r="H48" s="1"/>
    </row>
    <row r="49" spans="1:8" x14ac:dyDescent="0.2">
      <c r="A49" s="1"/>
      <c r="B49" s="1"/>
      <c r="C49" s="1"/>
      <c r="D49" s="1"/>
      <c r="E49" s="1"/>
      <c r="F49" s="1"/>
      <c r="G49" s="1"/>
      <c r="H49" s="1"/>
    </row>
    <row r="50" spans="1:8" x14ac:dyDescent="0.2">
      <c r="A50" s="1"/>
      <c r="B50" s="1"/>
      <c r="C50" s="1"/>
      <c r="D50" s="1"/>
      <c r="E50" s="1"/>
      <c r="F50" s="1"/>
      <c r="G50" s="1"/>
      <c r="H50" s="1"/>
    </row>
    <row r="51" spans="1:8" x14ac:dyDescent="0.2">
      <c r="A51" s="1"/>
      <c r="B51" s="1"/>
      <c r="C51" s="1"/>
      <c r="D51" s="1"/>
      <c r="E51" s="1"/>
      <c r="F51" s="1"/>
      <c r="G51" s="1"/>
      <c r="H51" s="1"/>
    </row>
    <row r="52" spans="1:8" x14ac:dyDescent="0.2">
      <c r="A52" s="1"/>
      <c r="B52" s="1"/>
      <c r="C52" s="1"/>
      <c r="D52" s="1"/>
      <c r="E52" s="1"/>
      <c r="F52" s="1"/>
      <c r="G52" s="1"/>
      <c r="H52" s="1"/>
    </row>
    <row r="53" spans="1:8" x14ac:dyDescent="0.2">
      <c r="A53" s="1"/>
      <c r="B53" s="1"/>
      <c r="C53" s="1"/>
      <c r="D53" s="1"/>
      <c r="E53" s="1"/>
      <c r="F53" s="1"/>
      <c r="G53" s="1"/>
      <c r="H53" s="1"/>
    </row>
    <row r="54" spans="1:8" x14ac:dyDescent="0.2">
      <c r="A54" s="1"/>
      <c r="B54" s="1"/>
      <c r="C54" s="1"/>
      <c r="D54" s="1"/>
      <c r="E54" s="1"/>
      <c r="F54" s="1"/>
      <c r="G54" s="1"/>
      <c r="H54" s="1"/>
    </row>
  </sheetData>
  <sheetProtection sheet="1"/>
  <mergeCells count="18">
    <mergeCell ref="A42:B42"/>
    <mergeCell ref="A6:H6"/>
    <mergeCell ref="J12:M12"/>
    <mergeCell ref="J16:M16"/>
    <mergeCell ref="J23:M23"/>
    <mergeCell ref="J29:M29"/>
    <mergeCell ref="A41:B41"/>
    <mergeCell ref="J36:L37"/>
    <mergeCell ref="M36:M37"/>
    <mergeCell ref="J38:M40"/>
    <mergeCell ref="A24:G24"/>
    <mergeCell ref="A1:H1"/>
    <mergeCell ref="G14:G15"/>
    <mergeCell ref="A3:H3"/>
    <mergeCell ref="A4:H4"/>
    <mergeCell ref="A5:H5"/>
    <mergeCell ref="H14:H15"/>
    <mergeCell ref="F14:F15"/>
  </mergeCells>
  <phoneticPr fontId="0" type="noConversion"/>
  <conditionalFormatting sqref="M36:M37">
    <cfRule type="containsText" dxfId="2" priority="1" operator="containsText" text="Yes">
      <formula>NOT(ISERROR(SEARCH("Yes",M36)))</formula>
    </cfRule>
  </conditionalFormatting>
  <pageMargins left="1" right="1" top="0.5" bottom="0.5" header="0.5" footer="0.5"/>
  <pageSetup scale="64" orientation="portrait" blackAndWhite="1" horizontalDpi="120" verticalDpi="144" r:id="rId1"/>
  <headerFooter alignWithMargins="0">
    <oddHeader xml:space="preserve">&amp;RState of Kansas
Special District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pageSetUpPr fitToPage="1"/>
  </sheetPr>
  <dimension ref="A1:M54"/>
  <sheetViews>
    <sheetView workbookViewId="0">
      <selection activeCell="N48" sqref="N47:N48"/>
    </sheetView>
  </sheetViews>
  <sheetFormatPr defaultRowHeight="15.75" x14ac:dyDescent="0.2"/>
  <cols>
    <col min="1" max="1" width="18.6640625" style="58" customWidth="1"/>
    <col min="2" max="2" width="12.77734375" style="58" customWidth="1"/>
    <col min="3" max="3" width="8.77734375" style="58" customWidth="1"/>
    <col min="4" max="4" width="12.77734375" style="58" customWidth="1"/>
    <col min="5" max="5" width="9.21875" style="58" customWidth="1"/>
    <col min="6" max="6" width="12.77734375" style="58" customWidth="1"/>
    <col min="7" max="7" width="10.77734375" style="58" customWidth="1"/>
    <col min="8" max="8" width="8.77734375" style="58" customWidth="1"/>
    <col min="9" max="9" width="8.88671875" style="58"/>
    <col min="10" max="10" width="12.44140625" style="58" customWidth="1"/>
    <col min="11" max="11" width="12.33203125" style="58" customWidth="1"/>
    <col min="12" max="12" width="5.77734375" style="58" customWidth="1"/>
    <col min="13" max="13" width="12" style="58" customWidth="1"/>
    <col min="14" max="16384" width="8.88671875" style="58"/>
  </cols>
  <sheetData>
    <row r="1" spans="1:13" x14ac:dyDescent="0.2">
      <c r="A1" s="609" t="s">
        <v>729</v>
      </c>
      <c r="B1" s="609"/>
      <c r="C1" s="609"/>
      <c r="D1" s="609"/>
      <c r="E1" s="609"/>
      <c r="F1" s="609"/>
      <c r="G1" s="609"/>
      <c r="H1" s="567"/>
    </row>
    <row r="2" spans="1:13" x14ac:dyDescent="0.2">
      <c r="A2" s="3"/>
      <c r="B2" s="3"/>
      <c r="C2" s="3"/>
      <c r="D2" s="3"/>
      <c r="E2" s="3"/>
      <c r="F2" s="3"/>
      <c r="G2" s="3"/>
      <c r="H2" s="29">
        <f>inputPrYr!D6</f>
        <v>2025</v>
      </c>
    </row>
    <row r="3" spans="1:13" x14ac:dyDescent="0.2">
      <c r="A3" s="566" t="s">
        <v>80</v>
      </c>
      <c r="B3" s="566"/>
      <c r="C3" s="566"/>
      <c r="D3" s="566"/>
      <c r="E3" s="566"/>
      <c r="F3" s="566"/>
      <c r="G3" s="566"/>
      <c r="H3" s="566"/>
    </row>
    <row r="4" spans="1:13" x14ac:dyDescent="0.2">
      <c r="A4" s="533">
        <f>inputPrYr!D3</f>
        <v>0</v>
      </c>
      <c r="B4" s="533"/>
      <c r="C4" s="533"/>
      <c r="D4" s="533"/>
      <c r="E4" s="533"/>
      <c r="F4" s="533"/>
      <c r="G4" s="533"/>
      <c r="H4" s="533"/>
    </row>
    <row r="5" spans="1:13" x14ac:dyDescent="0.2">
      <c r="A5" s="612">
        <f>inputPrYr!D4</f>
        <v>0</v>
      </c>
      <c r="B5" s="612"/>
      <c r="C5" s="612"/>
      <c r="D5" s="612"/>
      <c r="E5" s="612"/>
      <c r="F5" s="612"/>
      <c r="G5" s="612"/>
      <c r="H5" s="612"/>
    </row>
    <row r="6" spans="1:13" x14ac:dyDescent="0.2">
      <c r="A6" s="557" t="str">
        <f>CONCATENATE("will meet on ",inputHearing!B32," at ",inputHearing!B34," at ",inputHearing!B36," for the purpose of hearing and")</f>
        <v>will meet on  at  at  for the purpose of hearing and</v>
      </c>
      <c r="B6" s="557"/>
      <c r="C6" s="557"/>
      <c r="D6" s="557"/>
      <c r="E6" s="557"/>
      <c r="F6" s="557"/>
      <c r="G6" s="557"/>
      <c r="H6" s="557"/>
    </row>
    <row r="7" spans="1:13" x14ac:dyDescent="0.2">
      <c r="A7" s="557" t="s">
        <v>730</v>
      </c>
      <c r="B7" s="557"/>
      <c r="C7" s="557"/>
      <c r="D7" s="557"/>
      <c r="E7" s="557"/>
      <c r="F7" s="557"/>
      <c r="G7" s="557"/>
      <c r="H7" s="557"/>
    </row>
    <row r="8" spans="1:13" x14ac:dyDescent="0.2">
      <c r="A8" s="60" t="str">
        <f>CONCATENATE("Detailed budget information is available at ",inputHearing!B38," and will be available at this hearing.")</f>
        <v>Detailed budget information is available at  and will be available at this hearing.</v>
      </c>
      <c r="B8" s="8"/>
      <c r="C8" s="8"/>
      <c r="D8" s="8"/>
      <c r="E8" s="8"/>
      <c r="F8" s="8"/>
      <c r="G8" s="8"/>
      <c r="H8" s="8"/>
    </row>
    <row r="9" spans="1:13" x14ac:dyDescent="0.2">
      <c r="A9" s="7" t="s">
        <v>74</v>
      </c>
      <c r="B9" s="8"/>
      <c r="C9" s="8"/>
      <c r="D9" s="8"/>
      <c r="E9" s="8"/>
      <c r="F9" s="8"/>
      <c r="G9" s="8"/>
      <c r="H9" s="8"/>
    </row>
    <row r="10" spans="1:13" x14ac:dyDescent="0.2">
      <c r="A10" s="60" t="str">
        <f>CONCATENATE("Proposed Budget ",H2," Expenditures and Amount of ",H2-1," Ad Valorem Tax establish the maximum limits")</f>
        <v>Proposed Budget 2025 Expenditures and Amount of 2024 Ad Valorem Tax establish the maximum limits</v>
      </c>
      <c r="B10" s="8"/>
      <c r="C10" s="8"/>
      <c r="D10" s="8"/>
      <c r="E10" s="8"/>
      <c r="F10" s="8"/>
      <c r="G10" s="8"/>
      <c r="H10" s="8"/>
    </row>
    <row r="11" spans="1:13" x14ac:dyDescent="0.2">
      <c r="A11" s="60" t="str">
        <f>CONCATENATE("of the ",H2," budget.  Estimated Tax Rate is subject to change depending on the final assessed valuation.")</f>
        <v>of the 2025 budget.  Estimated Tax Rate is subject to change depending on the final assessed valuation.</v>
      </c>
      <c r="B11" s="8"/>
      <c r="C11" s="8"/>
      <c r="D11" s="8"/>
      <c r="E11" s="8"/>
      <c r="F11" s="8"/>
      <c r="G11" s="8"/>
      <c r="H11" s="8"/>
    </row>
    <row r="12" spans="1:13" x14ac:dyDescent="0.25">
      <c r="A12" s="3"/>
      <c r="B12" s="62"/>
      <c r="C12" s="62"/>
      <c r="D12" s="62"/>
      <c r="E12" s="62"/>
      <c r="F12" s="62"/>
      <c r="G12" s="62"/>
      <c r="H12" s="62"/>
      <c r="J12" s="619" t="str">
        <f>CONCATENATE("Estimated Value Of One Mill For ",H2,"")</f>
        <v>Estimated Value Of One Mill For 2025</v>
      </c>
      <c r="K12" s="620"/>
      <c r="L12" s="620"/>
      <c r="M12" s="621"/>
    </row>
    <row r="13" spans="1:13" x14ac:dyDescent="0.25">
      <c r="A13" s="145"/>
      <c r="B13" s="204" t="str">
        <f>CONCATENATE("Prior Year Actual ",H2-2,"")</f>
        <v>Prior Year Actual 2023</v>
      </c>
      <c r="C13" s="205"/>
      <c r="D13" s="206" t="str">
        <f>CONCATENATE("Current Year Estimate for ",H2-1,"")</f>
        <v>Current Year Estimate for 2024</v>
      </c>
      <c r="E13" s="205"/>
      <c r="F13" s="204" t="str">
        <f>CONCATENATE("Proposed Budget Year for ",H2,"")</f>
        <v>Proposed Budget Year for 2025</v>
      </c>
      <c r="G13" s="207"/>
      <c r="H13" s="205"/>
      <c r="J13" s="285"/>
      <c r="K13" s="238"/>
      <c r="L13" s="238"/>
      <c r="M13" s="286"/>
    </row>
    <row r="14" spans="1:13" ht="18" customHeight="1" x14ac:dyDescent="0.25">
      <c r="A14" s="147"/>
      <c r="B14" s="478"/>
      <c r="C14" s="479" t="s">
        <v>44</v>
      </c>
      <c r="D14" s="67"/>
      <c r="E14" s="479" t="s">
        <v>44</v>
      </c>
      <c r="F14" s="615" t="s">
        <v>726</v>
      </c>
      <c r="G14" s="610" t="str">
        <f>CONCATENATE("Amount of ",H2-1," Ad Valorem Tax")</f>
        <v>Amount of 2024 Ad Valorem Tax</v>
      </c>
      <c r="H14" s="613" t="s">
        <v>725</v>
      </c>
      <c r="J14" s="287" t="s">
        <v>444</v>
      </c>
      <c r="K14" s="288"/>
      <c r="L14" s="288"/>
      <c r="M14" s="398">
        <f>ROUND(F28/1000,0)</f>
        <v>0</v>
      </c>
    </row>
    <row r="15" spans="1:13" ht="18" customHeight="1" x14ac:dyDescent="0.2">
      <c r="A15" s="103" t="s">
        <v>45</v>
      </c>
      <c r="B15" s="477" t="s">
        <v>46</v>
      </c>
      <c r="C15" s="480" t="s">
        <v>126</v>
      </c>
      <c r="D15" s="477" t="s">
        <v>46</v>
      </c>
      <c r="E15" s="480" t="s">
        <v>126</v>
      </c>
      <c r="F15" s="616"/>
      <c r="G15" s="611"/>
      <c r="H15" s="614"/>
      <c r="J15" s="1"/>
      <c r="K15" s="1"/>
      <c r="L15" s="1"/>
      <c r="M15" s="1"/>
    </row>
    <row r="16" spans="1:13" x14ac:dyDescent="0.25">
      <c r="A16" s="16" t="str">
        <f>inputPrYr!B19</f>
        <v>General</v>
      </c>
      <c r="B16" s="57" t="str">
        <f>IF(General!$C$62&lt;&gt;0,General!$C$62,"  ")</f>
        <v xml:space="preserve">  </v>
      </c>
      <c r="C16" s="359" t="str">
        <f>IF(inputPrYr!D38&gt;0,inputPrYr!D38,"  ")</f>
        <v xml:space="preserve">  </v>
      </c>
      <c r="D16" s="322" t="str">
        <f>IF(General!$D$62&lt;&gt;0,General!$D$62,"  ")</f>
        <v xml:space="preserve">  </v>
      </c>
      <c r="E16" s="361" t="str">
        <f>IF(inputOth!D18&gt;0,inputOth!D18,"  ")</f>
        <v xml:space="preserve">  </v>
      </c>
      <c r="F16" s="322" t="str">
        <f>IF(General!$E$62&lt;&gt;0,General!$E$62,"  ")</f>
        <v xml:space="preserve">  </v>
      </c>
      <c r="G16" s="172" t="str">
        <f>IF(General!$E$69&lt;&gt;0,General!$E$69,"  ")</f>
        <v xml:space="preserve">  </v>
      </c>
      <c r="H16" s="359" t="str">
        <f>IF(General!E69&gt;0,ROUND(G16/$F$28*1000,3)," ")</f>
        <v xml:space="preserve"> </v>
      </c>
      <c r="J16" s="619" t="str">
        <f>CONCATENATE("Want The Mill Rate The Same As For ",H2-1,"?")</f>
        <v>Want The Mill Rate The Same As For 2024?</v>
      </c>
      <c r="K16" s="620"/>
      <c r="L16" s="620"/>
      <c r="M16" s="621"/>
    </row>
    <row r="17" spans="1:13" x14ac:dyDescent="0.25">
      <c r="A17" s="16" t="s">
        <v>179</v>
      </c>
      <c r="B17" s="57" t="str">
        <f>IF('Debt Service'!$C$52&lt;&gt;0,'Debt Service'!$C$52,"  ")</f>
        <v xml:space="preserve">  </v>
      </c>
      <c r="C17" s="359" t="str">
        <f>IF(inputPrYr!D39&gt;0,inputPrYr!D39,"  ")</f>
        <v xml:space="preserve">  </v>
      </c>
      <c r="D17" s="322" t="str">
        <f>IF('Debt Service'!$D$52&lt;&gt;0,'Debt Service'!$D$52,"  ")</f>
        <v xml:space="preserve">  </v>
      </c>
      <c r="E17" s="361" t="str">
        <f>IF(inputOth!D19&gt;0,inputOth!D19,"  ")</f>
        <v xml:space="preserve">  </v>
      </c>
      <c r="F17" s="322" t="str">
        <f>IF('Debt Service'!$E$52&lt;&gt;0,'Debt Service'!$E$52,"  ")</f>
        <v xml:space="preserve">  </v>
      </c>
      <c r="G17" s="172" t="str">
        <f>IF('Debt Service'!$E$59&lt;&gt;0,'Debt Service'!$E$59,"  ")</f>
        <v xml:space="preserve">  </v>
      </c>
      <c r="H17" s="359" t="str">
        <f>IF('Debt Service'!E59&gt;0,ROUND(G17/$F$28*1000,3)," ")</f>
        <v xml:space="preserve"> </v>
      </c>
      <c r="J17" s="290"/>
      <c r="K17" s="238"/>
      <c r="L17" s="238"/>
      <c r="M17" s="291"/>
    </row>
    <row r="18" spans="1:13" x14ac:dyDescent="0.25">
      <c r="A18" s="16" t="str">
        <f>IF(inputPrYr!$B22&gt;"  ",inputPrYr!$B22,"  ")</f>
        <v xml:space="preserve">  </v>
      </c>
      <c r="B18" s="57" t="str">
        <f>IF('Levy Page 7'!$C$34&lt;&gt;0,'Levy Page 7'!$C$34,"  ")</f>
        <v xml:space="preserve">  </v>
      </c>
      <c r="C18" s="359" t="str">
        <f>IF(inputPrYr!D40&gt;0,inputPrYr!D40,"  ")</f>
        <v xml:space="preserve">  </v>
      </c>
      <c r="D18" s="322" t="str">
        <f>IF('Levy Page 7'!$D$34&lt;&gt;0,'Levy Page 7'!$D$34,"  ")</f>
        <v xml:space="preserve">  </v>
      </c>
      <c r="E18" s="361" t="str">
        <f>IF(inputOth!D20&gt;0,inputOth!D20,"  ")</f>
        <v xml:space="preserve">  </v>
      </c>
      <c r="F18" s="322" t="str">
        <f>IF('Levy Page 7'!$E$34&lt;&gt;0,'Levy Page 7'!$E$34,"  ")</f>
        <v xml:space="preserve">  </v>
      </c>
      <c r="G18" s="172" t="str">
        <f>IF('Levy Page 7'!$E$41&lt;&gt;0,'Levy Page 7'!$E$41,"  ")</f>
        <v xml:space="preserve">  </v>
      </c>
      <c r="H18" s="359" t="str">
        <f>IF('Levy Page 7'!E41&gt;0,ROUND(G18/$F$28*1000,3)," ")</f>
        <v xml:space="preserve"> </v>
      </c>
      <c r="J18" s="290" t="str">
        <f>CONCATENATE("",H2-1," Mill Rate Was:")</f>
        <v>2024 Mill Rate Was:</v>
      </c>
      <c r="K18" s="238"/>
      <c r="L18" s="238"/>
      <c r="M18" s="292">
        <f>E23</f>
        <v>0</v>
      </c>
    </row>
    <row r="19" spans="1:13" x14ac:dyDescent="0.25">
      <c r="A19" s="16" t="str">
        <f>IF(inputPrYr!$B23&gt;"  ",inputPrYr!$B23,"  ")</f>
        <v xml:space="preserve">  </v>
      </c>
      <c r="B19" s="57" t="str">
        <f>IF('Levy Page 7'!$C$73&lt;&gt;0,'Levy Page 7'!$C$73,"  ")</f>
        <v xml:space="preserve">  </v>
      </c>
      <c r="C19" s="359" t="str">
        <f>IF(inputPrYr!D41&gt;0,inputPrYr!D41,"  ")</f>
        <v xml:space="preserve">  </v>
      </c>
      <c r="D19" s="322" t="str">
        <f>IF('Levy Page 7'!$D$73&lt;&gt;0,'Levy Page 7'!$D$73,"  ")</f>
        <v xml:space="preserve">  </v>
      </c>
      <c r="E19" s="361" t="str">
        <f>IF(inputOth!D21&gt;0,inputOth!D21,"  ")</f>
        <v xml:space="preserve">  </v>
      </c>
      <c r="F19" s="322" t="str">
        <f>IF('Levy Page 7'!$E$73&lt;&gt;0,'Levy Page 7'!$E$73,"  ")</f>
        <v xml:space="preserve">  </v>
      </c>
      <c r="G19" s="172" t="str">
        <f>IF('Levy Page 7'!$E$80&lt;&gt;0,'Levy Page 7'!$E$80,"  ")</f>
        <v xml:space="preserve">  </v>
      </c>
      <c r="H19" s="359" t="str">
        <f>IF('Levy Page 7'!E80&gt;0,ROUND(G19/$F$28*1000,3)," ")</f>
        <v xml:space="preserve"> </v>
      </c>
      <c r="J19" s="293" t="str">
        <f>CONCATENATE("",H2," Tax Levy Fund Expenditures Must Be")</f>
        <v>2025 Tax Levy Fund Expenditures Must Be</v>
      </c>
      <c r="K19" s="294"/>
      <c r="L19" s="294"/>
      <c r="M19" s="291"/>
    </row>
    <row r="20" spans="1:13" x14ac:dyDescent="0.25">
      <c r="A20" s="16" t="str">
        <f>IF(inputPrYr!$B26&gt;"  ",inputPrYr!$B26,"  ")</f>
        <v xml:space="preserve">  </v>
      </c>
      <c r="B20" s="57" t="str">
        <f>IF('No Levy Page 8'!$C$30&lt;&gt;0,'No Levy Page 8'!$C$30,"  ")</f>
        <v xml:space="preserve">  </v>
      </c>
      <c r="C20" s="359"/>
      <c r="D20" s="322" t="str">
        <f>IF('No Levy Page 8'!$D$30&lt;&gt;0,'No Levy Page 8'!$D$30,"  ")</f>
        <v xml:space="preserve">  </v>
      </c>
      <c r="E20" s="361"/>
      <c r="F20" s="322" t="str">
        <f>IF('No Levy Page 8'!$E$30&lt;&gt;0,'No Levy Page 8'!$E$30,"  ")</f>
        <v xml:space="preserve">  </v>
      </c>
      <c r="G20" s="172"/>
      <c r="H20" s="359"/>
      <c r="J20" s="293" t="str">
        <f>IF(M20&gt;0,"Increased By:","")</f>
        <v/>
      </c>
      <c r="K20" s="294"/>
      <c r="L20" s="294"/>
      <c r="M20" s="295">
        <f>IF(M27&lt;0,M27*-1,0)</f>
        <v>0</v>
      </c>
    </row>
    <row r="21" spans="1:13" x14ac:dyDescent="0.2">
      <c r="A21" s="16" t="str">
        <f>IF(inputPrYr!$B27&gt;"  ",inputPrYr!$B27,"  ")</f>
        <v xml:space="preserve">  </v>
      </c>
      <c r="B21" s="57" t="str">
        <f>IF('No Levy Page 8'!$C$62&lt;&gt;0,'No Levy Page 8'!$C$62,"  ")</f>
        <v xml:space="preserve">  </v>
      </c>
      <c r="C21" s="359"/>
      <c r="D21" s="322" t="str">
        <f>IF('No Levy Page 8'!$D$62&lt;&gt;0,'No Levy Page 8'!$D$62,"  ")</f>
        <v xml:space="preserve">  </v>
      </c>
      <c r="E21" s="361"/>
      <c r="F21" s="322" t="str">
        <f>IF('No Levy Page 8'!$E$62&lt;&gt;0,'No Levy Page 8'!$E$62,"  ")</f>
        <v xml:space="preserve">  </v>
      </c>
      <c r="G21" s="172"/>
      <c r="H21" s="359"/>
      <c r="J21" s="296" t="str">
        <f>IF(M21&lt;0,"Reduced By:","")</f>
        <v/>
      </c>
      <c r="K21" s="263"/>
      <c r="L21" s="263"/>
      <c r="M21" s="297">
        <f>IF(M27&gt;0,M27*-1,0)</f>
        <v>0</v>
      </c>
    </row>
    <row r="22" spans="1:13" ht="16.5" thickBot="1" x14ac:dyDescent="0.3">
      <c r="A22" s="84" t="str">
        <f>IF((inputPrYr!$B$30&gt;" "),('Non-Budgeted Funds'!$A$3),"")</f>
        <v/>
      </c>
      <c r="B22" s="276" t="str">
        <f>IF('Non-Budgeted Funds'!K28&gt;0,'Non-Budgeted Funds'!K28,"")</f>
        <v/>
      </c>
      <c r="C22" s="360"/>
      <c r="D22" s="358"/>
      <c r="E22" s="362"/>
      <c r="F22" s="358"/>
      <c r="G22" s="363"/>
      <c r="H22" s="360"/>
      <c r="J22" s="298"/>
      <c r="K22" s="298"/>
      <c r="L22" s="298"/>
      <c r="M22" s="298"/>
    </row>
    <row r="23" spans="1:13" ht="16.5" thickBot="1" x14ac:dyDescent="0.3">
      <c r="A23" s="473" t="s">
        <v>88</v>
      </c>
      <c r="B23" s="474">
        <f>SUM(B16:B22)</f>
        <v>0</v>
      </c>
      <c r="C23" s="475">
        <f t="shared" ref="C23:H23" si="0">SUM(C16:C21)</f>
        <v>0</v>
      </c>
      <c r="D23" s="474">
        <f t="shared" si="0"/>
        <v>0</v>
      </c>
      <c r="E23" s="476">
        <f t="shared" si="0"/>
        <v>0</v>
      </c>
      <c r="F23" s="474">
        <f t="shared" si="0"/>
        <v>0</v>
      </c>
      <c r="G23" s="474">
        <f t="shared" si="0"/>
        <v>0</v>
      </c>
      <c r="H23" s="476">
        <f t="shared" si="0"/>
        <v>0</v>
      </c>
      <c r="J23" s="619" t="str">
        <f>CONCATENATE("Impact On Keeping The Same Mill Rate As For ",H2-1,"")</f>
        <v>Impact On Keeping The Same Mill Rate As For 2024</v>
      </c>
      <c r="K23" s="622"/>
      <c r="L23" s="622"/>
      <c r="M23" s="623"/>
    </row>
    <row r="24" spans="1:13" ht="16.5" thickTop="1" x14ac:dyDescent="0.25">
      <c r="A24" s="631" t="s">
        <v>621</v>
      </c>
      <c r="B24" s="632"/>
      <c r="C24" s="632"/>
      <c r="D24" s="632"/>
      <c r="E24" s="632"/>
      <c r="F24" s="632"/>
      <c r="G24" s="633"/>
      <c r="H24" s="472">
        <f>inputOth!D14</f>
        <v>0</v>
      </c>
      <c r="J24" s="290"/>
      <c r="K24" s="238"/>
      <c r="L24" s="238"/>
      <c r="M24" s="291"/>
    </row>
    <row r="25" spans="1:13" x14ac:dyDescent="0.25">
      <c r="A25" s="13" t="s">
        <v>110</v>
      </c>
      <c r="B25" s="22">
        <f>Transfers!C26</f>
        <v>0</v>
      </c>
      <c r="C25" s="86"/>
      <c r="D25" s="22">
        <f>Transfers!D26</f>
        <v>0</v>
      </c>
      <c r="E25" s="86"/>
      <c r="F25" s="357">
        <f>Transfers!E26</f>
        <v>0</v>
      </c>
      <c r="G25" s="96"/>
      <c r="H25" s="18"/>
      <c r="J25" s="290" t="str">
        <f>CONCATENATE("",H2," Ad Valorem Tax Revenue:")</f>
        <v>2025 Ad Valorem Tax Revenue:</v>
      </c>
      <c r="K25" s="238"/>
      <c r="L25" s="238"/>
      <c r="M25" s="286">
        <f>G23</f>
        <v>0</v>
      </c>
    </row>
    <row r="26" spans="1:13" ht="16.5" thickBot="1" x14ac:dyDescent="0.3">
      <c r="A26" s="13" t="s">
        <v>111</v>
      </c>
      <c r="B26" s="89">
        <f>SUM(B23-B25)</f>
        <v>0</v>
      </c>
      <c r="C26" s="208"/>
      <c r="D26" s="89">
        <f>SUM(D23-D25)</f>
        <v>0</v>
      </c>
      <c r="E26" s="208"/>
      <c r="F26" s="275">
        <f>SUM(F23-F25)</f>
        <v>0</v>
      </c>
      <c r="G26" s="96"/>
      <c r="H26" s="18"/>
      <c r="J26" s="290" t="str">
        <f>CONCATENATE("",H2-1," Ad Valorem Tax Revenue:")</f>
        <v>2024 Ad Valorem Tax Revenue:</v>
      </c>
      <c r="K26" s="238"/>
      <c r="L26" s="238"/>
      <c r="M26" s="299">
        <f>ROUND(F28*M18/1000,0)</f>
        <v>0</v>
      </c>
    </row>
    <row r="27" spans="1:13" ht="16.5" thickTop="1" x14ac:dyDescent="0.25">
      <c r="A27" s="13" t="s">
        <v>47</v>
      </c>
      <c r="B27" s="356">
        <f>inputPrYr!E44</f>
        <v>0</v>
      </c>
      <c r="C27" s="147"/>
      <c r="D27" s="356">
        <f>inputPrYr!E24</f>
        <v>0</v>
      </c>
      <c r="E27" s="147"/>
      <c r="F27" s="48" t="s">
        <v>116</v>
      </c>
      <c r="G27" s="3"/>
      <c r="H27" s="3"/>
      <c r="J27" s="300" t="s">
        <v>445</v>
      </c>
      <c r="K27" s="301"/>
      <c r="L27" s="301"/>
      <c r="M27" s="289">
        <f>M25-M26</f>
        <v>0</v>
      </c>
    </row>
    <row r="28" spans="1:13" x14ac:dyDescent="0.25">
      <c r="A28" s="13" t="s">
        <v>112</v>
      </c>
      <c r="B28" s="22">
        <f>inputPrYr!E45</f>
        <v>0</v>
      </c>
      <c r="C28" s="147"/>
      <c r="D28" s="22">
        <f>inputOth!E26</f>
        <v>0</v>
      </c>
      <c r="E28" s="147"/>
      <c r="F28" s="22">
        <f>inputOth!E7</f>
        <v>0</v>
      </c>
      <c r="G28" s="3"/>
      <c r="H28" s="3"/>
      <c r="J28" s="298"/>
      <c r="K28" s="298"/>
      <c r="L28" s="298"/>
      <c r="M28" s="298"/>
    </row>
    <row r="29" spans="1:13" x14ac:dyDescent="0.25">
      <c r="A29" s="2"/>
      <c r="B29" s="96"/>
      <c r="C29" s="3"/>
      <c r="D29" s="96"/>
      <c r="E29" s="3"/>
      <c r="F29" s="96"/>
      <c r="G29" s="3"/>
      <c r="H29" s="3"/>
      <c r="J29" s="619" t="s">
        <v>446</v>
      </c>
      <c r="K29" s="620"/>
      <c r="L29" s="620"/>
      <c r="M29" s="621"/>
    </row>
    <row r="30" spans="1:13" x14ac:dyDescent="0.25">
      <c r="A30" s="2" t="s">
        <v>48</v>
      </c>
      <c r="B30" s="3"/>
      <c r="C30" s="3"/>
      <c r="D30" s="3"/>
      <c r="E30" s="3"/>
      <c r="F30" s="3"/>
      <c r="G30" s="3"/>
      <c r="H30" s="3"/>
      <c r="J30" s="481" t="s">
        <v>619</v>
      </c>
      <c r="K30" s="238"/>
      <c r="L30" s="238"/>
      <c r="M30" s="482">
        <f>H24</f>
        <v>0</v>
      </c>
    </row>
    <row r="31" spans="1:13" x14ac:dyDescent="0.25">
      <c r="A31" s="2" t="s">
        <v>109</v>
      </c>
      <c r="B31" s="61">
        <f>H2-3</f>
        <v>2022</v>
      </c>
      <c r="C31" s="3"/>
      <c r="D31" s="61">
        <f>H2-2</f>
        <v>2023</v>
      </c>
      <c r="E31" s="3"/>
      <c r="F31" s="61">
        <f>H2-1</f>
        <v>2024</v>
      </c>
      <c r="G31" s="3"/>
      <c r="H31" s="3"/>
      <c r="J31" s="290" t="str">
        <f>CONCATENATE("Current ",H2," Estimated Mill Rate:")</f>
        <v>Current 2025 Estimated Mill Rate:</v>
      </c>
      <c r="K31" s="238"/>
      <c r="L31" s="238"/>
      <c r="M31" s="292">
        <f>H23</f>
        <v>0</v>
      </c>
    </row>
    <row r="32" spans="1:13" x14ac:dyDescent="0.25">
      <c r="A32" s="2" t="s">
        <v>49</v>
      </c>
      <c r="B32" s="209">
        <f>inputPrYr!D48</f>
        <v>0</v>
      </c>
      <c r="C32" s="96"/>
      <c r="D32" s="209">
        <f>inputPrYr!E48</f>
        <v>0</v>
      </c>
      <c r="E32" s="3"/>
      <c r="F32" s="209">
        <f>'Debt - LP Form'!F12</f>
        <v>0</v>
      </c>
      <c r="G32" s="3"/>
      <c r="H32" s="29"/>
      <c r="J32" s="290" t="str">
        <f>CONCATENATE("Desired ",H2," Mill Rate:")</f>
        <v>Desired 2025 Mill Rate:</v>
      </c>
      <c r="K32" s="238"/>
      <c r="L32" s="238"/>
      <c r="M32" s="302">
        <v>0</v>
      </c>
    </row>
    <row r="33" spans="1:13" x14ac:dyDescent="0.25">
      <c r="A33" s="3" t="s">
        <v>50</v>
      </c>
      <c r="B33" s="209">
        <f>inputPrYr!D49</f>
        <v>0</v>
      </c>
      <c r="C33" s="3"/>
      <c r="D33" s="209">
        <f>inputPrYr!E49</f>
        <v>0</v>
      </c>
      <c r="E33" s="3"/>
      <c r="F33" s="209">
        <f>'Debt - LP Form'!F16</f>
        <v>0</v>
      </c>
      <c r="G33" s="3"/>
      <c r="H33" s="29"/>
      <c r="J33" s="290" t="str">
        <f>CONCATENATE("",H2," Ad Valorem Tax:")</f>
        <v>2025 Ad Valorem Tax:</v>
      </c>
      <c r="K33" s="238"/>
      <c r="L33" s="238"/>
      <c r="M33" s="299">
        <f>ROUND(F28*M32/1000,0)</f>
        <v>0</v>
      </c>
    </row>
    <row r="34" spans="1:13" x14ac:dyDescent="0.25">
      <c r="A34" s="2" t="s">
        <v>440</v>
      </c>
      <c r="B34" s="209">
        <f>inputPrYr!D50</f>
        <v>0</v>
      </c>
      <c r="C34" s="96"/>
      <c r="D34" s="209">
        <f>inputPrYr!E50</f>
        <v>0</v>
      </c>
      <c r="E34" s="3"/>
      <c r="F34" s="209">
        <f>'Debt - LP Form'!F20</f>
        <v>0</v>
      </c>
      <c r="G34" s="3"/>
      <c r="H34" s="29"/>
      <c r="J34" s="300" t="str">
        <f>CONCATENATE("",H2," Tax Levy Fund Exp. Changed By:")</f>
        <v>2025 Tax Levy Fund Exp. Changed By:</v>
      </c>
      <c r="K34" s="301"/>
      <c r="L34" s="301"/>
      <c r="M34" s="289">
        <f>IF(M32=0,0,(M33-G23))</f>
        <v>0</v>
      </c>
    </row>
    <row r="35" spans="1:13" x14ac:dyDescent="0.2">
      <c r="A35" s="2" t="s">
        <v>89</v>
      </c>
      <c r="B35" s="209">
        <f>inputPrYr!D51</f>
        <v>0</v>
      </c>
      <c r="C35" s="3"/>
      <c r="D35" s="209">
        <f>inputPrYr!E51</f>
        <v>0</v>
      </c>
      <c r="E35" s="3"/>
      <c r="F35" s="209">
        <f>'Debt - LP Form'!G41</f>
        <v>0</v>
      </c>
      <c r="G35" s="3"/>
      <c r="H35" s="29"/>
    </row>
    <row r="36" spans="1:13" ht="16.5" thickBot="1" x14ac:dyDescent="0.25">
      <c r="A36" s="5" t="s">
        <v>51</v>
      </c>
      <c r="B36" s="210">
        <f>SUM(B32:B35)</f>
        <v>0</v>
      </c>
      <c r="C36" s="3"/>
      <c r="D36" s="210">
        <f>SUM(D32:D35)</f>
        <v>0</v>
      </c>
      <c r="E36" s="3"/>
      <c r="F36" s="210">
        <f>SUM(F32:F35)</f>
        <v>0</v>
      </c>
      <c r="G36" s="211"/>
      <c r="H36" s="29"/>
      <c r="J36" s="625" t="s">
        <v>728</v>
      </c>
      <c r="K36" s="626"/>
      <c r="L36" s="626"/>
      <c r="M36" s="629" t="str">
        <f>IF(H23&gt;H24, "Yes", "No")</f>
        <v>No</v>
      </c>
    </row>
    <row r="37" spans="1:13" ht="16.5" thickTop="1" x14ac:dyDescent="0.2">
      <c r="A37" s="29"/>
      <c r="B37" s="3"/>
      <c r="C37" s="3"/>
      <c r="D37" s="3"/>
      <c r="E37" s="3"/>
      <c r="F37" s="3"/>
      <c r="G37" s="3"/>
      <c r="H37" s="29"/>
      <c r="J37" s="627"/>
      <c r="K37" s="628"/>
      <c r="L37" s="628"/>
      <c r="M37" s="630"/>
    </row>
    <row r="38" spans="1:13" x14ac:dyDescent="0.2">
      <c r="A38" s="5" t="s">
        <v>52</v>
      </c>
      <c r="B38" s="3"/>
      <c r="C38" s="3"/>
      <c r="D38" s="3"/>
      <c r="E38" s="154"/>
      <c r="F38" s="154"/>
      <c r="G38" s="3"/>
      <c r="H38" s="29"/>
      <c r="J38" s="578" t="str">
        <f>IF(M36="Yes", "Follow procedure prescirbed by KSA 79-2988 to exceed the Revenue Neutral Rate.", " ")</f>
        <v xml:space="preserve"> </v>
      </c>
      <c r="K38" s="578"/>
      <c r="L38" s="578"/>
      <c r="M38" s="578"/>
    </row>
    <row r="39" spans="1:13" x14ac:dyDescent="0.2">
      <c r="A39" s="443" t="s">
        <v>727</v>
      </c>
      <c r="B39" s="3"/>
      <c r="C39" s="3"/>
      <c r="D39" s="3"/>
      <c r="E39" s="3"/>
      <c r="F39" s="3"/>
      <c r="G39" s="3"/>
      <c r="H39" s="29"/>
      <c r="J39" s="579"/>
      <c r="K39" s="579"/>
      <c r="L39" s="579"/>
      <c r="M39" s="579"/>
    </row>
    <row r="40" spans="1:13" x14ac:dyDescent="0.2">
      <c r="A40" s="3"/>
      <c r="B40" s="3"/>
      <c r="C40" s="3"/>
      <c r="D40" s="3"/>
      <c r="E40" s="3"/>
      <c r="F40" s="3"/>
      <c r="G40" s="3"/>
      <c r="H40" s="3"/>
      <c r="J40" s="579"/>
      <c r="K40" s="579"/>
      <c r="L40" s="579"/>
      <c r="M40" s="579"/>
    </row>
    <row r="41" spans="1:13" x14ac:dyDescent="0.2">
      <c r="A41" s="624">
        <f>inputHearing!B28</f>
        <v>0</v>
      </c>
      <c r="B41" s="565"/>
      <c r="C41" s="62"/>
      <c r="D41" s="3"/>
      <c r="E41" s="3"/>
      <c r="F41" s="3"/>
      <c r="G41" s="3"/>
      <c r="H41" s="29"/>
    </row>
    <row r="42" spans="1:13" x14ac:dyDescent="0.2">
      <c r="A42" s="617">
        <f>inputHearing!B30</f>
        <v>0</v>
      </c>
      <c r="B42" s="618"/>
      <c r="C42" s="3"/>
      <c r="D42" s="92" t="s">
        <v>39</v>
      </c>
      <c r="E42" s="397"/>
      <c r="F42" s="3"/>
      <c r="G42" s="3"/>
      <c r="H42" s="29"/>
    </row>
    <row r="44" spans="1:13" x14ac:dyDescent="0.2">
      <c r="A44" s="1"/>
      <c r="B44" s="1"/>
      <c r="C44" s="1"/>
      <c r="D44" s="1"/>
      <c r="E44" s="1"/>
      <c r="F44" s="1"/>
      <c r="G44" s="1"/>
      <c r="H44" s="1"/>
    </row>
    <row r="46" spans="1:13" x14ac:dyDescent="0.2">
      <c r="A46" s="1"/>
      <c r="B46" s="1"/>
      <c r="C46" s="1"/>
      <c r="D46" s="1"/>
      <c r="E46" s="1"/>
      <c r="F46" s="1"/>
      <c r="G46" s="1"/>
      <c r="H46" s="1"/>
    </row>
    <row r="47" spans="1:13" x14ac:dyDescent="0.2">
      <c r="A47" s="1"/>
      <c r="B47" s="1"/>
      <c r="C47" s="1"/>
      <c r="D47" s="1"/>
      <c r="E47" s="1"/>
      <c r="F47" s="1"/>
      <c r="G47" s="1"/>
      <c r="H47" s="1"/>
    </row>
    <row r="48" spans="1:13" x14ac:dyDescent="0.2">
      <c r="A48" s="1"/>
      <c r="B48" s="1"/>
      <c r="C48" s="1"/>
      <c r="D48" s="1"/>
      <c r="E48" s="1"/>
      <c r="F48" s="1"/>
      <c r="G48" s="1"/>
      <c r="H48" s="1"/>
    </row>
    <row r="49" spans="1:8" x14ac:dyDescent="0.2">
      <c r="A49" s="1"/>
      <c r="B49" s="1"/>
      <c r="C49" s="1"/>
      <c r="D49" s="1"/>
      <c r="E49" s="1"/>
      <c r="F49" s="1"/>
      <c r="G49" s="1"/>
      <c r="H49" s="1"/>
    </row>
    <row r="50" spans="1:8" x14ac:dyDescent="0.2">
      <c r="A50" s="1"/>
      <c r="B50" s="1"/>
      <c r="C50" s="1"/>
      <c r="D50" s="1"/>
      <c r="E50" s="1"/>
      <c r="F50" s="1"/>
      <c r="G50" s="1"/>
      <c r="H50" s="1"/>
    </row>
    <row r="51" spans="1:8" x14ac:dyDescent="0.2">
      <c r="A51" s="1"/>
      <c r="B51" s="1"/>
      <c r="C51" s="1"/>
      <c r="D51" s="1"/>
      <c r="E51" s="1"/>
      <c r="F51" s="1"/>
      <c r="G51" s="1"/>
      <c r="H51" s="1"/>
    </row>
    <row r="52" spans="1:8" x14ac:dyDescent="0.2">
      <c r="A52" s="1"/>
      <c r="B52" s="1"/>
      <c r="C52" s="1"/>
      <c r="D52" s="1"/>
      <c r="E52" s="1"/>
      <c r="F52" s="1"/>
      <c r="G52" s="1"/>
      <c r="H52" s="1"/>
    </row>
    <row r="53" spans="1:8" x14ac:dyDescent="0.2">
      <c r="A53" s="1"/>
      <c r="B53" s="1"/>
      <c r="C53" s="1"/>
      <c r="D53" s="1"/>
      <c r="E53" s="1"/>
      <c r="F53" s="1"/>
      <c r="G53" s="1"/>
      <c r="H53" s="1"/>
    </row>
    <row r="54" spans="1:8" x14ac:dyDescent="0.2">
      <c r="A54" s="1"/>
      <c r="B54" s="1"/>
      <c r="C54" s="1"/>
      <c r="D54" s="1"/>
      <c r="E54" s="1"/>
      <c r="F54" s="1"/>
      <c r="G54" s="1"/>
      <c r="H54" s="1"/>
    </row>
  </sheetData>
  <sheetProtection sheet="1"/>
  <mergeCells count="19">
    <mergeCell ref="A1:H1"/>
    <mergeCell ref="A3:H3"/>
    <mergeCell ref="A4:H4"/>
    <mergeCell ref="A5:H5"/>
    <mergeCell ref="A6:H6"/>
    <mergeCell ref="J12:M12"/>
    <mergeCell ref="A7:H7"/>
    <mergeCell ref="F14:F15"/>
    <mergeCell ref="G14:G15"/>
    <mergeCell ref="H14:H15"/>
    <mergeCell ref="J38:M40"/>
    <mergeCell ref="A41:B41"/>
    <mergeCell ref="A42:B42"/>
    <mergeCell ref="J16:M16"/>
    <mergeCell ref="J23:M23"/>
    <mergeCell ref="A24:G24"/>
    <mergeCell ref="J29:M29"/>
    <mergeCell ref="J36:L37"/>
    <mergeCell ref="M36:M37"/>
  </mergeCells>
  <conditionalFormatting sqref="M36:M37">
    <cfRule type="containsText" dxfId="1" priority="1" operator="containsText" text="Yes">
      <formula>NOT(ISERROR(SEARCH("Yes",M36)))</formula>
    </cfRule>
  </conditionalFormatting>
  <pageMargins left="1" right="1" top="0.5" bottom="0.5" header="0.5" footer="0.5"/>
  <pageSetup scale="64" orientation="portrait" blackAndWhite="1" horizontalDpi="120" verticalDpi="144" r:id="rId1"/>
  <headerFooter alignWithMargins="0">
    <oddHeader xml:space="preserve">&amp;RState of Kansas
Special District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sheetPr>
  <dimension ref="A1:H37"/>
  <sheetViews>
    <sheetView workbookViewId="0">
      <selection activeCell="E17" sqref="E17"/>
    </sheetView>
  </sheetViews>
  <sheetFormatPr defaultColWidth="13.77734375" defaultRowHeight="15.75" x14ac:dyDescent="0.2"/>
  <cols>
    <col min="1" max="1" width="14.109375" style="58" customWidth="1"/>
    <col min="2" max="2" width="12.77734375" style="58" customWidth="1"/>
    <col min="3" max="3" width="8.77734375" style="58" customWidth="1"/>
    <col min="4" max="4" width="7.33203125" style="58" customWidth="1"/>
    <col min="5" max="5" width="8.5546875" style="58" customWidth="1"/>
    <col min="6" max="6" width="12.77734375" style="58" customWidth="1"/>
    <col min="7" max="7" width="11.88671875" style="58" customWidth="1"/>
    <col min="8" max="8" width="14.109375" style="58" customWidth="1"/>
    <col min="9" max="252" width="8.88671875" style="58" customWidth="1"/>
    <col min="253" max="253" width="15.77734375" style="58" customWidth="1"/>
    <col min="254" max="254" width="12.77734375" style="58" customWidth="1"/>
    <col min="255" max="255" width="8.77734375" style="58" customWidth="1"/>
    <col min="256" max="16384" width="13.77734375" style="58"/>
  </cols>
  <sheetData>
    <row r="1" spans="1:8" x14ac:dyDescent="0.2">
      <c r="A1" s="3"/>
      <c r="B1" s="3"/>
      <c r="C1" s="3"/>
      <c r="D1" s="3"/>
      <c r="E1" s="3"/>
      <c r="F1" s="3"/>
      <c r="G1" s="3"/>
      <c r="H1" s="29">
        <f>inputPrYr!D6</f>
        <v>2025</v>
      </c>
    </row>
    <row r="2" spans="1:8" x14ac:dyDescent="0.2">
      <c r="A2" s="609" t="s">
        <v>731</v>
      </c>
      <c r="B2" s="567"/>
      <c r="C2" s="567"/>
      <c r="D2" s="567"/>
      <c r="E2" s="567"/>
      <c r="F2" s="567"/>
      <c r="G2" s="567"/>
      <c r="H2" s="567"/>
    </row>
    <row r="3" spans="1:8" x14ac:dyDescent="0.2">
      <c r="A3" s="3"/>
      <c r="B3" s="3"/>
      <c r="C3" s="3"/>
      <c r="D3" s="3"/>
      <c r="E3" s="3"/>
      <c r="F3" s="3"/>
      <c r="G3" s="3"/>
      <c r="H3" s="3"/>
    </row>
    <row r="4" spans="1:8" x14ac:dyDescent="0.2">
      <c r="A4" s="566" t="s">
        <v>80</v>
      </c>
      <c r="B4" s="566"/>
      <c r="C4" s="566"/>
      <c r="D4" s="566"/>
      <c r="E4" s="566"/>
      <c r="F4" s="566"/>
      <c r="G4" s="566"/>
      <c r="H4" s="566"/>
    </row>
    <row r="5" spans="1:8" x14ac:dyDescent="0.2">
      <c r="A5" s="538">
        <f>inputPrYr!D3</f>
        <v>0</v>
      </c>
      <c r="B5" s="533"/>
      <c r="C5" s="533"/>
      <c r="D5" s="533"/>
      <c r="E5" s="533"/>
      <c r="F5" s="533"/>
      <c r="G5" s="533"/>
      <c r="H5" s="533"/>
    </row>
    <row r="6" spans="1:8" x14ac:dyDescent="0.2">
      <c r="A6" s="566" t="str">
        <f>CONCATENATE("will meet on ",inputHearing!B42," at ",inputHearing!B44," at ",inputHearing!B46," for the purpose of hearing and")</f>
        <v>will meet on  at  at  for the purpose of hearing and</v>
      </c>
      <c r="B6" s="566"/>
      <c r="C6" s="566"/>
      <c r="D6" s="566"/>
      <c r="E6" s="566"/>
      <c r="F6" s="566"/>
      <c r="G6" s="566"/>
      <c r="H6" s="566"/>
    </row>
    <row r="7" spans="1:8" ht="14.25" customHeight="1" x14ac:dyDescent="0.2">
      <c r="A7" s="566" t="s">
        <v>732</v>
      </c>
      <c r="B7" s="566"/>
      <c r="C7" s="566"/>
      <c r="D7" s="566"/>
      <c r="E7" s="566"/>
      <c r="F7" s="566"/>
      <c r="G7" s="566"/>
      <c r="H7" s="566"/>
    </row>
    <row r="8" spans="1:8" ht="11.25" customHeight="1" x14ac:dyDescent="0.2">
      <c r="A8" s="3"/>
      <c r="B8" s="3"/>
      <c r="C8" s="3"/>
      <c r="D8" s="3"/>
      <c r="E8" s="3"/>
      <c r="F8" s="3"/>
      <c r="G8" s="3"/>
      <c r="H8" s="3"/>
    </row>
    <row r="9" spans="1:8" ht="15" customHeight="1" x14ac:dyDescent="0.2">
      <c r="A9" s="533" t="s">
        <v>733</v>
      </c>
      <c r="B9" s="533"/>
      <c r="C9" s="533"/>
      <c r="D9" s="533"/>
      <c r="E9" s="533"/>
      <c r="F9" s="533"/>
      <c r="G9" s="533"/>
      <c r="H9" s="533"/>
    </row>
    <row r="10" spans="1:8" ht="12" customHeight="1" x14ac:dyDescent="0.2">
      <c r="A10" s="557">
        <f>inputPrYr!D4</f>
        <v>0</v>
      </c>
      <c r="B10" s="566"/>
      <c r="C10" s="566"/>
      <c r="D10" s="566"/>
      <c r="E10" s="566"/>
      <c r="F10" s="566"/>
      <c r="G10" s="566"/>
      <c r="H10" s="566"/>
    </row>
    <row r="11" spans="1:8" x14ac:dyDescent="0.2">
      <c r="A11" s="60"/>
      <c r="B11" s="8"/>
      <c r="C11" s="8"/>
      <c r="D11" s="8"/>
      <c r="E11" s="8"/>
      <c r="F11" s="8"/>
      <c r="G11" s="8"/>
      <c r="H11" s="8"/>
    </row>
    <row r="12" spans="1:8" x14ac:dyDescent="0.2">
      <c r="A12" s="60"/>
      <c r="B12" s="635" t="s">
        <v>734</v>
      </c>
      <c r="C12" s="635"/>
      <c r="D12" s="483">
        <f>'Budget Hearing Notice'!H24</f>
        <v>0</v>
      </c>
      <c r="E12" s="635" t="s">
        <v>735</v>
      </c>
      <c r="F12" s="635"/>
      <c r="G12" s="484">
        <f>'Budget Hearing Notice'!H23</f>
        <v>0</v>
      </c>
      <c r="H12" s="8"/>
    </row>
    <row r="13" spans="1:8" x14ac:dyDescent="0.2">
      <c r="A13" s="3"/>
      <c r="B13" s="62"/>
      <c r="C13" s="62"/>
      <c r="D13" s="62"/>
      <c r="E13" s="62"/>
      <c r="F13" s="62"/>
      <c r="G13" s="62"/>
      <c r="H13" s="62"/>
    </row>
    <row r="14" spans="1:8" x14ac:dyDescent="0.2">
      <c r="A14" s="3"/>
      <c r="B14" s="634" t="s">
        <v>736</v>
      </c>
      <c r="C14" s="634"/>
      <c r="D14" s="634"/>
      <c r="E14" s="634"/>
      <c r="F14" s="634"/>
      <c r="G14" s="3"/>
      <c r="H14" s="29"/>
    </row>
    <row r="15" spans="1:8" x14ac:dyDescent="0.2">
      <c r="A15" s="3"/>
      <c r="B15" s="634" t="s">
        <v>737</v>
      </c>
      <c r="C15" s="634"/>
      <c r="D15" s="634"/>
      <c r="E15" s="634"/>
      <c r="F15" s="634"/>
      <c r="G15" s="3"/>
      <c r="H15" s="29"/>
    </row>
    <row r="16" spans="1:8" x14ac:dyDescent="0.2">
      <c r="A16" s="3"/>
      <c r="B16" s="485"/>
      <c r="C16" s="485"/>
      <c r="D16" s="485"/>
      <c r="E16" s="485"/>
      <c r="F16" s="485"/>
      <c r="G16" s="3"/>
      <c r="H16" s="29"/>
    </row>
    <row r="17" spans="1:8" x14ac:dyDescent="0.2">
      <c r="A17" s="3"/>
      <c r="B17" s="485"/>
      <c r="C17" s="485"/>
      <c r="D17" s="92" t="s">
        <v>738</v>
      </c>
      <c r="E17" s="396"/>
      <c r="F17" s="485"/>
      <c r="G17" s="3"/>
      <c r="H17" s="29"/>
    </row>
    <row r="19" spans="1:8" x14ac:dyDescent="0.2">
      <c r="A19" s="1"/>
      <c r="B19" s="1"/>
      <c r="C19" s="1"/>
      <c r="D19" s="1"/>
      <c r="E19" s="1"/>
      <c r="F19" s="1"/>
      <c r="G19" s="1"/>
      <c r="H19" s="1"/>
    </row>
    <row r="21" spans="1:8" x14ac:dyDescent="0.2">
      <c r="A21" s="1"/>
      <c r="B21" s="1"/>
      <c r="C21" s="1"/>
      <c r="D21" s="1"/>
      <c r="E21" s="1"/>
      <c r="F21" s="1"/>
      <c r="G21" s="1"/>
      <c r="H21" s="1"/>
    </row>
    <row r="22" spans="1:8" x14ac:dyDescent="0.2">
      <c r="A22" s="1"/>
      <c r="B22" s="1"/>
      <c r="C22" s="1"/>
      <c r="D22" s="1"/>
      <c r="E22" s="1"/>
      <c r="F22" s="1"/>
      <c r="G22" s="1"/>
      <c r="H22" s="1"/>
    </row>
    <row r="23" spans="1:8" x14ac:dyDescent="0.2">
      <c r="A23" s="1"/>
      <c r="B23" s="1"/>
      <c r="C23" s="1"/>
      <c r="D23" s="1"/>
      <c r="E23" s="1"/>
      <c r="F23" s="1"/>
      <c r="G23" s="1"/>
      <c r="H23" s="1"/>
    </row>
    <row r="24" spans="1:8" x14ac:dyDescent="0.2">
      <c r="A24" s="1"/>
      <c r="B24" s="1"/>
      <c r="C24" s="1"/>
      <c r="D24" s="1"/>
      <c r="E24" s="1"/>
      <c r="F24" s="1"/>
      <c r="G24" s="1"/>
      <c r="H24" s="1"/>
    </row>
    <row r="25" spans="1:8" x14ac:dyDescent="0.2">
      <c r="A25" s="1"/>
      <c r="B25" s="1"/>
      <c r="C25" s="1"/>
      <c r="D25" s="1"/>
      <c r="E25" s="1"/>
      <c r="F25" s="1"/>
      <c r="G25" s="1"/>
      <c r="H25" s="1"/>
    </row>
    <row r="26" spans="1:8" x14ac:dyDescent="0.2">
      <c r="A26" s="1"/>
      <c r="B26" s="1"/>
      <c r="C26" s="1"/>
      <c r="D26" s="1"/>
      <c r="E26" s="1"/>
      <c r="F26" s="1"/>
      <c r="G26" s="1"/>
      <c r="H26" s="1"/>
    </row>
    <row r="27" spans="1:8" x14ac:dyDescent="0.2">
      <c r="A27" s="1"/>
      <c r="B27" s="1"/>
      <c r="C27" s="1"/>
      <c r="D27" s="1"/>
      <c r="E27" s="1"/>
      <c r="F27" s="1"/>
      <c r="G27" s="1"/>
      <c r="H27" s="1"/>
    </row>
    <row r="28" spans="1:8" x14ac:dyDescent="0.2">
      <c r="A28" s="1"/>
      <c r="B28" s="1"/>
      <c r="C28" s="1"/>
      <c r="D28" s="1"/>
      <c r="E28" s="1"/>
      <c r="F28" s="1"/>
      <c r="G28" s="1"/>
      <c r="H28" s="1"/>
    </row>
    <row r="29" spans="1:8" x14ac:dyDescent="0.2">
      <c r="A29" s="1"/>
      <c r="B29" s="1"/>
      <c r="C29" s="1"/>
      <c r="D29" s="1"/>
      <c r="E29" s="1"/>
      <c r="F29" s="1"/>
      <c r="G29" s="1"/>
      <c r="H29" s="1"/>
    </row>
    <row r="37" ht="15" customHeight="1" x14ac:dyDescent="0.2"/>
  </sheetData>
  <sheetProtection sheet="1" objects="1" scenarios="1"/>
  <mergeCells count="11">
    <mergeCell ref="B15:F15"/>
    <mergeCell ref="A2:H2"/>
    <mergeCell ref="A4:H4"/>
    <mergeCell ref="A5:H5"/>
    <mergeCell ref="A6:H6"/>
    <mergeCell ref="A7:H7"/>
    <mergeCell ref="A9:H9"/>
    <mergeCell ref="A10:H10"/>
    <mergeCell ref="B12:C12"/>
    <mergeCell ref="E12:F12"/>
    <mergeCell ref="B14:F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2"/>
  <sheetViews>
    <sheetView workbookViewId="0">
      <selection activeCell="E24" sqref="E24"/>
    </sheetView>
  </sheetViews>
  <sheetFormatPr defaultRowHeight="15.75" x14ac:dyDescent="0.2"/>
  <cols>
    <col min="1" max="1" width="15.77734375" style="1" customWidth="1"/>
    <col min="2" max="2" width="20.77734375" style="1" customWidth="1"/>
    <col min="3" max="3" width="9.77734375" style="1" customWidth="1"/>
    <col min="4" max="4" width="15.6640625" style="1" customWidth="1"/>
    <col min="5" max="5" width="14.21875" style="1" customWidth="1"/>
    <col min="6" max="6" width="1.77734375" style="1" customWidth="1"/>
    <col min="7" max="7" width="18.6640625" style="1" customWidth="1"/>
    <col min="8" max="16384" width="8.88671875" style="1"/>
  </cols>
  <sheetData>
    <row r="1" spans="1:8" x14ac:dyDescent="0.2">
      <c r="A1" s="533" t="s">
        <v>464</v>
      </c>
      <c r="B1" s="534"/>
      <c r="C1" s="534"/>
      <c r="D1" s="534"/>
      <c r="E1" s="534"/>
    </row>
    <row r="2" spans="1:8" x14ac:dyDescent="0.2">
      <c r="A2" s="2"/>
      <c r="B2" s="3"/>
      <c r="C2" s="3"/>
      <c r="D2" s="3"/>
      <c r="E2" s="3"/>
    </row>
    <row r="3" spans="1:8" x14ac:dyDescent="0.2">
      <c r="A3" s="4" t="s">
        <v>465</v>
      </c>
      <c r="B3" s="3"/>
      <c r="C3" s="3"/>
      <c r="D3" s="365"/>
      <c r="E3" s="2"/>
    </row>
    <row r="4" spans="1:8" x14ac:dyDescent="0.2">
      <c r="A4" s="4" t="s">
        <v>469</v>
      </c>
      <c r="B4" s="3"/>
      <c r="C4" s="3"/>
      <c r="D4" s="365"/>
      <c r="E4" s="2"/>
    </row>
    <row r="5" spans="1:8" x14ac:dyDescent="0.2">
      <c r="A5" s="2"/>
      <c r="B5" s="3"/>
      <c r="C5" s="3"/>
      <c r="D5" s="5"/>
      <c r="E5" s="2"/>
    </row>
    <row r="6" spans="1:8" x14ac:dyDescent="0.2">
      <c r="A6" s="4" t="s">
        <v>466</v>
      </c>
      <c r="B6" s="3"/>
      <c r="C6" s="3"/>
      <c r="D6" s="6">
        <v>2025</v>
      </c>
      <c r="E6" s="2"/>
    </row>
    <row r="7" spans="1:8" x14ac:dyDescent="0.2">
      <c r="A7" s="3"/>
      <c r="B7" s="3"/>
      <c r="C7" s="3"/>
      <c r="D7" s="3"/>
      <c r="E7" s="3"/>
    </row>
    <row r="8" spans="1:8" x14ac:dyDescent="0.2">
      <c r="A8" s="537" t="s">
        <v>467</v>
      </c>
      <c r="B8" s="537"/>
      <c r="C8" s="537"/>
      <c r="D8" s="537"/>
      <c r="E8" s="537"/>
    </row>
    <row r="9" spans="1:8" x14ac:dyDescent="0.2">
      <c r="A9" s="537"/>
      <c r="B9" s="537"/>
      <c r="C9" s="537"/>
      <c r="D9" s="537"/>
      <c r="E9" s="537"/>
    </row>
    <row r="10" spans="1:8" ht="15.75" customHeight="1" x14ac:dyDescent="0.2">
      <c r="A10" s="537"/>
      <c r="B10" s="537"/>
      <c r="C10" s="537"/>
      <c r="D10" s="537"/>
      <c r="E10" s="537"/>
      <c r="F10" s="3"/>
      <c r="G10" s="523" t="s">
        <v>468</v>
      </c>
      <c r="H10" s="524"/>
    </row>
    <row r="11" spans="1:8" x14ac:dyDescent="0.2">
      <c r="A11" s="9"/>
      <c r="B11" s="3"/>
      <c r="C11" s="3"/>
      <c r="D11" s="3"/>
      <c r="E11" s="3"/>
      <c r="F11" s="3"/>
      <c r="G11" s="525"/>
      <c r="H11" s="526"/>
    </row>
    <row r="12" spans="1:8" x14ac:dyDescent="0.2">
      <c r="A12" s="531" t="s">
        <v>462</v>
      </c>
      <c r="B12" s="532"/>
      <c r="C12" s="532"/>
      <c r="D12" s="532"/>
      <c r="E12" s="532"/>
      <c r="F12" s="3"/>
      <c r="G12" s="525"/>
      <c r="H12" s="526"/>
    </row>
    <row r="13" spans="1:8" x14ac:dyDescent="0.2">
      <c r="A13" s="9"/>
      <c r="B13" s="3"/>
      <c r="C13" s="3"/>
      <c r="D13" s="3"/>
      <c r="E13" s="3"/>
      <c r="F13" s="3"/>
      <c r="G13" s="525"/>
      <c r="H13" s="526"/>
    </row>
    <row r="14" spans="1:8" x14ac:dyDescent="0.2">
      <c r="A14" s="377" t="s">
        <v>98</v>
      </c>
      <c r="B14" s="378"/>
      <c r="C14" s="3"/>
      <c r="D14" s="3"/>
      <c r="E14" s="3"/>
      <c r="F14" s="3"/>
      <c r="G14" s="525"/>
      <c r="H14" s="526"/>
    </row>
    <row r="15" spans="1:8" x14ac:dyDescent="0.2">
      <c r="A15" s="379" t="str">
        <f>CONCATENATE("the ",D6-1," Budget, Certificate Page:")</f>
        <v>the 2024 Budget, Certificate Page:</v>
      </c>
      <c r="B15" s="380"/>
      <c r="C15" s="3"/>
      <c r="D15" s="3"/>
      <c r="E15" s="3"/>
      <c r="F15" s="3"/>
      <c r="G15" s="525"/>
      <c r="H15" s="526"/>
    </row>
    <row r="16" spans="1:8" x14ac:dyDescent="0.2">
      <c r="A16" s="381" t="s">
        <v>180</v>
      </c>
      <c r="B16" s="382"/>
      <c r="C16" s="3"/>
      <c r="D16" s="3"/>
      <c r="E16" s="3"/>
      <c r="F16" s="3"/>
      <c r="G16" s="527"/>
      <c r="H16" s="528"/>
    </row>
    <row r="17" spans="1:8" x14ac:dyDescent="0.2">
      <c r="A17" s="3"/>
      <c r="B17" s="3"/>
      <c r="C17" s="10"/>
      <c r="D17" s="11">
        <f>D6-1</f>
        <v>2024</v>
      </c>
      <c r="E17" s="535" t="str">
        <f>CONCATENATE("Amount of ",D6-2,"     Ad Valorem Tax")</f>
        <v>Amount of 2023     Ad Valorem Tax</v>
      </c>
      <c r="F17" s="372"/>
      <c r="G17" s="64" t="s">
        <v>447</v>
      </c>
      <c r="H17" s="72" t="s">
        <v>38</v>
      </c>
    </row>
    <row r="18" spans="1:8" x14ac:dyDescent="0.2">
      <c r="A18" s="2" t="s">
        <v>6</v>
      </c>
      <c r="B18" s="3"/>
      <c r="C18" s="10" t="s">
        <v>7</v>
      </c>
      <c r="D18" s="12" t="s">
        <v>181</v>
      </c>
      <c r="E18" s="536"/>
      <c r="F18" s="372"/>
      <c r="G18" s="75" t="str">
        <f>CONCATENATE("",D6-2," Ad Valorem Tax")</f>
        <v>2023 Ad Valorem Tax</v>
      </c>
      <c r="H18" s="308">
        <v>0</v>
      </c>
    </row>
    <row r="19" spans="1:8" x14ac:dyDescent="0.2">
      <c r="A19" s="3"/>
      <c r="B19" s="13" t="s">
        <v>8</v>
      </c>
      <c r="C19" s="352"/>
      <c r="D19" s="15"/>
      <c r="E19" s="15"/>
      <c r="F19" s="372"/>
      <c r="G19" s="25">
        <f>IF(H18&gt;0,ROUND(E19-(E19*H18),0),0)</f>
        <v>0</v>
      </c>
    </row>
    <row r="20" spans="1:8" x14ac:dyDescent="0.2">
      <c r="A20" s="3"/>
      <c r="B20" s="13" t="s">
        <v>179</v>
      </c>
      <c r="C20" s="72" t="s">
        <v>100</v>
      </c>
      <c r="D20" s="15"/>
      <c r="E20" s="15"/>
      <c r="F20" s="372"/>
      <c r="G20" s="25">
        <f>IF(H18&gt;0,ROUND(E20-(E20*H18),0),0)</f>
        <v>0</v>
      </c>
    </row>
    <row r="21" spans="1:8" x14ac:dyDescent="0.2">
      <c r="A21" s="2" t="s">
        <v>9</v>
      </c>
      <c r="B21" s="3"/>
      <c r="C21" s="3"/>
      <c r="D21" s="17"/>
      <c r="E21" s="18"/>
      <c r="F21" s="372"/>
      <c r="G21" s="372"/>
    </row>
    <row r="22" spans="1:8" x14ac:dyDescent="0.2">
      <c r="A22" s="3"/>
      <c r="B22" s="14"/>
      <c r="C22" s="258"/>
      <c r="D22" s="15"/>
      <c r="E22" s="15"/>
      <c r="F22" s="372"/>
      <c r="G22" s="25">
        <f>IF(H18&gt;0,ROUND(E22-(E22*H18),0),0)</f>
        <v>0</v>
      </c>
    </row>
    <row r="23" spans="1:8" x14ac:dyDescent="0.2">
      <c r="A23" s="3"/>
      <c r="B23" s="14"/>
      <c r="C23" s="258"/>
      <c r="D23" s="15"/>
      <c r="E23" s="15"/>
      <c r="F23" s="372"/>
      <c r="G23" s="25">
        <f>IF(H18&gt;0,ROUND(E23-(E23*H18),0),0)</f>
        <v>0</v>
      </c>
    </row>
    <row r="24" spans="1:8" x14ac:dyDescent="0.2">
      <c r="A24" s="19" t="str">
        <f>CONCATENATE("Total Ad Valorem Tax for ",D6-1," Budgeted Year")</f>
        <v>Total Ad Valorem Tax for 2024 Budgeted Year</v>
      </c>
      <c r="B24" s="20"/>
      <c r="C24" s="20"/>
      <c r="D24" s="21"/>
      <c r="E24" s="22">
        <f>SUM(E19:E20,E22:E23)</f>
        <v>0</v>
      </c>
    </row>
    <row r="25" spans="1:8" x14ac:dyDescent="0.2">
      <c r="A25" s="23" t="s">
        <v>10</v>
      </c>
      <c r="B25" s="3"/>
      <c r="C25" s="3"/>
      <c r="D25" s="3"/>
      <c r="E25" s="3"/>
    </row>
    <row r="26" spans="1:8" x14ac:dyDescent="0.2">
      <c r="A26" s="3"/>
      <c r="B26" s="14"/>
      <c r="C26" s="3"/>
      <c r="D26" s="15"/>
      <c r="E26" s="3"/>
    </row>
    <row r="27" spans="1:8" x14ac:dyDescent="0.2">
      <c r="A27" s="3"/>
      <c r="B27" s="14"/>
      <c r="C27" s="3"/>
      <c r="D27" s="15"/>
      <c r="E27" s="3"/>
    </row>
    <row r="28" spans="1:8" x14ac:dyDescent="0.2">
      <c r="A28" s="20" t="str">
        <f>CONCATENATE("Total Expenditures for ",D6-1," Budgeted Year")</f>
        <v>Total Expenditures for 2024 Budgeted Year</v>
      </c>
      <c r="B28" s="20"/>
      <c r="C28" s="24"/>
      <c r="D28" s="25">
        <f>SUM(D19:D20,D22:D23,D26:D27)</f>
        <v>0</v>
      </c>
      <c r="E28" s="17"/>
    </row>
    <row r="29" spans="1:8" x14ac:dyDescent="0.2">
      <c r="A29" s="3" t="s">
        <v>154</v>
      </c>
      <c r="B29" s="3"/>
      <c r="C29" s="3"/>
      <c r="D29" s="3"/>
      <c r="E29" s="17"/>
    </row>
    <row r="30" spans="1:8" x14ac:dyDescent="0.2">
      <c r="A30" s="3">
        <v>1</v>
      </c>
      <c r="B30" s="26"/>
      <c r="C30" s="3"/>
      <c r="D30" s="3"/>
      <c r="E30" s="17"/>
    </row>
    <row r="31" spans="1:8" x14ac:dyDescent="0.2">
      <c r="A31" s="3">
        <v>2</v>
      </c>
      <c r="B31" s="26"/>
      <c r="C31" s="3"/>
      <c r="D31" s="3"/>
      <c r="E31" s="17"/>
    </row>
    <row r="32" spans="1:8" x14ac:dyDescent="0.2">
      <c r="A32" s="3">
        <v>3</v>
      </c>
      <c r="B32" s="26"/>
      <c r="C32" s="3"/>
      <c r="D32" s="3"/>
      <c r="E32" s="17"/>
    </row>
    <row r="33" spans="1:5" x14ac:dyDescent="0.2">
      <c r="A33" s="3">
        <v>4</v>
      </c>
      <c r="B33" s="26"/>
      <c r="C33" s="3"/>
      <c r="D33" s="3"/>
      <c r="E33" s="17"/>
    </row>
    <row r="34" spans="1:5" x14ac:dyDescent="0.2">
      <c r="A34" s="3">
        <v>5</v>
      </c>
      <c r="B34" s="26"/>
      <c r="C34" s="3"/>
      <c r="D34" s="3"/>
      <c r="E34" s="17"/>
    </row>
    <row r="35" spans="1:5" x14ac:dyDescent="0.2">
      <c r="A35" s="3"/>
      <c r="B35" s="3"/>
      <c r="C35" s="3"/>
      <c r="D35" s="3"/>
      <c r="E35" s="17"/>
    </row>
    <row r="36" spans="1:5" x14ac:dyDescent="0.2">
      <c r="A36" s="377" t="s">
        <v>98</v>
      </c>
      <c r="B36" s="378"/>
      <c r="C36" s="3"/>
      <c r="D36" s="529" t="str">
        <f>CONCATENATE("",D6-3," Tax Rate          (",D6-2," Column)")</f>
        <v>2022 Tax Rate          (2023 Column)</v>
      </c>
      <c r="E36" s="17"/>
    </row>
    <row r="37" spans="1:5" x14ac:dyDescent="0.2">
      <c r="A37" s="381" t="str">
        <f>CONCATENATE("the ",D6-1," Budget, Budget Summary Page:")</f>
        <v>the 2024 Budget, Budget Summary Page:</v>
      </c>
      <c r="B37" s="382"/>
      <c r="C37" s="3"/>
      <c r="D37" s="530"/>
      <c r="E37" s="17"/>
    </row>
    <row r="38" spans="1:5" x14ac:dyDescent="0.2">
      <c r="A38" s="3"/>
      <c r="B38" s="383" t="str">
        <f>B19</f>
        <v>General</v>
      </c>
      <c r="C38" s="3"/>
      <c r="D38" s="27"/>
      <c r="E38" s="17"/>
    </row>
    <row r="39" spans="1:5" x14ac:dyDescent="0.2">
      <c r="A39" s="3"/>
      <c r="B39" s="16" t="str">
        <f>B20</f>
        <v>Debt Service</v>
      </c>
      <c r="C39" s="3"/>
      <c r="D39" s="27"/>
      <c r="E39" s="17"/>
    </row>
    <row r="40" spans="1:5" x14ac:dyDescent="0.2">
      <c r="A40" s="3"/>
      <c r="B40" s="16">
        <f>B22</f>
        <v>0</v>
      </c>
      <c r="C40" s="3"/>
      <c r="D40" s="27"/>
      <c r="E40" s="17"/>
    </row>
    <row r="41" spans="1:5" x14ac:dyDescent="0.2">
      <c r="A41" s="3"/>
      <c r="B41" s="16">
        <f>B23</f>
        <v>0</v>
      </c>
      <c r="C41" s="3"/>
      <c r="D41" s="27"/>
      <c r="E41" s="17"/>
    </row>
    <row r="42" spans="1:5" ht="16.5" thickBot="1" x14ac:dyDescent="0.25">
      <c r="A42" s="2" t="s">
        <v>11</v>
      </c>
      <c r="B42" s="3"/>
      <c r="C42" s="3"/>
      <c r="D42" s="28">
        <f>SUM(D38:D41)</f>
        <v>0</v>
      </c>
      <c r="E42" s="17"/>
    </row>
    <row r="43" spans="1:5" ht="16.5" thickTop="1" x14ac:dyDescent="0.2">
      <c r="A43" s="3"/>
      <c r="B43" s="3"/>
      <c r="C43" s="3"/>
      <c r="D43" s="3"/>
      <c r="E43" s="17"/>
    </row>
    <row r="44" spans="1:5" x14ac:dyDescent="0.2">
      <c r="A44" s="384" t="str">
        <f>CONCATENATE("Total Tax Levied (",D6-2," budget column)")</f>
        <v>Total Tax Levied (2023 budget column)</v>
      </c>
      <c r="B44" s="378"/>
      <c r="C44" s="3"/>
      <c r="D44" s="3"/>
      <c r="E44" s="15"/>
    </row>
    <row r="45" spans="1:5" x14ac:dyDescent="0.2">
      <c r="A45" s="385" t="str">
        <f>CONCATENATE("Assessed Valuation (",D6-2," budget column)")</f>
        <v>Assessed Valuation (2023 budget column)</v>
      </c>
      <c r="B45" s="386"/>
      <c r="C45" s="3"/>
      <c r="D45" s="3"/>
      <c r="E45" s="15"/>
    </row>
    <row r="46" spans="1:5" x14ac:dyDescent="0.2">
      <c r="A46" s="3"/>
      <c r="B46" s="3"/>
      <c r="C46" s="3"/>
      <c r="D46" s="3"/>
      <c r="E46" s="17"/>
    </row>
    <row r="47" spans="1:5" x14ac:dyDescent="0.2">
      <c r="A47" s="387" t="s">
        <v>128</v>
      </c>
      <c r="B47" s="378"/>
      <c r="C47" s="29"/>
      <c r="D47" s="30">
        <f>D6-3</f>
        <v>2022</v>
      </c>
      <c r="E47" s="30">
        <f>D6-2</f>
        <v>2023</v>
      </c>
    </row>
    <row r="48" spans="1:5" x14ac:dyDescent="0.2">
      <c r="A48" s="388" t="s">
        <v>95</v>
      </c>
      <c r="B48" s="386"/>
      <c r="C48" s="31"/>
      <c r="D48" s="32"/>
      <c r="E48" s="32"/>
    </row>
    <row r="49" spans="1:5" x14ac:dyDescent="0.2">
      <c r="A49" s="389" t="s">
        <v>96</v>
      </c>
      <c r="B49" s="390"/>
      <c r="C49" s="34"/>
      <c r="D49" s="32"/>
      <c r="E49" s="32"/>
    </row>
    <row r="50" spans="1:5" x14ac:dyDescent="0.2">
      <c r="A50" s="389" t="s">
        <v>441</v>
      </c>
      <c r="B50" s="390"/>
      <c r="C50" s="34"/>
      <c r="D50" s="32"/>
      <c r="E50" s="32"/>
    </row>
    <row r="51" spans="1:5" x14ac:dyDescent="0.2">
      <c r="A51" s="389" t="s">
        <v>97</v>
      </c>
      <c r="B51" s="390"/>
      <c r="C51" s="34"/>
      <c r="D51" s="32"/>
      <c r="E51" s="32"/>
    </row>
    <row r="52" spans="1:5" x14ac:dyDescent="0.2">
      <c r="A52" s="389"/>
      <c r="B52" s="390"/>
      <c r="C52" s="35"/>
      <c r="D52" s="32"/>
      <c r="E52" s="32"/>
    </row>
  </sheetData>
  <sheetProtection sheet="1"/>
  <mergeCells count="6">
    <mergeCell ref="G10:H16"/>
    <mergeCell ref="D36:D37"/>
    <mergeCell ref="A12:E12"/>
    <mergeCell ref="A1:E1"/>
    <mergeCell ref="E17:E18"/>
    <mergeCell ref="A8:E10"/>
  </mergeCells>
  <phoneticPr fontId="0" type="noConversion"/>
  <pageMargins left="0.5" right="0.5" top="0.5" bottom="0.5" header="0.5" footer="0.5"/>
  <pageSetup scale="93" orientation="portrait" blackAndWhite="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F35"/>
  <sheetViews>
    <sheetView workbookViewId="0">
      <selection activeCell="B35" sqref="B35"/>
    </sheetView>
  </sheetViews>
  <sheetFormatPr defaultRowHeight="15" x14ac:dyDescent="0.2"/>
  <cols>
    <col min="1" max="1" width="12.6640625" style="36" customWidth="1"/>
    <col min="2" max="2" width="18.109375" style="36" customWidth="1"/>
    <col min="3" max="5" width="11.77734375" style="36" customWidth="1"/>
    <col min="6" max="16384" width="8.88671875" style="36"/>
  </cols>
  <sheetData>
    <row r="1" spans="1:6" ht="15.75" x14ac:dyDescent="0.2">
      <c r="A1" s="41">
        <f>inputPrYr!D3</f>
        <v>0</v>
      </c>
      <c r="B1" s="29"/>
      <c r="C1" s="29"/>
      <c r="D1" s="29"/>
      <c r="E1" s="29"/>
      <c r="F1" s="29">
        <f>inputPrYr!D6</f>
        <v>2025</v>
      </c>
    </row>
    <row r="2" spans="1:6" ht="15.75" x14ac:dyDescent="0.2">
      <c r="A2" s="41"/>
      <c r="B2" s="29"/>
      <c r="C2" s="29"/>
      <c r="D2" s="29"/>
      <c r="E2" s="29"/>
      <c r="F2" s="29"/>
    </row>
    <row r="3" spans="1:6" ht="15.75" x14ac:dyDescent="0.2">
      <c r="A3" s="29"/>
      <c r="B3" s="29"/>
      <c r="C3" s="29"/>
      <c r="D3" s="29"/>
      <c r="E3" s="29"/>
      <c r="F3" s="29"/>
    </row>
    <row r="4" spans="1:6" ht="15.75" x14ac:dyDescent="0.2">
      <c r="A4" s="3"/>
      <c r="B4" s="556" t="str">
        <f>CONCATENATE("",F1," Neighborhood Revitalization Rebate")</f>
        <v>2025 Neighborhood Revitalization Rebate</v>
      </c>
      <c r="C4" s="567"/>
      <c r="D4" s="567"/>
      <c r="E4" s="567"/>
      <c r="F4" s="29"/>
    </row>
    <row r="5" spans="1:6" ht="15.75" x14ac:dyDescent="0.2">
      <c r="A5" s="3"/>
      <c r="B5" s="3"/>
      <c r="C5" s="3"/>
      <c r="D5" s="3"/>
      <c r="E5" s="3"/>
      <c r="F5" s="29"/>
    </row>
    <row r="6" spans="1:6" ht="51.75" customHeight="1" x14ac:dyDescent="0.2">
      <c r="A6" s="3"/>
      <c r="B6" s="98" t="str">
        <f>CONCATENATE("Budgeted Funds                                 for ",F1,"")</f>
        <v>Budgeted Funds                                 for 2025</v>
      </c>
      <c r="C6" s="98" t="str">
        <f>CONCATENATE("",F1-1," Ad Valorem before Rebate**")</f>
        <v>2024 Ad Valorem before Rebate**</v>
      </c>
      <c r="D6" s="212" t="str">
        <f>CONCATENATE("",F1-1," Mil Rate before Rebate")</f>
        <v>2024 Mil Rate before Rebate</v>
      </c>
      <c r="E6" s="213" t="str">
        <f>CONCATENATE("Estimate ",F1," NR Rebate")</f>
        <v>Estimate 2025 NR Rebate</v>
      </c>
      <c r="F6" s="29"/>
    </row>
    <row r="7" spans="1:6" ht="15.75" x14ac:dyDescent="0.2">
      <c r="A7" s="3"/>
      <c r="B7" s="214" t="str">
        <f>inputPrYr!B19</f>
        <v>General</v>
      </c>
      <c r="C7" s="215"/>
      <c r="D7" s="216" t="str">
        <f t="shared" ref="D7:D12" si="0">IF(C7&gt;0,C7/$D$18,"")</f>
        <v/>
      </c>
      <c r="E7" s="81">
        <f t="shared" ref="E7:E12" si="1">IF(C7&gt;0,ROUND(D7*$D$22,0),0)</f>
        <v>0</v>
      </c>
      <c r="F7" s="29"/>
    </row>
    <row r="8" spans="1:6" ht="15.75" x14ac:dyDescent="0.2">
      <c r="A8" s="3"/>
      <c r="B8" s="214" t="str">
        <f>inputPrYr!B20</f>
        <v>Debt Service</v>
      </c>
      <c r="C8" s="215"/>
      <c r="D8" s="216" t="str">
        <f t="shared" si="0"/>
        <v/>
      </c>
      <c r="E8" s="81">
        <f t="shared" si="1"/>
        <v>0</v>
      </c>
      <c r="F8" s="29"/>
    </row>
    <row r="9" spans="1:6" ht="15.75" x14ac:dyDescent="0.2">
      <c r="A9" s="3"/>
      <c r="B9" s="57" t="str">
        <f>IF(inputPrYr!$B22&gt;"  ",(inputPrYr!$B22),"  ")</f>
        <v xml:space="preserve">  </v>
      </c>
      <c r="C9" s="215"/>
      <c r="D9" s="216" t="str">
        <f t="shared" si="0"/>
        <v/>
      </c>
      <c r="E9" s="81">
        <f t="shared" si="1"/>
        <v>0</v>
      </c>
      <c r="F9" s="29"/>
    </row>
    <row r="10" spans="1:6" ht="15.75" x14ac:dyDescent="0.2">
      <c r="A10" s="3"/>
      <c r="B10" s="57" t="str">
        <f>IF(inputPrYr!$B23&gt;"  ",(inputPrYr!$B23),"  ")</f>
        <v xml:space="preserve">  </v>
      </c>
      <c r="C10" s="215"/>
      <c r="D10" s="216" t="str">
        <f t="shared" si="0"/>
        <v/>
      </c>
      <c r="E10" s="81">
        <f t="shared" si="1"/>
        <v>0</v>
      </c>
      <c r="F10" s="29"/>
    </row>
    <row r="11" spans="1:6" ht="15.75" x14ac:dyDescent="0.2">
      <c r="A11" s="3"/>
      <c r="B11" s="57"/>
      <c r="C11" s="215"/>
      <c r="D11" s="216" t="str">
        <f t="shared" si="0"/>
        <v/>
      </c>
      <c r="E11" s="81">
        <f t="shared" si="1"/>
        <v>0</v>
      </c>
      <c r="F11" s="29"/>
    </row>
    <row r="12" spans="1:6" ht="15.75" x14ac:dyDescent="0.2">
      <c r="A12" s="3"/>
      <c r="B12" s="57"/>
      <c r="C12" s="215"/>
      <c r="D12" s="216" t="str">
        <f t="shared" si="0"/>
        <v/>
      </c>
      <c r="E12" s="81">
        <f t="shared" si="1"/>
        <v>0</v>
      </c>
      <c r="F12" s="29"/>
    </row>
    <row r="13" spans="1:6" ht="16.5" thickBot="1" x14ac:dyDescent="0.25">
      <c r="A13" s="3"/>
      <c r="B13" s="16" t="s">
        <v>130</v>
      </c>
      <c r="C13" s="217">
        <f>SUM(C7:C12)</f>
        <v>0</v>
      </c>
      <c r="D13" s="218">
        <f>SUM(D7:D12)</f>
        <v>0</v>
      </c>
      <c r="E13" s="217">
        <f>SUM(E7:E12)</f>
        <v>0</v>
      </c>
      <c r="F13" s="29"/>
    </row>
    <row r="14" spans="1:6" ht="16.5" thickTop="1" x14ac:dyDescent="0.2">
      <c r="A14" s="3"/>
      <c r="B14" s="3"/>
      <c r="C14" s="3"/>
      <c r="D14" s="3"/>
      <c r="E14" s="3"/>
      <c r="F14" s="29"/>
    </row>
    <row r="15" spans="1:6" ht="15.75" x14ac:dyDescent="0.2">
      <c r="A15" s="3"/>
      <c r="B15" s="3"/>
      <c r="C15" s="3"/>
      <c r="D15" s="3"/>
      <c r="E15" s="3"/>
      <c r="F15" s="29"/>
    </row>
    <row r="16" spans="1:6" ht="15.75" x14ac:dyDescent="0.2">
      <c r="A16" s="638" t="str">
        <f>CONCATENATE("",F1-1," July 1 Valuation:")</f>
        <v>2024 July 1 Valuation:</v>
      </c>
      <c r="B16" s="637"/>
      <c r="C16" s="638"/>
      <c r="D16" s="219">
        <f>inputOth!E7</f>
        <v>0</v>
      </c>
      <c r="E16" s="3"/>
      <c r="F16" s="29"/>
    </row>
    <row r="17" spans="1:6" ht="15.75" x14ac:dyDescent="0.2">
      <c r="A17" s="3"/>
      <c r="B17" s="3"/>
      <c r="C17" s="3"/>
      <c r="D17" s="3"/>
      <c r="E17" s="3"/>
      <c r="F17" s="29"/>
    </row>
    <row r="18" spans="1:6" ht="15.75" x14ac:dyDescent="0.2">
      <c r="A18" s="3"/>
      <c r="B18" s="638" t="s">
        <v>209</v>
      </c>
      <c r="C18" s="638"/>
      <c r="D18" s="220" t="str">
        <f>IF(D16&gt;0,(D16*0.001),"")</f>
        <v/>
      </c>
      <c r="E18" s="3"/>
      <c r="F18" s="29"/>
    </row>
    <row r="19" spans="1:6" ht="15.75" x14ac:dyDescent="0.2">
      <c r="A19" s="3"/>
      <c r="B19" s="92"/>
      <c r="C19" s="92"/>
      <c r="D19" s="221"/>
      <c r="E19" s="3"/>
      <c r="F19" s="29"/>
    </row>
    <row r="20" spans="1:6" ht="15.75" x14ac:dyDescent="0.2">
      <c r="A20" s="636" t="s">
        <v>207</v>
      </c>
      <c r="B20" s="567"/>
      <c r="C20" s="567"/>
      <c r="D20" s="219">
        <f>inputOth!E12</f>
        <v>0</v>
      </c>
      <c r="E20" s="37"/>
      <c r="F20" s="37"/>
    </row>
    <row r="21" spans="1:6" x14ac:dyDescent="0.2">
      <c r="A21" s="37"/>
      <c r="B21" s="37"/>
      <c r="C21" s="37"/>
      <c r="D21" s="222"/>
      <c r="E21" s="37"/>
      <c r="F21" s="37"/>
    </row>
    <row r="22" spans="1:6" ht="15.75" x14ac:dyDescent="0.2">
      <c r="A22" s="37"/>
      <c r="B22" s="636" t="s">
        <v>208</v>
      </c>
      <c r="C22" s="637"/>
      <c r="D22" s="30" t="str">
        <f>IF(D20&gt;0,(D20*0.001),"")</f>
        <v/>
      </c>
      <c r="E22" s="37"/>
      <c r="F22" s="37"/>
    </row>
    <row r="23" spans="1:6" x14ac:dyDescent="0.2">
      <c r="A23" s="37"/>
      <c r="B23" s="37"/>
      <c r="C23" s="37"/>
      <c r="D23" s="37"/>
      <c r="E23" s="37"/>
      <c r="F23" s="37"/>
    </row>
    <row r="24" spans="1:6" x14ac:dyDescent="0.2">
      <c r="A24" s="37"/>
      <c r="B24" s="37"/>
      <c r="C24" s="37"/>
      <c r="D24" s="37"/>
      <c r="E24" s="37"/>
      <c r="F24" s="37"/>
    </row>
    <row r="25" spans="1:6" x14ac:dyDescent="0.2">
      <c r="A25" s="37"/>
      <c r="B25" s="37"/>
      <c r="C25" s="37"/>
      <c r="D25" s="37"/>
      <c r="E25" s="37"/>
      <c r="F25" s="37"/>
    </row>
    <row r="26" spans="1:6" ht="15.75" x14ac:dyDescent="0.25">
      <c r="A26" s="238" t="str">
        <f>CONCATENATE("**This information comes from the ",F1," Budget Summary page.  See instructions tab #12 for completing")</f>
        <v>**This information comes from the 2025 Budget Summary page.  See instructions tab #12 for completing</v>
      </c>
      <c r="B26" s="37"/>
      <c r="C26" s="37"/>
      <c r="D26" s="37"/>
      <c r="E26" s="37"/>
      <c r="F26" s="37"/>
    </row>
    <row r="27" spans="1:6" ht="15.75" x14ac:dyDescent="0.25">
      <c r="A27" s="238" t="s">
        <v>409</v>
      </c>
      <c r="B27" s="37"/>
      <c r="C27" s="37"/>
      <c r="D27" s="37"/>
      <c r="E27" s="37"/>
      <c r="F27" s="37"/>
    </row>
    <row r="28" spans="1:6" ht="15.75" x14ac:dyDescent="0.25">
      <c r="A28" s="238"/>
      <c r="B28" s="37"/>
      <c r="C28" s="37"/>
      <c r="D28" s="37"/>
      <c r="E28" s="37"/>
      <c r="F28" s="37"/>
    </row>
    <row r="29" spans="1:6" ht="15.75" x14ac:dyDescent="0.25">
      <c r="A29" s="238"/>
      <c r="B29" s="37"/>
      <c r="C29" s="37"/>
      <c r="D29" s="37"/>
      <c r="E29" s="37"/>
      <c r="F29" s="37"/>
    </row>
    <row r="30" spans="1:6" ht="15.75" x14ac:dyDescent="0.25">
      <c r="A30" s="238"/>
      <c r="B30" s="37"/>
      <c r="C30" s="37"/>
      <c r="D30" s="37"/>
      <c r="E30" s="37"/>
      <c r="F30" s="37"/>
    </row>
    <row r="31" spans="1:6" ht="15.75" x14ac:dyDescent="0.25">
      <c r="A31" s="238"/>
      <c r="B31" s="37"/>
      <c r="C31" s="37"/>
      <c r="D31" s="37"/>
      <c r="E31" s="37"/>
      <c r="F31" s="37"/>
    </row>
    <row r="32" spans="1:6" ht="15.75" x14ac:dyDescent="0.25">
      <c r="A32" s="238"/>
      <c r="B32" s="37"/>
      <c r="C32" s="37"/>
      <c r="D32" s="37"/>
      <c r="E32" s="37"/>
      <c r="F32" s="37"/>
    </row>
    <row r="33" spans="1:6" ht="15.75" x14ac:dyDescent="0.25">
      <c r="A33" s="238"/>
      <c r="B33" s="37"/>
      <c r="C33" s="37"/>
      <c r="D33" s="37"/>
      <c r="E33" s="37"/>
      <c r="F33" s="37"/>
    </row>
    <row r="34" spans="1:6" x14ac:dyDescent="0.2">
      <c r="A34" s="37"/>
      <c r="B34" s="37"/>
      <c r="C34" s="37"/>
      <c r="D34" s="37"/>
      <c r="E34" s="37"/>
      <c r="F34" s="37"/>
    </row>
    <row r="35" spans="1:6" ht="15.75" x14ac:dyDescent="0.2">
      <c r="A35" s="37"/>
      <c r="B35" s="92" t="s">
        <v>39</v>
      </c>
      <c r="C35" s="396"/>
      <c r="D35" s="37"/>
      <c r="E35" s="37"/>
      <c r="F35" s="37"/>
    </row>
  </sheetData>
  <sheetProtection sheet="1"/>
  <mergeCells count="5">
    <mergeCell ref="B22:C22"/>
    <mergeCell ref="B4:E4"/>
    <mergeCell ref="A16:C16"/>
    <mergeCell ref="B18:C18"/>
    <mergeCell ref="A20:C20"/>
  </mergeCells>
  <phoneticPr fontId="11" type="noConversion"/>
  <pageMargins left="0.75" right="0.75" top="1" bottom="1" header="0.5" footer="0.5"/>
  <pageSetup scale="89" orientation="portrait" blackAndWhite="1"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C7B24-B1CA-4995-BFBF-AF4C605A6BFF}">
  <dimension ref="A1:H14"/>
  <sheetViews>
    <sheetView workbookViewId="0">
      <selection activeCell="M12" sqref="M12"/>
    </sheetView>
  </sheetViews>
  <sheetFormatPr defaultRowHeight="15" x14ac:dyDescent="0.2"/>
  <sheetData>
    <row r="1" spans="1:8" ht="15.75" x14ac:dyDescent="0.25">
      <c r="A1" s="639" t="s">
        <v>781</v>
      </c>
      <c r="B1" s="639"/>
      <c r="C1" s="639"/>
      <c r="D1" s="639"/>
      <c r="E1" s="639"/>
      <c r="F1" s="639"/>
      <c r="G1" s="639"/>
      <c r="H1" s="639"/>
    </row>
    <row r="2" spans="1:8" ht="15.75" x14ac:dyDescent="0.25">
      <c r="A2" s="298"/>
      <c r="B2" s="298"/>
      <c r="C2" s="298"/>
      <c r="D2" s="298"/>
      <c r="E2" s="298"/>
      <c r="F2" s="298"/>
      <c r="G2" s="298"/>
      <c r="H2" s="298"/>
    </row>
    <row r="3" spans="1:8" ht="52.5" customHeight="1" x14ac:dyDescent="0.25">
      <c r="A3" s="640" t="s">
        <v>782</v>
      </c>
      <c r="B3" s="640"/>
      <c r="C3" s="640"/>
      <c r="D3" s="640"/>
      <c r="E3" s="640"/>
      <c r="F3" s="640"/>
      <c r="G3" s="640"/>
      <c r="H3" s="640"/>
    </row>
    <row r="4" spans="1:8" ht="15.75" x14ac:dyDescent="0.25">
      <c r="A4" s="298"/>
      <c r="B4" s="298"/>
      <c r="C4" s="298"/>
      <c r="D4" s="298"/>
      <c r="E4" s="298"/>
      <c r="F4" s="298"/>
      <c r="G4" s="298"/>
      <c r="H4" s="298"/>
    </row>
    <row r="5" spans="1:8" ht="52.5" customHeight="1" x14ac:dyDescent="0.25">
      <c r="A5" s="496"/>
      <c r="B5" s="641" t="s">
        <v>783</v>
      </c>
      <c r="C5" s="641"/>
      <c r="D5" s="641"/>
      <c r="E5" s="641"/>
      <c r="F5" s="641"/>
      <c r="G5" s="641"/>
      <c r="H5" s="641"/>
    </row>
    <row r="6" spans="1:8" ht="15.75" x14ac:dyDescent="0.25">
      <c r="A6" s="298"/>
      <c r="B6" s="298"/>
      <c r="C6" s="298"/>
      <c r="D6" s="298"/>
      <c r="E6" s="298"/>
      <c r="F6" s="298"/>
      <c r="G6" s="298"/>
      <c r="H6" s="298"/>
    </row>
    <row r="7" spans="1:8" ht="32.25" customHeight="1" x14ac:dyDescent="0.25">
      <c r="A7" s="496"/>
      <c r="B7" s="641" t="s">
        <v>784</v>
      </c>
      <c r="C7" s="641"/>
      <c r="D7" s="641"/>
      <c r="E7" s="641"/>
      <c r="F7" s="641"/>
      <c r="G7" s="641"/>
      <c r="H7" s="641"/>
    </row>
    <row r="8" spans="1:8" ht="15.75" x14ac:dyDescent="0.25">
      <c r="A8" s="298"/>
      <c r="B8" s="298"/>
      <c r="C8" s="298"/>
      <c r="D8" s="298"/>
      <c r="E8" s="298"/>
      <c r="F8" s="298"/>
      <c r="G8" s="298"/>
      <c r="H8" s="298"/>
    </row>
    <row r="9" spans="1:8" ht="15.75" x14ac:dyDescent="0.25">
      <c r="A9" s="642" t="s">
        <v>785</v>
      </c>
      <c r="B9" s="642"/>
      <c r="C9" s="642"/>
      <c r="D9" s="642"/>
      <c r="E9" s="642"/>
      <c r="F9" s="642"/>
      <c r="G9" s="642"/>
      <c r="H9" s="642"/>
    </row>
    <row r="10" spans="1:8" ht="15.75" x14ac:dyDescent="0.25">
      <c r="A10" s="298"/>
      <c r="B10" s="298"/>
      <c r="C10" s="298"/>
      <c r="D10" s="298"/>
      <c r="E10" s="298"/>
      <c r="F10" s="298"/>
      <c r="G10" s="298"/>
      <c r="H10" s="298"/>
    </row>
    <row r="11" spans="1:8" ht="15.75" x14ac:dyDescent="0.25">
      <c r="A11" s="298"/>
      <c r="B11" s="298"/>
      <c r="C11" s="298"/>
      <c r="D11" s="298"/>
      <c r="E11" s="298"/>
      <c r="F11" s="298"/>
      <c r="G11" s="298"/>
      <c r="H11" s="298"/>
    </row>
    <row r="12" spans="1:8" ht="15.75" x14ac:dyDescent="0.25">
      <c r="A12" s="298"/>
      <c r="B12" s="298"/>
      <c r="C12" s="298"/>
      <c r="D12" s="298"/>
      <c r="E12" s="298"/>
      <c r="F12" s="298"/>
      <c r="G12" s="298"/>
      <c r="H12" s="298"/>
    </row>
    <row r="13" spans="1:8" ht="15.75" x14ac:dyDescent="0.25">
      <c r="A13" s="298" t="s">
        <v>786</v>
      </c>
      <c r="B13" s="298"/>
      <c r="C13" s="298"/>
      <c r="D13" s="298"/>
      <c r="E13" s="298"/>
      <c r="F13" s="496"/>
      <c r="G13" s="496"/>
      <c r="H13" s="496"/>
    </row>
    <row r="14" spans="1:8" ht="15.75" x14ac:dyDescent="0.25">
      <c r="A14" s="298"/>
      <c r="B14" s="298"/>
      <c r="C14" s="298"/>
      <c r="D14" s="298"/>
      <c r="E14" s="298"/>
      <c r="F14" s="298" t="s">
        <v>787</v>
      </c>
    </row>
  </sheetData>
  <sheetProtection sheet="1" objects="1" scenarios="1"/>
  <mergeCells count="5">
    <mergeCell ref="A1:H1"/>
    <mergeCell ref="A3:H3"/>
    <mergeCell ref="B5:H5"/>
    <mergeCell ref="B7:H7"/>
    <mergeCell ref="A9:H9"/>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B704C-E773-490D-806B-58B335E6DF37}">
  <dimension ref="A1:G20"/>
  <sheetViews>
    <sheetView workbookViewId="0">
      <selection activeCell="A4" sqref="A4:G4"/>
    </sheetView>
  </sheetViews>
  <sheetFormatPr defaultRowHeight="15.75" x14ac:dyDescent="0.25"/>
  <cols>
    <col min="1" max="4" width="11.5546875" style="514" customWidth="1"/>
    <col min="5" max="7" width="10.5546875" style="514" customWidth="1"/>
    <col min="8" max="256" width="8.88671875" style="514"/>
    <col min="257" max="260" width="11.5546875" style="514" customWidth="1"/>
    <col min="261" max="263" width="10.5546875" style="514" customWidth="1"/>
    <col min="264" max="512" width="8.88671875" style="514"/>
    <col min="513" max="516" width="11.5546875" style="514" customWidth="1"/>
    <col min="517" max="519" width="10.5546875" style="514" customWidth="1"/>
    <col min="520" max="768" width="8.88671875" style="514"/>
    <col min="769" max="772" width="11.5546875" style="514" customWidth="1"/>
    <col min="773" max="775" width="10.5546875" style="514" customWidth="1"/>
    <col min="776" max="1024" width="8.88671875" style="514"/>
    <col min="1025" max="1028" width="11.5546875" style="514" customWidth="1"/>
    <col min="1029" max="1031" width="10.5546875" style="514" customWidth="1"/>
    <col min="1032" max="1280" width="8.88671875" style="514"/>
    <col min="1281" max="1284" width="11.5546875" style="514" customWidth="1"/>
    <col min="1285" max="1287" width="10.5546875" style="514" customWidth="1"/>
    <col min="1288" max="1536" width="8.88671875" style="514"/>
    <col min="1537" max="1540" width="11.5546875" style="514" customWidth="1"/>
    <col min="1541" max="1543" width="10.5546875" style="514" customWidth="1"/>
    <col min="1544" max="1792" width="8.88671875" style="514"/>
    <col min="1793" max="1796" width="11.5546875" style="514" customWidth="1"/>
    <col min="1797" max="1799" width="10.5546875" style="514" customWidth="1"/>
    <col min="1800" max="2048" width="8.88671875" style="514"/>
    <col min="2049" max="2052" width="11.5546875" style="514" customWidth="1"/>
    <col min="2053" max="2055" width="10.5546875" style="514" customWidth="1"/>
    <col min="2056" max="2304" width="8.88671875" style="514"/>
    <col min="2305" max="2308" width="11.5546875" style="514" customWidth="1"/>
    <col min="2309" max="2311" width="10.5546875" style="514" customWidth="1"/>
    <col min="2312" max="2560" width="8.88671875" style="514"/>
    <col min="2561" max="2564" width="11.5546875" style="514" customWidth="1"/>
    <col min="2565" max="2567" width="10.5546875" style="514" customWidth="1"/>
    <col min="2568" max="2816" width="8.88671875" style="514"/>
    <col min="2817" max="2820" width="11.5546875" style="514" customWidth="1"/>
    <col min="2821" max="2823" width="10.5546875" style="514" customWidth="1"/>
    <col min="2824" max="3072" width="8.88671875" style="514"/>
    <col min="3073" max="3076" width="11.5546875" style="514" customWidth="1"/>
    <col min="3077" max="3079" width="10.5546875" style="514" customWidth="1"/>
    <col min="3080" max="3328" width="8.88671875" style="514"/>
    <col min="3329" max="3332" width="11.5546875" style="514" customWidth="1"/>
    <col min="3333" max="3335" width="10.5546875" style="514" customWidth="1"/>
    <col min="3336" max="3584" width="8.88671875" style="514"/>
    <col min="3585" max="3588" width="11.5546875" style="514" customWidth="1"/>
    <col min="3589" max="3591" width="10.5546875" style="514" customWidth="1"/>
    <col min="3592" max="3840" width="8.88671875" style="514"/>
    <col min="3841" max="3844" width="11.5546875" style="514" customWidth="1"/>
    <col min="3845" max="3847" width="10.5546875" style="514" customWidth="1"/>
    <col min="3848" max="4096" width="8.88671875" style="514"/>
    <col min="4097" max="4100" width="11.5546875" style="514" customWidth="1"/>
    <col min="4101" max="4103" width="10.5546875" style="514" customWidth="1"/>
    <col min="4104" max="4352" width="8.88671875" style="514"/>
    <col min="4353" max="4356" width="11.5546875" style="514" customWidth="1"/>
    <col min="4357" max="4359" width="10.5546875" style="514" customWidth="1"/>
    <col min="4360" max="4608" width="8.88671875" style="514"/>
    <col min="4609" max="4612" width="11.5546875" style="514" customWidth="1"/>
    <col min="4613" max="4615" width="10.5546875" style="514" customWidth="1"/>
    <col min="4616" max="4864" width="8.88671875" style="514"/>
    <col min="4865" max="4868" width="11.5546875" style="514" customWidth="1"/>
    <col min="4869" max="4871" width="10.5546875" style="514" customWidth="1"/>
    <col min="4872" max="5120" width="8.88671875" style="514"/>
    <col min="5121" max="5124" width="11.5546875" style="514" customWidth="1"/>
    <col min="5125" max="5127" width="10.5546875" style="514" customWidth="1"/>
    <col min="5128" max="5376" width="8.88671875" style="514"/>
    <col min="5377" max="5380" width="11.5546875" style="514" customWidth="1"/>
    <col min="5381" max="5383" width="10.5546875" style="514" customWidth="1"/>
    <col min="5384" max="5632" width="8.88671875" style="514"/>
    <col min="5633" max="5636" width="11.5546875" style="514" customWidth="1"/>
    <col min="5637" max="5639" width="10.5546875" style="514" customWidth="1"/>
    <col min="5640" max="5888" width="8.88671875" style="514"/>
    <col min="5889" max="5892" width="11.5546875" style="514" customWidth="1"/>
    <col min="5893" max="5895" width="10.5546875" style="514" customWidth="1"/>
    <col min="5896" max="6144" width="8.88671875" style="514"/>
    <col min="6145" max="6148" width="11.5546875" style="514" customWidth="1"/>
    <col min="6149" max="6151" width="10.5546875" style="514" customWidth="1"/>
    <col min="6152" max="6400" width="8.88671875" style="514"/>
    <col min="6401" max="6404" width="11.5546875" style="514" customWidth="1"/>
    <col min="6405" max="6407" width="10.5546875" style="514" customWidth="1"/>
    <col min="6408" max="6656" width="8.88671875" style="514"/>
    <col min="6657" max="6660" width="11.5546875" style="514" customWidth="1"/>
    <col min="6661" max="6663" width="10.5546875" style="514" customWidth="1"/>
    <col min="6664" max="6912" width="8.88671875" style="514"/>
    <col min="6913" max="6916" width="11.5546875" style="514" customWidth="1"/>
    <col min="6917" max="6919" width="10.5546875" style="514" customWidth="1"/>
    <col min="6920" max="7168" width="8.88671875" style="514"/>
    <col min="7169" max="7172" width="11.5546875" style="514" customWidth="1"/>
    <col min="7173" max="7175" width="10.5546875" style="514" customWidth="1"/>
    <col min="7176" max="7424" width="8.88671875" style="514"/>
    <col min="7425" max="7428" width="11.5546875" style="514" customWidth="1"/>
    <col min="7429" max="7431" width="10.5546875" style="514" customWidth="1"/>
    <col min="7432" max="7680" width="8.88671875" style="514"/>
    <col min="7681" max="7684" width="11.5546875" style="514" customWidth="1"/>
    <col min="7685" max="7687" width="10.5546875" style="514" customWidth="1"/>
    <col min="7688" max="7936" width="8.88671875" style="514"/>
    <col min="7937" max="7940" width="11.5546875" style="514" customWidth="1"/>
    <col min="7941" max="7943" width="10.5546875" style="514" customWidth="1"/>
    <col min="7944" max="8192" width="8.88671875" style="514"/>
    <col min="8193" max="8196" width="11.5546875" style="514" customWidth="1"/>
    <col min="8197" max="8199" width="10.5546875" style="514" customWidth="1"/>
    <col min="8200" max="8448" width="8.88671875" style="514"/>
    <col min="8449" max="8452" width="11.5546875" style="514" customWidth="1"/>
    <col min="8453" max="8455" width="10.5546875" style="514" customWidth="1"/>
    <col min="8456" max="8704" width="8.88671875" style="514"/>
    <col min="8705" max="8708" width="11.5546875" style="514" customWidth="1"/>
    <col min="8709" max="8711" width="10.5546875" style="514" customWidth="1"/>
    <col min="8712" max="8960" width="8.88671875" style="514"/>
    <col min="8961" max="8964" width="11.5546875" style="514" customWidth="1"/>
    <col min="8965" max="8967" width="10.5546875" style="514" customWidth="1"/>
    <col min="8968" max="9216" width="8.88671875" style="514"/>
    <col min="9217" max="9220" width="11.5546875" style="514" customWidth="1"/>
    <col min="9221" max="9223" width="10.5546875" style="514" customWidth="1"/>
    <col min="9224" max="9472" width="8.88671875" style="514"/>
    <col min="9473" max="9476" width="11.5546875" style="514" customWidth="1"/>
    <col min="9477" max="9479" width="10.5546875" style="514" customWidth="1"/>
    <col min="9480" max="9728" width="8.88671875" style="514"/>
    <col min="9729" max="9732" width="11.5546875" style="514" customWidth="1"/>
    <col min="9733" max="9735" width="10.5546875" style="514" customWidth="1"/>
    <col min="9736" max="9984" width="8.88671875" style="514"/>
    <col min="9985" max="9988" width="11.5546875" style="514" customWidth="1"/>
    <col min="9989" max="9991" width="10.5546875" style="514" customWidth="1"/>
    <col min="9992" max="10240" width="8.88671875" style="514"/>
    <col min="10241" max="10244" width="11.5546875" style="514" customWidth="1"/>
    <col min="10245" max="10247" width="10.5546875" style="514" customWidth="1"/>
    <col min="10248" max="10496" width="8.88671875" style="514"/>
    <col min="10497" max="10500" width="11.5546875" style="514" customWidth="1"/>
    <col min="10501" max="10503" width="10.5546875" style="514" customWidth="1"/>
    <col min="10504" max="10752" width="8.88671875" style="514"/>
    <col min="10753" max="10756" width="11.5546875" style="514" customWidth="1"/>
    <col min="10757" max="10759" width="10.5546875" style="514" customWidth="1"/>
    <col min="10760" max="11008" width="8.88671875" style="514"/>
    <col min="11009" max="11012" width="11.5546875" style="514" customWidth="1"/>
    <col min="11013" max="11015" width="10.5546875" style="514" customWidth="1"/>
    <col min="11016" max="11264" width="8.88671875" style="514"/>
    <col min="11265" max="11268" width="11.5546875" style="514" customWidth="1"/>
    <col min="11269" max="11271" width="10.5546875" style="514" customWidth="1"/>
    <col min="11272" max="11520" width="8.88671875" style="514"/>
    <col min="11521" max="11524" width="11.5546875" style="514" customWidth="1"/>
    <col min="11525" max="11527" width="10.5546875" style="514" customWidth="1"/>
    <col min="11528" max="11776" width="8.88671875" style="514"/>
    <col min="11777" max="11780" width="11.5546875" style="514" customWidth="1"/>
    <col min="11781" max="11783" width="10.5546875" style="514" customWidth="1"/>
    <col min="11784" max="12032" width="8.88671875" style="514"/>
    <col min="12033" max="12036" width="11.5546875" style="514" customWidth="1"/>
    <col min="12037" max="12039" width="10.5546875" style="514" customWidth="1"/>
    <col min="12040" max="12288" width="8.88671875" style="514"/>
    <col min="12289" max="12292" width="11.5546875" style="514" customWidth="1"/>
    <col min="12293" max="12295" width="10.5546875" style="514" customWidth="1"/>
    <col min="12296" max="12544" width="8.88671875" style="514"/>
    <col min="12545" max="12548" width="11.5546875" style="514" customWidth="1"/>
    <col min="12549" max="12551" width="10.5546875" style="514" customWidth="1"/>
    <col min="12552" max="12800" width="8.88671875" style="514"/>
    <col min="12801" max="12804" width="11.5546875" style="514" customWidth="1"/>
    <col min="12805" max="12807" width="10.5546875" style="514" customWidth="1"/>
    <col min="12808" max="13056" width="8.88671875" style="514"/>
    <col min="13057" max="13060" width="11.5546875" style="514" customWidth="1"/>
    <col min="13061" max="13063" width="10.5546875" style="514" customWidth="1"/>
    <col min="13064" max="13312" width="8.88671875" style="514"/>
    <col min="13313" max="13316" width="11.5546875" style="514" customWidth="1"/>
    <col min="13317" max="13319" width="10.5546875" style="514" customWidth="1"/>
    <col min="13320" max="13568" width="8.88671875" style="514"/>
    <col min="13569" max="13572" width="11.5546875" style="514" customWidth="1"/>
    <col min="13573" max="13575" width="10.5546875" style="514" customWidth="1"/>
    <col min="13576" max="13824" width="8.88671875" style="514"/>
    <col min="13825" max="13828" width="11.5546875" style="514" customWidth="1"/>
    <col min="13829" max="13831" width="10.5546875" style="514" customWidth="1"/>
    <col min="13832" max="14080" width="8.88671875" style="514"/>
    <col min="14081" max="14084" width="11.5546875" style="514" customWidth="1"/>
    <col min="14085" max="14087" width="10.5546875" style="514" customWidth="1"/>
    <col min="14088" max="14336" width="8.88671875" style="514"/>
    <col min="14337" max="14340" width="11.5546875" style="514" customWidth="1"/>
    <col min="14341" max="14343" width="10.5546875" style="514" customWidth="1"/>
    <col min="14344" max="14592" width="8.88671875" style="514"/>
    <col min="14593" max="14596" width="11.5546875" style="514" customWidth="1"/>
    <col min="14597" max="14599" width="10.5546875" style="514" customWidth="1"/>
    <col min="14600" max="14848" width="8.88671875" style="514"/>
    <col min="14849" max="14852" width="11.5546875" style="514" customWidth="1"/>
    <col min="14853" max="14855" width="10.5546875" style="514" customWidth="1"/>
    <col min="14856" max="15104" width="8.88671875" style="514"/>
    <col min="15105" max="15108" width="11.5546875" style="514" customWidth="1"/>
    <col min="15109" max="15111" width="10.5546875" style="514" customWidth="1"/>
    <col min="15112" max="15360" width="8.88671875" style="514"/>
    <col min="15361" max="15364" width="11.5546875" style="514" customWidth="1"/>
    <col min="15365" max="15367" width="10.5546875" style="514" customWidth="1"/>
    <col min="15368" max="15616" width="8.88671875" style="514"/>
    <col min="15617" max="15620" width="11.5546875" style="514" customWidth="1"/>
    <col min="15621" max="15623" width="10.5546875" style="514" customWidth="1"/>
    <col min="15624" max="15872" width="8.88671875" style="514"/>
    <col min="15873" max="15876" width="11.5546875" style="514" customWidth="1"/>
    <col min="15877" max="15879" width="10.5546875" style="514" customWidth="1"/>
    <col min="15880" max="16128" width="8.88671875" style="514"/>
    <col min="16129" max="16132" width="11.5546875" style="514" customWidth="1"/>
    <col min="16133" max="16135" width="10.5546875" style="514" customWidth="1"/>
    <col min="16136" max="16384" width="8.88671875" style="514"/>
  </cols>
  <sheetData>
    <row r="1" spans="1:7" ht="18.75" x14ac:dyDescent="0.3">
      <c r="A1" s="650" t="s">
        <v>817</v>
      </c>
      <c r="B1" s="650"/>
      <c r="C1" s="650"/>
      <c r="D1" s="650"/>
      <c r="E1" s="650"/>
      <c r="F1" s="650"/>
      <c r="G1" s="650"/>
    </row>
    <row r="2" spans="1:7" x14ac:dyDescent="0.25">
      <c r="A2" s="515"/>
      <c r="B2" s="515"/>
      <c r="C2" s="515"/>
      <c r="D2" s="515"/>
      <c r="E2" s="515"/>
      <c r="F2" s="515"/>
      <c r="G2" s="515"/>
    </row>
    <row r="3" spans="1:7" ht="32.25" customHeight="1" x14ac:dyDescent="0.25">
      <c r="A3" s="651" t="s">
        <v>818</v>
      </c>
      <c r="B3" s="651"/>
      <c r="C3" s="651"/>
      <c r="D3" s="651"/>
      <c r="E3" s="651"/>
      <c r="F3" s="651"/>
      <c r="G3" s="651"/>
    </row>
    <row r="4" spans="1:7" x14ac:dyDescent="0.25">
      <c r="A4" s="652" t="s">
        <v>819</v>
      </c>
      <c r="B4" s="652"/>
      <c r="C4" s="652"/>
      <c r="D4" s="652"/>
      <c r="E4" s="652"/>
      <c r="F4" s="652"/>
      <c r="G4" s="652"/>
    </row>
    <row r="5" spans="1:7" x14ac:dyDescent="0.25">
      <c r="A5" s="652" t="s">
        <v>820</v>
      </c>
      <c r="B5" s="652"/>
      <c r="C5" s="652"/>
      <c r="D5" s="652"/>
      <c r="E5" s="652"/>
      <c r="F5" s="652"/>
      <c r="G5" s="652"/>
    </row>
    <row r="6" spans="1:7" x14ac:dyDescent="0.25">
      <c r="A6" s="516"/>
      <c r="B6" s="516"/>
      <c r="C6" s="516"/>
      <c r="D6" s="516"/>
      <c r="E6" s="516"/>
      <c r="F6" s="516"/>
      <c r="G6" s="516"/>
    </row>
    <row r="7" spans="1:7" ht="22.5" customHeight="1" x14ac:dyDescent="0.25">
      <c r="A7" s="653" t="s">
        <v>821</v>
      </c>
      <c r="B7" s="654"/>
      <c r="C7" s="654"/>
      <c r="D7" s="655"/>
      <c r="E7" s="517" t="s">
        <v>822</v>
      </c>
      <c r="F7" s="517" t="s">
        <v>823</v>
      </c>
      <c r="G7" s="517" t="s">
        <v>824</v>
      </c>
    </row>
    <row r="8" spans="1:7" ht="22.5" customHeight="1" x14ac:dyDescent="0.25">
      <c r="A8" s="647"/>
      <c r="B8" s="648"/>
      <c r="C8" s="648"/>
      <c r="D8" s="649"/>
      <c r="E8" s="518"/>
      <c r="F8" s="518"/>
      <c r="G8" s="518"/>
    </row>
    <row r="9" spans="1:7" ht="22.5" customHeight="1" x14ac:dyDescent="0.25">
      <c r="A9" s="647"/>
      <c r="B9" s="648"/>
      <c r="C9" s="648"/>
      <c r="D9" s="649"/>
      <c r="E9" s="518"/>
      <c r="F9" s="518"/>
      <c r="G9" s="518"/>
    </row>
    <row r="10" spans="1:7" ht="22.5" customHeight="1" x14ac:dyDescent="0.25">
      <c r="A10" s="643"/>
      <c r="B10" s="643"/>
      <c r="C10" s="643"/>
      <c r="D10" s="643"/>
      <c r="E10" s="518"/>
      <c r="F10" s="518"/>
      <c r="G10" s="518"/>
    </row>
    <row r="11" spans="1:7" ht="22.5" customHeight="1" x14ac:dyDescent="0.25">
      <c r="A11" s="643"/>
      <c r="B11" s="643"/>
      <c r="C11" s="643"/>
      <c r="D11" s="643"/>
      <c r="E11" s="518"/>
      <c r="F11" s="518"/>
      <c r="G11" s="518"/>
    </row>
    <row r="12" spans="1:7" ht="22.5" customHeight="1" x14ac:dyDescent="0.25">
      <c r="A12" s="643"/>
      <c r="B12" s="643"/>
      <c r="C12" s="643"/>
      <c r="D12" s="643"/>
      <c r="E12" s="518"/>
      <c r="F12" s="518"/>
      <c r="G12" s="518"/>
    </row>
    <row r="13" spans="1:7" ht="22.5" customHeight="1" x14ac:dyDescent="0.25">
      <c r="A13" s="643"/>
      <c r="B13" s="643"/>
      <c r="C13" s="643"/>
      <c r="D13" s="643"/>
      <c r="E13" s="518"/>
      <c r="F13" s="518"/>
      <c r="G13" s="518"/>
    </row>
    <row r="14" spans="1:7" ht="22.5" customHeight="1" x14ac:dyDescent="0.25">
      <c r="A14" s="643"/>
      <c r="B14" s="643"/>
      <c r="C14" s="643"/>
      <c r="D14" s="643"/>
      <c r="E14" s="518"/>
      <c r="F14" s="518"/>
      <c r="G14" s="518"/>
    </row>
    <row r="15" spans="1:7" ht="22.5" customHeight="1" x14ac:dyDescent="0.25">
      <c r="A15" s="643"/>
      <c r="B15" s="643"/>
      <c r="C15" s="643"/>
      <c r="D15" s="643"/>
      <c r="E15" s="518"/>
      <c r="F15" s="518"/>
      <c r="G15" s="518"/>
    </row>
    <row r="16" spans="1:7" ht="22.5" customHeight="1" thickBot="1" x14ac:dyDescent="0.3">
      <c r="A16" s="644"/>
      <c r="B16" s="644"/>
      <c r="C16" s="644"/>
      <c r="D16" s="644"/>
      <c r="E16" s="519"/>
      <c r="F16" s="519"/>
      <c r="G16" s="519"/>
    </row>
    <row r="17" spans="1:7" ht="22.5" customHeight="1" thickTop="1" x14ac:dyDescent="0.25">
      <c r="A17" s="645" t="s">
        <v>130</v>
      </c>
      <c r="B17" s="645"/>
      <c r="C17" s="645"/>
      <c r="D17" s="645"/>
      <c r="E17" s="520"/>
      <c r="F17" s="520"/>
      <c r="G17" s="520"/>
    </row>
    <row r="19" spans="1:7" x14ac:dyDescent="0.25">
      <c r="A19" s="521" t="s">
        <v>825</v>
      </c>
      <c r="B19" s="522"/>
    </row>
    <row r="20" spans="1:7" x14ac:dyDescent="0.25">
      <c r="A20" s="646"/>
      <c r="B20" s="646"/>
    </row>
  </sheetData>
  <mergeCells count="16">
    <mergeCell ref="A8:D8"/>
    <mergeCell ref="A1:G1"/>
    <mergeCell ref="A3:G3"/>
    <mergeCell ref="A4:G4"/>
    <mergeCell ref="A5:G5"/>
    <mergeCell ref="A7:D7"/>
    <mergeCell ref="A15:D15"/>
    <mergeCell ref="A16:D16"/>
    <mergeCell ref="A17:D17"/>
    <mergeCell ref="A20:B20"/>
    <mergeCell ref="A9:D9"/>
    <mergeCell ref="A10:D10"/>
    <mergeCell ref="A11:D11"/>
    <mergeCell ref="A12:D12"/>
    <mergeCell ref="A13:D13"/>
    <mergeCell ref="A14:D1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26DA8-64C1-4190-B0F6-11210804561C}">
  <dimension ref="A1:G24"/>
  <sheetViews>
    <sheetView workbookViewId="0">
      <selection activeCell="K15" sqref="K15"/>
    </sheetView>
  </sheetViews>
  <sheetFormatPr defaultRowHeight="15.75" x14ac:dyDescent="0.25"/>
  <cols>
    <col min="1" max="1" width="8.88671875" style="298"/>
    <col min="4" max="4" width="18" customWidth="1"/>
    <col min="7" max="7" width="12.77734375" customWidth="1"/>
  </cols>
  <sheetData>
    <row r="1" spans="1:7" x14ac:dyDescent="0.25">
      <c r="A1" s="642" t="s">
        <v>773</v>
      </c>
      <c r="B1" s="642"/>
      <c r="C1" s="642"/>
      <c r="D1" s="642"/>
      <c r="E1" s="642"/>
      <c r="F1" s="642"/>
      <c r="G1" s="642"/>
    </row>
    <row r="3" spans="1:7" ht="55.5" customHeight="1" x14ac:dyDescent="0.25">
      <c r="A3" s="656" t="s">
        <v>788</v>
      </c>
      <c r="B3" s="656"/>
      <c r="C3" s="656"/>
      <c r="D3" s="656"/>
      <c r="E3" s="656"/>
      <c r="F3" s="656"/>
      <c r="G3" s="656"/>
    </row>
    <row r="4" spans="1:7" ht="55.5" customHeight="1" x14ac:dyDescent="0.25">
      <c r="A4" s="657" t="s">
        <v>789</v>
      </c>
      <c r="B4" s="657"/>
      <c r="C4" s="657"/>
      <c r="D4" s="657"/>
      <c r="E4" s="657"/>
      <c r="F4" s="657"/>
      <c r="G4" s="657"/>
    </row>
    <row r="5" spans="1:7" ht="55.5" customHeight="1" x14ac:dyDescent="0.25">
      <c r="A5" s="657" t="s">
        <v>774</v>
      </c>
      <c r="B5" s="657"/>
      <c r="C5" s="657"/>
      <c r="D5" s="657"/>
      <c r="E5" s="657"/>
      <c r="F5" s="657"/>
      <c r="G5" s="657"/>
    </row>
    <row r="6" spans="1:7" ht="55.5" customHeight="1" x14ac:dyDescent="0.25">
      <c r="A6" s="657" t="s">
        <v>775</v>
      </c>
      <c r="B6" s="657"/>
      <c r="C6" s="657"/>
      <c r="D6" s="657"/>
      <c r="E6" s="657"/>
      <c r="F6" s="657"/>
      <c r="G6" s="657"/>
    </row>
    <row r="7" spans="1:7" ht="55.5" customHeight="1" x14ac:dyDescent="0.25">
      <c r="A7" s="657" t="s">
        <v>790</v>
      </c>
      <c r="B7" s="657"/>
      <c r="C7" s="657"/>
      <c r="D7" s="657"/>
      <c r="E7" s="657"/>
      <c r="F7" s="657"/>
      <c r="G7" s="657"/>
    </row>
    <row r="8" spans="1:7" ht="55.5" customHeight="1" x14ac:dyDescent="0.25">
      <c r="A8" s="656" t="s">
        <v>776</v>
      </c>
      <c r="B8" s="656"/>
      <c r="C8" s="656"/>
      <c r="D8" s="656"/>
      <c r="E8" s="656"/>
      <c r="F8" s="656"/>
      <c r="G8" s="656"/>
    </row>
    <row r="9" spans="1:7" ht="55.5" customHeight="1" x14ac:dyDescent="0.25">
      <c r="A9" s="657" t="s">
        <v>791</v>
      </c>
      <c r="B9" s="657"/>
      <c r="C9" s="657"/>
      <c r="D9" s="657"/>
      <c r="E9" s="657"/>
      <c r="F9" s="657"/>
      <c r="G9" s="657"/>
    </row>
    <row r="10" spans="1:7" ht="55.5" customHeight="1" x14ac:dyDescent="0.25">
      <c r="A10" s="657" t="s">
        <v>777</v>
      </c>
      <c r="B10" s="657"/>
      <c r="C10" s="657"/>
      <c r="D10" s="657"/>
      <c r="E10" s="657"/>
      <c r="F10" s="657"/>
      <c r="G10" s="657"/>
    </row>
    <row r="11" spans="1:7" ht="55.5" customHeight="1" x14ac:dyDescent="0.25">
      <c r="A11" s="657" t="s">
        <v>792</v>
      </c>
      <c r="B11" s="657"/>
      <c r="C11" s="657"/>
      <c r="D11" s="657"/>
      <c r="E11" s="657"/>
      <c r="F11" s="657"/>
      <c r="G11" s="657"/>
    </row>
    <row r="12" spans="1:7" ht="15.75" customHeight="1" x14ac:dyDescent="0.25">
      <c r="A12" s="641" t="s">
        <v>778</v>
      </c>
      <c r="B12" s="641"/>
      <c r="C12" s="641"/>
      <c r="D12" s="641"/>
      <c r="E12" s="641"/>
      <c r="F12" s="641"/>
      <c r="G12" s="641"/>
    </row>
    <row r="13" spans="1:7" ht="15.75" customHeight="1" x14ac:dyDescent="0.25">
      <c r="A13" s="641" t="s">
        <v>778</v>
      </c>
      <c r="B13" s="641"/>
      <c r="C13" s="641"/>
      <c r="D13" s="641"/>
      <c r="E13" s="641"/>
      <c r="F13" s="641"/>
      <c r="G13" s="641"/>
    </row>
    <row r="14" spans="1:7" ht="15.75" customHeight="1" x14ac:dyDescent="0.25">
      <c r="A14" s="641" t="s">
        <v>778</v>
      </c>
      <c r="B14" s="641"/>
      <c r="C14" s="641"/>
      <c r="D14" s="641"/>
      <c r="E14" s="641"/>
      <c r="F14" s="641"/>
      <c r="G14" s="641"/>
    </row>
    <row r="15" spans="1:7" ht="15.75" customHeight="1" x14ac:dyDescent="0.25">
      <c r="A15" s="641" t="s">
        <v>778</v>
      </c>
      <c r="B15" s="641"/>
      <c r="C15" s="641"/>
      <c r="D15" s="641"/>
      <c r="E15" s="641"/>
      <c r="F15" s="641"/>
      <c r="G15" s="641"/>
    </row>
    <row r="16" spans="1:7" x14ac:dyDescent="0.25">
      <c r="A16" s="641" t="s">
        <v>778</v>
      </c>
      <c r="B16" s="641"/>
      <c r="C16" s="641"/>
      <c r="D16" s="641"/>
      <c r="E16" s="641"/>
      <c r="F16" s="641"/>
      <c r="G16" s="641"/>
    </row>
    <row r="17" spans="1:7" x14ac:dyDescent="0.25">
      <c r="A17" s="641" t="s">
        <v>778</v>
      </c>
      <c r="B17" s="641"/>
      <c r="C17" s="641"/>
      <c r="D17" s="641"/>
      <c r="E17" s="641"/>
      <c r="F17" s="641"/>
      <c r="G17" s="641"/>
    </row>
    <row r="18" spans="1:7" x14ac:dyDescent="0.25">
      <c r="A18" s="641" t="s">
        <v>778</v>
      </c>
      <c r="B18" s="641"/>
      <c r="C18" s="641"/>
      <c r="D18" s="641"/>
      <c r="E18" s="641"/>
      <c r="F18" s="641"/>
      <c r="G18" s="641"/>
    </row>
    <row r="19" spans="1:7" x14ac:dyDescent="0.25">
      <c r="A19" s="641" t="s">
        <v>778</v>
      </c>
      <c r="B19" s="641"/>
      <c r="C19" s="641"/>
      <c r="D19" s="641"/>
      <c r="E19" s="641"/>
      <c r="F19" s="641"/>
      <c r="G19" s="641"/>
    </row>
    <row r="20" spans="1:7" x14ac:dyDescent="0.25">
      <c r="A20" s="641"/>
      <c r="B20" s="641"/>
      <c r="C20" s="641"/>
      <c r="D20" s="641"/>
      <c r="E20" s="641"/>
      <c r="F20" s="641"/>
      <c r="G20" s="641"/>
    </row>
    <row r="21" spans="1:7" x14ac:dyDescent="0.25">
      <c r="A21" s="497"/>
      <c r="B21" s="497"/>
      <c r="C21" s="497"/>
      <c r="D21" s="497"/>
      <c r="E21" s="497"/>
      <c r="F21" s="497"/>
      <c r="G21" s="497"/>
    </row>
    <row r="22" spans="1:7" x14ac:dyDescent="0.25">
      <c r="A22" s="641" t="s">
        <v>779</v>
      </c>
      <c r="B22" s="641"/>
      <c r="C22" s="641"/>
      <c r="D22" s="641"/>
      <c r="E22" s="641"/>
      <c r="F22" s="641"/>
      <c r="G22" s="641"/>
    </row>
    <row r="23" spans="1:7" x14ac:dyDescent="0.25">
      <c r="A23" s="641" t="s">
        <v>780</v>
      </c>
      <c r="B23" s="641"/>
      <c r="C23" s="641"/>
      <c r="D23" s="641"/>
      <c r="E23" s="641"/>
      <c r="F23" s="641"/>
      <c r="G23" s="641"/>
    </row>
    <row r="24" spans="1:7" x14ac:dyDescent="0.25">
      <c r="A24" s="641"/>
      <c r="B24" s="641"/>
      <c r="C24" s="641"/>
      <c r="D24" s="641"/>
      <c r="E24" s="641"/>
      <c r="F24" s="641"/>
      <c r="G24" s="641"/>
    </row>
  </sheetData>
  <sheetProtection sheet="1" objects="1" scenarios="1"/>
  <mergeCells count="22">
    <mergeCell ref="A7:G7"/>
    <mergeCell ref="A1:G1"/>
    <mergeCell ref="A3:G3"/>
    <mergeCell ref="A4:G4"/>
    <mergeCell ref="A5:G5"/>
    <mergeCell ref="A6:G6"/>
    <mergeCell ref="A8:G8"/>
    <mergeCell ref="A9:G9"/>
    <mergeCell ref="A10:G10"/>
    <mergeCell ref="A11:G11"/>
    <mergeCell ref="A12:G12"/>
    <mergeCell ref="A22:G22"/>
    <mergeCell ref="A23:G23"/>
    <mergeCell ref="A24:G24"/>
    <mergeCell ref="A13:G13"/>
    <mergeCell ref="A14:G14"/>
    <mergeCell ref="A15:G15"/>
    <mergeCell ref="A16:G16"/>
    <mergeCell ref="A17:G17"/>
    <mergeCell ref="A18:G18"/>
    <mergeCell ref="A19:G19"/>
    <mergeCell ref="A20:G20"/>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L72"/>
  <sheetViews>
    <sheetView workbookViewId="0">
      <selection activeCell="F1" sqref="F1"/>
    </sheetView>
  </sheetViews>
  <sheetFormatPr defaultRowHeight="15.75" x14ac:dyDescent="0.25"/>
  <cols>
    <col min="1" max="1" width="71.33203125" style="298" customWidth="1"/>
  </cols>
  <sheetData>
    <row r="1" spans="1:12" ht="15" x14ac:dyDescent="0.2">
      <c r="A1" s="658" t="s">
        <v>739</v>
      </c>
    </row>
    <row r="2" spans="1:12" ht="15" x14ac:dyDescent="0.2">
      <c r="A2" s="658"/>
    </row>
    <row r="3" spans="1:12" x14ac:dyDescent="0.25">
      <c r="A3" s="486" t="s">
        <v>216</v>
      </c>
      <c r="B3" s="234"/>
      <c r="C3" s="234"/>
      <c r="D3" s="234"/>
      <c r="E3" s="234"/>
      <c r="F3" s="234"/>
      <c r="G3" s="234"/>
      <c r="H3" s="234"/>
      <c r="I3" s="234"/>
      <c r="J3" s="234"/>
      <c r="K3" s="234"/>
      <c r="L3" s="234"/>
    </row>
    <row r="5" spans="1:12" x14ac:dyDescent="0.25">
      <c r="A5" s="298" t="s">
        <v>217</v>
      </c>
    </row>
    <row r="6" spans="1:12" x14ac:dyDescent="0.25">
      <c r="A6" s="298" t="str">
        <f>CONCATENATE(inputPrYr!D6-2," 'total expenditures' exceed your ",inputPrYr!D6-2," 'budget authority.'")</f>
        <v>2023 'total expenditures' exceed your 2023 'budget authority.'</v>
      </c>
    </row>
    <row r="8" spans="1:12" x14ac:dyDescent="0.25">
      <c r="A8" s="298" t="s">
        <v>218</v>
      </c>
    </row>
    <row r="9" spans="1:12" x14ac:dyDescent="0.25">
      <c r="A9" s="298" t="s">
        <v>219</v>
      </c>
    </row>
    <row r="10" spans="1:12" x14ac:dyDescent="0.25">
      <c r="A10" s="298" t="s">
        <v>220</v>
      </c>
    </row>
    <row r="13" spans="1:12" x14ac:dyDescent="0.25">
      <c r="A13" s="487" t="s">
        <v>221</v>
      </c>
    </row>
    <row r="15" spans="1:12" x14ac:dyDescent="0.25">
      <c r="A15" s="298" t="s">
        <v>740</v>
      </c>
    </row>
    <row r="16" spans="1:12" x14ac:dyDescent="0.25">
      <c r="A16" s="298" t="str">
        <f>CONCATENATE("(i.e. an audit has not been completed, or the ",inputPrYr!D6," adopted")</f>
        <v>(i.e. an audit has not been completed, or the 2025 adopted</v>
      </c>
    </row>
    <row r="17" spans="1:1" x14ac:dyDescent="0.25">
      <c r="A17" s="298" t="s">
        <v>222</v>
      </c>
    </row>
    <row r="18" spans="1:1" x14ac:dyDescent="0.25">
      <c r="A18" s="298" t="s">
        <v>223</v>
      </c>
    </row>
    <row r="19" spans="1:1" x14ac:dyDescent="0.25">
      <c r="A19" s="298" t="s">
        <v>224</v>
      </c>
    </row>
    <row r="21" spans="1:1" x14ac:dyDescent="0.25">
      <c r="A21" s="487" t="s">
        <v>225</v>
      </c>
    </row>
    <row r="22" spans="1:1" x14ac:dyDescent="0.25">
      <c r="A22" s="487"/>
    </row>
    <row r="23" spans="1:1" x14ac:dyDescent="0.25">
      <c r="A23" s="298" t="s">
        <v>226</v>
      </c>
    </row>
    <row r="24" spans="1:1" x14ac:dyDescent="0.25">
      <c r="A24" s="298" t="s">
        <v>227</v>
      </c>
    </row>
    <row r="25" spans="1:1" x14ac:dyDescent="0.25">
      <c r="A25" s="298" t="str">
        <f>CONCATENATE("particular fund.  If your ",inputPrYr!D6-2," budget was amended, did you")</f>
        <v>particular fund.  If your 2023 budget was amended, did you</v>
      </c>
    </row>
    <row r="26" spans="1:1" x14ac:dyDescent="0.25">
      <c r="A26" s="298" t="s">
        <v>228</v>
      </c>
    </row>
    <row r="28" spans="1:1" x14ac:dyDescent="0.25">
      <c r="A28" s="298" t="str">
        <f>CONCATENATE("Next, look to see if any of your ",inputPrYr!D6-2," expenditures can be")</f>
        <v>Next, look to see if any of your 2023 expenditures can be</v>
      </c>
    </row>
    <row r="29" spans="1:1" x14ac:dyDescent="0.25">
      <c r="A29" s="298" t="s">
        <v>229</v>
      </c>
    </row>
    <row r="30" spans="1:1" x14ac:dyDescent="0.25">
      <c r="A30" s="298" t="s">
        <v>230</v>
      </c>
    </row>
    <row r="31" spans="1:1" x14ac:dyDescent="0.25">
      <c r="A31" s="298" t="s">
        <v>231</v>
      </c>
    </row>
    <row r="33" spans="1:1" x14ac:dyDescent="0.25">
      <c r="A33" s="298" t="str">
        <f>CONCATENATE("Additionally, do your ",inputPrYr!D6-2," receipts contain a reimbursement")</f>
        <v>Additionally, do your 2023 receipts contain a reimbursement</v>
      </c>
    </row>
    <row r="34" spans="1:1" x14ac:dyDescent="0.25">
      <c r="A34" s="298" t="s">
        <v>232</v>
      </c>
    </row>
    <row r="35" spans="1:1" x14ac:dyDescent="0.25">
      <c r="A35" s="298" t="s">
        <v>741</v>
      </c>
    </row>
    <row r="37" spans="1:1" x14ac:dyDescent="0.25">
      <c r="A37" s="298" t="s">
        <v>236</v>
      </c>
    </row>
    <row r="38" spans="1:1" x14ac:dyDescent="0.25">
      <c r="A38" s="298" t="s">
        <v>237</v>
      </c>
    </row>
    <row r="39" spans="1:1" x14ac:dyDescent="0.25">
      <c r="A39" s="298" t="s">
        <v>238</v>
      </c>
    </row>
    <row r="41" spans="1:1" x14ac:dyDescent="0.25">
      <c r="A41" s="487" t="s">
        <v>239</v>
      </c>
    </row>
    <row r="43" spans="1:1" x14ac:dyDescent="0.25">
      <c r="A43" s="298" t="s">
        <v>240</v>
      </c>
    </row>
    <row r="44" spans="1:1" x14ac:dyDescent="0.25">
      <c r="A44" s="298" t="s">
        <v>241</v>
      </c>
    </row>
    <row r="45" spans="1:1" x14ac:dyDescent="0.25">
      <c r="A45" s="298" t="s">
        <v>242</v>
      </c>
    </row>
    <row r="46" spans="1:1" x14ac:dyDescent="0.25">
      <c r="A46" s="298" t="s">
        <v>243</v>
      </c>
    </row>
    <row r="47" spans="1:1" x14ac:dyDescent="0.25">
      <c r="A47" s="298" t="s">
        <v>244</v>
      </c>
    </row>
    <row r="48" spans="1:1" x14ac:dyDescent="0.25">
      <c r="A48" s="298" t="s">
        <v>245</v>
      </c>
    </row>
    <row r="49" spans="1:1" x14ac:dyDescent="0.25">
      <c r="A49" s="298" t="s">
        <v>246</v>
      </c>
    </row>
    <row r="50" spans="1:1" x14ac:dyDescent="0.25">
      <c r="A50" s="298" t="s">
        <v>247</v>
      </c>
    </row>
    <row r="51" spans="1:1" x14ac:dyDescent="0.25">
      <c r="A51" s="298" t="s">
        <v>248</v>
      </c>
    </row>
    <row r="52" spans="1:1" x14ac:dyDescent="0.25">
      <c r="A52" s="298" t="s">
        <v>249</v>
      </c>
    </row>
    <row r="53" spans="1:1" x14ac:dyDescent="0.25">
      <c r="A53" s="298" t="s">
        <v>250</v>
      </c>
    </row>
    <row r="54" spans="1:1" x14ac:dyDescent="0.25">
      <c r="A54" s="298" t="s">
        <v>251</v>
      </c>
    </row>
    <row r="55" spans="1:1" x14ac:dyDescent="0.25">
      <c r="A55" s="298" t="s">
        <v>252</v>
      </c>
    </row>
    <row r="57" spans="1:1" x14ac:dyDescent="0.25">
      <c r="A57" s="298" t="s">
        <v>253</v>
      </c>
    </row>
    <row r="58" spans="1:1" x14ac:dyDescent="0.25">
      <c r="A58" s="298" t="s">
        <v>254</v>
      </c>
    </row>
    <row r="59" spans="1:1" x14ac:dyDescent="0.25">
      <c r="A59" s="298" t="s">
        <v>255</v>
      </c>
    </row>
    <row r="61" spans="1:1" x14ac:dyDescent="0.25">
      <c r="A61" s="487" t="str">
        <f>CONCATENATE("What if the ",inputPrYr!D6-2," financial records have been closed?")</f>
        <v>What if the 2023 financial records have been closed?</v>
      </c>
    </row>
    <row r="63" spans="1:1" x14ac:dyDescent="0.25">
      <c r="A63" s="298" t="s">
        <v>256</v>
      </c>
    </row>
    <row r="64" spans="1:1" x14ac:dyDescent="0.25">
      <c r="A64" s="298" t="str">
        <f>CONCATENATE("(i.e. an audit for ",inputPrYr!D6-2," has been completed, or the ",inputPrYr!D6)</f>
        <v>(i.e. an audit for 2023 has been completed, or the 2025</v>
      </c>
    </row>
    <row r="65" spans="1:1" x14ac:dyDescent="0.25">
      <c r="A65" s="298" t="s">
        <v>257</v>
      </c>
    </row>
    <row r="66" spans="1:1" x14ac:dyDescent="0.25">
      <c r="A66" s="298" t="s">
        <v>258</v>
      </c>
    </row>
    <row r="68" spans="1:1" x14ac:dyDescent="0.25">
      <c r="A68" s="298" t="s">
        <v>259</v>
      </c>
    </row>
    <row r="69" spans="1:1" x14ac:dyDescent="0.25">
      <c r="A69" s="298" t="s">
        <v>260</v>
      </c>
    </row>
    <row r="70" spans="1:1" x14ac:dyDescent="0.25">
      <c r="A70" s="298" t="s">
        <v>261</v>
      </c>
    </row>
    <row r="72" spans="1:1" x14ac:dyDescent="0.25">
      <c r="A72" s="298" t="s">
        <v>262</v>
      </c>
    </row>
  </sheetData>
  <sheetProtection sheet="1"/>
  <mergeCells count="1">
    <mergeCell ref="A1:A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J109"/>
  <sheetViews>
    <sheetView workbookViewId="0">
      <selection activeCell="F1" sqref="F1"/>
    </sheetView>
  </sheetViews>
  <sheetFormatPr defaultRowHeight="15.75" x14ac:dyDescent="0.25"/>
  <cols>
    <col min="1" max="1" width="71.33203125" style="298" customWidth="1"/>
  </cols>
  <sheetData>
    <row r="1" spans="1:10" ht="15" x14ac:dyDescent="0.2">
      <c r="A1" s="658" t="s">
        <v>742</v>
      </c>
    </row>
    <row r="2" spans="1:10" ht="15" x14ac:dyDescent="0.2">
      <c r="A2" s="658"/>
    </row>
    <row r="3" spans="1:10" x14ac:dyDescent="0.25">
      <c r="A3" s="486" t="s">
        <v>263</v>
      </c>
      <c r="B3" s="234"/>
      <c r="C3" s="234"/>
      <c r="D3" s="234"/>
      <c r="E3" s="234"/>
      <c r="F3" s="234"/>
      <c r="G3" s="234"/>
      <c r="H3" s="236"/>
      <c r="I3" s="236"/>
      <c r="J3" s="236"/>
    </row>
    <row r="5" spans="1:10" x14ac:dyDescent="0.25">
      <c r="A5" s="298" t="s">
        <v>264</v>
      </c>
    </row>
    <row r="6" spans="1:10" x14ac:dyDescent="0.25">
      <c r="A6" s="298" t="str">
        <f>CONCATENATE(inputPrYr!D6-2," expenditures show that you finished the year with a ")</f>
        <v xml:space="preserve">2023 expenditures show that you finished the year with a </v>
      </c>
    </row>
    <row r="7" spans="1:10" x14ac:dyDescent="0.25">
      <c r="A7" s="298" t="s">
        <v>265</v>
      </c>
    </row>
    <row r="9" spans="1:10" x14ac:dyDescent="0.25">
      <c r="A9" s="298" t="s">
        <v>266</v>
      </c>
    </row>
    <row r="10" spans="1:10" x14ac:dyDescent="0.25">
      <c r="A10" s="298" t="s">
        <v>267</v>
      </c>
    </row>
    <row r="11" spans="1:10" x14ac:dyDescent="0.25">
      <c r="A11" s="298" t="s">
        <v>268</v>
      </c>
    </row>
    <row r="13" spans="1:10" x14ac:dyDescent="0.25">
      <c r="A13" s="487" t="s">
        <v>269</v>
      </c>
    </row>
    <row r="14" spans="1:10" x14ac:dyDescent="0.25">
      <c r="A14" s="487"/>
    </row>
    <row r="15" spans="1:10" x14ac:dyDescent="0.25">
      <c r="A15" s="298" t="s">
        <v>270</v>
      </c>
    </row>
    <row r="16" spans="1:10" x14ac:dyDescent="0.25">
      <c r="A16" s="298" t="s">
        <v>271</v>
      </c>
    </row>
    <row r="17" spans="1:1" x14ac:dyDescent="0.25">
      <c r="A17" s="298" t="s">
        <v>272</v>
      </c>
    </row>
    <row r="19" spans="1:1" x14ac:dyDescent="0.25">
      <c r="A19" s="487" t="s">
        <v>273</v>
      </c>
    </row>
    <row r="20" spans="1:1" x14ac:dyDescent="0.25">
      <c r="A20" s="487"/>
    </row>
    <row r="21" spans="1:1" x14ac:dyDescent="0.25">
      <c r="A21" s="298" t="s">
        <v>274</v>
      </c>
    </row>
    <row r="22" spans="1:1" x14ac:dyDescent="0.25">
      <c r="A22" s="298" t="s">
        <v>275</v>
      </c>
    </row>
    <row r="23" spans="1:1" x14ac:dyDescent="0.25">
      <c r="A23" s="298" t="s">
        <v>743</v>
      </c>
    </row>
    <row r="25" spans="1:1" x14ac:dyDescent="0.25">
      <c r="A25" s="487" t="s">
        <v>276</v>
      </c>
    </row>
    <row r="26" spans="1:1" x14ac:dyDescent="0.25">
      <c r="A26" s="487"/>
    </row>
    <row r="27" spans="1:1" x14ac:dyDescent="0.25">
      <c r="A27" s="298" t="s">
        <v>277</v>
      </c>
    </row>
    <row r="28" spans="1:1" x14ac:dyDescent="0.25">
      <c r="A28" s="298" t="s">
        <v>278</v>
      </c>
    </row>
    <row r="29" spans="1:1" x14ac:dyDescent="0.25">
      <c r="A29" s="298" t="s">
        <v>279</v>
      </c>
    </row>
    <row r="31" spans="1:1" x14ac:dyDescent="0.25">
      <c r="A31" s="487" t="s">
        <v>280</v>
      </c>
    </row>
    <row r="32" spans="1:1" x14ac:dyDescent="0.25">
      <c r="A32" s="487"/>
    </row>
    <row r="33" spans="1:8" x14ac:dyDescent="0.25">
      <c r="A33" s="298" t="str">
        <f>CONCATENATE("If your financial records for ",inputPrYr!D6-2," are not closed")</f>
        <v>If your financial records for 2023 are not closed</v>
      </c>
      <c r="B33" s="235"/>
      <c r="C33" s="235"/>
      <c r="D33" s="235"/>
      <c r="E33" s="235"/>
      <c r="F33" s="235"/>
      <c r="G33" s="235"/>
      <c r="H33" s="235"/>
    </row>
    <row r="34" spans="1:8" x14ac:dyDescent="0.25">
      <c r="A34" s="298" t="str">
        <f>CONCATENATE("(i.e. an audit has not been completed, or the ",inputPrYr!D6," adopted ")</f>
        <v xml:space="preserve">(i.e. an audit has not been completed, or the 2025 adopted </v>
      </c>
      <c r="B34" s="235"/>
      <c r="C34" s="235"/>
      <c r="D34" s="235"/>
      <c r="E34" s="235"/>
      <c r="F34" s="235"/>
      <c r="G34" s="235"/>
      <c r="H34" s="235"/>
    </row>
    <row r="35" spans="1:8" x14ac:dyDescent="0.25">
      <c r="A35" s="298" t="s">
        <v>281</v>
      </c>
      <c r="B35" s="235"/>
      <c r="C35" s="235"/>
      <c r="D35" s="235"/>
      <c r="E35" s="235"/>
      <c r="F35" s="235"/>
      <c r="G35" s="235"/>
      <c r="H35" s="235"/>
    </row>
    <row r="36" spans="1:8" x14ac:dyDescent="0.25">
      <c r="A36" s="298" t="s">
        <v>282</v>
      </c>
      <c r="B36" s="235"/>
      <c r="C36" s="235"/>
      <c r="D36" s="235"/>
      <c r="E36" s="235"/>
      <c r="F36" s="235"/>
      <c r="G36" s="235"/>
      <c r="H36" s="235"/>
    </row>
    <row r="37" spans="1:8" x14ac:dyDescent="0.25">
      <c r="A37" s="298" t="s">
        <v>283</v>
      </c>
      <c r="B37" s="235"/>
      <c r="C37" s="235"/>
      <c r="D37" s="235"/>
      <c r="E37" s="235"/>
      <c r="F37" s="235"/>
      <c r="G37" s="235"/>
      <c r="H37" s="235"/>
    </row>
    <row r="38" spans="1:8" x14ac:dyDescent="0.25">
      <c r="A38" s="298" t="s">
        <v>284</v>
      </c>
      <c r="B38" s="235"/>
      <c r="C38" s="235"/>
      <c r="D38" s="235"/>
      <c r="E38" s="235"/>
      <c r="F38" s="235"/>
      <c r="G38" s="235"/>
      <c r="H38" s="235"/>
    </row>
    <row r="39" spans="1:8" x14ac:dyDescent="0.25">
      <c r="A39" s="298" t="s">
        <v>285</v>
      </c>
      <c r="B39" s="235"/>
      <c r="C39" s="235"/>
      <c r="D39" s="235"/>
      <c r="E39" s="235"/>
      <c r="F39" s="235"/>
      <c r="G39" s="235"/>
      <c r="H39" s="235"/>
    </row>
    <row r="40" spans="1:8" x14ac:dyDescent="0.25">
      <c r="B40" s="235"/>
      <c r="C40" s="235"/>
      <c r="D40" s="235"/>
      <c r="E40" s="235"/>
      <c r="F40" s="235"/>
      <c r="G40" s="235"/>
      <c r="H40" s="235"/>
    </row>
    <row r="41" spans="1:8" x14ac:dyDescent="0.25">
      <c r="A41" s="298" t="s">
        <v>286</v>
      </c>
      <c r="B41" s="235"/>
      <c r="C41" s="235"/>
      <c r="D41" s="235"/>
      <c r="E41" s="235"/>
      <c r="F41" s="235"/>
      <c r="G41" s="235"/>
      <c r="H41" s="235"/>
    </row>
    <row r="42" spans="1:8" x14ac:dyDescent="0.25">
      <c r="A42" s="298" t="s">
        <v>287</v>
      </c>
      <c r="B42" s="235"/>
      <c r="C42" s="235"/>
      <c r="D42" s="235"/>
      <c r="E42" s="235"/>
      <c r="F42" s="235"/>
      <c r="G42" s="235"/>
      <c r="H42" s="235"/>
    </row>
    <row r="43" spans="1:8" x14ac:dyDescent="0.25">
      <c r="A43" s="298" t="s">
        <v>288</v>
      </c>
      <c r="B43" s="235"/>
      <c r="C43" s="235"/>
      <c r="D43" s="235"/>
      <c r="E43" s="235"/>
      <c r="F43" s="235"/>
      <c r="G43" s="235"/>
      <c r="H43" s="235"/>
    </row>
    <row r="44" spans="1:8" x14ac:dyDescent="0.25">
      <c r="A44" s="298" t="s">
        <v>289</v>
      </c>
      <c r="B44" s="235"/>
      <c r="C44" s="235"/>
      <c r="D44" s="235"/>
      <c r="E44" s="235"/>
      <c r="F44" s="235"/>
      <c r="G44" s="235"/>
      <c r="H44" s="235"/>
    </row>
    <row r="45" spans="1:8" x14ac:dyDescent="0.25">
      <c r="B45" s="235"/>
      <c r="C45" s="235"/>
      <c r="D45" s="235"/>
      <c r="E45" s="235"/>
      <c r="F45" s="235"/>
      <c r="G45" s="235"/>
      <c r="H45" s="235"/>
    </row>
    <row r="46" spans="1:8" x14ac:dyDescent="0.25">
      <c r="A46" s="298" t="s">
        <v>290</v>
      </c>
      <c r="B46" s="235"/>
      <c r="C46" s="235"/>
      <c r="D46" s="235"/>
      <c r="E46" s="235"/>
      <c r="F46" s="235"/>
      <c r="G46" s="235"/>
      <c r="H46" s="235"/>
    </row>
    <row r="47" spans="1:8" x14ac:dyDescent="0.25">
      <c r="A47" s="298" t="s">
        <v>291</v>
      </c>
      <c r="B47" s="235"/>
      <c r="C47" s="235"/>
      <c r="D47" s="235"/>
      <c r="E47" s="235"/>
      <c r="F47" s="235"/>
      <c r="G47" s="235"/>
      <c r="H47" s="235"/>
    </row>
    <row r="48" spans="1:8" x14ac:dyDescent="0.25">
      <c r="A48" s="298" t="s">
        <v>292</v>
      </c>
      <c r="B48" s="235"/>
      <c r="C48" s="235"/>
      <c r="D48" s="235"/>
      <c r="E48" s="235"/>
      <c r="F48" s="235"/>
      <c r="G48" s="235"/>
      <c r="H48" s="235"/>
    </row>
    <row r="49" spans="1:8" x14ac:dyDescent="0.25">
      <c r="A49" s="298" t="s">
        <v>293</v>
      </c>
      <c r="B49" s="235"/>
      <c r="C49" s="235"/>
      <c r="D49" s="235"/>
      <c r="E49" s="235"/>
      <c r="F49" s="235"/>
      <c r="G49" s="235"/>
      <c r="H49" s="235"/>
    </row>
    <row r="50" spans="1:8" x14ac:dyDescent="0.25">
      <c r="A50" s="298" t="s">
        <v>294</v>
      </c>
      <c r="B50" s="235"/>
      <c r="C50" s="235"/>
      <c r="D50" s="235"/>
      <c r="E50" s="235"/>
      <c r="F50" s="235"/>
      <c r="G50" s="235"/>
      <c r="H50" s="235"/>
    </row>
    <row r="51" spans="1:8" x14ac:dyDescent="0.25">
      <c r="B51" s="235"/>
      <c r="C51" s="235"/>
      <c r="D51" s="235"/>
      <c r="E51" s="235"/>
      <c r="F51" s="235"/>
      <c r="G51" s="235"/>
      <c r="H51" s="235"/>
    </row>
    <row r="52" spans="1:8" x14ac:dyDescent="0.25">
      <c r="A52" s="487" t="s">
        <v>295</v>
      </c>
      <c r="B52" s="236"/>
      <c r="C52" s="236"/>
      <c r="D52" s="236"/>
      <c r="E52" s="236"/>
      <c r="F52" s="236"/>
      <c r="G52" s="236"/>
      <c r="H52" s="235"/>
    </row>
    <row r="53" spans="1:8" x14ac:dyDescent="0.25">
      <c r="A53" s="487" t="s">
        <v>296</v>
      </c>
      <c r="B53" s="236"/>
      <c r="C53" s="236"/>
      <c r="D53" s="236"/>
      <c r="E53" s="236"/>
      <c r="F53" s="236"/>
      <c r="G53" s="236"/>
      <c r="H53" s="235"/>
    </row>
    <row r="54" spans="1:8" x14ac:dyDescent="0.25">
      <c r="B54" s="235"/>
      <c r="C54" s="235"/>
      <c r="D54" s="235"/>
      <c r="E54" s="235"/>
      <c r="F54" s="235"/>
      <c r="G54" s="235"/>
      <c r="H54" s="235"/>
    </row>
    <row r="55" spans="1:8" x14ac:dyDescent="0.25">
      <c r="A55" s="298" t="s">
        <v>297</v>
      </c>
      <c r="B55" s="235"/>
      <c r="C55" s="235"/>
      <c r="D55" s="235"/>
      <c r="E55" s="235"/>
      <c r="F55" s="235"/>
      <c r="G55" s="235"/>
      <c r="H55" s="235"/>
    </row>
    <row r="56" spans="1:8" x14ac:dyDescent="0.25">
      <c r="A56" s="298" t="s">
        <v>298</v>
      </c>
      <c r="B56" s="235"/>
      <c r="C56" s="235"/>
      <c r="D56" s="235"/>
      <c r="E56" s="235"/>
      <c r="F56" s="235"/>
      <c r="G56" s="235"/>
      <c r="H56" s="235"/>
    </row>
    <row r="57" spans="1:8" x14ac:dyDescent="0.25">
      <c r="A57" s="298" t="s">
        <v>299</v>
      </c>
      <c r="B57" s="235"/>
      <c r="C57" s="235"/>
      <c r="D57" s="235"/>
      <c r="E57" s="235"/>
      <c r="F57" s="235"/>
      <c r="G57" s="235"/>
      <c r="H57" s="235"/>
    </row>
    <row r="58" spans="1:8" x14ac:dyDescent="0.25">
      <c r="A58" s="298" t="s">
        <v>300</v>
      </c>
      <c r="B58" s="235"/>
      <c r="C58" s="235"/>
      <c r="D58" s="235"/>
      <c r="E58" s="235"/>
      <c r="F58" s="235"/>
      <c r="G58" s="235"/>
      <c r="H58" s="235"/>
    </row>
    <row r="59" spans="1:8" x14ac:dyDescent="0.25">
      <c r="B59" s="235"/>
      <c r="C59" s="235"/>
      <c r="D59" s="235"/>
      <c r="E59" s="235"/>
      <c r="F59" s="235"/>
      <c r="G59" s="235"/>
      <c r="H59" s="235"/>
    </row>
    <row r="60" spans="1:8" x14ac:dyDescent="0.25">
      <c r="A60" s="298" t="s">
        <v>301</v>
      </c>
      <c r="B60" s="235"/>
      <c r="C60" s="235"/>
      <c r="D60" s="235"/>
      <c r="E60" s="235"/>
      <c r="F60" s="235"/>
      <c r="G60" s="235"/>
      <c r="H60" s="235"/>
    </row>
    <row r="61" spans="1:8" x14ac:dyDescent="0.25">
      <c r="A61" s="298" t="s">
        <v>302</v>
      </c>
      <c r="B61" s="235"/>
      <c r="C61" s="235"/>
      <c r="D61" s="235"/>
      <c r="E61" s="235"/>
      <c r="F61" s="235"/>
      <c r="G61" s="235"/>
      <c r="H61" s="235"/>
    </row>
    <row r="62" spans="1:8" x14ac:dyDescent="0.25">
      <c r="A62" s="298" t="s">
        <v>303</v>
      </c>
      <c r="B62" s="235"/>
      <c r="C62" s="235"/>
      <c r="D62" s="235"/>
      <c r="E62" s="235"/>
      <c r="F62" s="235"/>
      <c r="G62" s="235"/>
      <c r="H62" s="235"/>
    </row>
    <row r="63" spans="1:8" x14ac:dyDescent="0.25">
      <c r="A63" s="298" t="s">
        <v>304</v>
      </c>
      <c r="B63" s="235"/>
      <c r="C63" s="235"/>
      <c r="D63" s="235"/>
      <c r="E63" s="235"/>
      <c r="F63" s="235"/>
      <c r="G63" s="235"/>
      <c r="H63" s="235"/>
    </row>
    <row r="64" spans="1:8" x14ac:dyDescent="0.25">
      <c r="A64" s="298" t="s">
        <v>305</v>
      </c>
      <c r="B64" s="235"/>
      <c r="C64" s="235"/>
      <c r="D64" s="235"/>
      <c r="E64" s="235"/>
      <c r="F64" s="235"/>
      <c r="G64" s="235"/>
      <c r="H64" s="235"/>
    </row>
    <row r="65" spans="1:8" x14ac:dyDescent="0.25">
      <c r="A65" s="298" t="s">
        <v>306</v>
      </c>
      <c r="B65" s="235"/>
      <c r="C65" s="235"/>
      <c r="D65" s="235"/>
      <c r="E65" s="235"/>
      <c r="F65" s="235"/>
      <c r="G65" s="235"/>
      <c r="H65" s="235"/>
    </row>
    <row r="66" spans="1:8" x14ac:dyDescent="0.25">
      <c r="B66" s="235"/>
      <c r="C66" s="235"/>
      <c r="D66" s="235"/>
      <c r="E66" s="235"/>
      <c r="F66" s="235"/>
      <c r="G66" s="235"/>
      <c r="H66" s="235"/>
    </row>
    <row r="67" spans="1:8" x14ac:dyDescent="0.25">
      <c r="A67" s="298" t="s">
        <v>307</v>
      </c>
      <c r="B67" s="235"/>
      <c r="C67" s="235"/>
      <c r="D67" s="235"/>
      <c r="E67" s="235"/>
      <c r="F67" s="235"/>
      <c r="G67" s="235"/>
      <c r="H67" s="235"/>
    </row>
    <row r="68" spans="1:8" x14ac:dyDescent="0.25">
      <c r="A68" s="298" t="s">
        <v>308</v>
      </c>
      <c r="B68" s="235"/>
      <c r="C68" s="235"/>
      <c r="D68" s="235"/>
      <c r="E68" s="235"/>
      <c r="F68" s="235"/>
      <c r="G68" s="235"/>
      <c r="H68" s="235"/>
    </row>
    <row r="69" spans="1:8" x14ac:dyDescent="0.25">
      <c r="A69" s="298" t="s">
        <v>309</v>
      </c>
      <c r="B69" s="235"/>
      <c r="C69" s="235"/>
      <c r="D69" s="235"/>
      <c r="E69" s="235"/>
      <c r="F69" s="235"/>
      <c r="G69" s="235"/>
      <c r="H69" s="235"/>
    </row>
    <row r="70" spans="1:8" x14ac:dyDescent="0.25">
      <c r="A70" s="298" t="s">
        <v>310</v>
      </c>
      <c r="B70" s="235"/>
      <c r="C70" s="235"/>
      <c r="D70" s="235"/>
      <c r="E70" s="235"/>
      <c r="F70" s="235"/>
      <c r="G70" s="235"/>
      <c r="H70" s="235"/>
    </row>
    <row r="71" spans="1:8" x14ac:dyDescent="0.25">
      <c r="A71" s="298" t="s">
        <v>311</v>
      </c>
      <c r="B71" s="235"/>
      <c r="C71" s="235"/>
      <c r="D71" s="235"/>
      <c r="E71" s="235"/>
      <c r="F71" s="235"/>
      <c r="G71" s="235"/>
      <c r="H71" s="235"/>
    </row>
    <row r="72" spans="1:8" x14ac:dyDescent="0.25">
      <c r="A72" s="298" t="s">
        <v>312</v>
      </c>
      <c r="B72" s="235"/>
      <c r="C72" s="235"/>
      <c r="D72" s="235"/>
      <c r="E72" s="235"/>
      <c r="F72" s="235"/>
      <c r="G72" s="235"/>
      <c r="H72" s="235"/>
    </row>
    <row r="73" spans="1:8" x14ac:dyDescent="0.25">
      <c r="A73" s="298" t="s">
        <v>313</v>
      </c>
      <c r="B73" s="235"/>
      <c r="C73" s="235"/>
      <c r="D73" s="235"/>
      <c r="E73" s="235"/>
      <c r="F73" s="235"/>
      <c r="G73" s="235"/>
      <c r="H73" s="235"/>
    </row>
    <row r="74" spans="1:8" x14ac:dyDescent="0.25">
      <c r="B74" s="235"/>
      <c r="C74" s="235"/>
      <c r="D74" s="235"/>
      <c r="E74" s="235"/>
      <c r="F74" s="235"/>
      <c r="G74" s="235"/>
      <c r="H74" s="235"/>
    </row>
    <row r="75" spans="1:8" x14ac:dyDescent="0.25">
      <c r="A75" s="298" t="s">
        <v>314</v>
      </c>
      <c r="B75" s="235"/>
      <c r="C75" s="235"/>
      <c r="D75" s="235"/>
      <c r="E75" s="235"/>
      <c r="F75" s="235"/>
      <c r="G75" s="235"/>
      <c r="H75" s="235"/>
    </row>
    <row r="76" spans="1:8" x14ac:dyDescent="0.25">
      <c r="A76" s="298" t="s">
        <v>315</v>
      </c>
      <c r="B76" s="235"/>
      <c r="C76" s="235"/>
      <c r="D76" s="235"/>
      <c r="E76" s="235"/>
      <c r="F76" s="235"/>
      <c r="G76" s="235"/>
      <c r="H76" s="235"/>
    </row>
    <row r="77" spans="1:8" x14ac:dyDescent="0.25">
      <c r="A77" s="298" t="s">
        <v>316</v>
      </c>
      <c r="B77" s="235"/>
      <c r="C77" s="235"/>
      <c r="D77" s="235"/>
      <c r="E77" s="235"/>
      <c r="F77" s="235"/>
      <c r="G77" s="235"/>
      <c r="H77" s="235"/>
    </row>
    <row r="78" spans="1:8" x14ac:dyDescent="0.25">
      <c r="B78" s="235"/>
      <c r="C78" s="235"/>
      <c r="D78" s="235"/>
      <c r="E78" s="235"/>
      <c r="F78" s="235"/>
      <c r="G78" s="235"/>
      <c r="H78" s="235"/>
    </row>
    <row r="79" spans="1:8" x14ac:dyDescent="0.25">
      <c r="A79" s="298" t="s">
        <v>262</v>
      </c>
    </row>
    <row r="80" spans="1:8" x14ac:dyDescent="0.25">
      <c r="A80" s="487"/>
    </row>
    <row r="107" spans="1:1" x14ac:dyDescent="0.25">
      <c r="A107" s="487"/>
    </row>
    <row r="108" spans="1:1" x14ac:dyDescent="0.25">
      <c r="A108" s="487"/>
    </row>
    <row r="109" spans="1:1" x14ac:dyDescent="0.25">
      <c r="A109" s="487"/>
    </row>
  </sheetData>
  <sheetProtection sheet="1"/>
  <mergeCells count="1">
    <mergeCell ref="A1:A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L62"/>
  <sheetViews>
    <sheetView workbookViewId="0">
      <selection activeCell="F1" sqref="F1"/>
    </sheetView>
  </sheetViews>
  <sheetFormatPr defaultRowHeight="15.75" x14ac:dyDescent="0.25"/>
  <cols>
    <col min="1" max="1" width="71.33203125" style="298" customWidth="1"/>
  </cols>
  <sheetData>
    <row r="1" spans="1:12" ht="15.75" customHeight="1" x14ac:dyDescent="0.2">
      <c r="A1" s="658" t="s">
        <v>744</v>
      </c>
    </row>
    <row r="2" spans="1:12" ht="15.75" customHeight="1" x14ac:dyDescent="0.2">
      <c r="A2" s="658"/>
    </row>
    <row r="3" spans="1:12" x14ac:dyDescent="0.25">
      <c r="A3" s="486" t="s">
        <v>317</v>
      </c>
      <c r="B3" s="234"/>
      <c r="C3" s="234"/>
      <c r="D3" s="234"/>
      <c r="E3" s="234"/>
      <c r="F3" s="234"/>
      <c r="G3" s="234"/>
      <c r="H3" s="234"/>
      <c r="I3" s="234"/>
      <c r="J3" s="234"/>
      <c r="K3" s="234"/>
      <c r="L3" s="234"/>
    </row>
    <row r="4" spans="1:12" x14ac:dyDescent="0.25">
      <c r="A4" s="486"/>
      <c r="B4" s="234"/>
      <c r="C4" s="234"/>
      <c r="D4" s="234"/>
      <c r="E4" s="234"/>
      <c r="F4" s="234"/>
      <c r="G4" s="234"/>
      <c r="H4" s="234"/>
      <c r="I4" s="234"/>
      <c r="J4" s="234"/>
      <c r="K4" s="234"/>
      <c r="L4" s="234"/>
    </row>
    <row r="5" spans="1:12" x14ac:dyDescent="0.25">
      <c r="A5" s="298" t="s">
        <v>217</v>
      </c>
      <c r="I5" s="234"/>
      <c r="J5" s="234"/>
      <c r="K5" s="234"/>
      <c r="L5" s="234"/>
    </row>
    <row r="6" spans="1:12" x14ac:dyDescent="0.25">
      <c r="A6" s="298" t="str">
        <f>CONCATENATE("estimated ",inputPrYr!D6-1," 'total expenditures' exceed your ",inputPrYr!D6-1,"")</f>
        <v>estimated 2024 'total expenditures' exceed your 2024</v>
      </c>
      <c r="I6" s="234"/>
      <c r="J6" s="234"/>
      <c r="K6" s="234"/>
      <c r="L6" s="234"/>
    </row>
    <row r="7" spans="1:12" x14ac:dyDescent="0.25">
      <c r="A7" s="488" t="s">
        <v>318</v>
      </c>
      <c r="I7" s="234"/>
      <c r="J7" s="234"/>
      <c r="K7" s="234"/>
      <c r="L7" s="234"/>
    </row>
    <row r="8" spans="1:12" x14ac:dyDescent="0.25">
      <c r="I8" s="234"/>
      <c r="J8" s="234"/>
      <c r="K8" s="234"/>
      <c r="L8" s="234"/>
    </row>
    <row r="9" spans="1:12" x14ac:dyDescent="0.25">
      <c r="A9" s="298" t="s">
        <v>319</v>
      </c>
      <c r="I9" s="234"/>
      <c r="J9" s="234"/>
      <c r="K9" s="234"/>
      <c r="L9" s="234"/>
    </row>
    <row r="10" spans="1:12" x14ac:dyDescent="0.25">
      <c r="A10" s="298" t="s">
        <v>320</v>
      </c>
      <c r="I10" s="234"/>
      <c r="J10" s="234"/>
      <c r="K10" s="234"/>
      <c r="L10" s="234"/>
    </row>
    <row r="11" spans="1:12" x14ac:dyDescent="0.25">
      <c r="A11" s="298" t="s">
        <v>321</v>
      </c>
      <c r="I11" s="234"/>
      <c r="J11" s="234"/>
      <c r="K11" s="234"/>
      <c r="L11" s="234"/>
    </row>
    <row r="12" spans="1:12" x14ac:dyDescent="0.25">
      <c r="A12" s="298" t="s">
        <v>322</v>
      </c>
      <c r="I12" s="234"/>
      <c r="J12" s="234"/>
      <c r="K12" s="234"/>
      <c r="L12" s="234"/>
    </row>
    <row r="13" spans="1:12" x14ac:dyDescent="0.25">
      <c r="A13" s="298" t="s">
        <v>323</v>
      </c>
      <c r="I13" s="234"/>
      <c r="J13" s="234"/>
      <c r="K13" s="234"/>
      <c r="L13" s="234"/>
    </row>
    <row r="14" spans="1:12" x14ac:dyDescent="0.25">
      <c r="A14" s="486"/>
      <c r="B14" s="234"/>
      <c r="C14" s="234"/>
      <c r="D14" s="234"/>
      <c r="E14" s="234"/>
      <c r="F14" s="234"/>
      <c r="G14" s="234"/>
      <c r="H14" s="234"/>
      <c r="I14" s="234"/>
      <c r="J14" s="234"/>
      <c r="K14" s="234"/>
      <c r="L14" s="234"/>
    </row>
    <row r="15" spans="1:12" x14ac:dyDescent="0.25">
      <c r="A15" s="487" t="s">
        <v>324</v>
      </c>
    </row>
    <row r="16" spans="1:12" x14ac:dyDescent="0.25">
      <c r="A16" s="487" t="s">
        <v>325</v>
      </c>
    </row>
    <row r="17" spans="1:7" x14ac:dyDescent="0.25">
      <c r="A17" s="487"/>
    </row>
    <row r="18" spans="1:7" x14ac:dyDescent="0.25">
      <c r="A18" s="298" t="s">
        <v>326</v>
      </c>
      <c r="B18" s="235"/>
      <c r="C18" s="235"/>
      <c r="D18" s="235"/>
      <c r="E18" s="235"/>
      <c r="F18" s="235"/>
      <c r="G18" s="235"/>
    </row>
    <row r="19" spans="1:7" x14ac:dyDescent="0.25">
      <c r="A19" s="298" t="str">
        <f>CONCATENATE("your ",inputPrYr!D6-1," numbers to see what steps might be necessary to")</f>
        <v>your 2024 numbers to see what steps might be necessary to</v>
      </c>
      <c r="B19" s="235"/>
      <c r="C19" s="235"/>
      <c r="D19" s="235"/>
      <c r="E19" s="235"/>
      <c r="F19" s="235"/>
      <c r="G19" s="235"/>
    </row>
    <row r="20" spans="1:7" x14ac:dyDescent="0.25">
      <c r="A20" s="298" t="s">
        <v>327</v>
      </c>
      <c r="B20" s="235"/>
      <c r="C20" s="235"/>
      <c r="D20" s="235"/>
      <c r="E20" s="235"/>
      <c r="F20" s="235"/>
      <c r="G20" s="235"/>
    </row>
    <row r="21" spans="1:7" x14ac:dyDescent="0.25">
      <c r="A21" s="298" t="s">
        <v>328</v>
      </c>
      <c r="B21" s="235"/>
      <c r="C21" s="235"/>
      <c r="D21" s="235"/>
      <c r="E21" s="235"/>
      <c r="F21" s="235"/>
      <c r="G21" s="235"/>
    </row>
    <row r="23" spans="1:7" x14ac:dyDescent="0.25">
      <c r="A23" s="487" t="s">
        <v>329</v>
      </c>
    </row>
    <row r="24" spans="1:7" x14ac:dyDescent="0.25">
      <c r="A24" s="487"/>
    </row>
    <row r="25" spans="1:7" x14ac:dyDescent="0.25">
      <c r="A25" s="298" t="s">
        <v>330</v>
      </c>
    </row>
    <row r="26" spans="1:7" x14ac:dyDescent="0.25">
      <c r="A26" s="298" t="s">
        <v>331</v>
      </c>
      <c r="B26" s="235"/>
      <c r="C26" s="235"/>
      <c r="D26" s="235"/>
      <c r="E26" s="235"/>
      <c r="F26" s="235"/>
    </row>
    <row r="27" spans="1:7" x14ac:dyDescent="0.25">
      <c r="A27" s="298" t="s">
        <v>332</v>
      </c>
      <c r="B27" s="235"/>
      <c r="C27" s="235"/>
      <c r="D27" s="235"/>
      <c r="E27" s="235"/>
      <c r="F27" s="235"/>
    </row>
    <row r="28" spans="1:7" x14ac:dyDescent="0.25">
      <c r="A28" s="298" t="s">
        <v>333</v>
      </c>
      <c r="B28" s="235"/>
      <c r="C28" s="235"/>
      <c r="D28" s="235"/>
      <c r="E28" s="235"/>
      <c r="F28" s="235"/>
    </row>
    <row r="29" spans="1:7" x14ac:dyDescent="0.25">
      <c r="B29" s="235"/>
      <c r="C29" s="235"/>
      <c r="D29" s="235"/>
      <c r="E29" s="235"/>
      <c r="F29" s="235"/>
    </row>
    <row r="30" spans="1:7" x14ac:dyDescent="0.25">
      <c r="A30" s="487" t="s">
        <v>334</v>
      </c>
      <c r="B30" s="236"/>
      <c r="C30" s="236"/>
      <c r="D30" s="236"/>
      <c r="E30" s="236"/>
      <c r="F30" s="236"/>
      <c r="G30" s="236"/>
    </row>
    <row r="31" spans="1:7" x14ac:dyDescent="0.25">
      <c r="A31" s="487" t="s">
        <v>335</v>
      </c>
      <c r="B31" s="236"/>
      <c r="C31" s="236"/>
      <c r="D31" s="236"/>
      <c r="E31" s="236"/>
      <c r="F31" s="236"/>
      <c r="G31" s="236"/>
    </row>
    <row r="32" spans="1:7" x14ac:dyDescent="0.25">
      <c r="B32" s="235"/>
      <c r="C32" s="235"/>
      <c r="D32" s="235"/>
      <c r="E32" s="235"/>
      <c r="F32" s="235"/>
    </row>
    <row r="33" spans="1:6" x14ac:dyDescent="0.25">
      <c r="A33" s="489" t="str">
        <f>CONCATENATE("Well, let's look to see if any of your ",inputPrYr!D6-1," expenditures can")</f>
        <v>Well, let's look to see if any of your 2024 expenditures can</v>
      </c>
      <c r="B33" s="235"/>
      <c r="C33" s="235"/>
      <c r="D33" s="235"/>
      <c r="E33" s="235"/>
      <c r="F33" s="235"/>
    </row>
    <row r="34" spans="1:6" x14ac:dyDescent="0.25">
      <c r="A34" s="489" t="s">
        <v>336</v>
      </c>
      <c r="B34" s="235"/>
      <c r="C34" s="235"/>
      <c r="D34" s="235"/>
      <c r="E34" s="235"/>
      <c r="F34" s="235"/>
    </row>
    <row r="35" spans="1:6" x14ac:dyDescent="0.25">
      <c r="A35" s="489" t="s">
        <v>230</v>
      </c>
      <c r="B35" s="235"/>
      <c r="C35" s="235"/>
      <c r="D35" s="235"/>
      <c r="E35" s="235"/>
      <c r="F35" s="235"/>
    </row>
    <row r="36" spans="1:6" x14ac:dyDescent="0.25">
      <c r="A36" s="489" t="s">
        <v>231</v>
      </c>
      <c r="B36" s="235"/>
      <c r="C36" s="235"/>
      <c r="D36" s="235"/>
      <c r="E36" s="235"/>
      <c r="F36" s="235"/>
    </row>
    <row r="37" spans="1:6" x14ac:dyDescent="0.25">
      <c r="A37" s="489"/>
      <c r="B37" s="235"/>
      <c r="C37" s="235"/>
      <c r="D37" s="235"/>
      <c r="E37" s="235"/>
      <c r="F37" s="235"/>
    </row>
    <row r="38" spans="1:6" x14ac:dyDescent="0.25">
      <c r="A38" s="489" t="str">
        <f>CONCATENATE("Additionally, do your ",inputPrYr!D6-1," receipts contain a reimbursement")</f>
        <v>Additionally, do your 2024 receipts contain a reimbursement</v>
      </c>
      <c r="B38" s="235"/>
      <c r="C38" s="235"/>
      <c r="D38" s="235"/>
      <c r="E38" s="235"/>
      <c r="F38" s="235"/>
    </row>
    <row r="39" spans="1:6" x14ac:dyDescent="0.25">
      <c r="A39" s="489" t="s">
        <v>232</v>
      </c>
      <c r="B39" s="235"/>
      <c r="C39" s="235"/>
      <c r="D39" s="235"/>
      <c r="E39" s="235"/>
      <c r="F39" s="235"/>
    </row>
    <row r="40" spans="1:6" x14ac:dyDescent="0.25">
      <c r="A40" s="489" t="s">
        <v>741</v>
      </c>
      <c r="B40" s="235"/>
      <c r="C40" s="235"/>
      <c r="D40" s="235"/>
      <c r="E40" s="235"/>
      <c r="F40" s="235"/>
    </row>
    <row r="41" spans="1:6" x14ac:dyDescent="0.25">
      <c r="A41" s="489"/>
      <c r="B41" s="235"/>
      <c r="C41" s="235"/>
      <c r="D41" s="235"/>
      <c r="E41" s="235"/>
      <c r="F41" s="235"/>
    </row>
    <row r="42" spans="1:6" x14ac:dyDescent="0.25">
      <c r="A42" s="489" t="s">
        <v>337</v>
      </c>
      <c r="B42" s="235"/>
      <c r="C42" s="235"/>
      <c r="D42" s="235"/>
      <c r="E42" s="235"/>
      <c r="F42" s="235"/>
    </row>
    <row r="43" spans="1:6" x14ac:dyDescent="0.25">
      <c r="A43" s="489" t="s">
        <v>338</v>
      </c>
      <c r="B43" s="235"/>
      <c r="C43" s="235"/>
      <c r="D43" s="235"/>
      <c r="E43" s="235"/>
      <c r="F43" s="235"/>
    </row>
    <row r="44" spans="1:6" x14ac:dyDescent="0.25">
      <c r="A44" s="489" t="s">
        <v>339</v>
      </c>
      <c r="B44" s="235"/>
      <c r="C44" s="235"/>
      <c r="D44" s="235"/>
      <c r="E44" s="235"/>
      <c r="F44" s="235"/>
    </row>
    <row r="45" spans="1:6" x14ac:dyDescent="0.25">
      <c r="A45" s="489" t="s">
        <v>340</v>
      </c>
      <c r="B45" s="235"/>
      <c r="C45" s="235"/>
      <c r="D45" s="235"/>
      <c r="E45" s="235"/>
      <c r="F45" s="235"/>
    </row>
    <row r="46" spans="1:6" x14ac:dyDescent="0.25">
      <c r="A46" s="489" t="s">
        <v>341</v>
      </c>
      <c r="B46" s="235"/>
      <c r="C46" s="235"/>
      <c r="D46" s="235"/>
      <c r="E46" s="235"/>
      <c r="F46" s="235"/>
    </row>
    <row r="47" spans="1:6" x14ac:dyDescent="0.25">
      <c r="A47" s="489"/>
      <c r="B47" s="235"/>
      <c r="C47" s="235"/>
      <c r="D47" s="235"/>
      <c r="E47" s="235"/>
      <c r="F47" s="235"/>
    </row>
    <row r="48" spans="1:6" x14ac:dyDescent="0.25">
      <c r="A48" s="489" t="s">
        <v>342</v>
      </c>
      <c r="B48" s="235"/>
      <c r="C48" s="235"/>
      <c r="D48" s="235"/>
      <c r="E48" s="235"/>
      <c r="F48" s="235"/>
    </row>
    <row r="49" spans="1:6" x14ac:dyDescent="0.25">
      <c r="A49" s="489" t="s">
        <v>343</v>
      </c>
      <c r="B49" s="235"/>
      <c r="C49" s="235"/>
      <c r="D49" s="235"/>
      <c r="E49" s="235"/>
      <c r="F49" s="235"/>
    </row>
    <row r="50" spans="1:6" x14ac:dyDescent="0.25">
      <c r="A50" s="489" t="s">
        <v>344</v>
      </c>
      <c r="B50" s="235"/>
      <c r="C50" s="235"/>
      <c r="D50" s="235"/>
      <c r="E50" s="235"/>
      <c r="F50" s="235"/>
    </row>
    <row r="51" spans="1:6" x14ac:dyDescent="0.25">
      <c r="A51" s="489" t="s">
        <v>345</v>
      </c>
    </row>
    <row r="52" spans="1:6" x14ac:dyDescent="0.25">
      <c r="A52" s="489" t="s">
        <v>346</v>
      </c>
    </row>
    <row r="53" spans="1:6" x14ac:dyDescent="0.25">
      <c r="A53" s="489" t="s">
        <v>347</v>
      </c>
    </row>
    <row r="55" spans="1:6" x14ac:dyDescent="0.25">
      <c r="A55" s="298" t="s">
        <v>348</v>
      </c>
    </row>
    <row r="56" spans="1:6" x14ac:dyDescent="0.25">
      <c r="A56" s="298" t="s">
        <v>349</v>
      </c>
    </row>
    <row r="57" spans="1:6" x14ac:dyDescent="0.25">
      <c r="A57" s="298" t="s">
        <v>350</v>
      </c>
    </row>
    <row r="58" spans="1:6" x14ac:dyDescent="0.25">
      <c r="A58" s="298" t="s">
        <v>351</v>
      </c>
    </row>
    <row r="59" spans="1:6" x14ac:dyDescent="0.25">
      <c r="A59" s="298" t="s">
        <v>352</v>
      </c>
    </row>
    <row r="60" spans="1:6" x14ac:dyDescent="0.25">
      <c r="A60" s="298" t="s">
        <v>353</v>
      </c>
    </row>
    <row r="62" spans="1:6" x14ac:dyDescent="0.25">
      <c r="A62" s="298" t="s">
        <v>262</v>
      </c>
    </row>
  </sheetData>
  <sheetProtection sheet="1"/>
  <mergeCells count="1">
    <mergeCell ref="A1:A2"/>
  </mergeCells>
  <pageMargins left="0.7" right="0.7" top="0.75" bottom="0.75" header="0.3" footer="0.3"/>
  <pageSetup orientation="portrait" blackAndWhite="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G78"/>
  <sheetViews>
    <sheetView workbookViewId="0">
      <selection activeCell="F1" sqref="F1"/>
    </sheetView>
  </sheetViews>
  <sheetFormatPr defaultRowHeight="15.75" x14ac:dyDescent="0.25"/>
  <cols>
    <col min="1" max="1" width="71.33203125" style="298" customWidth="1"/>
  </cols>
  <sheetData>
    <row r="1" spans="1:7" ht="15.75" customHeight="1" x14ac:dyDescent="0.2">
      <c r="A1" s="658" t="s">
        <v>745</v>
      </c>
    </row>
    <row r="2" spans="1:7" ht="15.75" customHeight="1" x14ac:dyDescent="0.2">
      <c r="A2" s="658"/>
    </row>
    <row r="3" spans="1:7" x14ac:dyDescent="0.25">
      <c r="A3" s="486" t="s">
        <v>354</v>
      </c>
      <c r="B3" s="234"/>
      <c r="C3" s="234"/>
      <c r="D3" s="234"/>
      <c r="E3" s="234"/>
      <c r="F3" s="234"/>
      <c r="G3" s="234"/>
    </row>
    <row r="4" spans="1:7" x14ac:dyDescent="0.25">
      <c r="A4" s="486"/>
      <c r="B4" s="234"/>
      <c r="C4" s="234"/>
      <c r="D4" s="234"/>
      <c r="E4" s="234"/>
      <c r="F4" s="234"/>
      <c r="G4" s="234"/>
    </row>
    <row r="5" spans="1:7" x14ac:dyDescent="0.25">
      <c r="A5" s="298" t="s">
        <v>264</v>
      </c>
    </row>
    <row r="6" spans="1:7" x14ac:dyDescent="0.25">
      <c r="A6" s="298" t="str">
        <f>CONCATENATE(inputPrYr!D6-1," estimated expenditures show that at the end of this year")</f>
        <v>2024 estimated expenditures show that at the end of this year</v>
      </c>
    </row>
    <row r="7" spans="1:7" x14ac:dyDescent="0.25">
      <c r="A7" s="298" t="s">
        <v>355</v>
      </c>
    </row>
    <row r="8" spans="1:7" x14ac:dyDescent="0.25">
      <c r="A8" s="298" t="s">
        <v>356</v>
      </c>
    </row>
    <row r="10" spans="1:7" x14ac:dyDescent="0.25">
      <c r="A10" s="298" t="s">
        <v>266</v>
      </c>
    </row>
    <row r="11" spans="1:7" x14ac:dyDescent="0.25">
      <c r="A11" s="298" t="s">
        <v>267</v>
      </c>
    </row>
    <row r="12" spans="1:7" x14ac:dyDescent="0.25">
      <c r="A12" s="298" t="s">
        <v>268</v>
      </c>
    </row>
    <row r="13" spans="1:7" x14ac:dyDescent="0.25">
      <c r="A13" s="486"/>
      <c r="B13" s="234"/>
      <c r="C13" s="234"/>
      <c r="D13" s="234"/>
      <c r="E13" s="234"/>
      <c r="F13" s="234"/>
      <c r="G13" s="234"/>
    </row>
    <row r="14" spans="1:7" x14ac:dyDescent="0.25">
      <c r="A14" s="487" t="s">
        <v>357</v>
      </c>
    </row>
    <row r="16" spans="1:7" x14ac:dyDescent="0.25">
      <c r="A16" s="298" t="s">
        <v>358</v>
      </c>
    </row>
    <row r="17" spans="1:7" x14ac:dyDescent="0.25">
      <c r="A17" s="298" t="s">
        <v>359</v>
      </c>
    </row>
    <row r="18" spans="1:7" x14ac:dyDescent="0.25">
      <c r="A18" s="298" t="s">
        <v>360</v>
      </c>
    </row>
    <row r="20" spans="1:7" x14ac:dyDescent="0.25">
      <c r="A20" s="298" t="s">
        <v>361</v>
      </c>
    </row>
    <row r="21" spans="1:7" x14ac:dyDescent="0.25">
      <c r="A21" s="298" t="s">
        <v>362</v>
      </c>
    </row>
    <row r="22" spans="1:7" x14ac:dyDescent="0.25">
      <c r="A22" s="298" t="s">
        <v>363</v>
      </c>
    </row>
    <row r="23" spans="1:7" x14ac:dyDescent="0.25">
      <c r="A23" s="298" t="s">
        <v>364</v>
      </c>
    </row>
    <row r="25" spans="1:7" x14ac:dyDescent="0.25">
      <c r="A25" s="487" t="s">
        <v>329</v>
      </c>
    </row>
    <row r="26" spans="1:7" x14ac:dyDescent="0.25">
      <c r="A26" s="487"/>
    </row>
    <row r="27" spans="1:7" x14ac:dyDescent="0.25">
      <c r="A27" s="298" t="s">
        <v>330</v>
      </c>
    </row>
    <row r="28" spans="1:7" x14ac:dyDescent="0.25">
      <c r="A28" s="298" t="s">
        <v>331</v>
      </c>
      <c r="B28" s="235"/>
      <c r="C28" s="235"/>
      <c r="D28" s="235"/>
      <c r="E28" s="235"/>
      <c r="F28" s="235"/>
    </row>
    <row r="29" spans="1:7" x14ac:dyDescent="0.25">
      <c r="A29" s="298" t="s">
        <v>332</v>
      </c>
      <c r="B29" s="235"/>
      <c r="C29" s="235"/>
      <c r="D29" s="235"/>
      <c r="E29" s="235"/>
      <c r="F29" s="235"/>
    </row>
    <row r="30" spans="1:7" x14ac:dyDescent="0.25">
      <c r="A30" s="298" t="s">
        <v>333</v>
      </c>
      <c r="B30" s="235"/>
      <c r="C30" s="235"/>
      <c r="D30" s="235"/>
      <c r="E30" s="235"/>
      <c r="F30" s="235"/>
    </row>
    <row r="32" spans="1:7" x14ac:dyDescent="0.25">
      <c r="A32" s="487" t="s">
        <v>334</v>
      </c>
      <c r="B32" s="236"/>
      <c r="C32" s="236"/>
      <c r="D32" s="236"/>
      <c r="E32" s="236"/>
      <c r="F32" s="236"/>
      <c r="G32" s="236"/>
    </row>
    <row r="33" spans="1:7" x14ac:dyDescent="0.25">
      <c r="A33" s="487" t="s">
        <v>335</v>
      </c>
      <c r="B33" s="236"/>
      <c r="C33" s="236"/>
      <c r="D33" s="236"/>
      <c r="E33" s="236"/>
      <c r="F33" s="236"/>
      <c r="G33" s="236"/>
    </row>
    <row r="34" spans="1:7" x14ac:dyDescent="0.25">
      <c r="A34" s="487"/>
      <c r="B34" s="236"/>
      <c r="C34" s="236"/>
      <c r="D34" s="236"/>
      <c r="E34" s="236"/>
      <c r="F34" s="236"/>
      <c r="G34" s="236"/>
    </row>
    <row r="35" spans="1:7" x14ac:dyDescent="0.25">
      <c r="A35" s="298" t="s">
        <v>365</v>
      </c>
      <c r="B35" s="235"/>
      <c r="C35" s="235"/>
      <c r="D35" s="235"/>
      <c r="E35" s="235"/>
      <c r="F35" s="235"/>
      <c r="G35" s="235"/>
    </row>
    <row r="36" spans="1:7" x14ac:dyDescent="0.25">
      <c r="A36" s="298" t="s">
        <v>366</v>
      </c>
      <c r="B36" s="235"/>
      <c r="C36" s="235"/>
      <c r="D36" s="235"/>
      <c r="E36" s="235"/>
      <c r="F36" s="235"/>
      <c r="G36" s="235"/>
    </row>
    <row r="37" spans="1:7" x14ac:dyDescent="0.25">
      <c r="A37" s="298" t="s">
        <v>367</v>
      </c>
      <c r="B37" s="235"/>
      <c r="C37" s="235"/>
      <c r="D37" s="235"/>
      <c r="E37" s="235"/>
      <c r="F37" s="235"/>
      <c r="G37" s="235"/>
    </row>
    <row r="38" spans="1:7" x14ac:dyDescent="0.25">
      <c r="A38" s="298" t="s">
        <v>368</v>
      </c>
      <c r="B38" s="235"/>
      <c r="C38" s="235"/>
      <c r="D38" s="235"/>
      <c r="E38" s="235"/>
      <c r="F38" s="235"/>
      <c r="G38" s="235"/>
    </row>
    <row r="39" spans="1:7" x14ac:dyDescent="0.25">
      <c r="A39" s="298" t="s">
        <v>369</v>
      </c>
      <c r="B39" s="235"/>
      <c r="C39" s="235"/>
      <c r="D39" s="235"/>
      <c r="E39" s="235"/>
      <c r="F39" s="235"/>
      <c r="G39" s="235"/>
    </row>
    <row r="40" spans="1:7" x14ac:dyDescent="0.25">
      <c r="A40" s="487"/>
      <c r="B40" s="236"/>
      <c r="C40" s="236"/>
      <c r="D40" s="236"/>
      <c r="E40" s="236"/>
      <c r="F40" s="236"/>
      <c r="G40" s="236"/>
    </row>
    <row r="41" spans="1:7" x14ac:dyDescent="0.25">
      <c r="A41" s="489" t="str">
        <f>CONCATENATE("So, let's look to see if any of your ",inputPrYr!D6-1," expenditures can")</f>
        <v>So, let's look to see if any of your 2024 expenditures can</v>
      </c>
      <c r="B41" s="235"/>
      <c r="C41" s="235"/>
      <c r="D41" s="235"/>
      <c r="E41" s="235"/>
      <c r="F41" s="235"/>
    </row>
    <row r="42" spans="1:7" x14ac:dyDescent="0.25">
      <c r="A42" s="489" t="s">
        <v>336</v>
      </c>
      <c r="B42" s="235"/>
      <c r="C42" s="235"/>
      <c r="D42" s="235"/>
      <c r="E42" s="235"/>
      <c r="F42" s="235"/>
    </row>
    <row r="43" spans="1:7" x14ac:dyDescent="0.25">
      <c r="A43" s="489" t="s">
        <v>230</v>
      </c>
      <c r="B43" s="235"/>
      <c r="C43" s="235"/>
      <c r="D43" s="235"/>
      <c r="E43" s="235"/>
      <c r="F43" s="235"/>
    </row>
    <row r="44" spans="1:7" x14ac:dyDescent="0.25">
      <c r="A44" s="489" t="s">
        <v>231</v>
      </c>
      <c r="B44" s="235"/>
      <c r="C44" s="235"/>
      <c r="D44" s="235"/>
      <c r="E44" s="235"/>
      <c r="F44" s="235"/>
    </row>
    <row r="46" spans="1:7" x14ac:dyDescent="0.25">
      <c r="A46" s="489" t="str">
        <f>CONCATENATE("Additionally, do your ",inputPrYr!D6-1," receipts contain a reimbursement")</f>
        <v>Additionally, do your 2024 receipts contain a reimbursement</v>
      </c>
      <c r="B46" s="235"/>
      <c r="C46" s="235"/>
      <c r="D46" s="235"/>
      <c r="E46" s="235"/>
      <c r="F46" s="235"/>
    </row>
    <row r="47" spans="1:7" x14ac:dyDescent="0.25">
      <c r="A47" s="489" t="s">
        <v>232</v>
      </c>
      <c r="B47" s="235"/>
      <c r="C47" s="235"/>
      <c r="D47" s="235"/>
      <c r="E47" s="235"/>
      <c r="F47" s="235"/>
    </row>
    <row r="48" spans="1:7" x14ac:dyDescent="0.25">
      <c r="A48" s="489" t="s">
        <v>741</v>
      </c>
      <c r="B48" s="235"/>
      <c r="C48" s="235"/>
      <c r="D48" s="235"/>
      <c r="E48" s="235"/>
      <c r="F48" s="235"/>
    </row>
    <row r="49" spans="1:7" x14ac:dyDescent="0.25">
      <c r="B49" s="235"/>
      <c r="C49" s="235"/>
      <c r="D49" s="235"/>
      <c r="E49" s="235"/>
      <c r="F49" s="235"/>
      <c r="G49" s="235"/>
    </row>
    <row r="50" spans="1:7" x14ac:dyDescent="0.25">
      <c r="A50" s="298" t="s">
        <v>290</v>
      </c>
      <c r="B50" s="235"/>
      <c r="C50" s="235"/>
      <c r="D50" s="235"/>
      <c r="E50" s="235"/>
      <c r="F50" s="235"/>
      <c r="G50" s="235"/>
    </row>
    <row r="51" spans="1:7" x14ac:dyDescent="0.25">
      <c r="A51" s="298" t="s">
        <v>291</v>
      </c>
      <c r="B51" s="235"/>
      <c r="C51" s="235"/>
      <c r="D51" s="235"/>
      <c r="E51" s="235"/>
      <c r="F51" s="235"/>
      <c r="G51" s="235"/>
    </row>
    <row r="52" spans="1:7" x14ac:dyDescent="0.25">
      <c r="A52" s="298" t="s">
        <v>292</v>
      </c>
      <c r="B52" s="235"/>
      <c r="C52" s="235"/>
      <c r="D52" s="235"/>
      <c r="E52" s="235"/>
      <c r="F52" s="235"/>
      <c r="G52" s="235"/>
    </row>
    <row r="53" spans="1:7" x14ac:dyDescent="0.25">
      <c r="A53" s="298" t="s">
        <v>293</v>
      </c>
      <c r="B53" s="235"/>
      <c r="C53" s="235"/>
      <c r="D53" s="235"/>
      <c r="E53" s="235"/>
      <c r="F53" s="235"/>
      <c r="G53" s="235"/>
    </row>
    <row r="54" spans="1:7" x14ac:dyDescent="0.25">
      <c r="A54" s="298" t="s">
        <v>294</v>
      </c>
      <c r="B54" s="235"/>
      <c r="C54" s="235"/>
      <c r="D54" s="235"/>
      <c r="E54" s="235"/>
      <c r="F54" s="235"/>
      <c r="G54" s="235"/>
    </row>
    <row r="55" spans="1:7" x14ac:dyDescent="0.25">
      <c r="B55" s="235"/>
      <c r="C55" s="235"/>
      <c r="D55" s="235"/>
      <c r="E55" s="235"/>
      <c r="F55" s="235"/>
      <c r="G55" s="235"/>
    </row>
    <row r="56" spans="1:7" x14ac:dyDescent="0.25">
      <c r="A56" s="489" t="s">
        <v>233</v>
      </c>
      <c r="B56" s="235"/>
      <c r="C56" s="235"/>
      <c r="D56" s="235"/>
      <c r="E56" s="235"/>
      <c r="F56" s="235"/>
    </row>
    <row r="57" spans="1:7" x14ac:dyDescent="0.25">
      <c r="A57" s="489" t="s">
        <v>234</v>
      </c>
      <c r="B57" s="235"/>
      <c r="C57" s="235"/>
      <c r="D57" s="235"/>
      <c r="E57" s="235"/>
      <c r="F57" s="235"/>
    </row>
    <row r="58" spans="1:7" x14ac:dyDescent="0.25">
      <c r="A58" s="489" t="s">
        <v>235</v>
      </c>
      <c r="B58" s="235"/>
      <c r="C58" s="235"/>
      <c r="D58" s="235"/>
      <c r="E58" s="235"/>
      <c r="F58" s="235"/>
    </row>
    <row r="59" spans="1:7" x14ac:dyDescent="0.25">
      <c r="A59" s="489"/>
      <c r="B59" s="235"/>
      <c r="C59" s="235"/>
      <c r="D59" s="235"/>
      <c r="E59" s="235"/>
      <c r="F59" s="235"/>
    </row>
    <row r="60" spans="1:7" x14ac:dyDescent="0.25">
      <c r="A60" s="298" t="s">
        <v>370</v>
      </c>
      <c r="B60" s="235"/>
      <c r="C60" s="235"/>
      <c r="D60" s="235"/>
      <c r="E60" s="235"/>
      <c r="F60" s="235"/>
      <c r="G60" s="235"/>
    </row>
    <row r="61" spans="1:7" x14ac:dyDescent="0.25">
      <c r="A61" s="298" t="s">
        <v>371</v>
      </c>
      <c r="B61" s="235"/>
      <c r="C61" s="235"/>
      <c r="D61" s="235"/>
      <c r="E61" s="235"/>
      <c r="F61" s="235"/>
      <c r="G61" s="235"/>
    </row>
    <row r="62" spans="1:7" x14ac:dyDescent="0.25">
      <c r="A62" s="298" t="s">
        <v>372</v>
      </c>
      <c r="B62" s="235"/>
      <c r="C62" s="235"/>
      <c r="D62" s="235"/>
      <c r="E62" s="235"/>
      <c r="F62" s="235"/>
      <c r="G62" s="235"/>
    </row>
    <row r="63" spans="1:7" x14ac:dyDescent="0.25">
      <c r="A63" s="298" t="s">
        <v>373</v>
      </c>
      <c r="B63" s="235"/>
      <c r="C63" s="235"/>
      <c r="D63" s="235"/>
      <c r="E63" s="235"/>
      <c r="F63" s="235"/>
      <c r="G63" s="235"/>
    </row>
    <row r="64" spans="1:7" x14ac:dyDescent="0.25">
      <c r="A64" s="298" t="s">
        <v>374</v>
      </c>
      <c r="B64" s="235"/>
      <c r="C64" s="235"/>
      <c r="D64" s="235"/>
      <c r="E64" s="235"/>
      <c r="F64" s="235"/>
      <c r="G64" s="235"/>
    </row>
    <row r="66" spans="1:6" x14ac:dyDescent="0.25">
      <c r="A66" s="489" t="s">
        <v>337</v>
      </c>
      <c r="B66" s="235"/>
      <c r="C66" s="235"/>
      <c r="D66" s="235"/>
      <c r="E66" s="235"/>
      <c r="F66" s="235"/>
    </row>
    <row r="67" spans="1:6" x14ac:dyDescent="0.25">
      <c r="A67" s="489" t="s">
        <v>338</v>
      </c>
      <c r="B67" s="235"/>
      <c r="C67" s="235"/>
      <c r="D67" s="235"/>
      <c r="E67" s="235"/>
      <c r="F67" s="235"/>
    </row>
    <row r="68" spans="1:6" x14ac:dyDescent="0.25">
      <c r="A68" s="489" t="s">
        <v>339</v>
      </c>
      <c r="B68" s="235"/>
      <c r="C68" s="235"/>
      <c r="D68" s="235"/>
      <c r="E68" s="235"/>
      <c r="F68" s="235"/>
    </row>
    <row r="69" spans="1:6" x14ac:dyDescent="0.25">
      <c r="A69" s="489" t="s">
        <v>340</v>
      </c>
      <c r="B69" s="235"/>
      <c r="C69" s="235"/>
      <c r="D69" s="235"/>
      <c r="E69" s="235"/>
      <c r="F69" s="235"/>
    </row>
    <row r="70" spans="1:6" x14ac:dyDescent="0.25">
      <c r="A70" s="489" t="s">
        <v>341</v>
      </c>
      <c r="B70" s="235"/>
      <c r="C70" s="235"/>
      <c r="D70" s="235"/>
      <c r="E70" s="235"/>
      <c r="F70" s="235"/>
    </row>
    <row r="72" spans="1:6" x14ac:dyDescent="0.25">
      <c r="A72" s="298" t="s">
        <v>262</v>
      </c>
    </row>
    <row r="78" spans="1:6" x14ac:dyDescent="0.25">
      <c r="A78" s="487"/>
    </row>
  </sheetData>
  <sheetProtection sheet="1"/>
  <mergeCells count="1">
    <mergeCell ref="A1:A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A1:G52"/>
  <sheetViews>
    <sheetView workbookViewId="0">
      <selection activeCell="F1" sqref="F1"/>
    </sheetView>
  </sheetViews>
  <sheetFormatPr defaultRowHeight="15.75" x14ac:dyDescent="0.25"/>
  <cols>
    <col min="1" max="1" width="71.33203125" style="298" customWidth="1"/>
  </cols>
  <sheetData>
    <row r="1" spans="1:7" ht="15.75" customHeight="1" x14ac:dyDescent="0.2">
      <c r="A1" s="658" t="s">
        <v>746</v>
      </c>
    </row>
    <row r="2" spans="1:7" ht="15.75" customHeight="1" x14ac:dyDescent="0.2">
      <c r="A2" s="658"/>
    </row>
    <row r="3" spans="1:7" x14ac:dyDescent="0.25">
      <c r="A3" s="486" t="s">
        <v>375</v>
      </c>
      <c r="B3" s="234"/>
      <c r="C3" s="234"/>
      <c r="D3" s="234"/>
      <c r="E3" s="234"/>
      <c r="F3" s="234"/>
      <c r="G3" s="234"/>
    </row>
    <row r="4" spans="1:7" x14ac:dyDescent="0.25">
      <c r="A4" s="486" t="s">
        <v>376</v>
      </c>
      <c r="B4" s="234"/>
      <c r="C4" s="234"/>
      <c r="D4" s="234"/>
      <c r="E4" s="234"/>
      <c r="F4" s="234"/>
      <c r="G4" s="234"/>
    </row>
    <row r="5" spans="1:7" x14ac:dyDescent="0.25">
      <c r="A5" s="486"/>
      <c r="B5" s="234"/>
      <c r="C5" s="234"/>
      <c r="D5" s="234"/>
      <c r="E5" s="234"/>
      <c r="F5" s="234"/>
      <c r="G5" s="234"/>
    </row>
    <row r="6" spans="1:7" x14ac:dyDescent="0.25">
      <c r="A6" s="486"/>
      <c r="B6" s="234"/>
      <c r="C6" s="234"/>
      <c r="D6" s="234"/>
      <c r="E6" s="234"/>
      <c r="F6" s="234"/>
      <c r="G6" s="234"/>
    </row>
    <row r="7" spans="1:7" x14ac:dyDescent="0.25">
      <c r="A7" s="298" t="s">
        <v>217</v>
      </c>
    </row>
    <row r="8" spans="1:7" x14ac:dyDescent="0.25">
      <c r="A8" s="298" t="str">
        <f>CONCATENATE("estimated ",inputPrYr!D6," 'total expenditures' exceed your ",inputPrYr!D6,"")</f>
        <v>estimated 2025 'total expenditures' exceed your 2025</v>
      </c>
    </row>
    <row r="9" spans="1:7" x14ac:dyDescent="0.25">
      <c r="A9" s="488" t="s">
        <v>377</v>
      </c>
    </row>
    <row r="11" spans="1:7" x14ac:dyDescent="0.25">
      <c r="A11" s="298" t="s">
        <v>378</v>
      </c>
    </row>
    <row r="12" spans="1:7" x14ac:dyDescent="0.25">
      <c r="A12" s="298" t="s">
        <v>379</v>
      </c>
    </row>
    <row r="13" spans="1:7" x14ac:dyDescent="0.25">
      <c r="A13" s="298" t="s">
        <v>380</v>
      </c>
    </row>
    <row r="15" spans="1:7" x14ac:dyDescent="0.25">
      <c r="A15" s="487" t="s">
        <v>381</v>
      </c>
    </row>
    <row r="16" spans="1:7" x14ac:dyDescent="0.25">
      <c r="A16" s="486"/>
      <c r="B16" s="234"/>
      <c r="C16" s="234"/>
      <c r="D16" s="234"/>
      <c r="E16" s="234"/>
      <c r="F16" s="234"/>
      <c r="G16" s="234"/>
    </row>
    <row r="17" spans="1:7" x14ac:dyDescent="0.25">
      <c r="A17" s="298" t="s">
        <v>382</v>
      </c>
    </row>
    <row r="18" spans="1:7" x14ac:dyDescent="0.25">
      <c r="A18" s="298" t="s">
        <v>383</v>
      </c>
      <c r="B18" s="237"/>
      <c r="C18" s="237"/>
      <c r="D18" s="237"/>
      <c r="E18" s="237"/>
      <c r="F18" s="237"/>
      <c r="G18" s="237"/>
    </row>
    <row r="19" spans="1:7" x14ac:dyDescent="0.25">
      <c r="A19" s="298" t="s">
        <v>384</v>
      </c>
    </row>
    <row r="20" spans="1:7" x14ac:dyDescent="0.25">
      <c r="A20" s="298" t="s">
        <v>385</v>
      </c>
    </row>
    <row r="22" spans="1:7" x14ac:dyDescent="0.25">
      <c r="A22" s="487" t="s">
        <v>386</v>
      </c>
    </row>
    <row r="24" spans="1:7" x14ac:dyDescent="0.25">
      <c r="A24" s="298" t="s">
        <v>387</v>
      </c>
    </row>
    <row r="25" spans="1:7" x14ac:dyDescent="0.25">
      <c r="A25" s="298" t="s">
        <v>388</v>
      </c>
    </row>
    <row r="26" spans="1:7" x14ac:dyDescent="0.25">
      <c r="A26" s="298" t="s">
        <v>389</v>
      </c>
    </row>
    <row r="28" spans="1:7" x14ac:dyDescent="0.25">
      <c r="A28" s="487" t="s">
        <v>390</v>
      </c>
    </row>
    <row r="30" spans="1:7" x14ac:dyDescent="0.25">
      <c r="A30" s="298" t="s">
        <v>391</v>
      </c>
    </row>
    <row r="31" spans="1:7" x14ac:dyDescent="0.25">
      <c r="A31" s="298" t="s">
        <v>392</v>
      </c>
    </row>
    <row r="32" spans="1:7" x14ac:dyDescent="0.25">
      <c r="A32" s="298" t="s">
        <v>393</v>
      </c>
    </row>
    <row r="33" spans="1:1" x14ac:dyDescent="0.25">
      <c r="A33" s="298" t="s">
        <v>394</v>
      </c>
    </row>
    <row r="35" spans="1:1" x14ac:dyDescent="0.25">
      <c r="A35" s="298" t="s">
        <v>395</v>
      </c>
    </row>
    <row r="36" spans="1:1" x14ac:dyDescent="0.25">
      <c r="A36" s="298" t="s">
        <v>396</v>
      </c>
    </row>
    <row r="37" spans="1:1" x14ac:dyDescent="0.25">
      <c r="A37" s="298" t="s">
        <v>397</v>
      </c>
    </row>
    <row r="38" spans="1:1" x14ac:dyDescent="0.25">
      <c r="A38" s="298" t="s">
        <v>398</v>
      </c>
    </row>
    <row r="40" spans="1:1" x14ac:dyDescent="0.25">
      <c r="A40" s="298" t="s">
        <v>399</v>
      </c>
    </row>
    <row r="41" spans="1:1" x14ac:dyDescent="0.25">
      <c r="A41" s="298" t="s">
        <v>400</v>
      </c>
    </row>
    <row r="42" spans="1:1" x14ac:dyDescent="0.25">
      <c r="A42" s="298" t="s">
        <v>401</v>
      </c>
    </row>
    <row r="43" spans="1:1" x14ac:dyDescent="0.25">
      <c r="A43" s="298" t="s">
        <v>402</v>
      </c>
    </row>
    <row r="44" spans="1:1" x14ac:dyDescent="0.25">
      <c r="A44" s="298" t="s">
        <v>403</v>
      </c>
    </row>
    <row r="45" spans="1:1" x14ac:dyDescent="0.25">
      <c r="A45" s="298" t="s">
        <v>404</v>
      </c>
    </row>
    <row r="47" spans="1:1" x14ac:dyDescent="0.25">
      <c r="A47" s="298" t="s">
        <v>405</v>
      </c>
    </row>
    <row r="48" spans="1:1" x14ac:dyDescent="0.25">
      <c r="A48" s="298" t="s">
        <v>406</v>
      </c>
    </row>
    <row r="49" spans="1:1" x14ac:dyDescent="0.25">
      <c r="A49" s="298" t="s">
        <v>407</v>
      </c>
    </row>
    <row r="50" spans="1:1" x14ac:dyDescent="0.25">
      <c r="A50" s="298" t="s">
        <v>408</v>
      </c>
    </row>
    <row r="52" spans="1:1" x14ac:dyDescent="0.25">
      <c r="A52" s="298" t="s">
        <v>262</v>
      </c>
    </row>
  </sheetData>
  <sheetProtection sheet="1"/>
  <mergeCells count="1">
    <mergeCell ref="A1:A2"/>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496A3-1637-4223-85B1-9F2AE12F0DD8}">
  <dimension ref="A1:N245"/>
  <sheetViews>
    <sheetView workbookViewId="0">
      <selection activeCell="E41" sqref="E41"/>
    </sheetView>
  </sheetViews>
  <sheetFormatPr defaultRowHeight="15" x14ac:dyDescent="0.2"/>
  <cols>
    <col min="1" max="1" width="3.44140625" style="498" customWidth="1"/>
    <col min="2" max="2" width="8" style="498" customWidth="1"/>
    <col min="3" max="16384" width="8.88671875" style="498"/>
  </cols>
  <sheetData>
    <row r="1" spans="1:14" ht="15.75" customHeight="1" x14ac:dyDescent="0.2">
      <c r="A1" s="659" t="s">
        <v>793</v>
      </c>
      <c r="B1" s="659"/>
      <c r="C1" s="659"/>
      <c r="D1" s="659"/>
      <c r="E1" s="659"/>
      <c r="F1" s="659"/>
      <c r="G1" s="659"/>
      <c r="H1" s="659"/>
      <c r="I1" s="659"/>
      <c r="J1" s="659"/>
      <c r="K1" s="659"/>
      <c r="L1" s="659"/>
      <c r="M1" s="659"/>
      <c r="N1" s="659"/>
    </row>
    <row r="2" spans="1:14" ht="9.75" customHeight="1" x14ac:dyDescent="0.2">
      <c r="A2" s="659"/>
      <c r="B2" s="659"/>
      <c r="C2" s="659"/>
      <c r="D2" s="659"/>
      <c r="E2" s="659"/>
      <c r="F2" s="659"/>
      <c r="G2" s="659"/>
      <c r="H2" s="659"/>
      <c r="I2" s="659"/>
      <c r="J2" s="659"/>
      <c r="K2" s="659"/>
      <c r="L2" s="659"/>
      <c r="M2" s="659"/>
      <c r="N2" s="659"/>
    </row>
    <row r="3" spans="1:14" ht="18" x14ac:dyDescent="0.25">
      <c r="A3" s="499" t="s">
        <v>619</v>
      </c>
    </row>
    <row r="4" spans="1:14" ht="9.75" customHeight="1" x14ac:dyDescent="0.55000000000000004">
      <c r="B4" s="500"/>
    </row>
    <row r="5" spans="1:14" ht="15.75" x14ac:dyDescent="0.2">
      <c r="B5" s="501" t="s">
        <v>794</v>
      </c>
    </row>
    <row r="6" spans="1:14" ht="8.1" customHeight="1" x14ac:dyDescent="0.2">
      <c r="B6" s="501"/>
    </row>
    <row r="7" spans="1:14" ht="15.75" x14ac:dyDescent="0.2">
      <c r="B7" s="501" t="s">
        <v>795</v>
      </c>
    </row>
    <row r="8" spans="1:14" ht="15.75" x14ac:dyDescent="0.2">
      <c r="B8" s="502" t="s">
        <v>796</v>
      </c>
    </row>
    <row r="9" spans="1:14" ht="8.1" customHeight="1" x14ac:dyDescent="0.2">
      <c r="B9" s="502"/>
    </row>
    <row r="10" spans="1:14" ht="15.75" x14ac:dyDescent="0.2">
      <c r="C10" s="503" t="s">
        <v>797</v>
      </c>
      <c r="D10" s="501" t="s">
        <v>798</v>
      </c>
    </row>
    <row r="11" spans="1:14" ht="15.75" customHeight="1" x14ac:dyDescent="0.2">
      <c r="B11" s="501"/>
      <c r="D11" s="501" t="s">
        <v>799</v>
      </c>
    </row>
    <row r="12" spans="1:14" ht="15.75" customHeight="1" x14ac:dyDescent="0.2">
      <c r="B12" s="501"/>
      <c r="D12" s="501"/>
    </row>
    <row r="13" spans="1:14" ht="15.75" customHeight="1" x14ac:dyDescent="0.2">
      <c r="B13" s="501" t="s">
        <v>800</v>
      </c>
      <c r="E13" s="501" t="s">
        <v>801</v>
      </c>
    </row>
    <row r="14" spans="1:14" ht="15.75" customHeight="1" x14ac:dyDescent="0.2">
      <c r="B14" s="501"/>
      <c r="E14" s="501" t="s">
        <v>802</v>
      </c>
    </row>
    <row r="15" spans="1:14" ht="15.75" customHeight="1" x14ac:dyDescent="0.2">
      <c r="B15" s="501"/>
      <c r="E15" s="501" t="s">
        <v>803</v>
      </c>
    </row>
    <row r="16" spans="1:14" ht="15.75" customHeight="1" x14ac:dyDescent="0.2">
      <c r="B16" s="501"/>
      <c r="E16" s="501" t="s">
        <v>804</v>
      </c>
    </row>
    <row r="17" spans="2:5" ht="15.75" customHeight="1" x14ac:dyDescent="0.2">
      <c r="B17" s="501"/>
      <c r="E17" s="501"/>
    </row>
    <row r="18" spans="2:5" ht="15.75" customHeight="1" x14ac:dyDescent="0.2">
      <c r="B18" s="501"/>
      <c r="E18" s="501"/>
    </row>
    <row r="19" spans="2:5" ht="15.75" customHeight="1" x14ac:dyDescent="0.2">
      <c r="B19" s="501"/>
      <c r="E19" s="501"/>
    </row>
    <row r="20" spans="2:5" ht="15.75" customHeight="1" x14ac:dyDescent="0.2">
      <c r="B20" s="501"/>
      <c r="E20" s="501"/>
    </row>
    <row r="21" spans="2:5" ht="15.75" customHeight="1" x14ac:dyDescent="0.2">
      <c r="B21" s="501"/>
      <c r="E21" s="501"/>
    </row>
    <row r="22" spans="2:5" ht="15.75" customHeight="1" x14ac:dyDescent="0.2">
      <c r="B22" s="501"/>
      <c r="E22" s="501"/>
    </row>
    <row r="23" spans="2:5" ht="15.75" customHeight="1" x14ac:dyDescent="0.2">
      <c r="B23" s="501"/>
      <c r="E23" s="501"/>
    </row>
    <row r="24" spans="2:5" ht="15.75" customHeight="1" x14ac:dyDescent="0.2">
      <c r="B24" s="501"/>
      <c r="E24" s="501"/>
    </row>
    <row r="25" spans="2:5" ht="15.75" customHeight="1" x14ac:dyDescent="0.2">
      <c r="B25" s="501"/>
      <c r="E25" s="501"/>
    </row>
    <row r="26" spans="2:5" ht="15.75" customHeight="1" x14ac:dyDescent="0.2">
      <c r="B26" s="501"/>
      <c r="E26" s="501"/>
    </row>
    <row r="27" spans="2:5" ht="15.75" customHeight="1" x14ac:dyDescent="0.2">
      <c r="B27" s="501"/>
      <c r="E27" s="501"/>
    </row>
    <row r="28" spans="2:5" ht="15.75" customHeight="1" x14ac:dyDescent="0.2">
      <c r="B28" s="501"/>
      <c r="E28" s="501"/>
    </row>
    <row r="29" spans="2:5" ht="15.75" customHeight="1" x14ac:dyDescent="0.2">
      <c r="B29" s="501"/>
      <c r="E29" s="501"/>
    </row>
    <row r="30" spans="2:5" ht="15.75" customHeight="1" x14ac:dyDescent="0.2">
      <c r="B30" s="501"/>
      <c r="E30" s="501"/>
    </row>
    <row r="31" spans="2:5" ht="15.75" customHeight="1" x14ac:dyDescent="0.2">
      <c r="B31" s="501"/>
      <c r="E31" s="501"/>
    </row>
    <row r="32" spans="2:5" ht="15.75" customHeight="1" x14ac:dyDescent="0.2">
      <c r="B32" s="501"/>
      <c r="E32" s="501"/>
    </row>
    <row r="33" spans="2:5" ht="15.75" customHeight="1" x14ac:dyDescent="0.2">
      <c r="B33" s="501"/>
      <c r="E33" s="501"/>
    </row>
    <row r="34" spans="2:5" ht="15.75" customHeight="1" x14ac:dyDescent="0.2">
      <c r="B34" s="501"/>
      <c r="E34" s="501"/>
    </row>
    <row r="35" spans="2:5" ht="15.75" customHeight="1" x14ac:dyDescent="0.2">
      <c r="B35" s="501"/>
      <c r="E35" s="501"/>
    </row>
    <row r="36" spans="2:5" ht="15.75" customHeight="1" x14ac:dyDescent="0.2">
      <c r="B36" s="501" t="s">
        <v>805</v>
      </c>
      <c r="D36" s="501"/>
      <c r="E36" s="501" t="s">
        <v>806</v>
      </c>
    </row>
    <row r="37" spans="2:5" ht="15.75" customHeight="1" x14ac:dyDescent="0.2">
      <c r="B37" s="501"/>
      <c r="D37" s="501"/>
      <c r="E37" s="501" t="s">
        <v>807</v>
      </c>
    </row>
    <row r="38" spans="2:5" ht="15.75" customHeight="1" x14ac:dyDescent="0.2">
      <c r="B38" s="501"/>
      <c r="D38" s="501"/>
      <c r="E38" s="501" t="s">
        <v>808</v>
      </c>
    </row>
    <row r="39" spans="2:5" ht="15.75" customHeight="1" x14ac:dyDescent="0.2">
      <c r="B39" s="501"/>
      <c r="D39" s="501"/>
      <c r="E39" s="501" t="s">
        <v>809</v>
      </c>
    </row>
    <row r="40" spans="2:5" ht="15.75" customHeight="1" x14ac:dyDescent="0.2"/>
    <row r="41" spans="2:5" ht="15.75" customHeight="1" x14ac:dyDescent="0.2">
      <c r="B41" s="501" t="s">
        <v>619</v>
      </c>
      <c r="E41" s="504" t="s">
        <v>810</v>
      </c>
    </row>
    <row r="42" spans="2:5" ht="15.75" customHeight="1" x14ac:dyDescent="0.2">
      <c r="B42" s="501"/>
      <c r="E42" s="504"/>
    </row>
    <row r="43" spans="2:5" ht="15.75" customHeight="1" x14ac:dyDescent="0.2">
      <c r="E43" s="504"/>
    </row>
    <row r="44" spans="2:5" ht="15.75" customHeight="1" x14ac:dyDescent="0.2">
      <c r="B44" s="501" t="s">
        <v>811</v>
      </c>
      <c r="D44" s="501"/>
      <c r="E44" s="504" t="s">
        <v>812</v>
      </c>
    </row>
    <row r="45" spans="2:5" ht="15.75" customHeight="1" x14ac:dyDescent="0.2">
      <c r="B45" s="501"/>
      <c r="D45" s="501"/>
      <c r="E45" s="501"/>
    </row>
    <row r="46" spans="2:5" ht="15.75" customHeight="1" x14ac:dyDescent="0.2">
      <c r="B46" s="501"/>
      <c r="D46" s="501"/>
    </row>
    <row r="47" spans="2:5" ht="15.75" customHeight="1" x14ac:dyDescent="0.2">
      <c r="B47" s="501"/>
      <c r="D47" s="501"/>
    </row>
    <row r="48" spans="2:5" ht="15.75" customHeight="1" x14ac:dyDescent="0.2">
      <c r="B48" s="501"/>
      <c r="D48" s="501"/>
    </row>
    <row r="49" spans="1:14" ht="15.75" customHeight="1" x14ac:dyDescent="0.2">
      <c r="B49" s="501"/>
      <c r="D49" s="501"/>
    </row>
    <row r="50" spans="1:14" ht="15.75" customHeight="1" x14ac:dyDescent="0.2">
      <c r="B50" s="501"/>
      <c r="D50" s="501"/>
    </row>
    <row r="51" spans="1:14" ht="15.75" customHeight="1" x14ac:dyDescent="0.2">
      <c r="B51" s="501"/>
      <c r="D51" s="501"/>
    </row>
    <row r="52" spans="1:14" ht="15.75" customHeight="1" x14ac:dyDescent="0.2">
      <c r="B52" s="501"/>
      <c r="D52" s="501"/>
    </row>
    <row r="53" spans="1:14" ht="15.75" customHeight="1" x14ac:dyDescent="0.2">
      <c r="B53" s="501"/>
      <c r="D53" s="501"/>
    </row>
    <row r="54" spans="1:14" ht="15.75" customHeight="1" x14ac:dyDescent="0.2">
      <c r="B54" s="501"/>
      <c r="D54" s="501"/>
    </row>
    <row r="55" spans="1:14" ht="15.75" customHeight="1" x14ac:dyDescent="0.2">
      <c r="B55" s="501"/>
    </row>
    <row r="56" spans="1:14" ht="15.75" customHeight="1" x14ac:dyDescent="0.2">
      <c r="B56" s="501"/>
    </row>
    <row r="57" spans="1:14" ht="15.75" customHeight="1" x14ac:dyDescent="0.2">
      <c r="B57" s="501"/>
    </row>
    <row r="58" spans="1:14" ht="15.75" customHeight="1" x14ac:dyDescent="0.2">
      <c r="B58" s="501"/>
    </row>
    <row r="59" spans="1:14" ht="3" customHeight="1" x14ac:dyDescent="0.2">
      <c r="A59" s="505"/>
      <c r="B59" s="506"/>
      <c r="C59" s="505"/>
      <c r="D59" s="505"/>
      <c r="E59" s="505"/>
      <c r="F59" s="505"/>
      <c r="G59" s="505"/>
      <c r="H59" s="505"/>
      <c r="I59" s="505"/>
      <c r="J59" s="505"/>
      <c r="K59" s="505"/>
      <c r="L59" s="505"/>
      <c r="M59" s="505"/>
      <c r="N59" s="505"/>
    </row>
    <row r="60" spans="1:14" ht="15.75" customHeight="1" x14ac:dyDescent="0.2">
      <c r="B60" s="501"/>
    </row>
    <row r="61" spans="1:14" ht="15.75" customHeight="1" x14ac:dyDescent="0.25">
      <c r="A61" s="660" t="s">
        <v>463</v>
      </c>
      <c r="B61" s="660"/>
      <c r="C61" s="660"/>
      <c r="D61" s="660"/>
      <c r="E61" s="660"/>
      <c r="F61" s="660"/>
      <c r="G61" s="660"/>
      <c r="H61" s="660"/>
      <c r="I61" s="660"/>
      <c r="J61" s="660"/>
      <c r="K61" s="507"/>
    </row>
    <row r="62" spans="1:14" ht="21.75" customHeight="1" x14ac:dyDescent="0.25">
      <c r="A62" s="660"/>
      <c r="B62" s="660"/>
      <c r="C62" s="660"/>
      <c r="D62" s="660"/>
      <c r="E62" s="660"/>
      <c r="F62" s="660"/>
      <c r="G62" s="660"/>
      <c r="H62" s="660"/>
      <c r="I62" s="660"/>
      <c r="J62" s="660"/>
      <c r="K62" s="507"/>
    </row>
    <row r="63" spans="1:14" ht="15.75" customHeight="1" x14ac:dyDescent="0.2">
      <c r="B63" s="501"/>
    </row>
    <row r="64" spans="1:14" ht="15.75" x14ac:dyDescent="0.2">
      <c r="B64" s="501"/>
    </row>
    <row r="65" spans="2:2" ht="18.75" customHeight="1" x14ac:dyDescent="0.2">
      <c r="B65" s="501"/>
    </row>
    <row r="66" spans="2:2" ht="13.5" customHeight="1" x14ac:dyDescent="0.2">
      <c r="B66" s="501"/>
    </row>
    <row r="67" spans="2:2" ht="15.75" x14ac:dyDescent="0.2">
      <c r="B67" s="501"/>
    </row>
    <row r="82" spans="12:12" x14ac:dyDescent="0.2">
      <c r="L82" s="508"/>
    </row>
    <row r="214" spans="1:14" ht="3" customHeight="1" x14ac:dyDescent="0.2">
      <c r="A214" s="505"/>
      <c r="B214" s="506"/>
      <c r="C214" s="505"/>
      <c r="D214" s="505"/>
      <c r="E214" s="505"/>
      <c r="F214" s="505"/>
      <c r="G214" s="505"/>
      <c r="H214" s="505"/>
      <c r="I214" s="505"/>
      <c r="J214" s="505"/>
      <c r="K214" s="505"/>
      <c r="L214" s="505"/>
      <c r="M214" s="505"/>
      <c r="N214" s="505"/>
    </row>
    <row r="217" spans="1:14" ht="18" x14ac:dyDescent="0.25">
      <c r="A217" s="509" t="s">
        <v>420</v>
      </c>
      <c r="B217" s="510"/>
    </row>
    <row r="218" spans="1:14" ht="15.75" x14ac:dyDescent="0.25">
      <c r="B218" s="511"/>
    </row>
    <row r="219" spans="1:14" ht="30" customHeight="1" x14ac:dyDescent="0.25">
      <c r="B219" s="661" t="s">
        <v>421</v>
      </c>
      <c r="C219" s="661"/>
      <c r="D219" s="661"/>
      <c r="E219" s="661"/>
      <c r="F219" s="661"/>
      <c r="G219" s="661"/>
      <c r="H219" s="661"/>
      <c r="I219" s="661"/>
      <c r="J219" s="512"/>
    </row>
    <row r="220" spans="1:14" ht="15.75" x14ac:dyDescent="0.25">
      <c r="B220" s="259" t="s">
        <v>747</v>
      </c>
    </row>
    <row r="221" spans="1:14" ht="15.75" x14ac:dyDescent="0.25">
      <c r="B221" s="511"/>
    </row>
    <row r="222" spans="1:14" ht="45.75" customHeight="1" x14ac:dyDescent="0.25">
      <c r="B222" s="661" t="s">
        <v>422</v>
      </c>
      <c r="C222" s="661"/>
      <c r="D222" s="661"/>
      <c r="E222" s="661"/>
      <c r="F222" s="661"/>
      <c r="G222" s="661"/>
      <c r="H222" s="661"/>
    </row>
    <row r="223" spans="1:14" ht="15.75" x14ac:dyDescent="0.25">
      <c r="B223" s="259" t="s">
        <v>748</v>
      </c>
    </row>
    <row r="224" spans="1:14" ht="15.75" x14ac:dyDescent="0.25">
      <c r="B224" s="511"/>
    </row>
    <row r="225" spans="2:2" ht="15.75" x14ac:dyDescent="0.25">
      <c r="B225" s="511" t="s">
        <v>749</v>
      </c>
    </row>
    <row r="226" spans="2:2" ht="15.75" x14ac:dyDescent="0.25">
      <c r="B226" s="259" t="s">
        <v>750</v>
      </c>
    </row>
    <row r="227" spans="2:2" ht="15.75" x14ac:dyDescent="0.25">
      <c r="B227" s="511"/>
    </row>
    <row r="228" spans="2:2" ht="15.75" x14ac:dyDescent="0.25">
      <c r="B228" s="511" t="s">
        <v>423</v>
      </c>
    </row>
    <row r="229" spans="2:2" ht="15.75" x14ac:dyDescent="0.25">
      <c r="B229" s="259" t="s">
        <v>751</v>
      </c>
    </row>
    <row r="230" spans="2:2" ht="15.75" x14ac:dyDescent="0.25">
      <c r="B230" s="511"/>
    </row>
    <row r="231" spans="2:2" ht="15.75" x14ac:dyDescent="0.25">
      <c r="B231" s="511" t="s">
        <v>424</v>
      </c>
    </row>
    <row r="232" spans="2:2" ht="15.75" x14ac:dyDescent="0.25">
      <c r="B232" s="259" t="s">
        <v>752</v>
      </c>
    </row>
    <row r="233" spans="2:2" ht="15.75" x14ac:dyDescent="0.25">
      <c r="B233" s="511"/>
    </row>
    <row r="234" spans="2:2" ht="15.75" x14ac:dyDescent="0.25">
      <c r="B234" s="511" t="s">
        <v>753</v>
      </c>
    </row>
    <row r="235" spans="2:2" ht="15.75" x14ac:dyDescent="0.25">
      <c r="B235" s="259" t="s">
        <v>754</v>
      </c>
    </row>
    <row r="236" spans="2:2" ht="15.75" x14ac:dyDescent="0.25">
      <c r="B236" s="511"/>
    </row>
    <row r="237" spans="2:2" ht="15.75" x14ac:dyDescent="0.25">
      <c r="B237" s="511" t="s">
        <v>425</v>
      </c>
    </row>
    <row r="238" spans="2:2" ht="15.75" x14ac:dyDescent="0.25">
      <c r="B238" s="259" t="s">
        <v>755</v>
      </c>
    </row>
    <row r="239" spans="2:2" ht="15.75" x14ac:dyDescent="0.25">
      <c r="B239" s="511"/>
    </row>
    <row r="240" spans="2:2" ht="15.75" x14ac:dyDescent="0.25">
      <c r="B240" s="511" t="s">
        <v>426</v>
      </c>
    </row>
    <row r="241" spans="2:2" ht="15.75" x14ac:dyDescent="0.25">
      <c r="B241" s="259" t="s">
        <v>756</v>
      </c>
    </row>
    <row r="242" spans="2:2" ht="15.75" x14ac:dyDescent="0.25">
      <c r="B242" s="511"/>
    </row>
    <row r="243" spans="2:2" ht="15.75" x14ac:dyDescent="0.25">
      <c r="B243" s="511" t="s">
        <v>427</v>
      </c>
    </row>
    <row r="244" spans="2:2" ht="15.75" x14ac:dyDescent="0.25">
      <c r="B244" s="259" t="s">
        <v>757</v>
      </c>
    </row>
    <row r="245" spans="2:2" ht="15.75" x14ac:dyDescent="0.25">
      <c r="B245" s="511"/>
    </row>
  </sheetData>
  <sheetProtection sheet="1" objects="1" scenarios="1"/>
  <mergeCells count="4">
    <mergeCell ref="A1:N2"/>
    <mergeCell ref="A61:J62"/>
    <mergeCell ref="B219:I219"/>
    <mergeCell ref="B222:H222"/>
  </mergeCells>
  <hyperlinks>
    <hyperlink ref="B244" r:id="rId1" xr:uid="{4F92BAB4-6A0B-4099-A3FE-3E39A2D3EE70}"/>
  </hyperlinks>
  <pageMargins left="0.7" right="0.7" top="0.75" bottom="0.75" header="0.3" footer="0.3"/>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8"/>
  <sheetViews>
    <sheetView topLeftCell="A25" workbookViewId="0">
      <selection activeCell="A34" sqref="A34:E34"/>
    </sheetView>
  </sheetViews>
  <sheetFormatPr defaultRowHeight="15" x14ac:dyDescent="0.2"/>
  <cols>
    <col min="1" max="1" width="15.77734375" style="36" customWidth="1"/>
    <col min="2" max="2" width="20.77734375" style="36" customWidth="1"/>
    <col min="3" max="3" width="10.77734375" style="36" customWidth="1"/>
    <col min="4" max="4" width="15.6640625" style="36" customWidth="1"/>
    <col min="5" max="5" width="14.21875" style="36" customWidth="1"/>
    <col min="6" max="16384" width="8.88671875" style="36"/>
  </cols>
  <sheetData>
    <row r="1" spans="1:5" ht="15.75" x14ac:dyDescent="0.2">
      <c r="A1" s="3">
        <f>inputPrYr!D3</f>
        <v>0</v>
      </c>
      <c r="B1" s="3"/>
      <c r="C1" s="3"/>
      <c r="D1" s="3"/>
      <c r="E1" s="3">
        <f>inputPrYr!D6</f>
        <v>2025</v>
      </c>
    </row>
    <row r="2" spans="1:5" ht="15.75" x14ac:dyDescent="0.2">
      <c r="A2" s="3">
        <f>inputPrYr!D4</f>
        <v>0</v>
      </c>
      <c r="B2" s="3"/>
      <c r="C2" s="3"/>
      <c r="D2" s="3"/>
      <c r="E2" s="3"/>
    </row>
    <row r="3" spans="1:5" x14ac:dyDescent="0.2">
      <c r="A3" s="37"/>
      <c r="B3" s="37"/>
      <c r="C3" s="37"/>
      <c r="D3" s="37"/>
      <c r="E3" s="37"/>
    </row>
    <row r="4" spans="1:5" ht="15.75" x14ac:dyDescent="0.2">
      <c r="A4" s="531" t="s">
        <v>462</v>
      </c>
      <c r="B4" s="532"/>
      <c r="C4" s="532"/>
      <c r="D4" s="532"/>
      <c r="E4" s="532"/>
    </row>
    <row r="5" spans="1:5" x14ac:dyDescent="0.2">
      <c r="A5" s="37"/>
      <c r="B5" s="37"/>
      <c r="C5" s="37"/>
      <c r="D5" s="37"/>
      <c r="E5" s="37"/>
    </row>
    <row r="6" spans="1:5" ht="15.75" x14ac:dyDescent="0.2">
      <c r="A6" s="391" t="str">
        <f>CONCATENATE("From the County Clerk's ",E1," Budget Information:")</f>
        <v>From the County Clerk's 2025 Budget Information:</v>
      </c>
      <c r="B6" s="392"/>
      <c r="C6" s="393"/>
      <c r="D6" s="3"/>
      <c r="E6" s="17"/>
    </row>
    <row r="7" spans="1:5" ht="15.75" x14ac:dyDescent="0.2">
      <c r="A7" s="38" t="str">
        <f>CONCATENATE("Total Assessed Valuation for ",inputPrYr!D6-1,"")</f>
        <v>Total Assessed Valuation for 2024</v>
      </c>
      <c r="B7" s="20"/>
      <c r="C7" s="20"/>
      <c r="D7" s="20"/>
      <c r="E7" s="15"/>
    </row>
    <row r="8" spans="1:5" ht="15.75" hidden="1" x14ac:dyDescent="0.2">
      <c r="A8" s="39" t="str">
        <f>CONCATENATE("New Improvements for ",inputPrYr!D6-1,"")</f>
        <v>New Improvements for 2024</v>
      </c>
      <c r="B8" s="40"/>
      <c r="C8" s="40"/>
      <c r="D8" s="40"/>
      <c r="E8" s="366"/>
    </row>
    <row r="9" spans="1:5" ht="15.75" hidden="1" x14ac:dyDescent="0.2">
      <c r="A9" s="39" t="str">
        <f>CONCATENATE("Personal Property - ",inputPrYr!D6-1,"")</f>
        <v>Personal Property - 2024</v>
      </c>
      <c r="B9" s="40"/>
      <c r="C9" s="40"/>
      <c r="D9" s="40"/>
      <c r="E9" s="366"/>
    </row>
    <row r="10" spans="1:5" ht="15.75" hidden="1" x14ac:dyDescent="0.2">
      <c r="A10" s="39" t="str">
        <f>CONCATENATE("Property that has changed in use for ",inputPrYr!D6-1,"")</f>
        <v>Property that has changed in use for 2024</v>
      </c>
      <c r="B10" s="40"/>
      <c r="C10" s="40"/>
      <c r="D10" s="40"/>
      <c r="E10" s="366"/>
    </row>
    <row r="11" spans="1:5" ht="15.75" hidden="1" x14ac:dyDescent="0.2">
      <c r="A11" s="38" t="str">
        <f>CONCATENATE("Personal Property - ",inputPrYr!D6-2,"")</f>
        <v>Personal Property - 2023</v>
      </c>
      <c r="B11" s="20"/>
      <c r="C11" s="20"/>
      <c r="D11" s="20"/>
      <c r="E11" s="366"/>
    </row>
    <row r="12" spans="1:5" ht="15.75" x14ac:dyDescent="0.2">
      <c r="A12" s="39" t="str">
        <f>CONCATENATE("Neighborhood Revitalization - ",E1,"")</f>
        <v>Neighborhood Revitalization - 2025</v>
      </c>
      <c r="B12" s="40"/>
      <c r="C12" s="40"/>
      <c r="D12" s="40"/>
      <c r="E12" s="366"/>
    </row>
    <row r="13" spans="1:5" ht="15.75" x14ac:dyDescent="0.2">
      <c r="A13" s="23"/>
      <c r="B13" s="3"/>
      <c r="C13" s="3"/>
      <c r="D13" s="3"/>
      <c r="E13" s="41"/>
    </row>
    <row r="14" spans="1:5" ht="15.75" x14ac:dyDescent="0.2">
      <c r="A14" s="42" t="s">
        <v>619</v>
      </c>
      <c r="B14" s="3"/>
      <c r="C14" s="3"/>
      <c r="D14" s="442"/>
      <c r="E14" s="41"/>
    </row>
    <row r="15" spans="1:5" ht="15.75" x14ac:dyDescent="0.2">
      <c r="A15" s="23"/>
      <c r="B15" s="3"/>
      <c r="C15" s="3"/>
      <c r="D15" s="3"/>
      <c r="E15" s="41"/>
    </row>
    <row r="16" spans="1:5" ht="15.75" x14ac:dyDescent="0.2">
      <c r="A16" s="42" t="str">
        <f>CONCATENATE("Actual Tax Rates for the ",E1-1," Budget:")</f>
        <v>Actual Tax Rates for the 2024 Budget:</v>
      </c>
      <c r="B16" s="3"/>
      <c r="C16" s="3"/>
      <c r="D16" s="3"/>
      <c r="E16" s="43"/>
    </row>
    <row r="17" spans="1:5" ht="15.75" x14ac:dyDescent="0.2">
      <c r="A17" s="538" t="s">
        <v>21</v>
      </c>
      <c r="B17" s="539"/>
      <c r="C17" s="37"/>
      <c r="D17" s="44" t="s">
        <v>56</v>
      </c>
      <c r="E17" s="43"/>
    </row>
    <row r="18" spans="1:5" ht="15.75" x14ac:dyDescent="0.2">
      <c r="A18" s="38" t="s">
        <v>8</v>
      </c>
      <c r="B18" s="20"/>
      <c r="C18" s="3"/>
      <c r="D18" s="367"/>
      <c r="E18" s="43"/>
    </row>
    <row r="19" spans="1:5" ht="15.75" x14ac:dyDescent="0.2">
      <c r="A19" s="39" t="s">
        <v>179</v>
      </c>
      <c r="B19" s="40"/>
      <c r="C19" s="3"/>
      <c r="D19" s="367"/>
      <c r="E19" s="43"/>
    </row>
    <row r="20" spans="1:5" ht="15.75" x14ac:dyDescent="0.2">
      <c r="A20" s="39">
        <f>inputPrYr!B22</f>
        <v>0</v>
      </c>
      <c r="B20" s="40"/>
      <c r="C20" s="3"/>
      <c r="D20" s="367"/>
      <c r="E20" s="43"/>
    </row>
    <row r="21" spans="1:5" ht="15.75" x14ac:dyDescent="0.2">
      <c r="A21" s="39">
        <f>inputPrYr!B23</f>
        <v>0</v>
      </c>
      <c r="B21" s="40"/>
      <c r="C21" s="3"/>
      <c r="D21" s="367"/>
      <c r="E21" s="43"/>
    </row>
    <row r="22" spans="1:5" ht="15.75" x14ac:dyDescent="0.2">
      <c r="A22" s="39"/>
      <c r="B22" s="40"/>
      <c r="C22" s="3"/>
      <c r="D22" s="367"/>
      <c r="E22" s="43"/>
    </row>
    <row r="23" spans="1:5" ht="15.75" x14ac:dyDescent="0.2">
      <c r="A23" s="39"/>
      <c r="B23" s="40"/>
      <c r="C23" s="3"/>
      <c r="D23" s="367"/>
      <c r="E23" s="43"/>
    </row>
    <row r="24" spans="1:5" ht="15.75" x14ac:dyDescent="0.2">
      <c r="A24" s="37"/>
      <c r="B24" s="20" t="s">
        <v>127</v>
      </c>
      <c r="C24" s="45"/>
      <c r="D24" s="46">
        <f>SUM(D18:D23)</f>
        <v>0</v>
      </c>
      <c r="E24" s="37"/>
    </row>
    <row r="25" spans="1:5" x14ac:dyDescent="0.2">
      <c r="A25" s="37"/>
      <c r="B25" s="37"/>
      <c r="C25" s="37"/>
      <c r="D25" s="37"/>
      <c r="E25" s="37"/>
    </row>
    <row r="26" spans="1:5" ht="15.75" x14ac:dyDescent="0.2">
      <c r="A26" s="20" t="str">
        <f>CONCATENATE("Final Assessed Valuation from the November 1, ",E1-2," Abstract")</f>
        <v>Final Assessed Valuation from the November 1, 2023 Abstract</v>
      </c>
      <c r="B26" s="47"/>
      <c r="C26" s="47"/>
      <c r="D26" s="47"/>
      <c r="E26" s="32"/>
    </row>
    <row r="27" spans="1:5" x14ac:dyDescent="0.2">
      <c r="A27" s="37"/>
      <c r="B27" s="37"/>
      <c r="C27" s="37"/>
      <c r="D27" s="37"/>
      <c r="E27" s="37"/>
    </row>
    <row r="28" spans="1:5" ht="15.75" x14ac:dyDescent="0.2">
      <c r="A28" s="394" t="str">
        <f>CONCATENATE("From the County Treasurer's Budget Information - ",E1," Budget Year Estimates:")</f>
        <v>From the County Treasurer's Budget Information - 2025 Budget Year Estimates:</v>
      </c>
      <c r="B28" s="33"/>
      <c r="C28" s="33"/>
      <c r="D28" s="395"/>
      <c r="E28" s="17"/>
    </row>
    <row r="29" spans="1:5" ht="15.75" x14ac:dyDescent="0.2">
      <c r="A29" s="38" t="s">
        <v>12</v>
      </c>
      <c r="B29" s="20"/>
      <c r="C29" s="20"/>
      <c r="D29" s="48"/>
      <c r="E29" s="15"/>
    </row>
    <row r="30" spans="1:5" ht="15.75" x14ac:dyDescent="0.2">
      <c r="A30" s="39" t="s">
        <v>13</v>
      </c>
      <c r="B30" s="40"/>
      <c r="C30" s="40"/>
      <c r="D30" s="49"/>
      <c r="E30" s="15"/>
    </row>
    <row r="31" spans="1:5" ht="15.75" x14ac:dyDescent="0.2">
      <c r="A31" s="39" t="s">
        <v>113</v>
      </c>
      <c r="B31" s="40"/>
      <c r="C31" s="40"/>
      <c r="D31" s="49"/>
      <c r="E31" s="15"/>
    </row>
    <row r="32" spans="1:5" ht="15.75" x14ac:dyDescent="0.2">
      <c r="A32" s="39" t="s">
        <v>470</v>
      </c>
      <c r="B32" s="40"/>
      <c r="C32" s="40"/>
      <c r="D32" s="49"/>
      <c r="E32" s="15"/>
    </row>
    <row r="33" spans="1:5" ht="15.75" x14ac:dyDescent="0.2">
      <c r="A33" s="39" t="s">
        <v>471</v>
      </c>
      <c r="B33" s="40"/>
      <c r="C33" s="40"/>
      <c r="D33" s="49"/>
      <c r="E33" s="15"/>
    </row>
    <row r="34" spans="1:5" ht="15.75" x14ac:dyDescent="0.2">
      <c r="A34" s="3" t="s">
        <v>114</v>
      </c>
      <c r="B34" s="3"/>
      <c r="C34" s="3"/>
      <c r="D34" s="3"/>
      <c r="E34" s="3"/>
    </row>
    <row r="35" spans="1:5" ht="15.75" x14ac:dyDescent="0.2">
      <c r="A35" s="42" t="s">
        <v>81</v>
      </c>
      <c r="B35" s="8"/>
      <c r="C35" s="8"/>
      <c r="D35" s="3"/>
      <c r="E35" s="3"/>
    </row>
    <row r="36" spans="1:5" ht="15.75" x14ac:dyDescent="0.2">
      <c r="A36" s="23" t="str">
        <f>CONCATENATE("Actual Delinquency for ",E1-3," Tax - (e.g. rate .01213 = 1.213%;  key in 1.2)")</f>
        <v>Actual Delinquency for 2022 Tax - (e.g. rate .01213 = 1.213%;  key in 1.2)</v>
      </c>
      <c r="B36" s="3"/>
      <c r="C36" s="3"/>
      <c r="D36" s="3"/>
      <c r="E36" s="3"/>
    </row>
    <row r="37" spans="1:5" ht="15.75" x14ac:dyDescent="0.2">
      <c r="A37" s="38" t="s">
        <v>448</v>
      </c>
      <c r="B37" s="23"/>
      <c r="C37" s="3"/>
      <c r="D37" s="3"/>
      <c r="E37" s="309">
        <v>0</v>
      </c>
    </row>
    <row r="38" spans="1:5" ht="15.75" x14ac:dyDescent="0.2">
      <c r="A38" s="50" t="s">
        <v>115</v>
      </c>
      <c r="B38" s="50"/>
      <c r="C38" s="51"/>
      <c r="D38" s="51"/>
      <c r="E38" s="52"/>
    </row>
    <row r="39" spans="1:5" x14ac:dyDescent="0.2">
      <c r="A39" s="37"/>
      <c r="B39" s="37"/>
      <c r="C39" s="37"/>
      <c r="D39" s="37"/>
      <c r="E39" s="37"/>
    </row>
    <row r="40" spans="1:5" ht="15.75" x14ac:dyDescent="0.2">
      <c r="A40" s="540" t="str">
        <f>CONCATENATE("From the ",E1-2," Budget Certificate Page")</f>
        <v>From the 2023 Budget Certificate Page</v>
      </c>
      <c r="B40" s="541"/>
      <c r="C40" s="37"/>
      <c r="D40" s="37"/>
      <c r="E40" s="37"/>
    </row>
    <row r="41" spans="1:5" ht="15.75" x14ac:dyDescent="0.2">
      <c r="A41" s="53"/>
      <c r="B41" s="53" t="str">
        <f>CONCATENATE("",E1-2," Expenditure Amounts")</f>
        <v>2023 Expenditure Amounts</v>
      </c>
      <c r="C41" s="542" t="str">
        <f>CONCATENATE("Note: If the ",E1-2," budget was amended, then the")</f>
        <v>Note: If the 2023 budget was amended, then the</v>
      </c>
      <c r="D41" s="543"/>
      <c r="E41" s="543"/>
    </row>
    <row r="42" spans="1:5" ht="15.75" x14ac:dyDescent="0.2">
      <c r="A42" s="54" t="s">
        <v>131</v>
      </c>
      <c r="B42" s="54" t="s">
        <v>132</v>
      </c>
      <c r="C42" s="55" t="s">
        <v>133</v>
      </c>
      <c r="D42" s="56"/>
      <c r="E42" s="56"/>
    </row>
    <row r="43" spans="1:5" ht="15.75" x14ac:dyDescent="0.2">
      <c r="A43" s="57" t="str">
        <f>inputPrYr!B19</f>
        <v>General</v>
      </c>
      <c r="B43" s="32"/>
      <c r="C43" s="55" t="s">
        <v>134</v>
      </c>
      <c r="D43" s="56"/>
      <c r="E43" s="56"/>
    </row>
    <row r="44" spans="1:5" ht="15.75" x14ac:dyDescent="0.2">
      <c r="A44" s="57" t="str">
        <f>inputPrYr!B20</f>
        <v>Debt Service</v>
      </c>
      <c r="B44" s="32"/>
      <c r="C44" s="55"/>
      <c r="D44" s="56"/>
      <c r="E44" s="56"/>
    </row>
    <row r="45" spans="1:5" ht="15.75" x14ac:dyDescent="0.2">
      <c r="A45" s="57">
        <f>inputPrYr!B22</f>
        <v>0</v>
      </c>
      <c r="B45" s="32"/>
      <c r="C45" s="37"/>
      <c r="D45" s="37"/>
      <c r="E45" s="37"/>
    </row>
    <row r="46" spans="1:5" ht="15.75" x14ac:dyDescent="0.2">
      <c r="A46" s="57">
        <f>inputPrYr!B23</f>
        <v>0</v>
      </c>
      <c r="B46" s="32"/>
      <c r="C46" s="37"/>
      <c r="D46" s="37"/>
      <c r="E46" s="37"/>
    </row>
    <row r="47" spans="1:5" ht="15.75" x14ac:dyDescent="0.2">
      <c r="A47" s="57">
        <f>inputPrYr!B26</f>
        <v>0</v>
      </c>
      <c r="B47" s="32"/>
      <c r="C47" s="37"/>
      <c r="D47" s="37"/>
      <c r="E47" s="37"/>
    </row>
    <row r="48" spans="1:5" ht="15.75" x14ac:dyDescent="0.2">
      <c r="A48" s="57">
        <f>inputPrYr!B27</f>
        <v>0</v>
      </c>
      <c r="B48" s="32"/>
      <c r="C48" s="37"/>
      <c r="D48" s="37"/>
      <c r="E48" s="37"/>
    </row>
  </sheetData>
  <sheetProtection sheet="1"/>
  <mergeCells count="4">
    <mergeCell ref="A17:B17"/>
    <mergeCell ref="A4:E4"/>
    <mergeCell ref="A40:B40"/>
    <mergeCell ref="C41:E41"/>
  </mergeCells>
  <phoneticPr fontId="11" type="noConversion"/>
  <pageMargins left="0.75" right="0.75" top="1" bottom="1" header="0.5" footer="0.5"/>
  <pageSetup scale="86"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225"/>
  <sheetViews>
    <sheetView workbookViewId="0"/>
  </sheetViews>
  <sheetFormatPr defaultRowHeight="15.75" x14ac:dyDescent="0.2"/>
  <cols>
    <col min="1" max="1" width="84.88671875" style="58" customWidth="1"/>
    <col min="2" max="2" width="14.5546875" style="58" customWidth="1"/>
    <col min="3" max="3" width="14.21875" style="58" customWidth="1"/>
    <col min="4" max="16384" width="8.88671875" style="58"/>
  </cols>
  <sheetData>
    <row r="1" spans="1:1" x14ac:dyDescent="0.2">
      <c r="A1" s="490" t="s">
        <v>829</v>
      </c>
    </row>
    <row r="2" spans="1:1" x14ac:dyDescent="0.2">
      <c r="A2" s="224" t="s">
        <v>827</v>
      </c>
    </row>
    <row r="3" spans="1:1" x14ac:dyDescent="0.2">
      <c r="A3" s="58" t="s">
        <v>828</v>
      </c>
    </row>
    <row r="4" spans="1:1" x14ac:dyDescent="0.2">
      <c r="A4" s="58" t="s">
        <v>830</v>
      </c>
    </row>
    <row r="6" spans="1:1" x14ac:dyDescent="0.25">
      <c r="A6" s="513" t="s">
        <v>813</v>
      </c>
    </row>
    <row r="7" spans="1:1" x14ac:dyDescent="0.25">
      <c r="A7" s="298" t="s">
        <v>814</v>
      </c>
    </row>
    <row r="8" spans="1:1" x14ac:dyDescent="0.25">
      <c r="A8" s="298" t="s">
        <v>815</v>
      </c>
    </row>
    <row r="9" spans="1:1" x14ac:dyDescent="0.25">
      <c r="A9" s="298" t="s">
        <v>816</v>
      </c>
    </row>
    <row r="10" spans="1:1" x14ac:dyDescent="0.25">
      <c r="A10" s="298" t="s">
        <v>826</v>
      </c>
    </row>
    <row r="11" spans="1:1" x14ac:dyDescent="0.25">
      <c r="A11" s="298"/>
    </row>
    <row r="12" spans="1:1" x14ac:dyDescent="0.2">
      <c r="A12" s="490" t="s">
        <v>758</v>
      </c>
    </row>
    <row r="13" spans="1:1" x14ac:dyDescent="0.2">
      <c r="A13" s="224" t="s">
        <v>759</v>
      </c>
    </row>
    <row r="14" spans="1:1" x14ac:dyDescent="0.2">
      <c r="A14" s="224" t="s">
        <v>760</v>
      </c>
    </row>
    <row r="15" spans="1:1" ht="31.5" x14ac:dyDescent="0.2">
      <c r="A15" s="224" t="s">
        <v>761</v>
      </c>
    </row>
    <row r="16" spans="1:1" ht="31.5" x14ac:dyDescent="0.2">
      <c r="A16" s="224" t="s">
        <v>762</v>
      </c>
    </row>
    <row r="17" spans="1:1" x14ac:dyDescent="0.2">
      <c r="A17" s="224" t="s">
        <v>763</v>
      </c>
    </row>
    <row r="18" spans="1:1" ht="31.5" x14ac:dyDescent="0.2">
      <c r="A18" s="224" t="s">
        <v>764</v>
      </c>
    </row>
    <row r="19" spans="1:1" x14ac:dyDescent="0.2">
      <c r="A19" s="224" t="s">
        <v>765</v>
      </c>
    </row>
    <row r="20" spans="1:1" x14ac:dyDescent="0.2">
      <c r="A20" s="224" t="s">
        <v>766</v>
      </c>
    </row>
    <row r="21" spans="1:1" x14ac:dyDescent="0.2">
      <c r="A21" s="224" t="s">
        <v>767</v>
      </c>
    </row>
    <row r="23" spans="1:1" x14ac:dyDescent="0.2">
      <c r="A23" s="223" t="s">
        <v>622</v>
      </c>
    </row>
    <row r="24" spans="1:1" x14ac:dyDescent="0.2">
      <c r="A24" s="58" t="s">
        <v>623</v>
      </c>
    </row>
    <row r="25" spans="1:1" x14ac:dyDescent="0.2">
      <c r="A25" s="58" t="s">
        <v>624</v>
      </c>
    </row>
    <row r="26" spans="1:1" x14ac:dyDescent="0.2">
      <c r="A26" s="58" t="s">
        <v>625</v>
      </c>
    </row>
    <row r="27" spans="1:1" x14ac:dyDescent="0.2">
      <c r="A27" s="58" t="s">
        <v>626</v>
      </c>
    </row>
    <row r="28" spans="1:1" x14ac:dyDescent="0.2">
      <c r="A28" s="58" t="s">
        <v>627</v>
      </c>
    </row>
    <row r="30" spans="1:1" x14ac:dyDescent="0.25">
      <c r="A30" s="413" t="s">
        <v>616</v>
      </c>
    </row>
    <row r="31" spans="1:1" x14ac:dyDescent="0.25">
      <c r="A31" s="298" t="s">
        <v>617</v>
      </c>
    </row>
    <row r="32" spans="1:1" x14ac:dyDescent="0.25">
      <c r="A32" s="298" t="s">
        <v>618</v>
      </c>
    </row>
    <row r="34" spans="1:1" x14ac:dyDescent="0.2">
      <c r="A34" s="223" t="s">
        <v>612</v>
      </c>
    </row>
    <row r="35" spans="1:1" x14ac:dyDescent="0.2">
      <c r="A35" s="58" t="s">
        <v>613</v>
      </c>
    </row>
    <row r="36" spans="1:1" x14ac:dyDescent="0.2">
      <c r="A36" s="58" t="s">
        <v>614</v>
      </c>
    </row>
    <row r="37" spans="1:1" x14ac:dyDescent="0.2">
      <c r="A37" s="58" t="s">
        <v>615</v>
      </c>
    </row>
    <row r="39" spans="1:1" x14ac:dyDescent="0.2">
      <c r="A39" s="223" t="s">
        <v>606</v>
      </c>
    </row>
    <row r="40" spans="1:1" x14ac:dyDescent="0.2">
      <c r="A40" s="58" t="s">
        <v>607</v>
      </c>
    </row>
    <row r="41" spans="1:1" x14ac:dyDescent="0.2">
      <c r="A41" s="58" t="s">
        <v>608</v>
      </c>
    </row>
    <row r="42" spans="1:1" x14ac:dyDescent="0.2">
      <c r="A42" s="58" t="s">
        <v>609</v>
      </c>
    </row>
    <row r="43" spans="1:1" x14ac:dyDescent="0.2">
      <c r="A43" s="58" t="s">
        <v>610</v>
      </c>
    </row>
    <row r="45" spans="1:1" x14ac:dyDescent="0.25">
      <c r="A45" s="413" t="s">
        <v>603</v>
      </c>
    </row>
    <row r="46" spans="1:1" x14ac:dyDescent="0.25">
      <c r="A46" s="417" t="s">
        <v>604</v>
      </c>
    </row>
    <row r="48" spans="1:1" x14ac:dyDescent="0.25">
      <c r="A48" s="413" t="s">
        <v>600</v>
      </c>
    </row>
    <row r="49" spans="1:1" x14ac:dyDescent="0.25">
      <c r="A49" s="412" t="s">
        <v>602</v>
      </c>
    </row>
    <row r="51" spans="1:1" x14ac:dyDescent="0.25">
      <c r="A51" s="413" t="s">
        <v>489</v>
      </c>
    </row>
    <row r="52" spans="1:1" x14ac:dyDescent="0.25">
      <c r="A52" s="412" t="s">
        <v>490</v>
      </c>
    </row>
    <row r="54" spans="1:1" x14ac:dyDescent="0.25">
      <c r="A54" s="413" t="s">
        <v>488</v>
      </c>
    </row>
    <row r="55" spans="1:1" x14ac:dyDescent="0.25">
      <c r="A55" s="412" t="s">
        <v>491</v>
      </c>
    </row>
    <row r="57" spans="1:1" x14ac:dyDescent="0.25">
      <c r="A57" s="413" t="s">
        <v>487</v>
      </c>
    </row>
    <row r="58" spans="1:1" x14ac:dyDescent="0.25">
      <c r="A58" s="412" t="s">
        <v>492</v>
      </c>
    </row>
    <row r="59" spans="1:1" x14ac:dyDescent="0.25">
      <c r="A59" s="412" t="s">
        <v>493</v>
      </c>
    </row>
    <row r="60" spans="1:1" x14ac:dyDescent="0.25">
      <c r="A60" s="412" t="s">
        <v>494</v>
      </c>
    </row>
    <row r="61" spans="1:1" x14ac:dyDescent="0.25">
      <c r="A61" s="412" t="s">
        <v>495</v>
      </c>
    </row>
    <row r="62" spans="1:1" x14ac:dyDescent="0.25">
      <c r="A62" s="412" t="s">
        <v>496</v>
      </c>
    </row>
    <row r="64" spans="1:1" x14ac:dyDescent="0.2">
      <c r="A64" s="232" t="s">
        <v>497</v>
      </c>
    </row>
    <row r="65" spans="1:1" x14ac:dyDescent="0.2">
      <c r="A65" s="364" t="s">
        <v>485</v>
      </c>
    </row>
    <row r="66" spans="1:1" x14ac:dyDescent="0.2">
      <c r="A66" s="58" t="s">
        <v>486</v>
      </c>
    </row>
    <row r="68" spans="1:1" x14ac:dyDescent="0.2">
      <c r="A68" s="232" t="s">
        <v>498</v>
      </c>
    </row>
    <row r="69" spans="1:1" x14ac:dyDescent="0.2">
      <c r="A69" s="364" t="s">
        <v>484</v>
      </c>
    </row>
    <row r="71" spans="1:1" x14ac:dyDescent="0.2">
      <c r="A71" s="223" t="s">
        <v>461</v>
      </c>
    </row>
    <row r="72" spans="1:1" x14ac:dyDescent="0.2">
      <c r="A72" s="58" t="s">
        <v>499</v>
      </c>
    </row>
    <row r="74" spans="1:1" x14ac:dyDescent="0.2">
      <c r="A74" s="232" t="s">
        <v>500</v>
      </c>
    </row>
    <row r="75" spans="1:1" x14ac:dyDescent="0.2">
      <c r="A75" s="364" t="s">
        <v>460</v>
      </c>
    </row>
    <row r="77" spans="1:1" x14ac:dyDescent="0.2">
      <c r="A77" s="232" t="s">
        <v>501</v>
      </c>
    </row>
    <row r="78" spans="1:1" x14ac:dyDescent="0.2">
      <c r="A78" s="370" t="s">
        <v>459</v>
      </c>
    </row>
    <row r="80" spans="1:1" x14ac:dyDescent="0.2">
      <c r="A80" s="232" t="s">
        <v>502</v>
      </c>
    </row>
    <row r="81" spans="1:1" x14ac:dyDescent="0.2">
      <c r="A81" s="58" t="s">
        <v>503</v>
      </c>
    </row>
    <row r="83" spans="1:1" x14ac:dyDescent="0.2">
      <c r="A83" s="232" t="s">
        <v>504</v>
      </c>
    </row>
    <row r="84" spans="1:1" x14ac:dyDescent="0.2">
      <c r="A84" s="364" t="s">
        <v>505</v>
      </c>
    </row>
    <row r="86" spans="1:1" x14ac:dyDescent="0.2">
      <c r="A86" s="232" t="s">
        <v>506</v>
      </c>
    </row>
    <row r="87" spans="1:1" x14ac:dyDescent="0.2">
      <c r="A87" s="355" t="s">
        <v>507</v>
      </c>
    </row>
    <row r="89" spans="1:1" x14ac:dyDescent="0.2">
      <c r="A89" s="232" t="s">
        <v>508</v>
      </c>
    </row>
    <row r="90" spans="1:1" x14ac:dyDescent="0.2">
      <c r="A90" s="355" t="s">
        <v>509</v>
      </c>
    </row>
    <row r="91" spans="1:1" x14ac:dyDescent="0.2">
      <c r="A91" s="355" t="s">
        <v>510</v>
      </c>
    </row>
    <row r="92" spans="1:1" x14ac:dyDescent="0.2">
      <c r="A92" s="58" t="s">
        <v>511</v>
      </c>
    </row>
    <row r="93" spans="1:1" x14ac:dyDescent="0.2">
      <c r="A93" s="58" t="s">
        <v>512</v>
      </c>
    </row>
    <row r="94" spans="1:1" x14ac:dyDescent="0.2">
      <c r="A94" s="58" t="s">
        <v>513</v>
      </c>
    </row>
    <row r="95" spans="1:1" x14ac:dyDescent="0.2">
      <c r="A95" s="58" t="s">
        <v>514</v>
      </c>
    </row>
    <row r="96" spans="1:1" x14ac:dyDescent="0.2">
      <c r="A96" s="58" t="s">
        <v>515</v>
      </c>
    </row>
    <row r="97" spans="1:1" x14ac:dyDescent="0.2">
      <c r="A97" s="58" t="s">
        <v>516</v>
      </c>
    </row>
    <row r="98" spans="1:1" x14ac:dyDescent="0.2">
      <c r="A98" s="58" t="s">
        <v>517</v>
      </c>
    </row>
    <row r="99" spans="1:1" x14ac:dyDescent="0.2">
      <c r="A99" s="58" t="s">
        <v>518</v>
      </c>
    </row>
    <row r="100" spans="1:1" ht="47.25" x14ac:dyDescent="0.2">
      <c r="A100" s="224" t="s">
        <v>519</v>
      </c>
    </row>
    <row r="101" spans="1:1" ht="31.5" x14ac:dyDescent="0.2">
      <c r="A101" s="224" t="s">
        <v>520</v>
      </c>
    </row>
    <row r="102" spans="1:1" x14ac:dyDescent="0.2">
      <c r="A102" s="58" t="s">
        <v>521</v>
      </c>
    </row>
    <row r="103" spans="1:1" x14ac:dyDescent="0.2">
      <c r="A103" s="58" t="s">
        <v>522</v>
      </c>
    </row>
    <row r="104" spans="1:1" x14ac:dyDescent="0.2">
      <c r="A104" s="58" t="s">
        <v>523</v>
      </c>
    </row>
    <row r="105" spans="1:1" x14ac:dyDescent="0.2">
      <c r="A105" s="58" t="s">
        <v>524</v>
      </c>
    </row>
    <row r="106" spans="1:1" x14ac:dyDescent="0.2">
      <c r="A106" s="58" t="s">
        <v>525</v>
      </c>
    </row>
    <row r="107" spans="1:1" x14ac:dyDescent="0.2">
      <c r="A107" s="58" t="s">
        <v>526</v>
      </c>
    </row>
    <row r="108" spans="1:1" x14ac:dyDescent="0.2">
      <c r="A108" s="58" t="s">
        <v>527</v>
      </c>
    </row>
    <row r="109" spans="1:1" x14ac:dyDescent="0.2">
      <c r="A109" s="58" t="s">
        <v>528</v>
      </c>
    </row>
    <row r="110" spans="1:1" x14ac:dyDescent="0.2">
      <c r="A110" s="58" t="s">
        <v>529</v>
      </c>
    </row>
    <row r="111" spans="1:1" x14ac:dyDescent="0.2">
      <c r="A111" s="58" t="s">
        <v>530</v>
      </c>
    </row>
    <row r="113" spans="1:1" x14ac:dyDescent="0.2">
      <c r="A113" s="232" t="s">
        <v>531</v>
      </c>
    </row>
    <row r="114" spans="1:1" x14ac:dyDescent="0.2">
      <c r="A114" s="304" t="s">
        <v>532</v>
      </c>
    </row>
    <row r="115" spans="1:1" x14ac:dyDescent="0.2">
      <c r="A115" s="304" t="s">
        <v>533</v>
      </c>
    </row>
    <row r="117" spans="1:1" x14ac:dyDescent="0.2">
      <c r="A117" s="232" t="s">
        <v>534</v>
      </c>
    </row>
    <row r="118" spans="1:1" x14ac:dyDescent="0.2">
      <c r="A118" s="304" t="s">
        <v>535</v>
      </c>
    </row>
    <row r="119" spans="1:1" x14ac:dyDescent="0.2">
      <c r="A119" s="304" t="s">
        <v>536</v>
      </c>
    </row>
    <row r="120" spans="1:1" ht="31.5" x14ac:dyDescent="0.2">
      <c r="A120" s="305" t="s">
        <v>537</v>
      </c>
    </row>
    <row r="121" spans="1:1" x14ac:dyDescent="0.2">
      <c r="A121" s="304" t="s">
        <v>538</v>
      </c>
    </row>
    <row r="122" spans="1:1" x14ac:dyDescent="0.2">
      <c r="A122" s="304" t="s">
        <v>539</v>
      </c>
    </row>
    <row r="123" spans="1:1" x14ac:dyDescent="0.2">
      <c r="A123" s="304" t="s">
        <v>540</v>
      </c>
    </row>
    <row r="124" spans="1:1" x14ac:dyDescent="0.2">
      <c r="A124" s="304" t="s">
        <v>541</v>
      </c>
    </row>
    <row r="125" spans="1:1" x14ac:dyDescent="0.2">
      <c r="A125" s="304" t="s">
        <v>542</v>
      </c>
    </row>
    <row r="126" spans="1:1" x14ac:dyDescent="0.2">
      <c r="A126" s="304" t="s">
        <v>543</v>
      </c>
    </row>
    <row r="127" spans="1:1" x14ac:dyDescent="0.2">
      <c r="A127" s="304" t="s">
        <v>544</v>
      </c>
    </row>
    <row r="128" spans="1:1" x14ac:dyDescent="0.2">
      <c r="A128" s="304" t="s">
        <v>545</v>
      </c>
    </row>
    <row r="129" spans="1:1" x14ac:dyDescent="0.2">
      <c r="A129" s="304" t="s">
        <v>546</v>
      </c>
    </row>
    <row r="130" spans="1:1" x14ac:dyDescent="0.2">
      <c r="A130" s="304" t="s">
        <v>547</v>
      </c>
    </row>
    <row r="131" spans="1:1" x14ac:dyDescent="0.2">
      <c r="A131" s="304" t="s">
        <v>548</v>
      </c>
    </row>
    <row r="132" spans="1:1" x14ac:dyDescent="0.2">
      <c r="A132" s="304" t="s">
        <v>549</v>
      </c>
    </row>
    <row r="133" spans="1:1" x14ac:dyDescent="0.2">
      <c r="A133" s="304" t="s">
        <v>550</v>
      </c>
    </row>
    <row r="134" spans="1:1" x14ac:dyDescent="0.2">
      <c r="A134" s="304" t="s">
        <v>551</v>
      </c>
    </row>
    <row r="135" spans="1:1" x14ac:dyDescent="0.2">
      <c r="A135" s="304" t="s">
        <v>552</v>
      </c>
    </row>
    <row r="136" spans="1:1" x14ac:dyDescent="0.2">
      <c r="A136" s="304" t="s">
        <v>553</v>
      </c>
    </row>
    <row r="137" spans="1:1" x14ac:dyDescent="0.2">
      <c r="A137" s="304" t="s">
        <v>554</v>
      </c>
    </row>
    <row r="138" spans="1:1" x14ac:dyDescent="0.2">
      <c r="A138" s="304" t="s">
        <v>555</v>
      </c>
    </row>
    <row r="139" spans="1:1" x14ac:dyDescent="0.2">
      <c r="A139" s="304" t="s">
        <v>556</v>
      </c>
    </row>
    <row r="140" spans="1:1" x14ac:dyDescent="0.2">
      <c r="A140" s="304" t="s">
        <v>557</v>
      </c>
    </row>
    <row r="142" spans="1:1" x14ac:dyDescent="0.2">
      <c r="A142" s="232" t="s">
        <v>558</v>
      </c>
    </row>
    <row r="143" spans="1:1" x14ac:dyDescent="0.2">
      <c r="A143" s="58" t="s">
        <v>559</v>
      </c>
    </row>
    <row r="144" spans="1:1" x14ac:dyDescent="0.2">
      <c r="A144" s="58" t="s">
        <v>560</v>
      </c>
    </row>
    <row r="145" spans="1:1" x14ac:dyDescent="0.2">
      <c r="A145" s="58" t="s">
        <v>561</v>
      </c>
    </row>
    <row r="147" spans="1:1" x14ac:dyDescent="0.2">
      <c r="A147" s="239" t="s">
        <v>562</v>
      </c>
    </row>
    <row r="148" spans="1:1" x14ac:dyDescent="0.2">
      <c r="A148" s="58" t="s">
        <v>563</v>
      </c>
    </row>
    <row r="150" spans="1:1" x14ac:dyDescent="0.2">
      <c r="A150" s="232" t="s">
        <v>564</v>
      </c>
    </row>
    <row r="151" spans="1:1" x14ac:dyDescent="0.2">
      <c r="A151" s="233" t="s">
        <v>565</v>
      </c>
    </row>
    <row r="152" spans="1:1" x14ac:dyDescent="0.2">
      <c r="A152" s="233" t="s">
        <v>566</v>
      </c>
    </row>
    <row r="153" spans="1:1" x14ac:dyDescent="0.2">
      <c r="A153" s="233" t="s">
        <v>567</v>
      </c>
    </row>
    <row r="154" spans="1:1" x14ac:dyDescent="0.2">
      <c r="A154" s="58" t="s">
        <v>568</v>
      </c>
    </row>
    <row r="156" spans="1:1" x14ac:dyDescent="0.2">
      <c r="A156" s="223" t="s">
        <v>569</v>
      </c>
    </row>
    <row r="157" spans="1:1" x14ac:dyDescent="0.2">
      <c r="A157" s="58" t="s">
        <v>570</v>
      </c>
    </row>
    <row r="158" spans="1:1" x14ac:dyDescent="0.2">
      <c r="A158" s="58" t="s">
        <v>571</v>
      </c>
    </row>
    <row r="159" spans="1:1" x14ac:dyDescent="0.2">
      <c r="A159" s="58" t="s">
        <v>572</v>
      </c>
    </row>
    <row r="160" spans="1:1" x14ac:dyDescent="0.2">
      <c r="A160" s="58" t="s">
        <v>573</v>
      </c>
    </row>
    <row r="161" spans="1:1" x14ac:dyDescent="0.2">
      <c r="A161" s="58" t="s">
        <v>574</v>
      </c>
    </row>
    <row r="162" spans="1:1" ht="36" customHeight="1" x14ac:dyDescent="0.2">
      <c r="A162" s="58" t="s">
        <v>575</v>
      </c>
    </row>
    <row r="163" spans="1:1" x14ac:dyDescent="0.2">
      <c r="A163" s="58" t="s">
        <v>576</v>
      </c>
    </row>
    <row r="164" spans="1:1" ht="18.75" customHeight="1" x14ac:dyDescent="0.2">
      <c r="A164" s="58" t="s">
        <v>577</v>
      </c>
    </row>
    <row r="165" spans="1:1" x14ac:dyDescent="0.2">
      <c r="A165" s="58" t="s">
        <v>578</v>
      </c>
    </row>
    <row r="166" spans="1:1" ht="24.75" customHeight="1" x14ac:dyDescent="0.2">
      <c r="A166" s="58" t="s">
        <v>579</v>
      </c>
    </row>
    <row r="167" spans="1:1" ht="39" customHeight="1" x14ac:dyDescent="0.2">
      <c r="A167" s="58" t="s">
        <v>580</v>
      </c>
    </row>
    <row r="168" spans="1:1" ht="38.25" customHeight="1" x14ac:dyDescent="0.2">
      <c r="A168" s="58" t="s">
        <v>581</v>
      </c>
    </row>
    <row r="169" spans="1:1" ht="37.5" customHeight="1" x14ac:dyDescent="0.2"/>
    <row r="170" spans="1:1" ht="21" customHeight="1" x14ac:dyDescent="0.2">
      <c r="A170" s="223" t="s">
        <v>582</v>
      </c>
    </row>
    <row r="171" spans="1:1" ht="35.25" customHeight="1" x14ac:dyDescent="0.2">
      <c r="A171" s="58" t="s">
        <v>583</v>
      </c>
    </row>
    <row r="172" spans="1:1" x14ac:dyDescent="0.2">
      <c r="A172" s="58" t="s">
        <v>584</v>
      </c>
    </row>
    <row r="173" spans="1:1" x14ac:dyDescent="0.2">
      <c r="A173" s="58" t="s">
        <v>585</v>
      </c>
    </row>
    <row r="175" spans="1:1" x14ac:dyDescent="0.2">
      <c r="A175" s="223" t="s">
        <v>586</v>
      </c>
    </row>
    <row r="176" spans="1:1" x14ac:dyDescent="0.2">
      <c r="A176" s="58" t="s">
        <v>177</v>
      </c>
    </row>
    <row r="177" spans="1:1" x14ac:dyDescent="0.2">
      <c r="A177" s="58" t="s">
        <v>178</v>
      </c>
    </row>
    <row r="179" spans="1:1" x14ac:dyDescent="0.2">
      <c r="A179" s="223" t="s">
        <v>160</v>
      </c>
    </row>
    <row r="180" spans="1:1" x14ac:dyDescent="0.2">
      <c r="A180" s="58" t="s">
        <v>161</v>
      </c>
    </row>
    <row r="181" spans="1:1" ht="31.5" x14ac:dyDescent="0.2">
      <c r="A181" s="224" t="s">
        <v>162</v>
      </c>
    </row>
    <row r="182" spans="1:1" x14ac:dyDescent="0.2">
      <c r="A182" s="58" t="s">
        <v>163</v>
      </c>
    </row>
    <row r="183" spans="1:1" x14ac:dyDescent="0.2">
      <c r="A183" s="58" t="s">
        <v>164</v>
      </c>
    </row>
    <row r="184" spans="1:1" x14ac:dyDescent="0.2">
      <c r="A184" s="58" t="s">
        <v>165</v>
      </c>
    </row>
    <row r="185" spans="1:1" x14ac:dyDescent="0.2">
      <c r="A185" s="58" t="s">
        <v>166</v>
      </c>
    </row>
    <row r="186" spans="1:1" ht="31.5" x14ac:dyDescent="0.2">
      <c r="A186" s="224" t="s">
        <v>167</v>
      </c>
    </row>
    <row r="187" spans="1:1" ht="31.5" x14ac:dyDescent="0.2">
      <c r="A187" s="224" t="s">
        <v>168</v>
      </c>
    </row>
    <row r="188" spans="1:1" ht="31.5" x14ac:dyDescent="0.2">
      <c r="A188" s="224" t="s">
        <v>169</v>
      </c>
    </row>
    <row r="189" spans="1:1" x14ac:dyDescent="0.2">
      <c r="A189" s="224" t="s">
        <v>170</v>
      </c>
    </row>
    <row r="190" spans="1:1" x14ac:dyDescent="0.2">
      <c r="A190" s="224" t="s">
        <v>171</v>
      </c>
    </row>
    <row r="191" spans="1:1" x14ac:dyDescent="0.2">
      <c r="A191" s="58" t="s">
        <v>172</v>
      </c>
    </row>
    <row r="192" spans="1:1" x14ac:dyDescent="0.2">
      <c r="A192" s="58" t="s">
        <v>173</v>
      </c>
    </row>
    <row r="193" spans="1:1" x14ac:dyDescent="0.2">
      <c r="A193" s="58" t="s">
        <v>174</v>
      </c>
    </row>
    <row r="194" spans="1:1" x14ac:dyDescent="0.2">
      <c r="A194" s="58" t="s">
        <v>175</v>
      </c>
    </row>
    <row r="195" spans="1:1" x14ac:dyDescent="0.2">
      <c r="A195" s="58" t="s">
        <v>176</v>
      </c>
    </row>
    <row r="198" spans="1:1" x14ac:dyDescent="0.2">
      <c r="A198" s="223" t="s">
        <v>117</v>
      </c>
    </row>
    <row r="199" spans="1:1" x14ac:dyDescent="0.2">
      <c r="A199" s="58" t="s">
        <v>587</v>
      </c>
    </row>
    <row r="200" spans="1:1" x14ac:dyDescent="0.2">
      <c r="A200" s="58" t="s">
        <v>588</v>
      </c>
    </row>
    <row r="201" spans="1:1" x14ac:dyDescent="0.2">
      <c r="A201" s="58" t="s">
        <v>589</v>
      </c>
    </row>
    <row r="202" spans="1:1" x14ac:dyDescent="0.2">
      <c r="A202" s="58" t="s">
        <v>590</v>
      </c>
    </row>
    <row r="203" spans="1:1" x14ac:dyDescent="0.2">
      <c r="A203" s="58" t="s">
        <v>591</v>
      </c>
    </row>
    <row r="204" spans="1:1" x14ac:dyDescent="0.2">
      <c r="A204" s="58" t="s">
        <v>592</v>
      </c>
    </row>
    <row r="205" spans="1:1" x14ac:dyDescent="0.2">
      <c r="A205" s="58" t="s">
        <v>593</v>
      </c>
    </row>
    <row r="206" spans="1:1" x14ac:dyDescent="0.2">
      <c r="A206" s="58" t="s">
        <v>594</v>
      </c>
    </row>
    <row r="207" spans="1:1" x14ac:dyDescent="0.2">
      <c r="A207" s="58" t="s">
        <v>595</v>
      </c>
    </row>
    <row r="208" spans="1:1" x14ac:dyDescent="0.2">
      <c r="A208" s="58" t="s">
        <v>124</v>
      </c>
    </row>
    <row r="209" spans="1:1" x14ac:dyDescent="0.2">
      <c r="A209" s="58" t="s">
        <v>596</v>
      </c>
    </row>
    <row r="210" spans="1:1" x14ac:dyDescent="0.2">
      <c r="A210" s="58" t="s">
        <v>597</v>
      </c>
    </row>
    <row r="211" spans="1:1" x14ac:dyDescent="0.2">
      <c r="A211" s="58" t="s">
        <v>598</v>
      </c>
    </row>
    <row r="212" spans="1:1" x14ac:dyDescent="0.2">
      <c r="A212" s="58" t="s">
        <v>599</v>
      </c>
    </row>
    <row r="213" spans="1:1" x14ac:dyDescent="0.2">
      <c r="A213" s="58" t="s">
        <v>129</v>
      </c>
    </row>
    <row r="214" spans="1:1" x14ac:dyDescent="0.2">
      <c r="A214" s="58" t="s">
        <v>182</v>
      </c>
    </row>
    <row r="215" spans="1:1" x14ac:dyDescent="0.2">
      <c r="A215" s="58" t="s">
        <v>0</v>
      </c>
    </row>
    <row r="216" spans="1:1" x14ac:dyDescent="0.2">
      <c r="A216" s="58" t="s">
        <v>1</v>
      </c>
    </row>
    <row r="217" spans="1:1" x14ac:dyDescent="0.2">
      <c r="A217" s="58" t="s">
        <v>2</v>
      </c>
    </row>
    <row r="218" spans="1:1" x14ac:dyDescent="0.2">
      <c r="A218" s="58" t="s">
        <v>183</v>
      </c>
    </row>
    <row r="219" spans="1:1" x14ac:dyDescent="0.2">
      <c r="A219" s="58" t="s">
        <v>135</v>
      </c>
    </row>
    <row r="220" spans="1:1" x14ac:dyDescent="0.2">
      <c r="A220" s="58" t="s">
        <v>136</v>
      </c>
    </row>
    <row r="221" spans="1:1" x14ac:dyDescent="0.2">
      <c r="A221" s="58" t="s">
        <v>3</v>
      </c>
    </row>
    <row r="222" spans="1:1" x14ac:dyDescent="0.2">
      <c r="A222" s="58" t="s">
        <v>4</v>
      </c>
    </row>
    <row r="223" spans="1:1" x14ac:dyDescent="0.2">
      <c r="A223" s="58" t="s">
        <v>139</v>
      </c>
    </row>
    <row r="224" spans="1:1" x14ac:dyDescent="0.2">
      <c r="A224" s="58" t="s">
        <v>140</v>
      </c>
    </row>
    <row r="225" spans="1:1" x14ac:dyDescent="0.2">
      <c r="A225" s="58" t="s">
        <v>141</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9"/>
  <sheetViews>
    <sheetView zoomScale="80" zoomScaleNormal="80" workbookViewId="0">
      <selection activeCell="B28" sqref="B28:E28"/>
    </sheetView>
  </sheetViews>
  <sheetFormatPr defaultRowHeight="15.75" x14ac:dyDescent="0.25"/>
  <cols>
    <col min="1" max="1" width="17.21875" customWidth="1"/>
    <col min="2" max="2" width="16.109375" customWidth="1"/>
    <col min="8" max="8" width="12.6640625" style="298" customWidth="1"/>
    <col min="9" max="9" width="12.44140625" style="298" customWidth="1"/>
    <col min="10" max="11" width="8.88671875" style="298"/>
  </cols>
  <sheetData>
    <row r="1" spans="1:14" ht="15" x14ac:dyDescent="0.2">
      <c r="A1" s="552" t="s">
        <v>706</v>
      </c>
      <c r="B1" s="552"/>
      <c r="C1" s="552"/>
      <c r="D1" s="552"/>
      <c r="E1" s="552"/>
      <c r="F1" s="552"/>
      <c r="H1" s="544" t="s">
        <v>707</v>
      </c>
      <c r="I1" s="544"/>
      <c r="J1" s="544"/>
      <c r="K1" s="544"/>
    </row>
    <row r="2" spans="1:14" ht="20.25" customHeight="1" x14ac:dyDescent="0.2">
      <c r="A2" s="552"/>
      <c r="B2" s="552"/>
      <c r="C2" s="552"/>
      <c r="D2" s="552"/>
      <c r="E2" s="552"/>
      <c r="F2" s="552"/>
      <c r="H2" s="544"/>
      <c r="I2" s="544"/>
      <c r="J2" s="544"/>
      <c r="K2" s="544"/>
    </row>
    <row r="3" spans="1:14" ht="18" customHeight="1" x14ac:dyDescent="0.2">
      <c r="A3" s="553" t="s">
        <v>708</v>
      </c>
      <c r="B3" s="553"/>
      <c r="C3" s="553"/>
      <c r="D3" s="553"/>
      <c r="E3" s="553"/>
      <c r="F3" s="553"/>
      <c r="H3" s="310" t="s">
        <v>450</v>
      </c>
      <c r="I3" s="545" t="s">
        <v>709</v>
      </c>
      <c r="J3" s="546"/>
      <c r="K3" s="547"/>
    </row>
    <row r="4" spans="1:14" ht="18" customHeight="1" x14ac:dyDescent="0.25">
      <c r="A4" s="553"/>
      <c r="B4" s="553"/>
      <c r="C4" s="553"/>
      <c r="D4" s="553"/>
      <c r="E4" s="553"/>
      <c r="F4" s="553"/>
      <c r="H4" s="310"/>
      <c r="I4" s="310"/>
    </row>
    <row r="5" spans="1:14" ht="18" customHeight="1" x14ac:dyDescent="0.2">
      <c r="A5" s="553"/>
      <c r="B5" s="553"/>
      <c r="C5" s="553"/>
      <c r="D5" s="553"/>
      <c r="E5" s="553"/>
      <c r="F5" s="553"/>
      <c r="H5" s="310" t="s">
        <v>210</v>
      </c>
      <c r="I5" s="545" t="s">
        <v>710</v>
      </c>
      <c r="J5" s="546"/>
      <c r="K5" s="547"/>
    </row>
    <row r="6" spans="1:14" ht="18" customHeight="1" x14ac:dyDescent="0.25">
      <c r="A6" s="553"/>
      <c r="B6" s="553"/>
      <c r="C6" s="553"/>
      <c r="D6" s="553"/>
      <c r="E6" s="553"/>
      <c r="F6" s="553"/>
      <c r="H6" s="310"/>
      <c r="I6" s="310"/>
    </row>
    <row r="7" spans="1:14" ht="18" customHeight="1" x14ac:dyDescent="0.2">
      <c r="A7" s="553"/>
      <c r="B7" s="553"/>
      <c r="C7" s="553"/>
      <c r="D7" s="553"/>
      <c r="E7" s="553"/>
      <c r="F7" s="553"/>
      <c r="H7" s="310" t="s">
        <v>211</v>
      </c>
      <c r="I7" s="545" t="s">
        <v>214</v>
      </c>
      <c r="J7" s="546"/>
      <c r="K7" s="547"/>
    </row>
    <row r="8" spans="1:14" ht="18" customHeight="1" x14ac:dyDescent="0.25">
      <c r="A8" s="553"/>
      <c r="B8" s="553"/>
      <c r="C8" s="553"/>
      <c r="D8" s="553"/>
      <c r="E8" s="553"/>
      <c r="F8" s="553"/>
      <c r="H8" s="310"/>
      <c r="I8" s="310"/>
    </row>
    <row r="9" spans="1:14" ht="18" customHeight="1" x14ac:dyDescent="0.2">
      <c r="A9" s="553"/>
      <c r="B9" s="553"/>
      <c r="C9" s="553"/>
      <c r="D9" s="553"/>
      <c r="E9" s="553"/>
      <c r="F9" s="553"/>
      <c r="H9" s="310" t="s">
        <v>212</v>
      </c>
      <c r="I9" s="545" t="s">
        <v>711</v>
      </c>
      <c r="J9" s="546"/>
      <c r="K9" s="547"/>
    </row>
    <row r="10" spans="1:14" ht="18" customHeight="1" x14ac:dyDescent="0.25">
      <c r="A10" s="553"/>
      <c r="B10" s="553"/>
      <c r="C10" s="553"/>
      <c r="D10" s="553"/>
      <c r="E10" s="553"/>
      <c r="F10" s="553"/>
      <c r="H10" s="310"/>
      <c r="I10" s="310"/>
    </row>
    <row r="11" spans="1:14" ht="18" customHeight="1" x14ac:dyDescent="0.2">
      <c r="A11" s="553"/>
      <c r="B11" s="553"/>
      <c r="C11" s="553"/>
      <c r="D11" s="553"/>
      <c r="E11" s="553"/>
      <c r="F11" s="553"/>
      <c r="H11" s="310" t="s">
        <v>213</v>
      </c>
      <c r="I11" s="545" t="s">
        <v>711</v>
      </c>
      <c r="J11" s="546"/>
      <c r="K11" s="547"/>
    </row>
    <row r="12" spans="1:14" ht="18" customHeight="1" x14ac:dyDescent="0.25">
      <c r="A12" s="553"/>
      <c r="B12" s="553"/>
      <c r="C12" s="553"/>
      <c r="D12" s="553"/>
      <c r="E12" s="553"/>
      <c r="F12" s="553"/>
    </row>
    <row r="13" spans="1:14" ht="21" customHeight="1" x14ac:dyDescent="0.3">
      <c r="A13" s="544" t="s">
        <v>712</v>
      </c>
      <c r="B13" s="544"/>
      <c r="C13" s="544"/>
      <c r="D13" s="544"/>
      <c r="E13" s="544"/>
      <c r="F13" s="544"/>
      <c r="G13" s="544"/>
      <c r="H13" s="544"/>
      <c r="I13" s="544"/>
      <c r="J13" s="544"/>
      <c r="K13" s="544"/>
      <c r="M13" s="453"/>
      <c r="N13" s="453"/>
    </row>
    <row r="14" spans="1:14" x14ac:dyDescent="0.25">
      <c r="A14" s="454" t="s">
        <v>449</v>
      </c>
      <c r="B14" s="545"/>
      <c r="C14" s="546"/>
      <c r="D14" s="546"/>
      <c r="E14" s="547"/>
      <c r="H14" s="548" t="s">
        <v>713</v>
      </c>
      <c r="I14" s="548"/>
      <c r="J14" s="548"/>
      <c r="K14" s="548"/>
    </row>
    <row r="15" spans="1:14" x14ac:dyDescent="0.25">
      <c r="A15" s="454"/>
      <c r="B15" s="455"/>
      <c r="C15" s="456"/>
      <c r="D15" s="456"/>
      <c r="E15" s="456"/>
      <c r="H15" s="548"/>
      <c r="I15" s="548"/>
      <c r="J15" s="548"/>
      <c r="K15" s="548"/>
    </row>
    <row r="16" spans="1:14" x14ac:dyDescent="0.25">
      <c r="A16" s="454" t="s">
        <v>450</v>
      </c>
      <c r="B16" s="545"/>
      <c r="C16" s="546"/>
      <c r="D16" s="546"/>
      <c r="E16" s="547"/>
      <c r="H16" s="548"/>
      <c r="I16" s="548"/>
      <c r="J16" s="548"/>
      <c r="K16" s="548"/>
    </row>
    <row r="17" spans="1:13" x14ac:dyDescent="0.25">
      <c r="A17" s="457"/>
      <c r="B17" s="458"/>
      <c r="C17" s="458"/>
      <c r="D17" s="456"/>
      <c r="E17" s="458"/>
      <c r="F17" s="459"/>
      <c r="H17" s="548"/>
      <c r="I17" s="548"/>
      <c r="J17" s="548"/>
      <c r="K17" s="548"/>
    </row>
    <row r="18" spans="1:13" x14ac:dyDescent="0.25">
      <c r="A18" s="460" t="s">
        <v>210</v>
      </c>
      <c r="B18" s="545"/>
      <c r="C18" s="546"/>
      <c r="D18" s="546"/>
      <c r="E18" s="547"/>
      <c r="F18" s="459"/>
      <c r="H18" s="548"/>
      <c r="I18" s="548"/>
      <c r="J18" s="548"/>
      <c r="K18" s="548"/>
    </row>
    <row r="19" spans="1:13" x14ac:dyDescent="0.25">
      <c r="A19" s="461" t="s">
        <v>714</v>
      </c>
      <c r="B19" s="456"/>
      <c r="C19" s="456"/>
      <c r="D19" s="310"/>
      <c r="E19" s="458"/>
      <c r="F19" s="459"/>
      <c r="H19" s="548"/>
      <c r="I19" s="548"/>
      <c r="J19" s="548"/>
      <c r="K19" s="548"/>
    </row>
    <row r="20" spans="1:13" x14ac:dyDescent="0.25">
      <c r="A20" s="460" t="s">
        <v>211</v>
      </c>
      <c r="B20" s="545"/>
      <c r="C20" s="546"/>
      <c r="D20" s="546"/>
      <c r="E20" s="547"/>
      <c r="F20" s="459"/>
      <c r="H20" s="548"/>
      <c r="I20" s="548"/>
      <c r="J20" s="548"/>
      <c r="K20" s="548"/>
    </row>
    <row r="21" spans="1:13" x14ac:dyDescent="0.25">
      <c r="A21" s="460"/>
      <c r="B21" s="310"/>
      <c r="C21" s="310"/>
      <c r="D21" s="310"/>
      <c r="E21" s="458"/>
      <c r="F21" s="459"/>
      <c r="H21" s="548"/>
      <c r="I21" s="548"/>
      <c r="J21" s="548"/>
      <c r="K21" s="548"/>
    </row>
    <row r="22" spans="1:13" x14ac:dyDescent="0.25">
      <c r="A22" s="460" t="s">
        <v>212</v>
      </c>
      <c r="B22" s="549"/>
      <c r="C22" s="550"/>
      <c r="D22" s="550"/>
      <c r="E22" s="551"/>
      <c r="F22" s="459"/>
      <c r="H22" s="548"/>
      <c r="I22" s="548"/>
      <c r="J22" s="548"/>
      <c r="K22" s="548"/>
    </row>
    <row r="23" spans="1:13" x14ac:dyDescent="0.25">
      <c r="A23" s="460"/>
      <c r="B23" s="310"/>
      <c r="C23" s="310"/>
      <c r="D23" s="310"/>
      <c r="E23" s="458"/>
      <c r="F23" s="459"/>
      <c r="H23" s="548"/>
      <c r="I23" s="548"/>
      <c r="J23" s="548"/>
      <c r="K23" s="548"/>
    </row>
    <row r="24" spans="1:13" x14ac:dyDescent="0.25">
      <c r="A24" s="460" t="s">
        <v>715</v>
      </c>
      <c r="B24" s="549"/>
      <c r="C24" s="550"/>
      <c r="D24" s="550"/>
      <c r="E24" s="551"/>
      <c r="F24" s="459"/>
      <c r="H24" s="548"/>
      <c r="I24" s="548"/>
      <c r="J24" s="548"/>
      <c r="K24" s="548"/>
    </row>
    <row r="27" spans="1:13" ht="21" customHeight="1" x14ac:dyDescent="0.2">
      <c r="A27" s="544" t="s">
        <v>716</v>
      </c>
      <c r="B27" s="544"/>
      <c r="C27" s="544"/>
      <c r="D27" s="544"/>
      <c r="E27" s="544"/>
      <c r="F27" s="544"/>
      <c r="G27" s="544"/>
      <c r="H27" s="544"/>
      <c r="I27" s="544"/>
      <c r="J27" s="544"/>
      <c r="K27" s="544"/>
    </row>
    <row r="28" spans="1:13" ht="15.75" customHeight="1" x14ac:dyDescent="0.25">
      <c r="A28" s="454" t="s">
        <v>449</v>
      </c>
      <c r="B28" s="545"/>
      <c r="C28" s="546"/>
      <c r="D28" s="546"/>
      <c r="E28" s="547"/>
      <c r="H28" s="548" t="s">
        <v>717</v>
      </c>
      <c r="I28" s="548"/>
      <c r="J28" s="548"/>
      <c r="K28" s="548"/>
      <c r="M28" t="s">
        <v>718</v>
      </c>
    </row>
    <row r="29" spans="1:13" x14ac:dyDescent="0.25">
      <c r="A29" s="454"/>
      <c r="B29" s="455"/>
      <c r="H29" s="548"/>
      <c r="I29" s="548"/>
      <c r="J29" s="548"/>
      <c r="K29" s="548"/>
    </row>
    <row r="30" spans="1:13" x14ac:dyDescent="0.25">
      <c r="A30" s="454" t="s">
        <v>450</v>
      </c>
      <c r="B30" s="545"/>
      <c r="C30" s="546"/>
      <c r="D30" s="546"/>
      <c r="E30" s="547"/>
      <c r="H30" s="548"/>
      <c r="I30" s="548"/>
      <c r="J30" s="548"/>
      <c r="K30" s="548"/>
    </row>
    <row r="31" spans="1:13" x14ac:dyDescent="0.25">
      <c r="A31" s="457"/>
      <c r="B31" s="459"/>
      <c r="C31" s="459"/>
      <c r="E31" s="459"/>
      <c r="F31" s="459"/>
      <c r="H31" s="548"/>
      <c r="I31" s="548"/>
      <c r="J31" s="548"/>
      <c r="K31" s="548"/>
    </row>
    <row r="32" spans="1:13" x14ac:dyDescent="0.25">
      <c r="A32" s="460" t="s">
        <v>210</v>
      </c>
      <c r="B32" s="545"/>
      <c r="C32" s="546"/>
      <c r="D32" s="546"/>
      <c r="E32" s="547"/>
      <c r="F32" s="459"/>
      <c r="H32" s="548"/>
      <c r="I32" s="548"/>
      <c r="J32" s="548"/>
      <c r="K32" s="548"/>
    </row>
    <row r="33" spans="1:11" x14ac:dyDescent="0.25">
      <c r="A33" s="461" t="s">
        <v>714</v>
      </c>
      <c r="D33" s="310"/>
      <c r="E33" s="459"/>
      <c r="F33" s="459"/>
      <c r="H33" s="548"/>
      <c r="I33" s="548"/>
      <c r="J33" s="548"/>
      <c r="K33" s="548"/>
    </row>
    <row r="34" spans="1:11" x14ac:dyDescent="0.25">
      <c r="A34" s="460" t="s">
        <v>211</v>
      </c>
      <c r="B34" s="545"/>
      <c r="C34" s="546"/>
      <c r="D34" s="546"/>
      <c r="E34" s="547"/>
      <c r="F34" s="459"/>
      <c r="H34" s="548"/>
      <c r="I34" s="548"/>
      <c r="J34" s="548"/>
      <c r="K34" s="548"/>
    </row>
    <row r="35" spans="1:11" x14ac:dyDescent="0.25">
      <c r="A35" s="460"/>
      <c r="B35" s="310"/>
      <c r="C35" s="310"/>
      <c r="D35" s="310"/>
      <c r="E35" s="459"/>
      <c r="F35" s="459"/>
      <c r="H35" s="548"/>
      <c r="I35" s="548"/>
      <c r="J35" s="548"/>
      <c r="K35" s="548"/>
    </row>
    <row r="36" spans="1:11" x14ac:dyDescent="0.25">
      <c r="A36" s="460" t="s">
        <v>212</v>
      </c>
      <c r="B36" s="549"/>
      <c r="C36" s="550"/>
      <c r="D36" s="550"/>
      <c r="E36" s="551"/>
      <c r="F36" s="459"/>
      <c r="H36" s="548"/>
      <c r="I36" s="548"/>
      <c r="J36" s="548"/>
      <c r="K36" s="548"/>
    </row>
    <row r="37" spans="1:11" x14ac:dyDescent="0.25">
      <c r="A37" s="460"/>
      <c r="B37" s="310"/>
      <c r="C37" s="310"/>
      <c r="D37" s="310"/>
      <c r="E37" s="459"/>
      <c r="F37" s="459"/>
      <c r="H37" s="548"/>
      <c r="I37" s="548"/>
      <c r="J37" s="548"/>
      <c r="K37" s="548"/>
    </row>
    <row r="38" spans="1:11" x14ac:dyDescent="0.25">
      <c r="A38" s="460" t="s">
        <v>715</v>
      </c>
      <c r="B38" s="549"/>
      <c r="C38" s="550"/>
      <c r="D38" s="550"/>
      <c r="E38" s="551"/>
      <c r="F38" s="459"/>
      <c r="H38" s="548"/>
      <c r="I38" s="548"/>
      <c r="J38" s="548"/>
      <c r="K38" s="548"/>
    </row>
    <row r="39" spans="1:11" ht="15.75" customHeight="1" x14ac:dyDescent="0.2">
      <c r="H39" s="548"/>
      <c r="I39" s="548"/>
      <c r="J39" s="548"/>
      <c r="K39" s="548"/>
    </row>
    <row r="41" spans="1:11" ht="21" customHeight="1" x14ac:dyDescent="0.2">
      <c r="A41" s="544" t="s">
        <v>719</v>
      </c>
      <c r="B41" s="544"/>
      <c r="C41" s="544"/>
      <c r="D41" s="544"/>
      <c r="E41" s="544"/>
      <c r="F41" s="544"/>
      <c r="G41" s="544"/>
      <c r="H41" s="544"/>
      <c r="I41" s="544"/>
      <c r="J41" s="544"/>
      <c r="K41" s="544"/>
    </row>
    <row r="42" spans="1:11" ht="15.75" customHeight="1" x14ac:dyDescent="0.25">
      <c r="A42" s="460" t="s">
        <v>210</v>
      </c>
      <c r="B42" s="545"/>
      <c r="C42" s="546"/>
      <c r="D42" s="546"/>
      <c r="E42" s="547"/>
      <c r="F42" s="459"/>
      <c r="H42" s="548" t="s">
        <v>720</v>
      </c>
      <c r="I42" s="548"/>
      <c r="J42" s="548"/>
      <c r="K42" s="548"/>
    </row>
    <row r="43" spans="1:11" x14ac:dyDescent="0.25">
      <c r="A43" s="461" t="s">
        <v>714</v>
      </c>
      <c r="B43" s="456"/>
      <c r="C43" s="456"/>
      <c r="D43" s="310"/>
      <c r="E43" s="458"/>
      <c r="F43" s="459"/>
      <c r="H43" s="548"/>
      <c r="I43" s="548"/>
      <c r="J43" s="548"/>
      <c r="K43" s="548"/>
    </row>
    <row r="44" spans="1:11" x14ac:dyDescent="0.25">
      <c r="A44" s="460" t="s">
        <v>211</v>
      </c>
      <c r="B44" s="545"/>
      <c r="C44" s="546"/>
      <c r="D44" s="546"/>
      <c r="E44" s="547"/>
      <c r="F44" s="459"/>
      <c r="H44" s="548"/>
      <c r="I44" s="548"/>
      <c r="J44" s="548"/>
      <c r="K44" s="548"/>
    </row>
    <row r="45" spans="1:11" x14ac:dyDescent="0.25">
      <c r="A45" s="460"/>
      <c r="B45" s="310"/>
      <c r="C45" s="310"/>
      <c r="D45" s="310"/>
      <c r="E45" s="458"/>
      <c r="F45" s="459"/>
      <c r="H45" s="548"/>
      <c r="I45" s="548"/>
      <c r="J45" s="548"/>
      <c r="K45" s="548"/>
    </row>
    <row r="46" spans="1:11" x14ac:dyDescent="0.25">
      <c r="A46" s="460" t="s">
        <v>212</v>
      </c>
      <c r="B46" s="549"/>
      <c r="C46" s="550"/>
      <c r="D46" s="550"/>
      <c r="E46" s="551"/>
      <c r="F46" s="459"/>
      <c r="H46" s="548"/>
      <c r="I46" s="548"/>
      <c r="J46" s="548"/>
      <c r="K46" s="548"/>
    </row>
    <row r="47" spans="1:11" ht="15.75" customHeight="1" x14ac:dyDescent="0.2">
      <c r="H47" s="548"/>
      <c r="I47" s="548"/>
      <c r="J47" s="548"/>
      <c r="K47" s="548"/>
    </row>
    <row r="48" spans="1:11" ht="15.75" customHeight="1" x14ac:dyDescent="0.2">
      <c r="H48" s="548"/>
      <c r="I48" s="548"/>
      <c r="J48" s="548"/>
      <c r="K48" s="548"/>
    </row>
    <row r="49" spans="8:11" ht="15.75" customHeight="1" x14ac:dyDescent="0.2">
      <c r="H49" s="548"/>
      <c r="I49" s="548"/>
      <c r="J49" s="548"/>
      <c r="K49" s="548"/>
    </row>
  </sheetData>
  <sheetProtection sheet="1"/>
  <mergeCells count="29">
    <mergeCell ref="A1:F2"/>
    <mergeCell ref="H1:K2"/>
    <mergeCell ref="A3:F12"/>
    <mergeCell ref="I3:K3"/>
    <mergeCell ref="I5:K5"/>
    <mergeCell ref="I7:K7"/>
    <mergeCell ref="I9:K9"/>
    <mergeCell ref="I11:K11"/>
    <mergeCell ref="B34:E34"/>
    <mergeCell ref="B36:E36"/>
    <mergeCell ref="B38:E38"/>
    <mergeCell ref="A13:K13"/>
    <mergeCell ref="B14:E14"/>
    <mergeCell ref="H14:K24"/>
    <mergeCell ref="B16:E16"/>
    <mergeCell ref="B18:E18"/>
    <mergeCell ref="B20:E20"/>
    <mergeCell ref="B22:E22"/>
    <mergeCell ref="A27:K27"/>
    <mergeCell ref="B28:E28"/>
    <mergeCell ref="H28:K39"/>
    <mergeCell ref="B30:E30"/>
    <mergeCell ref="B32:E32"/>
    <mergeCell ref="B24:E24"/>
    <mergeCell ref="A41:K41"/>
    <mergeCell ref="B42:E42"/>
    <mergeCell ref="H42:K49"/>
    <mergeCell ref="B44:E44"/>
    <mergeCell ref="B46:E46"/>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46"/>
  <sheetViews>
    <sheetView workbookViewId="0">
      <selection activeCell="F1" sqref="F1"/>
    </sheetView>
  </sheetViews>
  <sheetFormatPr defaultRowHeight="15" x14ac:dyDescent="0.2"/>
  <cols>
    <col min="1" max="1" width="97.6640625" customWidth="1"/>
  </cols>
  <sheetData>
    <row r="1" spans="1:1" ht="15.75" customHeight="1" x14ac:dyDescent="0.2">
      <c r="A1" s="554" t="s">
        <v>611</v>
      </c>
    </row>
    <row r="2" spans="1:1" ht="15.75" customHeight="1" x14ac:dyDescent="0.2">
      <c r="A2" s="554"/>
    </row>
    <row r="3" spans="1:1" ht="15.75" customHeight="1" x14ac:dyDescent="0.2">
      <c r="A3" s="554"/>
    </row>
    <row r="4" spans="1:1" ht="15.75" customHeight="1" x14ac:dyDescent="0.2">
      <c r="A4" s="554"/>
    </row>
    <row r="5" spans="1:1" ht="15.75" customHeight="1" x14ac:dyDescent="0.2">
      <c r="A5" s="554"/>
    </row>
    <row r="6" spans="1:1" ht="15.75" customHeight="1" x14ac:dyDescent="0.2">
      <c r="A6" s="554"/>
    </row>
    <row r="7" spans="1:1" ht="15.75" customHeight="1" x14ac:dyDescent="0.2">
      <c r="A7" s="554"/>
    </row>
    <row r="8" spans="1:1" ht="15.75" customHeight="1" x14ac:dyDescent="0.2">
      <c r="A8" s="554"/>
    </row>
    <row r="9" spans="1:1" ht="15.75" customHeight="1" x14ac:dyDescent="0.2">
      <c r="A9" s="554"/>
    </row>
    <row r="10" spans="1:1" ht="15.75" customHeight="1" x14ac:dyDescent="0.2">
      <c r="A10" s="554"/>
    </row>
    <row r="11" spans="1:1" ht="15.75" customHeight="1" x14ac:dyDescent="0.2">
      <c r="A11" s="554"/>
    </row>
    <row r="12" spans="1:1" ht="15.75" customHeight="1" x14ac:dyDescent="0.2">
      <c r="A12" s="554"/>
    </row>
    <row r="13" spans="1:1" ht="15.75" customHeight="1" x14ac:dyDescent="0.2">
      <c r="A13" s="554"/>
    </row>
    <row r="14" spans="1:1" ht="15.75" customHeight="1" x14ac:dyDescent="0.2">
      <c r="A14" s="554"/>
    </row>
    <row r="15" spans="1:1" ht="15.75" customHeight="1" x14ac:dyDescent="0.2">
      <c r="A15" s="554"/>
    </row>
    <row r="16" spans="1:1" ht="15.75" customHeight="1" x14ac:dyDescent="0.2">
      <c r="A16" s="554"/>
    </row>
    <row r="17" spans="1:1" ht="15.75" customHeight="1" x14ac:dyDescent="0.2">
      <c r="A17" s="554"/>
    </row>
    <row r="18" spans="1:1" ht="15.75" customHeight="1" x14ac:dyDescent="0.2">
      <c r="A18" s="554"/>
    </row>
    <row r="19" spans="1:1" ht="15.75" customHeight="1" x14ac:dyDescent="0.2">
      <c r="A19" s="554"/>
    </row>
    <row r="20" spans="1:1" ht="15.75" customHeight="1" x14ac:dyDescent="0.2">
      <c r="A20" s="554"/>
    </row>
    <row r="21" spans="1:1" ht="15.75" customHeight="1" x14ac:dyDescent="0.2">
      <c r="A21" s="554"/>
    </row>
    <row r="22" spans="1:1" ht="15.75" customHeight="1" x14ac:dyDescent="0.2">
      <c r="A22" s="554"/>
    </row>
    <row r="23" spans="1:1" ht="15.75" customHeight="1" x14ac:dyDescent="0.2">
      <c r="A23" s="554"/>
    </row>
    <row r="24" spans="1:1" ht="15.75" customHeight="1" x14ac:dyDescent="0.2">
      <c r="A24" s="554"/>
    </row>
    <row r="25" spans="1:1" ht="15.75" customHeight="1" x14ac:dyDescent="0.2">
      <c r="A25" s="554"/>
    </row>
    <row r="26" spans="1:1" ht="15.75" customHeight="1" x14ac:dyDescent="0.2">
      <c r="A26" s="554"/>
    </row>
    <row r="27" spans="1:1" ht="15.75" customHeight="1" x14ac:dyDescent="0.2">
      <c r="A27" s="554"/>
    </row>
    <row r="28" spans="1:1" ht="15.75" customHeight="1" x14ac:dyDescent="0.2">
      <c r="A28" s="554"/>
    </row>
    <row r="29" spans="1:1" ht="15.75" customHeight="1" x14ac:dyDescent="0.2">
      <c r="A29" s="554"/>
    </row>
    <row r="30" spans="1:1" ht="15.75" customHeight="1" x14ac:dyDescent="0.2">
      <c r="A30" s="554"/>
    </row>
    <row r="31" spans="1:1" ht="15.75" x14ac:dyDescent="0.2">
      <c r="A31" s="224"/>
    </row>
    <row r="32" spans="1:1" ht="15.75" x14ac:dyDescent="0.2">
      <c r="A32" s="224"/>
    </row>
    <row r="33" spans="1:1" ht="15.75" x14ac:dyDescent="0.2">
      <c r="A33" s="224"/>
    </row>
    <row r="34" spans="1:1" ht="15.75" x14ac:dyDescent="0.2">
      <c r="A34" s="224"/>
    </row>
    <row r="35" spans="1:1" ht="15.75" x14ac:dyDescent="0.2">
      <c r="A35" s="224"/>
    </row>
    <row r="36" spans="1:1" ht="15.75" x14ac:dyDescent="0.2">
      <c r="A36" s="224"/>
    </row>
    <row r="37" spans="1:1" ht="15.75" x14ac:dyDescent="0.2">
      <c r="A37" s="224"/>
    </row>
    <row r="38" spans="1:1" ht="15.75" x14ac:dyDescent="0.2">
      <c r="A38" s="224"/>
    </row>
    <row r="39" spans="1:1" ht="15.75" x14ac:dyDescent="0.2">
      <c r="A39" s="224"/>
    </row>
    <row r="40" spans="1:1" ht="15.75" x14ac:dyDescent="0.2">
      <c r="A40" s="224"/>
    </row>
    <row r="41" spans="1:1" ht="15.75" x14ac:dyDescent="0.2">
      <c r="A41" s="224"/>
    </row>
    <row r="42" spans="1:1" ht="15.75" x14ac:dyDescent="0.2">
      <c r="A42" s="224"/>
    </row>
    <row r="43" spans="1:1" ht="15.75" x14ac:dyDescent="0.2">
      <c r="A43" s="224"/>
    </row>
    <row r="44" spans="1:1" ht="15.75" x14ac:dyDescent="0.2">
      <c r="A44" s="224"/>
    </row>
    <row r="45" spans="1:1" ht="15.75" x14ac:dyDescent="0.2">
      <c r="A45" s="224"/>
    </row>
    <row r="46" spans="1:1" ht="15.75" x14ac:dyDescent="0.2">
      <c r="A46" s="224"/>
    </row>
  </sheetData>
  <sheetProtection sheet="1"/>
  <mergeCells count="1">
    <mergeCell ref="A1:A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H70"/>
  <sheetViews>
    <sheetView workbookViewId="0">
      <selection activeCell="G37" sqref="G37"/>
    </sheetView>
  </sheetViews>
  <sheetFormatPr defaultRowHeight="15.75" x14ac:dyDescent="0.2"/>
  <cols>
    <col min="1" max="1" width="11.77734375" style="58" customWidth="1"/>
    <col min="2" max="3" width="9.77734375" style="58" customWidth="1"/>
    <col min="4" max="4" width="8.77734375" style="58" customWidth="1"/>
    <col min="5" max="7" width="14.77734375" style="58" customWidth="1"/>
    <col min="8" max="8" width="2.6640625" style="58" customWidth="1"/>
    <col min="9" max="9" width="3.21875" style="58" customWidth="1"/>
    <col min="10" max="16384" width="8.88671875" style="58"/>
  </cols>
  <sheetData>
    <row r="1" spans="1:8" x14ac:dyDescent="0.2">
      <c r="A1" s="3"/>
      <c r="B1" s="3"/>
      <c r="C1" s="3"/>
      <c r="D1" s="3"/>
      <c r="E1" s="3"/>
      <c r="F1" s="3"/>
      <c r="G1" s="3"/>
    </row>
    <row r="2" spans="1:8" x14ac:dyDescent="0.2">
      <c r="A2" s="556" t="s">
        <v>69</v>
      </c>
      <c r="B2" s="556"/>
      <c r="C2" s="556"/>
      <c r="D2" s="556"/>
      <c r="E2" s="556"/>
      <c r="F2" s="556"/>
      <c r="G2" s="556"/>
    </row>
    <row r="3" spans="1:8" x14ac:dyDescent="0.2">
      <c r="A3" s="3"/>
      <c r="B3" s="3"/>
      <c r="C3" s="3"/>
      <c r="D3" s="3"/>
      <c r="E3" s="3"/>
      <c r="F3" s="3"/>
      <c r="G3" s="3">
        <f>inputPrYr!D6</f>
        <v>2025</v>
      </c>
    </row>
    <row r="4" spans="1:8" x14ac:dyDescent="0.2">
      <c r="A4" s="557" t="str">
        <f>CONCATENATE("To the Clerk of ",inputPrYr!D4,", State of Kansas")</f>
        <v>To the Clerk of , State of Kansas</v>
      </c>
      <c r="B4" s="557"/>
      <c r="C4" s="557"/>
      <c r="D4" s="557"/>
      <c r="E4" s="557"/>
      <c r="F4" s="557"/>
      <c r="G4" s="557"/>
    </row>
    <row r="5" spans="1:8" x14ac:dyDescent="0.2">
      <c r="A5" s="60" t="s">
        <v>99</v>
      </c>
      <c r="B5" s="8"/>
      <c r="C5" s="8"/>
      <c r="D5" s="8"/>
      <c r="E5" s="8"/>
      <c r="F5" s="8"/>
      <c r="G5" s="8"/>
    </row>
    <row r="6" spans="1:8" x14ac:dyDescent="0.2">
      <c r="A6" s="533">
        <f>inputPrYr!D3</f>
        <v>0</v>
      </c>
      <c r="B6" s="533"/>
      <c r="C6" s="533"/>
      <c r="D6" s="533"/>
      <c r="E6" s="533"/>
      <c r="F6" s="533"/>
      <c r="G6" s="533"/>
    </row>
    <row r="7" spans="1:8" x14ac:dyDescent="0.2">
      <c r="A7" s="3"/>
      <c r="B7" s="3"/>
      <c r="C7" s="3"/>
      <c r="D7" s="3"/>
      <c r="E7" s="3"/>
      <c r="F7" s="3"/>
      <c r="G7" s="3"/>
    </row>
    <row r="8" spans="1:8" x14ac:dyDescent="0.2">
      <c r="A8" s="60" t="s">
        <v>14</v>
      </c>
      <c r="B8" s="8"/>
      <c r="C8" s="8"/>
      <c r="D8" s="8"/>
      <c r="E8" s="8"/>
      <c r="F8" s="8"/>
      <c r="G8" s="8"/>
    </row>
    <row r="9" spans="1:8" x14ac:dyDescent="0.2">
      <c r="A9" s="60" t="s">
        <v>15</v>
      </c>
      <c r="B9" s="8"/>
      <c r="C9" s="8"/>
      <c r="D9" s="8"/>
      <c r="E9" s="8"/>
      <c r="F9" s="8"/>
      <c r="G9" s="8"/>
    </row>
    <row r="10" spans="1:8" x14ac:dyDescent="0.2">
      <c r="A10" s="60" t="str">
        <f>CONCATENATE("maximum expenditures for the various funds for the year ",G3,"; and (3) the")</f>
        <v>maximum expenditures for the various funds for the year 2025; and (3) the</v>
      </c>
      <c r="B10" s="8"/>
      <c r="C10" s="8"/>
      <c r="D10" s="8"/>
      <c r="E10" s="8"/>
      <c r="F10" s="8"/>
      <c r="G10" s="8"/>
    </row>
    <row r="11" spans="1:8" x14ac:dyDescent="0.2">
      <c r="A11" s="60" t="str">
        <f>CONCATENATE("Amount(s) of ",G3-1," Ad Valorem Tax are within statutory  limitations for the ",G3," Budget.")</f>
        <v>Amount(s) of 2024 Ad Valorem Tax are within statutory  limitations for the 2025 Budget.</v>
      </c>
      <c r="B11" s="8"/>
      <c r="C11" s="8"/>
      <c r="D11" s="8"/>
      <c r="E11" s="8"/>
      <c r="F11" s="8"/>
      <c r="G11" s="8"/>
    </row>
    <row r="12" spans="1:8" x14ac:dyDescent="0.2">
      <c r="A12" s="2"/>
      <c r="B12" s="3"/>
      <c r="C12" s="3"/>
      <c r="D12" s="62"/>
      <c r="E12" s="62"/>
      <c r="F12" s="62"/>
      <c r="G12" s="62"/>
    </row>
    <row r="13" spans="1:8" x14ac:dyDescent="0.2">
      <c r="A13" s="3"/>
      <c r="B13" s="3"/>
      <c r="C13" s="3"/>
      <c r="D13" s="3"/>
      <c r="E13" s="558" t="str">
        <f>CONCATENATE("",G3," Adopted Budget")</f>
        <v>2025 Adopted Budget</v>
      </c>
      <c r="F13" s="559"/>
      <c r="G13" s="560"/>
    </row>
    <row r="14" spans="1:8" x14ac:dyDescent="0.2">
      <c r="A14" s="2"/>
      <c r="B14" s="3"/>
      <c r="C14" s="3"/>
      <c r="D14" s="20"/>
      <c r="E14" s="63" t="s">
        <v>16</v>
      </c>
      <c r="F14" s="64"/>
      <c r="G14" s="568" t="s">
        <v>768</v>
      </c>
      <c r="H14" s="66"/>
    </row>
    <row r="15" spans="1:8" x14ac:dyDescent="0.2">
      <c r="A15" s="3"/>
      <c r="B15" s="3"/>
      <c r="C15" s="3"/>
      <c r="D15" s="64" t="s">
        <v>17</v>
      </c>
      <c r="E15" s="67" t="s">
        <v>132</v>
      </c>
      <c r="F15" s="561" t="str">
        <f>CONCATENATE("Amount of ",G3-1," Ad Valorem Tax")</f>
        <v>Amount of 2024 Ad Valorem Tax</v>
      </c>
      <c r="G15" s="561"/>
    </row>
    <row r="16" spans="1:8" x14ac:dyDescent="0.2">
      <c r="A16" s="2" t="s">
        <v>18</v>
      </c>
      <c r="B16" s="3"/>
      <c r="C16" s="3"/>
      <c r="D16" s="67" t="s">
        <v>19</v>
      </c>
      <c r="E16" s="67" t="s">
        <v>415</v>
      </c>
      <c r="F16" s="561"/>
      <c r="G16" s="561"/>
    </row>
    <row r="17" spans="1:7" ht="4.5" customHeight="1" x14ac:dyDescent="0.2">
      <c r="A17" s="68"/>
      <c r="B17" s="68"/>
      <c r="C17" s="68"/>
      <c r="D17" s="69"/>
      <c r="E17" s="69"/>
      <c r="F17" s="70"/>
      <c r="G17" s="569"/>
    </row>
    <row r="18" spans="1:7" x14ac:dyDescent="0.2">
      <c r="A18" s="74" t="s">
        <v>457</v>
      </c>
      <c r="B18" s="68"/>
      <c r="C18" s="68"/>
      <c r="D18" s="72">
        <v>2</v>
      </c>
      <c r="E18" s="62"/>
      <c r="F18" s="62"/>
      <c r="G18" s="73"/>
    </row>
    <row r="19" spans="1:7" x14ac:dyDescent="0.2">
      <c r="A19" s="74" t="s">
        <v>92</v>
      </c>
      <c r="B19" s="68"/>
      <c r="C19" s="68"/>
      <c r="D19" s="75">
        <v>3</v>
      </c>
      <c r="E19" s="62"/>
      <c r="F19" s="62"/>
      <c r="G19" s="73"/>
    </row>
    <row r="20" spans="1:7" x14ac:dyDescent="0.2">
      <c r="A20" s="71" t="s">
        <v>91</v>
      </c>
      <c r="B20" s="68"/>
      <c r="C20" s="68"/>
      <c r="D20" s="75">
        <v>4</v>
      </c>
      <c r="E20" s="62"/>
      <c r="F20" s="62"/>
      <c r="G20" s="73"/>
    </row>
    <row r="21" spans="1:7" x14ac:dyDescent="0.2">
      <c r="A21" s="76" t="s">
        <v>21</v>
      </c>
      <c r="B21" s="77"/>
      <c r="C21" s="78" t="s">
        <v>22</v>
      </c>
      <c r="D21" s="72"/>
      <c r="E21" s="79"/>
      <c r="F21" s="20"/>
      <c r="G21" s="24"/>
    </row>
    <row r="22" spans="1:7" x14ac:dyDescent="0.2">
      <c r="A22" s="80" t="s">
        <v>8</v>
      </c>
      <c r="B22" s="77"/>
      <c r="C22" s="72">
        <f>inputPrYr!C19</f>
        <v>0</v>
      </c>
      <c r="D22" s="81">
        <v>5</v>
      </c>
      <c r="E22" s="320" t="str">
        <f>IF(General!$E$62&lt;&gt;0,General!$E$62,"  ")</f>
        <v xml:space="preserve">  </v>
      </c>
      <c r="F22" s="320" t="str">
        <f>IF(General!$E$69&lt;&gt;0,General!$E$69,"  ")</f>
        <v xml:space="preserve">  </v>
      </c>
      <c r="G22" s="321" t="str">
        <f>IF(AND(General!E69=0,G31&gt;=0)," ",IF(AND(F22&gt;0,G31=0), " ", IF(AND(F22&gt;0,G31&gt;0),ROUND(F22/G31*1000,3))))</f>
        <v xml:space="preserve"> </v>
      </c>
    </row>
    <row r="23" spans="1:7" x14ac:dyDescent="0.2">
      <c r="A23" s="80" t="s">
        <v>179</v>
      </c>
      <c r="B23" s="77"/>
      <c r="C23" s="72" t="s">
        <v>100</v>
      </c>
      <c r="D23" s="81" t="str">
        <f>IF('Debt Service'!C65&gt;0,'Debt Service'!C65," ")</f>
        <v xml:space="preserve"> </v>
      </c>
      <c r="E23" s="172" t="str">
        <f>IF('Debt Service'!$E$52&lt;&gt;0,'Debt Service'!$E$52,"  ")</f>
        <v xml:space="preserve">  </v>
      </c>
      <c r="F23" s="172" t="str">
        <f>IF('Debt Service'!$E$59&lt;&gt;0,'Debt Service'!$E$59,"  ")</f>
        <v xml:space="preserve">  </v>
      </c>
      <c r="G23" s="321" t="str">
        <f>IF(AND('Debt Service'!E59=0,G31&gt;=0)," ",IF(AND(F23&gt;0,G31=0), " ", IF(AND(F23&gt;0,G31&gt;0),ROUND(F23/G31*1000,3))))</f>
        <v xml:space="preserve"> </v>
      </c>
    </row>
    <row r="24" spans="1:7" x14ac:dyDescent="0.2">
      <c r="A24" s="82" t="str">
        <f>IF(inputPrYr!$B$22&gt;"  ",inputPrYr!$B$22,"  ")</f>
        <v xml:space="preserve">  </v>
      </c>
      <c r="B24" s="77"/>
      <c r="C24" s="72" t="str">
        <f>IF(inputPrYr!C22&gt;0,inputPrYr!C22,"  ")</f>
        <v xml:space="preserve">  </v>
      </c>
      <c r="D24" s="81" t="str">
        <f>IF('Levy Page 7'!C86&gt;0,'Levy Page 7'!C86," ")</f>
        <v xml:space="preserve"> </v>
      </c>
      <c r="E24" s="172" t="str">
        <f>IF('Levy Page 7'!$E$34&lt;&gt;0,'Levy Page 7'!$E$34,"  ")</f>
        <v xml:space="preserve">  </v>
      </c>
      <c r="F24" s="172" t="str">
        <f>IF('Levy Page 7'!$E$41&lt;&gt;0,'Levy Page 7'!$E$41,"  ")</f>
        <v xml:space="preserve">  </v>
      </c>
      <c r="G24" s="321" t="str">
        <f>IF(AND('Levy Page 7'!E41=0,G31&gt;=0)," ",IF(AND(F24&gt;0,G31=0), " ", IF(AND(F24&gt;0,G31&gt;0),ROUND(F24/G31*1000,3))))</f>
        <v xml:space="preserve"> </v>
      </c>
    </row>
    <row r="25" spans="1:7" x14ac:dyDescent="0.2">
      <c r="A25" s="82" t="str">
        <f>IF(inputPrYr!$B$23&gt;"  ",inputPrYr!$B$23,"  ")</f>
        <v xml:space="preserve">  </v>
      </c>
      <c r="B25" s="77"/>
      <c r="C25" s="72" t="str">
        <f>IF(inputPrYr!C23&gt;0,inputPrYr!C23,"  ")</f>
        <v xml:space="preserve">  </v>
      </c>
      <c r="D25" s="81" t="str">
        <f>IF('Levy Page 7'!C86&gt;0,'Levy Page 7'!C86," ")</f>
        <v xml:space="preserve"> </v>
      </c>
      <c r="E25" s="172" t="str">
        <f>IF('Levy Page 7'!$E$73&lt;&gt;0,'Levy Page 7'!$E$73,"  ")</f>
        <v xml:space="preserve">  </v>
      </c>
      <c r="F25" s="172" t="str">
        <f>IF('Levy Page 7'!$E$80&lt;&gt;0,'Levy Page 7'!$E$80,"  ")</f>
        <v xml:space="preserve">  </v>
      </c>
      <c r="G25" s="321" t="str">
        <f>IF(AND('Levy Page 7'!E80=0,G31&gt;=0)," ",IF(AND(F25&gt;0,G31=0), " ", IF(AND(F25&gt;0,G31&gt;0),ROUND(F25/G31*1000,3))))</f>
        <v xml:space="preserve"> </v>
      </c>
    </row>
    <row r="26" spans="1:7" x14ac:dyDescent="0.2">
      <c r="A26" s="82" t="str">
        <f>IF(inputPrYr!$B$26&gt;"  ",inputPrYr!$B$26,"  ")</f>
        <v xml:space="preserve">  </v>
      </c>
      <c r="B26" s="40"/>
      <c r="C26" s="83"/>
      <c r="D26" s="81" t="str">
        <f>IF('No Levy Page 8'!C70&gt;0,'No Levy Page 8'!C70," ")</f>
        <v xml:space="preserve"> </v>
      </c>
      <c r="E26" s="172" t="str">
        <f>IF('No Levy Page 8'!$E$30&lt;&gt;0,'No Levy Page 8'!$E$30,"  ")</f>
        <v xml:space="preserve">  </v>
      </c>
      <c r="F26" s="322"/>
      <c r="G26" s="321"/>
    </row>
    <row r="27" spans="1:7" x14ac:dyDescent="0.2">
      <c r="A27" s="84" t="str">
        <f>IF(inputPrYr!$B$27&gt;"  ",inputPrYr!$B$27,"  ")</f>
        <v xml:space="preserve">  </v>
      </c>
      <c r="B27" s="85"/>
      <c r="C27" s="83"/>
      <c r="D27" s="81" t="str">
        <f>IF('No Levy Page 8'!C70&gt;0,'No Levy Page 8'!C70," ")</f>
        <v xml:space="preserve"> </v>
      </c>
      <c r="E27" s="172" t="str">
        <f>IF('No Levy Page 8'!$E$62&lt;&gt;0,'No Levy Page 8'!$E$62,"  ")</f>
        <v xml:space="preserve">  </v>
      </c>
      <c r="F27" s="322"/>
      <c r="G27" s="321"/>
    </row>
    <row r="28" spans="1:7" x14ac:dyDescent="0.2">
      <c r="A28" s="84" t="str">
        <f>IF((inputPrYr!$B$30&gt;" "),('Non-Budgeted Funds'!$A$3),"")</f>
        <v/>
      </c>
      <c r="B28" s="85"/>
      <c r="C28" s="65"/>
      <c r="D28" s="81" t="str">
        <f>IF('Non-Budgeted Funds'!F37&gt;0,'Non-Budgeted Funds'!F37,"")</f>
        <v/>
      </c>
      <c r="E28" s="323"/>
      <c r="F28" s="324"/>
      <c r="G28" s="325"/>
    </row>
    <row r="29" spans="1:7" x14ac:dyDescent="0.2">
      <c r="A29" s="87" t="s">
        <v>88</v>
      </c>
      <c r="B29" s="40"/>
      <c r="C29" s="77"/>
      <c r="D29" s="88" t="s">
        <v>23</v>
      </c>
      <c r="E29" s="110">
        <f>SUM(E22:E27)</f>
        <v>0</v>
      </c>
      <c r="F29" s="409">
        <f>SUM(F22:F27)</f>
        <v>0</v>
      </c>
      <c r="G29" s="326" t="str">
        <f>IF(SUM(G22:G27)=0,"",SUM(G22:G27))</f>
        <v/>
      </c>
    </row>
    <row r="30" spans="1:7" x14ac:dyDescent="0.2">
      <c r="A30" s="80" t="s">
        <v>770</v>
      </c>
      <c r="B30" s="40"/>
      <c r="C30" s="77"/>
      <c r="D30" s="414" t="str">
        <f>IF('Budget Hearing Notice'!E42&gt;0, 'Budget Hearing Notice'!E42, " ")</f>
        <v xml:space="preserve"> </v>
      </c>
      <c r="E30" s="410"/>
      <c r="F30" s="405"/>
      <c r="G30" s="411" t="s">
        <v>90</v>
      </c>
    </row>
    <row r="31" spans="1:7" x14ac:dyDescent="0.2">
      <c r="A31" s="376" t="s">
        <v>771</v>
      </c>
      <c r="B31" s="85"/>
      <c r="C31" s="425"/>
      <c r="D31" s="492" t="str">
        <f>IF('Combined Rate-Bud Hearing Notic'!E42&gt;0, 'Combined Rate-Bud Hearing Notic'!E42, " ")</f>
        <v xml:space="preserve"> </v>
      </c>
      <c r="E31" s="491"/>
      <c r="F31" s="405"/>
      <c r="G31" s="570"/>
    </row>
    <row r="32" spans="1:7" x14ac:dyDescent="0.2">
      <c r="A32" s="376" t="s">
        <v>772</v>
      </c>
      <c r="B32" s="85"/>
      <c r="C32" s="425"/>
      <c r="D32" s="492" t="str">
        <f>IF('Rate Hearing Notice'!E17&gt;0, 'Rate Hearing Notice'!E17, " ")</f>
        <v xml:space="preserve"> </v>
      </c>
      <c r="E32" s="491"/>
      <c r="F32" s="405"/>
      <c r="G32" s="571"/>
    </row>
    <row r="33" spans="1:7" x14ac:dyDescent="0.2">
      <c r="A33" s="376" t="s">
        <v>138</v>
      </c>
      <c r="B33" s="375"/>
      <c r="C33" s="374"/>
      <c r="D33" s="373" t="str">
        <f>IF('NR Rebate'!C35&gt;0, 'NR Rebate'!C35, " ")</f>
        <v xml:space="preserve"> </v>
      </c>
      <c r="E33" s="491"/>
      <c r="F33" s="405"/>
      <c r="G33" s="562" t="str">
        <f>CONCATENATE("Nov. 1, ",G3-1," Total Assessed Valuation")</f>
        <v>Nov. 1, 2024 Total Assessed Valuation</v>
      </c>
    </row>
    <row r="34" spans="1:7" x14ac:dyDescent="0.2">
      <c r="A34" s="85"/>
      <c r="B34" s="85"/>
      <c r="C34" s="85"/>
      <c r="D34" s="371"/>
      <c r="E34" s="254"/>
      <c r="F34" s="3"/>
      <c r="G34" s="563"/>
    </row>
    <row r="35" spans="1:7" x14ac:dyDescent="0.2">
      <c r="A35" s="3"/>
      <c r="B35" s="3"/>
      <c r="C35" s="3"/>
      <c r="D35" s="493"/>
      <c r="E35" s="3"/>
      <c r="F35" s="3"/>
      <c r="G35" s="3"/>
    </row>
    <row r="36" spans="1:7" x14ac:dyDescent="0.2">
      <c r="A36" s="3"/>
      <c r="B36" s="3"/>
      <c r="C36" s="3"/>
      <c r="D36" s="493"/>
      <c r="E36" s="3"/>
      <c r="F36" s="92" t="s">
        <v>769</v>
      </c>
      <c r="G36" s="484">
        <f>inputOth!D14</f>
        <v>0</v>
      </c>
    </row>
    <row r="37" spans="1:7" x14ac:dyDescent="0.2">
      <c r="A37" s="662" t="s">
        <v>831</v>
      </c>
      <c r="B37" s="662"/>
      <c r="C37" s="662"/>
      <c r="D37" s="662"/>
      <c r="E37" s="662"/>
      <c r="F37" s="662"/>
      <c r="G37" s="484" t="str">
        <f>IF(F29&gt;inputPrYr!E24,"YES","NO")</f>
        <v>NO</v>
      </c>
    </row>
    <row r="38" spans="1:7" x14ac:dyDescent="0.2">
      <c r="A38" s="3"/>
      <c r="B38" s="3"/>
      <c r="C38" s="3"/>
      <c r="D38" s="3"/>
      <c r="E38" s="3"/>
      <c r="F38" s="3"/>
      <c r="G38" s="3"/>
    </row>
    <row r="39" spans="1:7" x14ac:dyDescent="0.2">
      <c r="A39" s="2" t="s">
        <v>418</v>
      </c>
      <c r="B39" s="3"/>
      <c r="C39" s="3"/>
      <c r="D39" s="3"/>
      <c r="E39" s="91"/>
      <c r="F39" s="3"/>
      <c r="G39" s="10"/>
    </row>
    <row r="40" spans="1:7" x14ac:dyDescent="0.2">
      <c r="A40" s="306"/>
      <c r="B40" s="306"/>
      <c r="C40" s="3"/>
      <c r="D40" s="3" t="s">
        <v>456</v>
      </c>
      <c r="E40" s="318"/>
      <c r="F40" s="3"/>
      <c r="G40" s="3"/>
    </row>
    <row r="41" spans="1:7" x14ac:dyDescent="0.2">
      <c r="A41" s="307"/>
      <c r="B41" s="307"/>
      <c r="C41" s="3"/>
      <c r="D41" s="3"/>
      <c r="E41" s="222"/>
      <c r="F41" s="318"/>
      <c r="G41" s="3"/>
    </row>
    <row r="42" spans="1:7" x14ac:dyDescent="0.2">
      <c r="A42" s="2" t="s">
        <v>419</v>
      </c>
      <c r="B42" s="3"/>
      <c r="C42" s="3"/>
      <c r="D42" s="3" t="s">
        <v>456</v>
      </c>
      <c r="E42" s="318"/>
      <c r="F42" s="318"/>
      <c r="G42" s="3"/>
    </row>
    <row r="43" spans="1:7" x14ac:dyDescent="0.2">
      <c r="A43" s="306"/>
      <c r="B43" s="306"/>
      <c r="C43" s="3"/>
      <c r="D43" s="3"/>
      <c r="E43" s="318"/>
      <c r="F43" s="3"/>
      <c r="G43" s="3"/>
    </row>
    <row r="44" spans="1:7" x14ac:dyDescent="0.2">
      <c r="A44" s="307"/>
      <c r="B44" s="307"/>
      <c r="C44" s="29"/>
      <c r="D44" s="3" t="s">
        <v>456</v>
      </c>
      <c r="E44" s="3"/>
      <c r="F44" s="3"/>
      <c r="G44" s="3"/>
    </row>
    <row r="45" spans="1:7" x14ac:dyDescent="0.2">
      <c r="A45" s="2" t="s">
        <v>455</v>
      </c>
      <c r="B45" s="3"/>
      <c r="C45" s="3"/>
      <c r="D45" s="5"/>
      <c r="E45" s="29"/>
      <c r="F45" s="319"/>
      <c r="G45" s="319"/>
    </row>
    <row r="46" spans="1:7" x14ac:dyDescent="0.2">
      <c r="A46" s="307"/>
      <c r="B46" s="307"/>
      <c r="C46" s="2"/>
      <c r="D46" s="3" t="s">
        <v>456</v>
      </c>
      <c r="E46" s="29"/>
      <c r="F46" s="29"/>
      <c r="G46" s="29"/>
    </row>
    <row r="47" spans="1:7" x14ac:dyDescent="0.2">
      <c r="A47" s="2"/>
      <c r="B47" s="3"/>
      <c r="C47" s="3"/>
      <c r="D47" s="29"/>
      <c r="E47" s="29"/>
      <c r="F47" s="319"/>
      <c r="G47" s="319"/>
    </row>
    <row r="48" spans="1:7" x14ac:dyDescent="0.2">
      <c r="A48" s="3"/>
      <c r="B48" s="3"/>
      <c r="C48" s="3"/>
      <c r="D48" s="3" t="s">
        <v>456</v>
      </c>
      <c r="E48" s="29"/>
      <c r="F48" s="29"/>
      <c r="G48" s="29"/>
    </row>
    <row r="49" spans="1:7" x14ac:dyDescent="0.2">
      <c r="A49" s="2" t="s">
        <v>125</v>
      </c>
      <c r="B49" s="3"/>
      <c r="C49" s="2">
        <f>G3-1</f>
        <v>2024</v>
      </c>
      <c r="D49" s="29"/>
      <c r="E49" s="29"/>
      <c r="F49" s="319"/>
      <c r="G49" s="319"/>
    </row>
    <row r="50" spans="1:7" x14ac:dyDescent="0.2">
      <c r="A50" s="29"/>
      <c r="B50" s="3"/>
      <c r="C50" s="2"/>
      <c r="D50" s="3" t="s">
        <v>456</v>
      </c>
      <c r="E50" s="3"/>
      <c r="F50" s="8"/>
      <c r="G50" s="8"/>
    </row>
    <row r="51" spans="1:7" x14ac:dyDescent="0.2">
      <c r="A51" s="564"/>
      <c r="B51" s="565"/>
      <c r="C51" s="3"/>
      <c r="D51" s="2" t="s">
        <v>24</v>
      </c>
      <c r="E51" s="3"/>
      <c r="F51" s="3"/>
      <c r="G51" s="3"/>
    </row>
    <row r="52" spans="1:7" x14ac:dyDescent="0.2">
      <c r="A52" s="8" t="s">
        <v>25</v>
      </c>
      <c r="B52" s="8"/>
      <c r="C52" s="3"/>
      <c r="D52" s="3"/>
      <c r="E52" s="3"/>
      <c r="F52" s="3"/>
      <c r="G52" s="3"/>
    </row>
    <row r="53" spans="1:7" x14ac:dyDescent="0.2">
      <c r="A53" s="91"/>
      <c r="B53" s="91"/>
      <c r="C53" s="91"/>
      <c r="D53" s="91"/>
      <c r="E53" s="91"/>
      <c r="F53" s="91"/>
      <c r="G53" s="91"/>
    </row>
    <row r="54" spans="1:7" x14ac:dyDescent="0.2">
      <c r="A54" s="427" t="s">
        <v>605</v>
      </c>
      <c r="B54" s="418"/>
      <c r="C54" s="418"/>
      <c r="D54" s="418"/>
      <c r="E54" s="418"/>
      <c r="F54" s="418"/>
      <c r="G54" s="419"/>
    </row>
    <row r="55" spans="1:7" x14ac:dyDescent="0.2">
      <c r="A55" s="420"/>
      <c r="B55" s="91"/>
      <c r="C55" s="91"/>
      <c r="D55" s="91"/>
      <c r="E55" s="91"/>
      <c r="F55" s="91"/>
      <c r="G55" s="421"/>
    </row>
    <row r="56" spans="1:7" x14ac:dyDescent="0.2">
      <c r="A56" s="420"/>
      <c r="B56" s="91"/>
      <c r="C56" s="91"/>
      <c r="D56" s="91"/>
      <c r="E56" s="91"/>
      <c r="F56" s="91"/>
      <c r="G56" s="421"/>
    </row>
    <row r="57" spans="1:7" x14ac:dyDescent="0.2">
      <c r="A57" s="422"/>
      <c r="B57" s="423"/>
      <c r="C57" s="423"/>
      <c r="D57" s="423"/>
      <c r="E57" s="423"/>
      <c r="F57" s="423"/>
      <c r="G57" s="424"/>
    </row>
    <row r="58" spans="1:7" x14ac:dyDescent="0.2">
      <c r="A58" s="1"/>
      <c r="B58" s="1"/>
      <c r="C58" s="1"/>
      <c r="D58" s="1"/>
      <c r="E58" s="1"/>
      <c r="F58" s="1"/>
      <c r="G58" s="555"/>
    </row>
    <row r="59" spans="1:7" x14ac:dyDescent="0.2">
      <c r="A59" s="1"/>
      <c r="B59" s="1"/>
      <c r="C59" s="1"/>
      <c r="D59" s="1"/>
      <c r="E59" s="1"/>
      <c r="F59" s="1"/>
      <c r="G59" s="555"/>
    </row>
    <row r="60" spans="1:7" x14ac:dyDescent="0.2">
      <c r="A60" s="1"/>
      <c r="B60" s="1"/>
      <c r="C60" s="1"/>
      <c r="D60" s="1"/>
      <c r="E60" s="1"/>
      <c r="F60" s="1"/>
      <c r="G60" s="555"/>
    </row>
    <row r="61" spans="1:7" x14ac:dyDescent="0.2">
      <c r="A61" s="1"/>
      <c r="B61" s="1"/>
      <c r="C61" s="1"/>
      <c r="D61" s="1"/>
      <c r="E61" s="1"/>
      <c r="F61" s="1"/>
      <c r="G61" s="555"/>
    </row>
    <row r="62" spans="1:7" x14ac:dyDescent="0.2">
      <c r="A62" s="1"/>
      <c r="B62" s="1"/>
      <c r="C62" s="1"/>
      <c r="D62" s="94"/>
      <c r="E62" s="1"/>
      <c r="F62" s="1"/>
      <c r="G62" s="555"/>
    </row>
    <row r="63" spans="1:7" x14ac:dyDescent="0.2">
      <c r="G63" s="555"/>
    </row>
    <row r="64" spans="1:7" x14ac:dyDescent="0.2">
      <c r="G64" s="555"/>
    </row>
    <row r="65" spans="7:7" x14ac:dyDescent="0.2">
      <c r="G65" s="555"/>
    </row>
    <row r="66" spans="7:7" x14ac:dyDescent="0.2">
      <c r="G66" s="555"/>
    </row>
    <row r="67" spans="7:7" x14ac:dyDescent="0.2">
      <c r="G67" s="555"/>
    </row>
    <row r="68" spans="7:7" x14ac:dyDescent="0.2">
      <c r="G68" s="555"/>
    </row>
    <row r="69" spans="7:7" x14ac:dyDescent="0.2">
      <c r="G69" s="555"/>
    </row>
    <row r="70" spans="7:7" x14ac:dyDescent="0.2">
      <c r="G70" s="555"/>
    </row>
  </sheetData>
  <sheetProtection sheet="1"/>
  <mergeCells count="11">
    <mergeCell ref="G58:G70"/>
    <mergeCell ref="A2:G2"/>
    <mergeCell ref="A4:G4"/>
    <mergeCell ref="A6:G6"/>
    <mergeCell ref="E13:G13"/>
    <mergeCell ref="F15:F16"/>
    <mergeCell ref="G33:G34"/>
    <mergeCell ref="A51:B51"/>
    <mergeCell ref="G14:G17"/>
    <mergeCell ref="G31:G32"/>
    <mergeCell ref="A37:F37"/>
  </mergeCells>
  <phoneticPr fontId="0" type="noConversion"/>
  <conditionalFormatting sqref="G37">
    <cfRule type="containsText" dxfId="0" priority="1" operator="containsText" text="YES">
      <formula>NOT(ISERROR(SEARCH("YES",G37)))</formula>
    </cfRule>
  </conditionalFormatting>
  <pageMargins left="1.25" right="0.5" top="0" bottom="0.5" header="0" footer="0.5"/>
  <pageSetup scale="69" orientation="portrait" blackAndWhite="1" horizontalDpi="120" verticalDpi="144" r:id="rId1"/>
  <headerFooter alignWithMargins="0">
    <oddHeader xml:space="preserve">&amp;RState of Kansas
Special District
</oddHeader>
    <oddFooter>&amp;CPage No.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I38"/>
  <sheetViews>
    <sheetView workbookViewId="0">
      <selection activeCell="G28" sqref="G28"/>
    </sheetView>
  </sheetViews>
  <sheetFormatPr defaultRowHeight="15.75" x14ac:dyDescent="0.2"/>
  <cols>
    <col min="1" max="1" width="8.88671875" style="1"/>
    <col min="2" max="2" width="17.77734375" style="1" customWidth="1"/>
    <col min="3" max="3" width="15.77734375" style="1" customWidth="1"/>
    <col min="4" max="4" width="11.77734375" style="1" customWidth="1"/>
    <col min="5" max="5" width="13" style="1" customWidth="1"/>
    <col min="6" max="8" width="12.5546875" style="1" customWidth="1"/>
    <col min="9" max="9" width="10.77734375" style="1" customWidth="1"/>
    <col min="10" max="16384" width="8.88671875" style="1"/>
  </cols>
  <sheetData>
    <row r="1" spans="1:9" x14ac:dyDescent="0.2">
      <c r="A1" s="3"/>
      <c r="B1" s="3">
        <f>inputPrYr!D3</f>
        <v>0</v>
      </c>
      <c r="C1" s="3"/>
      <c r="D1" s="3"/>
      <c r="E1" s="3"/>
      <c r="F1" s="3"/>
      <c r="G1" s="3"/>
      <c r="H1" s="3"/>
      <c r="I1" s="3"/>
    </row>
    <row r="2" spans="1:9" x14ac:dyDescent="0.2">
      <c r="A2" s="3"/>
      <c r="B2" s="3">
        <f>inputPrYr!D4</f>
        <v>0</v>
      </c>
      <c r="C2" s="3"/>
      <c r="D2" s="3"/>
      <c r="E2" s="3"/>
      <c r="F2" s="3"/>
      <c r="G2" s="3"/>
      <c r="H2" s="3">
        <f>inputPrYr!D6</f>
        <v>2025</v>
      </c>
      <c r="I2" s="3"/>
    </row>
    <row r="3" spans="1:9" x14ac:dyDescent="0.2">
      <c r="A3" s="3"/>
      <c r="B3" s="3"/>
      <c r="C3" s="96"/>
      <c r="D3" s="96"/>
      <c r="E3" s="96"/>
      <c r="F3" s="96"/>
      <c r="G3" s="96"/>
      <c r="H3" s="96"/>
      <c r="I3" s="96"/>
    </row>
    <row r="4" spans="1:9" x14ac:dyDescent="0.2">
      <c r="A4" s="29"/>
      <c r="B4" s="3"/>
      <c r="C4" s="3"/>
      <c r="D4" s="3"/>
      <c r="E4" s="3"/>
      <c r="F4" s="3"/>
      <c r="G4" s="3"/>
      <c r="H4" s="3"/>
      <c r="I4" s="3"/>
    </row>
    <row r="5" spans="1:9" x14ac:dyDescent="0.2">
      <c r="A5" s="29"/>
      <c r="B5" s="3"/>
      <c r="C5" s="8"/>
      <c r="D5" s="8"/>
      <c r="E5" s="8"/>
      <c r="F5" s="3"/>
      <c r="G5" s="3"/>
      <c r="H5" s="3"/>
      <c r="I5" s="3"/>
    </row>
    <row r="6" spans="1:9" x14ac:dyDescent="0.2">
      <c r="A6" s="576" t="s">
        <v>481</v>
      </c>
      <c r="B6" s="576"/>
      <c r="C6" s="576"/>
      <c r="D6" s="576"/>
      <c r="E6" s="576"/>
      <c r="F6" s="576"/>
      <c r="G6" s="576"/>
      <c r="H6" s="576"/>
      <c r="I6" s="576"/>
    </row>
    <row r="7" spans="1:9" x14ac:dyDescent="0.2">
      <c r="A7" s="29"/>
      <c r="B7" s="97"/>
      <c r="C7" s="97"/>
      <c r="D7" s="97"/>
      <c r="E7" s="97"/>
      <c r="F7" s="97"/>
      <c r="G7" s="97"/>
      <c r="H7" s="3"/>
      <c r="I7" s="3"/>
    </row>
    <row r="8" spans="1:9" x14ac:dyDescent="0.2">
      <c r="A8" s="3"/>
      <c r="B8" s="3"/>
      <c r="C8" s="3"/>
      <c r="D8" s="3"/>
      <c r="E8" s="3"/>
      <c r="F8" s="3"/>
      <c r="G8" s="3"/>
      <c r="H8" s="3"/>
      <c r="I8" s="3"/>
    </row>
    <row r="9" spans="1:9" x14ac:dyDescent="0.2">
      <c r="A9" s="3"/>
      <c r="B9" s="573" t="str">
        <f>CONCATENATE("",H2-1,"                    Budgeted Funds")</f>
        <v>2024                    Budgeted Funds</v>
      </c>
      <c r="C9" s="572" t="str">
        <f>CONCATENATE("Tax Levy Amount in ",H2-1," Budget")</f>
        <v>Tax Levy Amount in 2024 Budget</v>
      </c>
      <c r="D9" s="558" t="str">
        <f>CONCATENATE("Allocation for Year ",H2,"")</f>
        <v>Allocation for Year 2025</v>
      </c>
      <c r="E9" s="574"/>
      <c r="F9" s="574"/>
      <c r="G9" s="574"/>
      <c r="H9" s="575"/>
      <c r="I9" s="3"/>
    </row>
    <row r="10" spans="1:9" x14ac:dyDescent="0.2">
      <c r="A10" s="3"/>
      <c r="B10" s="563"/>
      <c r="C10" s="563"/>
      <c r="D10" s="75" t="s">
        <v>40</v>
      </c>
      <c r="E10" s="75" t="s">
        <v>41</v>
      </c>
      <c r="F10" s="75" t="s">
        <v>77</v>
      </c>
      <c r="G10" s="406" t="s">
        <v>472</v>
      </c>
      <c r="H10" s="406" t="s">
        <v>473</v>
      </c>
      <c r="I10" s="3"/>
    </row>
    <row r="11" spans="1:9" x14ac:dyDescent="0.2">
      <c r="A11" s="3"/>
      <c r="B11" s="16" t="str">
        <f>inputPrYr!B19</f>
        <v>General</v>
      </c>
      <c r="C11" s="57">
        <f>inputPrYr!E19</f>
        <v>0</v>
      </c>
      <c r="D11" s="57">
        <f>IF(E17=0,0,E17-SUM(D12:D14))</f>
        <v>0</v>
      </c>
      <c r="E11" s="57">
        <f>IF(E19=0,0,E19-SUM(E12:E14))</f>
        <v>0</v>
      </c>
      <c r="F11" s="57">
        <f>IF(E21=0,0,E21-SUM(F12:F14))</f>
        <v>0</v>
      </c>
      <c r="G11" s="57">
        <f>IF(E23=0,0,E23-SUM(G12:G14))</f>
        <v>0</v>
      </c>
      <c r="H11" s="57">
        <f>IF(E25=0,0,E25-SUM(H12:H14))</f>
        <v>0</v>
      </c>
      <c r="I11" s="3"/>
    </row>
    <row r="12" spans="1:9" x14ac:dyDescent="0.2">
      <c r="A12" s="3"/>
      <c r="B12" s="16" t="str">
        <f>inputPrYr!B20</f>
        <v>Debt Service</v>
      </c>
      <c r="C12" s="57">
        <f>inputPrYr!E20</f>
        <v>0</v>
      </c>
      <c r="D12" s="57">
        <f>IF($E$17=0,0,ROUND(C12*$C$28,0))</f>
        <v>0</v>
      </c>
      <c r="E12" s="57">
        <f>IF($E$19=0,0,ROUND(C12*$D$30,0))</f>
        <v>0</v>
      </c>
      <c r="F12" s="57">
        <f>IF($E21=0,0,ROUND(C12*$E$32,0))</f>
        <v>0</v>
      </c>
      <c r="G12" s="57">
        <f>IF($E23=0,0,ROUND(C12*$F$34,0))</f>
        <v>0</v>
      </c>
      <c r="H12" s="57">
        <f>IF($E25=0,0,ROUND(C12*$G$36,0))</f>
        <v>0</v>
      </c>
      <c r="I12" s="3"/>
    </row>
    <row r="13" spans="1:9" x14ac:dyDescent="0.2">
      <c r="A13" s="3"/>
      <c r="B13" s="16" t="str">
        <f>IF(inputPrYr!$B$22&gt;"  ",inputPrYr!$B$22,"  ")</f>
        <v xml:space="preserve">  </v>
      </c>
      <c r="C13" s="57">
        <f>inputPrYr!E22</f>
        <v>0</v>
      </c>
      <c r="D13" s="57">
        <f>IF($E$17=0,0,ROUND(C13*$C$28,0))</f>
        <v>0</v>
      </c>
      <c r="E13" s="57">
        <f>IF($E$19=0,0,ROUND(C13*$D$30,0))</f>
        <v>0</v>
      </c>
      <c r="F13" s="57">
        <f>IF($E21=0,0,ROUND(C13*$E$32,0))</f>
        <v>0</v>
      </c>
      <c r="G13" s="57">
        <f>IF($E23=0,0,ROUND(C13*$F$34,0))</f>
        <v>0</v>
      </c>
      <c r="H13" s="57">
        <f>IF($E25=0,0,ROUND(C13*$G$36,0))</f>
        <v>0</v>
      </c>
      <c r="I13" s="62"/>
    </row>
    <row r="14" spans="1:9" x14ac:dyDescent="0.2">
      <c r="A14" s="3"/>
      <c r="B14" s="16" t="str">
        <f>IF(inputPrYr!$B$23&gt;"  ",inputPrYr!$B$23,"  ")</f>
        <v xml:space="preserve">  </v>
      </c>
      <c r="C14" s="57">
        <f>inputPrYr!E23</f>
        <v>0</v>
      </c>
      <c r="D14" s="57">
        <f>IF($E$17=0,0,ROUND(C14*$C$28,0))</f>
        <v>0</v>
      </c>
      <c r="E14" s="57">
        <f>IF($E$19=0,0,ROUND(C14*$D$30,0))</f>
        <v>0</v>
      </c>
      <c r="F14" s="57">
        <f>IF($E21=0,0,ROUND(C14*$E$32,0))</f>
        <v>0</v>
      </c>
      <c r="G14" s="57">
        <f>IF($E23=0,0,ROUND(C14*$F$34,0))</f>
        <v>0</v>
      </c>
      <c r="H14" s="57">
        <f>IF($E25=0,0,ROUND(C14*$G$36,0))</f>
        <v>0</v>
      </c>
      <c r="I14" s="3"/>
    </row>
    <row r="15" spans="1:9" ht="16.5" thickBot="1" x14ac:dyDescent="0.25">
      <c r="A15" s="3"/>
      <c r="B15" s="13" t="s">
        <v>11</v>
      </c>
      <c r="C15" s="90">
        <f t="shared" ref="C15:H15" si="0">SUM(C11:C14)</f>
        <v>0</v>
      </c>
      <c r="D15" s="90">
        <f t="shared" si="0"/>
        <v>0</v>
      </c>
      <c r="E15" s="90">
        <f t="shared" si="0"/>
        <v>0</v>
      </c>
      <c r="F15" s="136">
        <f t="shared" si="0"/>
        <v>0</v>
      </c>
      <c r="G15" s="136">
        <f t="shared" si="0"/>
        <v>0</v>
      </c>
      <c r="H15" s="136">
        <f t="shared" si="0"/>
        <v>0</v>
      </c>
      <c r="I15" s="3"/>
    </row>
    <row r="16" spans="1:9" ht="16.5" thickTop="1" x14ac:dyDescent="0.2">
      <c r="A16" s="3"/>
      <c r="B16" s="3"/>
      <c r="C16" s="3"/>
      <c r="D16" s="3"/>
      <c r="E16" s="3"/>
      <c r="F16" s="3"/>
      <c r="G16" s="3"/>
      <c r="H16" s="3"/>
      <c r="I16" s="3"/>
    </row>
    <row r="17" spans="1:9" x14ac:dyDescent="0.2">
      <c r="A17" s="3"/>
      <c r="B17" s="407" t="s">
        <v>474</v>
      </c>
      <c r="C17" s="3"/>
      <c r="D17" s="3"/>
      <c r="E17" s="99">
        <f>inputOth!E29</f>
        <v>0</v>
      </c>
      <c r="F17" s="3"/>
      <c r="G17" s="3"/>
      <c r="H17" s="3"/>
      <c r="I17" s="3"/>
    </row>
    <row r="18" spans="1:9" x14ac:dyDescent="0.2">
      <c r="A18" s="3"/>
      <c r="B18" s="372"/>
      <c r="C18" s="3"/>
      <c r="D18" s="96"/>
      <c r="E18" s="96"/>
      <c r="F18" s="3"/>
      <c r="G18" s="3"/>
      <c r="H18" s="3"/>
      <c r="I18" s="3"/>
    </row>
    <row r="19" spans="1:9" x14ac:dyDescent="0.2">
      <c r="A19" s="3"/>
      <c r="B19" s="407" t="s">
        <v>475</v>
      </c>
      <c r="C19" s="3"/>
      <c r="D19" s="96"/>
      <c r="E19" s="99">
        <f>inputOth!E30</f>
        <v>0</v>
      </c>
      <c r="F19" s="3"/>
      <c r="G19" s="3"/>
      <c r="H19" s="3"/>
      <c r="I19" s="3"/>
    </row>
    <row r="20" spans="1:9" x14ac:dyDescent="0.2">
      <c r="A20" s="3"/>
      <c r="B20" s="372"/>
      <c r="C20" s="3"/>
      <c r="D20" s="3"/>
      <c r="E20" s="3"/>
      <c r="F20" s="3"/>
      <c r="G20" s="3"/>
      <c r="H20" s="3"/>
      <c r="I20" s="3"/>
    </row>
    <row r="21" spans="1:9" x14ac:dyDescent="0.2">
      <c r="A21" s="3"/>
      <c r="B21" s="407" t="s">
        <v>476</v>
      </c>
      <c r="C21" s="3"/>
      <c r="D21" s="3"/>
      <c r="E21" s="99">
        <f>inputOth!E31</f>
        <v>0</v>
      </c>
      <c r="F21" s="3"/>
      <c r="G21" s="3"/>
      <c r="H21" s="3"/>
      <c r="I21" s="3"/>
    </row>
    <row r="22" spans="1:9" x14ac:dyDescent="0.2">
      <c r="A22" s="3"/>
      <c r="B22" s="372"/>
      <c r="C22" s="3"/>
      <c r="D22" s="3"/>
      <c r="E22" s="96"/>
      <c r="F22" s="3"/>
      <c r="G22" s="3"/>
      <c r="H22" s="3"/>
      <c r="I22" s="3"/>
    </row>
    <row r="23" spans="1:9" x14ac:dyDescent="0.2">
      <c r="A23" s="3"/>
      <c r="B23" s="372" t="s">
        <v>477</v>
      </c>
      <c r="C23" s="3"/>
      <c r="D23" s="3"/>
      <c r="E23" s="99">
        <f>inputOth!E32</f>
        <v>0</v>
      </c>
      <c r="F23" s="3"/>
      <c r="G23" s="3"/>
      <c r="H23" s="3"/>
      <c r="I23" s="3"/>
    </row>
    <row r="24" spans="1:9" x14ac:dyDescent="0.2">
      <c r="A24" s="3"/>
      <c r="B24" s="372"/>
      <c r="C24" s="3"/>
      <c r="D24" s="3"/>
      <c r="E24" s="96"/>
      <c r="F24" s="3"/>
      <c r="G24" s="3"/>
      <c r="H24" s="3"/>
      <c r="I24" s="3"/>
    </row>
    <row r="25" spans="1:9" x14ac:dyDescent="0.2">
      <c r="A25" s="3"/>
      <c r="B25" s="372" t="s">
        <v>478</v>
      </c>
      <c r="C25" s="3"/>
      <c r="D25" s="3"/>
      <c r="E25" s="99">
        <f>inputOth!E33</f>
        <v>0</v>
      </c>
      <c r="F25" s="3"/>
      <c r="G25" s="3"/>
      <c r="H25" s="3"/>
      <c r="I25" s="3"/>
    </row>
    <row r="26" spans="1:9" x14ac:dyDescent="0.2">
      <c r="A26" s="3"/>
      <c r="B26" s="405"/>
      <c r="C26" s="405"/>
      <c r="D26" s="405"/>
      <c r="E26" s="405"/>
      <c r="F26" s="405"/>
      <c r="G26" s="405"/>
      <c r="H26" s="3"/>
      <c r="I26" s="3"/>
    </row>
    <row r="27" spans="1:9" x14ac:dyDescent="0.2">
      <c r="A27" s="3"/>
      <c r="B27" s="405"/>
      <c r="C27" s="405"/>
      <c r="D27" s="405"/>
      <c r="E27" s="405"/>
      <c r="F27" s="405"/>
      <c r="G27" s="405"/>
      <c r="H27" s="3"/>
      <c r="I27" s="3"/>
    </row>
    <row r="28" spans="1:9" x14ac:dyDescent="0.2">
      <c r="A28" s="3"/>
      <c r="B28" s="404" t="s">
        <v>42</v>
      </c>
      <c r="C28" s="403">
        <f>IF(C15=0,0,E17/C15)</f>
        <v>0</v>
      </c>
      <c r="D28" s="405"/>
      <c r="E28" s="405"/>
      <c r="F28" s="405"/>
      <c r="G28" s="405"/>
      <c r="H28" s="3"/>
      <c r="I28" s="3"/>
    </row>
    <row r="29" spans="1:9" x14ac:dyDescent="0.2">
      <c r="A29" s="3"/>
      <c r="B29" s="402"/>
      <c r="C29" s="401"/>
      <c r="D29" s="405"/>
      <c r="E29" s="405"/>
      <c r="F29" s="405"/>
      <c r="G29" s="405"/>
      <c r="H29" s="3"/>
      <c r="I29" s="3"/>
    </row>
    <row r="30" spans="1:9" x14ac:dyDescent="0.2">
      <c r="A30" s="3"/>
      <c r="B30" s="405"/>
      <c r="C30" s="404" t="s">
        <v>43</v>
      </c>
      <c r="D30" s="400">
        <f>IF(C15=0,0,E19/C15)</f>
        <v>0</v>
      </c>
      <c r="E30" s="405"/>
      <c r="F30" s="405"/>
      <c r="G30" s="405"/>
      <c r="H30" s="3"/>
      <c r="I30" s="3"/>
    </row>
    <row r="31" spans="1:9" x14ac:dyDescent="0.2">
      <c r="A31" s="3"/>
      <c r="B31" s="405"/>
      <c r="C31" s="402"/>
      <c r="D31" s="399"/>
      <c r="E31" s="405"/>
      <c r="F31" s="405"/>
      <c r="G31" s="405"/>
      <c r="H31" s="3"/>
      <c r="I31" s="3"/>
    </row>
    <row r="32" spans="1:9" x14ac:dyDescent="0.2">
      <c r="A32" s="3"/>
      <c r="B32" s="405"/>
      <c r="C32" s="405"/>
      <c r="D32" s="404" t="s">
        <v>78</v>
      </c>
      <c r="E32" s="400">
        <f>IF(C15=0,0,E21/C15)</f>
        <v>0</v>
      </c>
      <c r="F32" s="405"/>
      <c r="G32" s="405"/>
      <c r="H32" s="3"/>
      <c r="I32" s="3"/>
    </row>
    <row r="33" spans="1:9" x14ac:dyDescent="0.2">
      <c r="A33" s="3"/>
      <c r="B33" s="405"/>
      <c r="C33" s="405"/>
      <c r="D33" s="404"/>
      <c r="E33" s="399"/>
      <c r="F33" s="405"/>
      <c r="G33" s="405"/>
      <c r="H33" s="3"/>
      <c r="I33" s="3"/>
    </row>
    <row r="34" spans="1:9" x14ac:dyDescent="0.2">
      <c r="A34" s="3"/>
      <c r="B34" s="405"/>
      <c r="C34" s="405"/>
      <c r="D34" s="404"/>
      <c r="E34" s="399" t="s">
        <v>479</v>
      </c>
      <c r="F34" s="400">
        <f>IF(C15=0,0,E23/C15)</f>
        <v>0</v>
      </c>
      <c r="G34" s="405"/>
      <c r="H34" s="3"/>
      <c r="I34" s="3"/>
    </row>
    <row r="35" spans="1:9" x14ac:dyDescent="0.2">
      <c r="A35" s="3"/>
      <c r="B35" s="405"/>
      <c r="C35" s="405"/>
      <c r="D35" s="404"/>
      <c r="E35" s="399"/>
      <c r="F35" s="405"/>
      <c r="G35" s="405"/>
      <c r="H35" s="3"/>
      <c r="I35" s="3"/>
    </row>
    <row r="36" spans="1:9" x14ac:dyDescent="0.2">
      <c r="A36" s="3"/>
      <c r="B36" s="405"/>
      <c r="C36" s="405"/>
      <c r="D36" s="404"/>
      <c r="E36" s="399"/>
      <c r="F36" s="408" t="s">
        <v>480</v>
      </c>
      <c r="G36" s="400">
        <f>IF(C15=0,0,E25/C15)</f>
        <v>0</v>
      </c>
      <c r="H36" s="3"/>
      <c r="I36" s="3"/>
    </row>
    <row r="37" spans="1:9" x14ac:dyDescent="0.2">
      <c r="A37" s="3"/>
      <c r="B37" s="3"/>
      <c r="C37" s="29"/>
      <c r="D37" s="29"/>
      <c r="E37" s="29"/>
      <c r="F37" s="29"/>
      <c r="G37" s="29"/>
      <c r="H37" s="29"/>
      <c r="I37" s="29"/>
    </row>
    <row r="38" spans="1:9" x14ac:dyDescent="0.2">
      <c r="A38" s="3"/>
      <c r="B38" s="3"/>
      <c r="C38" s="29"/>
      <c r="D38" s="29"/>
      <c r="E38" s="29"/>
      <c r="F38" s="29"/>
      <c r="G38" s="29"/>
      <c r="H38" s="29"/>
      <c r="I38" s="29"/>
    </row>
  </sheetData>
  <sheetProtection sheet="1"/>
  <mergeCells count="4">
    <mergeCell ref="C9:C10"/>
    <mergeCell ref="B9:B10"/>
    <mergeCell ref="D9:H9"/>
    <mergeCell ref="A6:I6"/>
  </mergeCells>
  <phoneticPr fontId="0" type="noConversion"/>
  <pageMargins left="1.47" right="1.19" top="1" bottom="0.5" header="0.5" footer="0.5"/>
  <pageSetup scale="77" orientation="landscape" blackAndWhite="1" horizontalDpi="120" verticalDpi="144" r:id="rId1"/>
  <headerFooter alignWithMargins="0">
    <oddHeader xml:space="preserve">&amp;RState of Kansas
Special District
</oddHeader>
    <oddFooter xml:space="preserve">&amp;CPage No. 2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G30"/>
  <sheetViews>
    <sheetView workbookViewId="0">
      <selection activeCell="A28" sqref="A28"/>
    </sheetView>
  </sheetViews>
  <sheetFormatPr defaultRowHeight="15.75" x14ac:dyDescent="0.2"/>
  <cols>
    <col min="1" max="2" width="17.77734375" style="1" customWidth="1"/>
    <col min="3" max="6" width="12.77734375" style="1" customWidth="1"/>
    <col min="7" max="16384" width="8.88671875" style="1"/>
  </cols>
  <sheetData>
    <row r="1" spans="1:6" x14ac:dyDescent="0.2">
      <c r="A1" s="96"/>
      <c r="B1" s="3"/>
      <c r="C1" s="3"/>
      <c r="D1" s="3"/>
      <c r="E1" s="95"/>
      <c r="F1" s="3">
        <f>inputPrYr!D6</f>
        <v>2025</v>
      </c>
    </row>
    <row r="2" spans="1:6" x14ac:dyDescent="0.2">
      <c r="A2" s="96">
        <f>inputPrYr!D3</f>
        <v>0</v>
      </c>
      <c r="B2" s="96"/>
      <c r="C2" s="3"/>
      <c r="D2" s="3"/>
      <c r="E2" s="95"/>
      <c r="F2" s="3"/>
    </row>
    <row r="3" spans="1:6" x14ac:dyDescent="0.2">
      <c r="A3" s="96">
        <f>inputPrYr!D4</f>
        <v>0</v>
      </c>
      <c r="B3" s="96"/>
      <c r="C3" s="3"/>
      <c r="D3" s="3"/>
      <c r="E3" s="95"/>
      <c r="F3" s="3"/>
    </row>
    <row r="4" spans="1:6" x14ac:dyDescent="0.2">
      <c r="A4" s="96"/>
      <c r="B4" s="3"/>
      <c r="C4" s="3"/>
      <c r="D4" s="3"/>
      <c r="E4" s="95"/>
      <c r="F4" s="3"/>
    </row>
    <row r="5" spans="1:6" ht="15" customHeight="1" x14ac:dyDescent="0.2">
      <c r="A5" s="556" t="s">
        <v>92</v>
      </c>
      <c r="B5" s="556"/>
      <c r="C5" s="556"/>
      <c r="D5" s="556"/>
      <c r="E5" s="556"/>
      <c r="F5" s="556"/>
    </row>
    <row r="6" spans="1:6" ht="14.25" customHeight="1" x14ac:dyDescent="0.2">
      <c r="A6" s="59"/>
      <c r="B6" s="100"/>
      <c r="C6" s="100"/>
      <c r="D6" s="100"/>
      <c r="E6" s="100"/>
      <c r="F6" s="100"/>
    </row>
    <row r="7" spans="1:6" ht="17.25" customHeight="1" x14ac:dyDescent="0.2">
      <c r="A7" s="101" t="s">
        <v>20</v>
      </c>
      <c r="B7" s="101" t="s">
        <v>411</v>
      </c>
      <c r="C7" s="101" t="s">
        <v>44</v>
      </c>
      <c r="D7" s="101" t="s">
        <v>93</v>
      </c>
      <c r="E7" s="101" t="s">
        <v>94</v>
      </c>
      <c r="F7" s="101" t="s">
        <v>102</v>
      </c>
    </row>
    <row r="8" spans="1:6" ht="17.25" customHeight="1" x14ac:dyDescent="0.2">
      <c r="A8" s="102" t="s">
        <v>412</v>
      </c>
      <c r="B8" s="102" t="s">
        <v>413</v>
      </c>
      <c r="C8" s="102" t="s">
        <v>103</v>
      </c>
      <c r="D8" s="102" t="s">
        <v>103</v>
      </c>
      <c r="E8" s="102" t="s">
        <v>103</v>
      </c>
      <c r="F8" s="102" t="s">
        <v>104</v>
      </c>
    </row>
    <row r="9" spans="1:6" s="105" customFormat="1" ht="18" customHeight="1" x14ac:dyDescent="0.2">
      <c r="A9" s="103" t="s">
        <v>105</v>
      </c>
      <c r="B9" s="103" t="s">
        <v>106</v>
      </c>
      <c r="C9" s="104">
        <f>F1-2</f>
        <v>2023</v>
      </c>
      <c r="D9" s="104">
        <f>F1-1</f>
        <v>2024</v>
      </c>
      <c r="E9" s="104">
        <f>F1</f>
        <v>2025</v>
      </c>
      <c r="F9" s="103" t="s">
        <v>107</v>
      </c>
    </row>
    <row r="10" spans="1:6" ht="15" customHeight="1" x14ac:dyDescent="0.2">
      <c r="A10" s="106"/>
      <c r="B10" s="106"/>
      <c r="C10" s="107"/>
      <c r="D10" s="107"/>
      <c r="E10" s="107"/>
      <c r="F10" s="106"/>
    </row>
    <row r="11" spans="1:6" ht="15" customHeight="1" x14ac:dyDescent="0.2">
      <c r="A11" s="26"/>
      <c r="B11" s="26"/>
      <c r="C11" s="93"/>
      <c r="D11" s="93"/>
      <c r="E11" s="93"/>
      <c r="F11" s="26"/>
    </row>
    <row r="12" spans="1:6" ht="15" customHeight="1" x14ac:dyDescent="0.2">
      <c r="A12" s="26"/>
      <c r="B12" s="26"/>
      <c r="C12" s="93"/>
      <c r="D12" s="93"/>
      <c r="E12" s="93"/>
      <c r="F12" s="26"/>
    </row>
    <row r="13" spans="1:6" ht="15" customHeight="1" x14ac:dyDescent="0.2">
      <c r="A13" s="26"/>
      <c r="B13" s="26"/>
      <c r="C13" s="93"/>
      <c r="D13" s="93"/>
      <c r="E13" s="93"/>
      <c r="F13" s="26"/>
    </row>
    <row r="14" spans="1:6" ht="15" customHeight="1" x14ac:dyDescent="0.2">
      <c r="A14" s="26"/>
      <c r="B14" s="26"/>
      <c r="C14" s="93"/>
      <c r="D14" s="93"/>
      <c r="E14" s="93"/>
      <c r="F14" s="26"/>
    </row>
    <row r="15" spans="1:6" ht="15" customHeight="1" x14ac:dyDescent="0.2">
      <c r="A15" s="26"/>
      <c r="B15" s="26"/>
      <c r="C15" s="93"/>
      <c r="D15" s="93"/>
      <c r="E15" s="93"/>
      <c r="F15" s="26"/>
    </row>
    <row r="16" spans="1:6" ht="15" customHeight="1" x14ac:dyDescent="0.2">
      <c r="A16" s="26"/>
      <c r="B16" s="108"/>
      <c r="C16" s="93"/>
      <c r="D16" s="93"/>
      <c r="E16" s="93"/>
      <c r="F16" s="26"/>
    </row>
    <row r="17" spans="1:7" ht="15" customHeight="1" x14ac:dyDescent="0.2">
      <c r="A17" s="26"/>
      <c r="B17" s="26"/>
      <c r="C17" s="93"/>
      <c r="D17" s="93"/>
      <c r="E17" s="93"/>
      <c r="F17" s="26"/>
    </row>
    <row r="18" spans="1:7" ht="15" customHeight="1" x14ac:dyDescent="0.2">
      <c r="A18" s="26"/>
      <c r="B18" s="26"/>
      <c r="C18" s="93"/>
      <c r="D18" s="93"/>
      <c r="E18" s="93"/>
      <c r="F18" s="26"/>
    </row>
    <row r="19" spans="1:7" ht="15" customHeight="1" x14ac:dyDescent="0.2">
      <c r="A19" s="26"/>
      <c r="B19" s="26"/>
      <c r="C19" s="93"/>
      <c r="D19" s="93"/>
      <c r="E19" s="93"/>
      <c r="F19" s="26"/>
    </row>
    <row r="20" spans="1:7" ht="15" customHeight="1" x14ac:dyDescent="0.2">
      <c r="A20" s="26"/>
      <c r="B20" s="26"/>
      <c r="C20" s="93"/>
      <c r="D20" s="93"/>
      <c r="E20" s="93"/>
      <c r="F20" s="26"/>
    </row>
    <row r="21" spans="1:7" ht="15" customHeight="1" x14ac:dyDescent="0.2">
      <c r="A21" s="26"/>
      <c r="B21" s="26"/>
      <c r="C21" s="93"/>
      <c r="D21" s="93"/>
      <c r="E21" s="93"/>
      <c r="F21" s="26"/>
    </row>
    <row r="22" spans="1:7" ht="15" customHeight="1" x14ac:dyDescent="0.2">
      <c r="A22" s="26"/>
      <c r="B22" s="26"/>
      <c r="C22" s="93"/>
      <c r="D22" s="93"/>
      <c r="E22" s="93"/>
      <c r="F22" s="26"/>
    </row>
    <row r="23" spans="1:7" ht="15" customHeight="1" x14ac:dyDescent="0.2">
      <c r="A23" s="26"/>
      <c r="B23" s="26"/>
      <c r="C23" s="93"/>
      <c r="D23" s="93"/>
      <c r="E23" s="93"/>
      <c r="F23" s="26"/>
    </row>
    <row r="24" spans="1:7" x14ac:dyDescent="0.2">
      <c r="A24" s="10"/>
      <c r="B24" s="109" t="s">
        <v>88</v>
      </c>
      <c r="C24" s="110">
        <f>SUM(C10:C23)</f>
        <v>0</v>
      </c>
      <c r="D24" s="110">
        <f>SUM(D10:D23)</f>
        <v>0</v>
      </c>
      <c r="E24" s="110">
        <f>SUM(E10:E23)</f>
        <v>0</v>
      </c>
      <c r="F24" s="111"/>
      <c r="G24" s="36"/>
    </row>
    <row r="25" spans="1:7" x14ac:dyDescent="0.2">
      <c r="A25" s="10"/>
      <c r="B25" s="112" t="s">
        <v>410</v>
      </c>
      <c r="C25" s="113"/>
      <c r="D25" s="114"/>
      <c r="E25" s="114"/>
      <c r="F25" s="111"/>
      <c r="G25" s="36"/>
    </row>
    <row r="26" spans="1:7" x14ac:dyDescent="0.2">
      <c r="A26" s="10"/>
      <c r="B26" s="109" t="s">
        <v>108</v>
      </c>
      <c r="C26" s="110">
        <f>C24</f>
        <v>0</v>
      </c>
      <c r="D26" s="110">
        <f>SUM(D24-D25)</f>
        <v>0</v>
      </c>
      <c r="E26" s="110">
        <f>SUM(E24-E25)</f>
        <v>0</v>
      </c>
      <c r="F26" s="111"/>
      <c r="G26" s="36"/>
    </row>
    <row r="27" spans="1:7" x14ac:dyDescent="0.2">
      <c r="A27" s="3"/>
      <c r="B27" s="3"/>
      <c r="C27" s="3"/>
      <c r="D27" s="29"/>
      <c r="E27" s="29"/>
      <c r="F27" s="29"/>
      <c r="G27" s="36"/>
    </row>
    <row r="28" spans="1:7" x14ac:dyDescent="0.2">
      <c r="A28" s="3"/>
      <c r="B28" s="3"/>
      <c r="C28" s="3"/>
      <c r="D28" s="29"/>
      <c r="E28" s="29"/>
      <c r="F28" s="29"/>
      <c r="G28" s="36"/>
    </row>
    <row r="29" spans="1:7" x14ac:dyDescent="0.2">
      <c r="A29" s="240" t="s">
        <v>414</v>
      </c>
      <c r="B29" s="241" t="str">
        <f>CONCATENATE("Adjustments are required only if the transfer is being made in ",D9," and/or ",E9," from a non-budgeted fund.")</f>
        <v>Adjustments are required only if the transfer is being made in 2024 and/or 2025 from a non-budgeted fund.</v>
      </c>
      <c r="C29" s="29"/>
      <c r="D29" s="29"/>
      <c r="E29" s="29"/>
      <c r="F29" s="29"/>
      <c r="G29" s="36"/>
    </row>
    <row r="30" spans="1:7" x14ac:dyDescent="0.2">
      <c r="A30" s="36"/>
      <c r="B30" s="36"/>
      <c r="C30" s="36"/>
      <c r="D30" s="36"/>
      <c r="E30" s="36"/>
      <c r="F30" s="36"/>
      <c r="G30" s="36"/>
    </row>
  </sheetData>
  <sheetProtection sheet="1"/>
  <mergeCells count="1">
    <mergeCell ref="A5:F5"/>
  </mergeCells>
  <phoneticPr fontId="11" type="noConversion"/>
  <pageMargins left="0.75" right="0.75" top="1" bottom="1" header="0.5" footer="0.5"/>
  <pageSetup scale="78" orientation="portrait" blackAndWhite="1" r:id="rId1"/>
  <headerFooter alignWithMargins="0">
    <oddHeader>&amp;RState of Kansas
Special District</oddHeader>
    <oddFooter>&amp;CPage No. 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F1" sqref="F1"/>
    </sheetView>
  </sheetViews>
  <sheetFormatPr defaultRowHeight="15" x14ac:dyDescent="0.2"/>
  <cols>
    <col min="1" max="1" width="71.109375" style="36" customWidth="1"/>
    <col min="2" max="16384" width="8.88671875" style="36"/>
  </cols>
  <sheetData>
    <row r="1" spans="1:1" ht="18.75" x14ac:dyDescent="0.2">
      <c r="A1" s="225" t="s">
        <v>196</v>
      </c>
    </row>
    <row r="2" spans="1:1" ht="15.75" x14ac:dyDescent="0.2">
      <c r="A2" s="58"/>
    </row>
    <row r="3" spans="1:1" ht="47.25" x14ac:dyDescent="0.2">
      <c r="A3" s="226" t="s">
        <v>197</v>
      </c>
    </row>
    <row r="4" spans="1:1" ht="15.75" x14ac:dyDescent="0.2">
      <c r="A4" s="227"/>
    </row>
    <row r="5" spans="1:1" ht="15.75" x14ac:dyDescent="0.2">
      <c r="A5" s="58"/>
    </row>
    <row r="6" spans="1:1" ht="63" x14ac:dyDescent="0.2">
      <c r="A6" s="226" t="s">
        <v>198</v>
      </c>
    </row>
    <row r="7" spans="1:1" ht="15.75" x14ac:dyDescent="0.2">
      <c r="A7" s="227"/>
    </row>
    <row r="8" spans="1:1" ht="15.75" x14ac:dyDescent="0.2">
      <c r="A8" s="58"/>
    </row>
    <row r="9" spans="1:1" ht="47.25" x14ac:dyDescent="0.2">
      <c r="A9" s="226" t="s">
        <v>199</v>
      </c>
    </row>
    <row r="10" spans="1:1" ht="15.75" x14ac:dyDescent="0.2">
      <c r="A10" s="227"/>
    </row>
    <row r="11" spans="1:1" ht="15.75" x14ac:dyDescent="0.2">
      <c r="A11" s="227"/>
    </row>
    <row r="12" spans="1:1" ht="31.5" x14ac:dyDescent="0.2">
      <c r="A12" s="226" t="s">
        <v>200</v>
      </c>
    </row>
    <row r="13" spans="1:1" ht="15.75" x14ac:dyDescent="0.2">
      <c r="A13" s="58"/>
    </row>
    <row r="14" spans="1:1" ht="15.75" x14ac:dyDescent="0.2">
      <c r="A14" s="58"/>
    </row>
    <row r="15" spans="1:1" ht="47.25" x14ac:dyDescent="0.2">
      <c r="A15" s="226" t="s">
        <v>201</v>
      </c>
    </row>
    <row r="16" spans="1:1" ht="15.75" x14ac:dyDescent="0.2">
      <c r="A16" s="58"/>
    </row>
    <row r="17" spans="1:1" ht="15.75" x14ac:dyDescent="0.2">
      <c r="A17" s="58"/>
    </row>
    <row r="18" spans="1:1" ht="63" x14ac:dyDescent="0.25">
      <c r="A18" s="260" t="s">
        <v>432</v>
      </c>
    </row>
    <row r="19" spans="1:1" ht="15.75" x14ac:dyDescent="0.2">
      <c r="A19" s="58"/>
    </row>
    <row r="20" spans="1:1" ht="15.75" x14ac:dyDescent="0.2">
      <c r="A20" s="58"/>
    </row>
    <row r="21" spans="1:1" ht="63" x14ac:dyDescent="0.2">
      <c r="A21" s="231" t="s">
        <v>202</v>
      </c>
    </row>
    <row r="22" spans="1:1" ht="15.75" x14ac:dyDescent="0.2">
      <c r="A22" s="227"/>
    </row>
    <row r="23" spans="1:1" ht="15.75" x14ac:dyDescent="0.2">
      <c r="A23" s="58"/>
    </row>
    <row r="24" spans="1:1" ht="63" x14ac:dyDescent="0.2">
      <c r="A24" s="226" t="s">
        <v>203</v>
      </c>
    </row>
    <row r="25" spans="1:1" ht="47.25" x14ac:dyDescent="0.2">
      <c r="A25" s="228" t="s">
        <v>204</v>
      </c>
    </row>
    <row r="26" spans="1:1" ht="15.75" x14ac:dyDescent="0.2">
      <c r="A26" s="227"/>
    </row>
    <row r="27" spans="1:1" ht="15.75" x14ac:dyDescent="0.2">
      <c r="A27" s="58"/>
    </row>
    <row r="28" spans="1:1" ht="63" x14ac:dyDescent="0.25">
      <c r="A28" s="260" t="s">
        <v>433</v>
      </c>
    </row>
    <row r="29" spans="1:1" ht="15.75" x14ac:dyDescent="0.2">
      <c r="A29" s="58"/>
    </row>
    <row r="30" spans="1:1" ht="15.75" x14ac:dyDescent="0.2">
      <c r="A30" s="58"/>
    </row>
    <row r="31" spans="1:1" ht="78.75" x14ac:dyDescent="0.25">
      <c r="A31" s="260" t="s">
        <v>434</v>
      </c>
    </row>
    <row r="32" spans="1:1" ht="15.75" x14ac:dyDescent="0.2">
      <c r="A32" s="58"/>
    </row>
    <row r="33" spans="1:1" ht="15.75" x14ac:dyDescent="0.2">
      <c r="A33" s="58"/>
    </row>
    <row r="34" spans="1:1" ht="47.25" x14ac:dyDescent="0.25">
      <c r="A34" s="261" t="s">
        <v>435</v>
      </c>
    </row>
    <row r="35" spans="1:1" ht="15.75" x14ac:dyDescent="0.2">
      <c r="A35" s="58"/>
    </row>
    <row r="36" spans="1:1" ht="15.75" x14ac:dyDescent="0.2">
      <c r="A36" s="58"/>
    </row>
    <row r="37" spans="1:1" ht="78.75" x14ac:dyDescent="0.2">
      <c r="A37" s="226" t="s">
        <v>205</v>
      </c>
    </row>
    <row r="38" spans="1:1" ht="15.75" x14ac:dyDescent="0.2">
      <c r="A38" s="227"/>
    </row>
    <row r="39" spans="1:1" ht="15.75" x14ac:dyDescent="0.2">
      <c r="A39" s="227"/>
    </row>
    <row r="40" spans="1:1" ht="47.25" x14ac:dyDescent="0.2">
      <c r="A40" s="231" t="s">
        <v>206</v>
      </c>
    </row>
    <row r="41" spans="1:1" ht="15.75" x14ac:dyDescent="0.2">
      <c r="A41" s="227"/>
    </row>
  </sheetData>
  <sheetProtection sheet="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C9DC4551578746BB2D5CB3C7D70B0F" ma:contentTypeVersion="12" ma:contentTypeDescription="Create a new document." ma:contentTypeScope="" ma:versionID="7651c3249043c5a1de3dbca765d0b8ca">
  <xsd:schema xmlns:xsd="http://www.w3.org/2001/XMLSchema" xmlns:xs="http://www.w3.org/2001/XMLSchema" xmlns:p="http://schemas.microsoft.com/office/2006/metadata/properties" xmlns:ns2="1895758b-fcac-4748-aa0a-5720d2d7d486" xmlns:ns3="7e2d0d8f-ac74-4d4c-8884-aff3748a733a" xmlns:ns4="a9343af4-2466-41a9-9238-9dddcc3e6066" xmlns:ns5="eda53aa1-44b3-4cd7-9bce-6d7e34741e47" targetNamespace="http://schemas.microsoft.com/office/2006/metadata/properties" ma:root="true" ma:fieldsID="db0d394f9a5513f0d824e2dca6eb113c" ns2:_="" ns3:_="" ns4:_="" ns5:_="">
    <xsd:import namespace="1895758b-fcac-4748-aa0a-5720d2d7d486"/>
    <xsd:import namespace="7e2d0d8f-ac74-4d4c-8884-aff3748a733a"/>
    <xsd:import namespace="a9343af4-2466-41a9-9238-9dddcc3e6066"/>
    <xsd:import namespace="eda53aa1-44b3-4cd7-9bce-6d7e34741e4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4:SharedWithDetails"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5758b-fcac-4748-aa0a-5720d2d7d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d0d8f-ac74-4d4c-8884-aff3748a733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343af4-2466-41a9-9238-9dddcc3e6066"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a53aa1-44b3-4cd7-9bce-6d7e34741e4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3e2891e4-6779-4a5a-9225-82d50eb2cf56}" ma:internalName="TaxCatchAll" ma:showField="CatchAllData" ma:web="eda53aa1-44b3-4cd7-9bce-6d7e34741e4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da53aa1-44b3-4cd7-9bce-6d7e34741e47" xsi:nil="true"/>
  </documentManagement>
</p:properties>
</file>

<file path=customXml/itemProps1.xml><?xml version="1.0" encoding="utf-8"?>
<ds:datastoreItem xmlns:ds="http://schemas.openxmlformats.org/officeDocument/2006/customXml" ds:itemID="{BF8DB994-2025-4EA5-A31E-58081A5F18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5758b-fcac-4748-aa0a-5720d2d7d486"/>
    <ds:schemaRef ds:uri="7e2d0d8f-ac74-4d4c-8884-aff3748a733a"/>
    <ds:schemaRef ds:uri="a9343af4-2466-41a9-9238-9dddcc3e6066"/>
    <ds:schemaRef ds:uri="eda53aa1-44b3-4cd7-9bce-6d7e34741e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2117F3-C91C-4425-BF04-FC78152F1662}">
  <ds:schemaRefs>
    <ds:schemaRef ds:uri="http://schemas.microsoft.com/sharepoint/v3/contenttype/forms"/>
  </ds:schemaRefs>
</ds:datastoreItem>
</file>

<file path=customXml/itemProps3.xml><?xml version="1.0" encoding="utf-8"?>
<ds:datastoreItem xmlns:ds="http://schemas.openxmlformats.org/officeDocument/2006/customXml" ds:itemID="{C4D4A200-587C-4232-8DAD-C0A69CDC8743}">
  <ds:schemaRefs>
    <ds:schemaRef ds:uri="a9343af4-2466-41a9-9238-9dddcc3e6066"/>
    <ds:schemaRef ds:uri="http://www.w3.org/XML/1998/namespace"/>
    <ds:schemaRef ds:uri="http://purl.org/dc/elements/1.1/"/>
    <ds:schemaRef ds:uri="http://schemas.microsoft.com/office/infopath/2007/PartnerControls"/>
    <ds:schemaRef ds:uri="http://schemas.openxmlformats.org/package/2006/metadata/core-properties"/>
    <ds:schemaRef ds:uri="http://purl.org/dc/dcmitype/"/>
    <ds:schemaRef ds:uri="http://schemas.microsoft.com/office/2006/documentManagement/types"/>
    <ds:schemaRef ds:uri="7e2d0d8f-ac74-4d4c-8884-aff3748a733a"/>
    <ds:schemaRef ds:uri="1895758b-fcac-4748-aa0a-5720d2d7d486"/>
    <ds:schemaRef ds:uri="http://schemas.microsoft.com/office/2006/metadata/properties"/>
    <ds:schemaRef ds:uri="http://purl.org/dc/terms/"/>
    <ds:schemaRef ds:uri="eda53aa1-44b3-4cd7-9bce-6d7e34741e4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8</vt:i4>
      </vt:variant>
    </vt:vector>
  </HeadingPairs>
  <TitlesOfParts>
    <vt:vector size="38" baseType="lpstr">
      <vt:lpstr>Instructions</vt:lpstr>
      <vt:lpstr>inputPrYr</vt:lpstr>
      <vt:lpstr>inputOth</vt:lpstr>
      <vt:lpstr>inputHearing</vt:lpstr>
      <vt:lpstr>CPA Summary</vt:lpstr>
      <vt:lpstr>Cert</vt:lpstr>
      <vt:lpstr>Mvalloc</vt:lpstr>
      <vt:lpstr>Transfers</vt:lpstr>
      <vt:lpstr>Transfer Statutes</vt:lpstr>
      <vt:lpstr>Debt - LP Form</vt:lpstr>
      <vt:lpstr>General</vt:lpstr>
      <vt:lpstr>Debt Service</vt:lpstr>
      <vt:lpstr>Levy Page 7</vt:lpstr>
      <vt:lpstr>No Levy Page 8</vt:lpstr>
      <vt:lpstr>Non-Budgeted Funds</vt:lpstr>
      <vt:lpstr>Non-Bud Fund Statutes</vt:lpstr>
      <vt:lpstr>Budget Hearing Notice</vt:lpstr>
      <vt:lpstr>Combined Rate-Bud Hearing Notic</vt:lpstr>
      <vt:lpstr>Rate Hearing Notice</vt:lpstr>
      <vt:lpstr>NR Rebate</vt:lpstr>
      <vt:lpstr>SAMPLE Notice to County Clerk</vt:lpstr>
      <vt:lpstr>SAMPLE Roll Call to Exceed RNR</vt:lpstr>
      <vt:lpstr>SAMPLE Res to Exceed RNR</vt:lpstr>
      <vt:lpstr>Tab A</vt:lpstr>
      <vt:lpstr>Tab B</vt:lpstr>
      <vt:lpstr>Tab C</vt:lpstr>
      <vt:lpstr>Tab D</vt:lpstr>
      <vt:lpstr>Tab E</vt:lpstr>
      <vt:lpstr>Budget Tools</vt:lpstr>
      <vt:lpstr>Legend</vt:lpstr>
      <vt:lpstr>'Budget Hearing Notice'!Print_Area</vt:lpstr>
      <vt:lpstr>'Combined Rate-Bud Hearing Notic'!Print_Area</vt:lpstr>
      <vt:lpstr>'Debt Service'!Print_Area</vt:lpstr>
      <vt:lpstr>General!Print_Area</vt:lpstr>
      <vt:lpstr>inputPrYr!Print_Area</vt:lpstr>
      <vt:lpstr>Instructions!Print_Area</vt:lpstr>
      <vt:lpstr>'Levy Page 7'!Print_Area</vt:lpstr>
      <vt:lpstr>Mvalloc!Print_Area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creator>Valued Customer of</dc:creator>
  <cp:lastModifiedBy>Lindsay A. Olson [DAAR]</cp:lastModifiedBy>
  <cp:lastPrinted>2024-05-02T13:41:33Z</cp:lastPrinted>
  <dcterms:created xsi:type="dcterms:W3CDTF">1999-08-06T13:59:57Z</dcterms:created>
  <dcterms:modified xsi:type="dcterms:W3CDTF">2024-05-02T13:43:59Z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0x010100DAC9DC4551578746BB2D5CB3C7D70B0F</vt:lpwstr>
  </property>
</Properties>
</file>