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9"/>
  <workbookPr defaultThemeVersion="124226"/>
  <mc:AlternateContent xmlns:mc="http://schemas.openxmlformats.org/markup-compatibility/2006">
    <mc:Choice Requires="x15">
      <x15ac:absPath xmlns:x15ac="http://schemas.microsoft.com/office/spreadsheetml/2010/11/ac" url="https://sokansas-my.sharepoint.com/personal/stacy_jaramillo_doa_ks_gov/Documents/Desktop/2024 Special Districts/"/>
    </mc:Choice>
  </mc:AlternateContent>
  <xr:revisionPtr revIDLastSave="127" documentId="10_ncr:100000_{468BDB69-AAD3-47D4-A217-FC7C72250C85}" xr6:coauthVersionLast="47" xr6:coauthVersionMax="47" xr10:uidLastSave="{DA225B98-8DA1-4210-AA3E-910600A73AE0}"/>
  <bookViews>
    <workbookView xWindow="-120" yWindow="-120" windowWidth="29040" windowHeight="15840" tabRatio="869" xr2:uid="{00000000-000D-0000-FFFF-FFFF00000000}"/>
  </bookViews>
  <sheets>
    <sheet name="Instructions" sheetId="39" r:id="rId1"/>
    <sheet name="inputPrYr" sheetId="2" r:id="rId2"/>
    <sheet name="inputOth" sheetId="14" r:id="rId3"/>
    <sheet name="inputHearing" sheetId="40" r:id="rId4"/>
    <sheet name="CPA Summary" sheetId="41" r:id="rId5"/>
    <sheet name="Cert" sheetId="3" r:id="rId6"/>
    <sheet name="Mvalloc" sheetId="7" r:id="rId7"/>
    <sheet name="Transfers" sheetId="13" r:id="rId8"/>
    <sheet name="Transfer Statutes" sheetId="18" r:id="rId9"/>
    <sheet name="Debt-LP Form" sheetId="9" r:id="rId10"/>
    <sheet name="General" sheetId="4" r:id="rId11"/>
    <sheet name="Debt Service" sheetId="15" r:id="rId12"/>
    <sheet name="Levy Page 7" sheetId="5" r:id="rId13"/>
    <sheet name="No Levy Page 8" sheetId="6" r:id="rId14"/>
    <sheet name="Non-Budgeted Funds" sheetId="17" r:id="rId15"/>
    <sheet name="Non-Bud Fund Statutes" sheetId="19" r:id="rId16"/>
    <sheet name="Budget Hearing Notice" sheetId="8" r:id="rId17"/>
    <sheet name="Combined Rate-Bud Hearing Notic" sheetId="42" r:id="rId18"/>
    <sheet name="RNR Hearing Notice" sheetId="38" r:id="rId19"/>
    <sheet name="NR Rebate" sheetId="16" r:id="rId20"/>
    <sheet name="SAMPLE Notice to County Clerk" sheetId="37" r:id="rId21"/>
    <sheet name="SAMPLE Roll Call to Exceed RNR" sheetId="43" r:id="rId22"/>
    <sheet name="SAMPLE Spec Dist RNR Resolution" sheetId="36" r:id="rId23"/>
    <sheet name="Tab A" sheetId="20" r:id="rId24"/>
    <sheet name="Tab B" sheetId="21" r:id="rId25"/>
    <sheet name="Tab C" sheetId="22" r:id="rId26"/>
    <sheet name="Tab D" sheetId="25" r:id="rId27"/>
    <sheet name="Tab E" sheetId="24" r:id="rId28"/>
    <sheet name="Budget Tools" sheetId="44" r:id="rId29"/>
    <sheet name="Legend" sheetId="34" r:id="rId30"/>
  </sheets>
  <definedNames>
    <definedName name="_xlnm.Print_Area" localSheetId="16">'Budget Hearing Notice'!$A$2:$I$47</definedName>
    <definedName name="_xlnm.Print_Area" localSheetId="5">Cert!$A$1:$G$62</definedName>
    <definedName name="_xlnm.Print_Area" localSheetId="17">'Combined Rate-Bud Hearing Notic'!$A$2:$I$47</definedName>
    <definedName name="_xlnm.Print_Area" localSheetId="4">'CPA Summary'!$A$1:$A$30</definedName>
    <definedName name="_xlnm.Print_Area" localSheetId="11">'Debt Service'!$B$1:$F$64</definedName>
    <definedName name="_xlnm.Print_Area" localSheetId="10">General!$B$1:$F$76</definedName>
    <definedName name="_xlnm.Print_Area" localSheetId="1">inputPrYr!$A$1:$E$62</definedName>
    <definedName name="_xlnm.Print_Area" localSheetId="12">'Levy Page 7'!$A$1:$E$90</definedName>
    <definedName name="_xlnm.Print_Area" localSheetId="6">Mvalloc!$A$1:$I$35</definedName>
    <definedName name="_xlnm.Print_Area" localSheetId="18">'RNR Hearing Notice'!$A$1:$H$19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7" i="3" l="1"/>
  <c r="G32" i="3" s="1"/>
  <c r="A12" i="38"/>
  <c r="A11" i="38"/>
  <c r="A10" i="38"/>
  <c r="A38" i="22"/>
  <c r="H1" i="38" l="1"/>
  <c r="G35" i="3"/>
  <c r="C39" i="3"/>
  <c r="F39" i="3"/>
  <c r="C40" i="3"/>
  <c r="F40" i="3"/>
  <c r="C41" i="3"/>
  <c r="F41" i="3"/>
  <c r="C42" i="3"/>
  <c r="F42" i="3"/>
  <c r="C43" i="3"/>
  <c r="F43" i="3"/>
  <c r="C44" i="3"/>
  <c r="F44" i="3"/>
  <c r="C45" i="3"/>
  <c r="F45" i="3"/>
  <c r="C46" i="3"/>
  <c r="F46" i="3"/>
  <c r="D34" i="3"/>
  <c r="D33" i="3"/>
  <c r="D31" i="3"/>
  <c r="D32" i="3"/>
  <c r="A6" i="38"/>
  <c r="A5" i="38"/>
  <c r="A50" i="42"/>
  <c r="A49" i="42"/>
  <c r="A9" i="42"/>
  <c r="A7" i="42"/>
  <c r="D42" i="42"/>
  <c r="B42" i="42"/>
  <c r="D41" i="42"/>
  <c r="B41" i="42"/>
  <c r="M40" i="42"/>
  <c r="D40" i="42"/>
  <c r="B40" i="42"/>
  <c r="D39" i="42"/>
  <c r="D44" i="42" s="1"/>
  <c r="B39" i="42"/>
  <c r="B44" i="42" s="1"/>
  <c r="J38" i="42"/>
  <c r="F38" i="42"/>
  <c r="B38" i="42"/>
  <c r="B35" i="42"/>
  <c r="B34" i="42"/>
  <c r="H31" i="42"/>
  <c r="M36" i="42" s="1"/>
  <c r="A29" i="42"/>
  <c r="A28" i="42"/>
  <c r="A27" i="42"/>
  <c r="E26" i="42"/>
  <c r="C26" i="42"/>
  <c r="A26" i="42"/>
  <c r="E25" i="42"/>
  <c r="C25" i="42"/>
  <c r="A25" i="42"/>
  <c r="E24" i="42"/>
  <c r="C24" i="42"/>
  <c r="E23" i="42"/>
  <c r="C23" i="42"/>
  <c r="C30" i="42" s="1"/>
  <c r="G21" i="42"/>
  <c r="F20" i="42"/>
  <c r="B20" i="42"/>
  <c r="A18" i="42"/>
  <c r="A14" i="42"/>
  <c r="A13" i="42"/>
  <c r="A12" i="42"/>
  <c r="A6" i="42"/>
  <c r="A5" i="42"/>
  <c r="H1" i="42"/>
  <c r="D38" i="42" s="1"/>
  <c r="A50" i="8"/>
  <c r="A49" i="8"/>
  <c r="A12" i="8"/>
  <c r="A9" i="8"/>
  <c r="A7" i="8"/>
  <c r="A55" i="14"/>
  <c r="A54" i="14"/>
  <c r="A53" i="14"/>
  <c r="A52" i="14"/>
  <c r="A51" i="14"/>
  <c r="A50" i="14"/>
  <c r="A49" i="14"/>
  <c r="A48" i="14"/>
  <c r="A47" i="14"/>
  <c r="A46" i="14"/>
  <c r="A45" i="14"/>
  <c r="A44" i="14"/>
  <c r="A43" i="14"/>
  <c r="A42" i="14"/>
  <c r="A41" i="14"/>
  <c r="A56" i="14"/>
  <c r="A64" i="14"/>
  <c r="A63" i="14"/>
  <c r="A62" i="14"/>
  <c r="A61" i="14"/>
  <c r="D57" i="14"/>
  <c r="D35" i="8" s="1"/>
  <c r="J28" i="42" l="1"/>
  <c r="D35" i="42"/>
  <c r="E30" i="42"/>
  <c r="M23" i="42" s="1"/>
  <c r="A17" i="42"/>
  <c r="J21" i="42"/>
  <c r="J23" i="42"/>
  <c r="J30" i="42"/>
  <c r="J40" i="42"/>
  <c r="J17" i="42"/>
  <c r="J24" i="42"/>
  <c r="J37" i="42"/>
  <c r="J31" i="42"/>
  <c r="J39" i="42"/>
  <c r="D20" i="42"/>
  <c r="F77" i="14"/>
  <c r="E23" i="7" s="1"/>
  <c r="E77" i="14"/>
  <c r="E21" i="7" s="1"/>
  <c r="D77" i="14"/>
  <c r="E19" i="7" s="1"/>
  <c r="C77" i="14"/>
  <c r="E17" i="7" s="1"/>
  <c r="B77" i="14"/>
  <c r="E15" i="7" s="1"/>
  <c r="B25" i="14"/>
  <c r="F35" i="42" s="1"/>
  <c r="E64" i="2"/>
  <c r="D64" i="2"/>
  <c r="M31" i="42" l="1"/>
  <c r="M39" i="42"/>
  <c r="M19" i="42"/>
  <c r="H31" i="8"/>
  <c r="A14" i="8"/>
  <c r="A13" i="8"/>
  <c r="G38" i="2"/>
  <c r="G39" i="2"/>
  <c r="E1" i="6"/>
  <c r="B27" i="6" s="1"/>
  <c r="E1" i="4"/>
  <c r="B65" i="4" s="1"/>
  <c r="E1" i="15"/>
  <c r="H42" i="15" s="1"/>
  <c r="D39" i="5"/>
  <c r="E39" i="5" s="1"/>
  <c r="D79" i="5"/>
  <c r="E79" i="5" s="1"/>
  <c r="D56" i="15"/>
  <c r="E56" i="15" s="1"/>
  <c r="D69" i="4"/>
  <c r="E69" i="4" s="1"/>
  <c r="D47" i="5"/>
  <c r="D63" i="5" s="1"/>
  <c r="D62" i="5" s="1"/>
  <c r="D8" i="5"/>
  <c r="D23" i="5" s="1"/>
  <c r="D22" i="5" s="1"/>
  <c r="G36" i="2"/>
  <c r="D8" i="15"/>
  <c r="D32" i="15" s="1"/>
  <c r="D31" i="15" s="1"/>
  <c r="G35" i="2"/>
  <c r="D9" i="4"/>
  <c r="D36" i="4" s="1"/>
  <c r="G34" i="2"/>
  <c r="E1" i="5"/>
  <c r="G57" i="5" s="1"/>
  <c r="G46" i="4"/>
  <c r="F41" i="9"/>
  <c r="A8" i="24"/>
  <c r="A46" i="25"/>
  <c r="A41" i="25"/>
  <c r="A6" i="25"/>
  <c r="A33" i="22"/>
  <c r="A19" i="22"/>
  <c r="A6" i="22"/>
  <c r="A34" i="21"/>
  <c r="A33" i="21"/>
  <c r="A6" i="21"/>
  <c r="A64" i="20"/>
  <c r="A61" i="20"/>
  <c r="A33" i="20"/>
  <c r="A28" i="20"/>
  <c r="A25" i="20"/>
  <c r="A16" i="20"/>
  <c r="A6" i="20"/>
  <c r="C12" i="7"/>
  <c r="C11" i="7"/>
  <c r="C10" i="7"/>
  <c r="C9" i="7"/>
  <c r="E40" i="2"/>
  <c r="D34" i="42" s="1"/>
  <c r="A29" i="3"/>
  <c r="D29" i="3"/>
  <c r="A29" i="8"/>
  <c r="J28" i="17"/>
  <c r="A1" i="17"/>
  <c r="I5" i="17"/>
  <c r="G5" i="17"/>
  <c r="E5" i="17"/>
  <c r="C5" i="17"/>
  <c r="A5" i="17"/>
  <c r="K1" i="17"/>
  <c r="F2" i="17" s="1"/>
  <c r="K7" i="17"/>
  <c r="B17" i="17"/>
  <c r="B18" i="17"/>
  <c r="D17" i="17"/>
  <c r="D18" i="17" s="1"/>
  <c r="D29" i="17" s="1"/>
  <c r="D30" i="17" s="1"/>
  <c r="F17" i="17"/>
  <c r="F18" i="17" s="1"/>
  <c r="H17" i="17"/>
  <c r="J17" i="17"/>
  <c r="J18" i="17" s="1"/>
  <c r="B28" i="17"/>
  <c r="D28" i="17"/>
  <c r="F28" i="17"/>
  <c r="H28" i="17"/>
  <c r="C36" i="4"/>
  <c r="C37" i="4" s="1"/>
  <c r="C63" i="4"/>
  <c r="C62" i="4" s="1"/>
  <c r="D63" i="4"/>
  <c r="D23" i="42" s="1"/>
  <c r="E16" i="4"/>
  <c r="C50" i="15"/>
  <c r="B24" i="8" s="1"/>
  <c r="C32" i="15"/>
  <c r="C31" i="15" s="1"/>
  <c r="D50" i="15"/>
  <c r="C33" i="5"/>
  <c r="C23" i="5"/>
  <c r="C24" i="5" s="1"/>
  <c r="C34" i="5" s="1"/>
  <c r="D33" i="5"/>
  <c r="C73" i="5"/>
  <c r="C72" i="5" s="1"/>
  <c r="C63" i="5"/>
  <c r="C64" i="5" s="1"/>
  <c r="C74" i="5" s="1"/>
  <c r="D73" i="5"/>
  <c r="C32" i="6"/>
  <c r="C64" i="6"/>
  <c r="D32" i="6"/>
  <c r="D64" i="6"/>
  <c r="C18" i="6"/>
  <c r="C17" i="6"/>
  <c r="C30" i="6"/>
  <c r="B27" i="42" s="1"/>
  <c r="D30" i="6"/>
  <c r="D18" i="6"/>
  <c r="D17" i="6" s="1"/>
  <c r="E18" i="6"/>
  <c r="E17" i="6" s="1"/>
  <c r="E30" i="6"/>
  <c r="F27" i="42" s="1"/>
  <c r="C50" i="6"/>
  <c r="C51" i="6" s="1"/>
  <c r="C62" i="6"/>
  <c r="B28" i="42" s="1"/>
  <c r="D62" i="6"/>
  <c r="D50" i="6"/>
  <c r="D49" i="6" s="1"/>
  <c r="E50" i="6"/>
  <c r="E49" i="6" s="1"/>
  <c r="E62" i="6"/>
  <c r="F28" i="42" s="1"/>
  <c r="D75" i="5"/>
  <c r="C75" i="5"/>
  <c r="D35" i="5"/>
  <c r="C35" i="5"/>
  <c r="D52" i="15"/>
  <c r="C52" i="15"/>
  <c r="D65" i="4"/>
  <c r="C65" i="4"/>
  <c r="A44" i="2"/>
  <c r="D44" i="2"/>
  <c r="A40" i="2"/>
  <c r="D33" i="2"/>
  <c r="E33" i="2"/>
  <c r="A62" i="2"/>
  <c r="A61" i="2"/>
  <c r="D52" i="2"/>
  <c r="C25" i="14"/>
  <c r="D25" i="14"/>
  <c r="F25" i="14"/>
  <c r="E25" i="14"/>
  <c r="D16" i="16"/>
  <c r="D18" i="16" s="1"/>
  <c r="C101" i="14"/>
  <c r="B101" i="14"/>
  <c r="D102" i="14" s="1"/>
  <c r="A100" i="14"/>
  <c r="A99" i="14"/>
  <c r="A76" i="14"/>
  <c r="A75" i="14"/>
  <c r="A24" i="14"/>
  <c r="A23" i="14"/>
  <c r="F1" i="14"/>
  <c r="A39" i="14" s="1"/>
  <c r="D24" i="3"/>
  <c r="D20" i="16"/>
  <c r="D22" i="16" s="1"/>
  <c r="D62" i="4"/>
  <c r="B10" i="16"/>
  <c r="B9" i="16"/>
  <c r="B8" i="16"/>
  <c r="B7" i="16"/>
  <c r="F1" i="16"/>
  <c r="B4" i="16" s="1"/>
  <c r="A1" i="16"/>
  <c r="D11" i="16"/>
  <c r="E11" i="16"/>
  <c r="D12" i="16"/>
  <c r="E12" i="16"/>
  <c r="C13" i="16"/>
  <c r="A114" i="14"/>
  <c r="A113" i="14"/>
  <c r="A112" i="14"/>
  <c r="A111" i="14"/>
  <c r="A110" i="14"/>
  <c r="A109" i="14"/>
  <c r="I1" i="7"/>
  <c r="C7" i="7" s="1"/>
  <c r="A28" i="8"/>
  <c r="A27" i="8"/>
  <c r="A26" i="8"/>
  <c r="A25" i="8"/>
  <c r="A36" i="14"/>
  <c r="A35" i="14"/>
  <c r="H1" i="8"/>
  <c r="J17" i="8" s="1"/>
  <c r="A74" i="14"/>
  <c r="A73" i="14"/>
  <c r="A72" i="14"/>
  <c r="A71" i="14"/>
  <c r="A70" i="14"/>
  <c r="A69" i="14"/>
  <c r="A68" i="14"/>
  <c r="A67" i="14"/>
  <c r="A66" i="14"/>
  <c r="A65" i="14"/>
  <c r="A98" i="14"/>
  <c r="A97" i="14"/>
  <c r="A96" i="14"/>
  <c r="A95" i="14"/>
  <c r="A94" i="14"/>
  <c r="A93" i="14"/>
  <c r="A92" i="14"/>
  <c r="A91" i="14"/>
  <c r="A90" i="14"/>
  <c r="A89" i="14"/>
  <c r="A22" i="14"/>
  <c r="A21" i="14"/>
  <c r="A20" i="14"/>
  <c r="A19" i="14"/>
  <c r="A18" i="14"/>
  <c r="A17" i="14"/>
  <c r="A16" i="14"/>
  <c r="A15" i="14"/>
  <c r="A14" i="14"/>
  <c r="A13" i="14"/>
  <c r="G1" i="3"/>
  <c r="C37" i="3" s="1"/>
  <c r="B35" i="8"/>
  <c r="B34" i="8"/>
  <c r="D42" i="8"/>
  <c r="B42" i="8"/>
  <c r="D41" i="8"/>
  <c r="D40" i="8"/>
  <c r="B41" i="8"/>
  <c r="B40" i="8"/>
  <c r="D39" i="8"/>
  <c r="B39" i="8"/>
  <c r="D37" i="14"/>
  <c r="G41" i="9"/>
  <c r="F20" i="9"/>
  <c r="F41" i="42" s="1"/>
  <c r="F16" i="9"/>
  <c r="F12" i="9"/>
  <c r="E24" i="13"/>
  <c r="E26" i="13" s="1"/>
  <c r="D24" i="13"/>
  <c r="D26" i="13"/>
  <c r="C24" i="13"/>
  <c r="C26" i="13" s="1"/>
  <c r="E26" i="8"/>
  <c r="G73" i="5" s="1"/>
  <c r="E25" i="8"/>
  <c r="G31" i="5" s="1"/>
  <c r="E24" i="8"/>
  <c r="G48" i="15" s="1"/>
  <c r="E23" i="8"/>
  <c r="G59" i="4" s="1"/>
  <c r="C26" i="8"/>
  <c r="C25" i="8"/>
  <c r="C24" i="8"/>
  <c r="C23" i="8"/>
  <c r="A6" i="8"/>
  <c r="A5" i="8"/>
  <c r="B57" i="2"/>
  <c r="B56" i="2"/>
  <c r="B55" i="2"/>
  <c r="C24" i="3"/>
  <c r="A6" i="3"/>
  <c r="F1" i="13"/>
  <c r="D9" i="13" s="1"/>
  <c r="A3" i="13"/>
  <c r="A2" i="13"/>
  <c r="B12" i="7"/>
  <c r="B11" i="7"/>
  <c r="B10" i="7"/>
  <c r="B9" i="7"/>
  <c r="B2" i="7"/>
  <c r="B1" i="7"/>
  <c r="B1" i="15"/>
  <c r="B2" i="9"/>
  <c r="B1" i="9"/>
  <c r="L1" i="9"/>
  <c r="F8" i="9" s="1"/>
  <c r="G28" i="9" s="1"/>
  <c r="I28" i="9"/>
  <c r="I41" i="9"/>
  <c r="H41" i="9"/>
  <c r="L12" i="9"/>
  <c r="L16" i="9"/>
  <c r="L20" i="9"/>
  <c r="K12" i="9"/>
  <c r="K16" i="9"/>
  <c r="K20" i="9"/>
  <c r="J12" i="9"/>
  <c r="J16" i="9"/>
  <c r="J20" i="9"/>
  <c r="I12" i="9"/>
  <c r="I16" i="9"/>
  <c r="I20" i="9"/>
  <c r="A1" i="14"/>
  <c r="A12" i="14"/>
  <c r="A11" i="14"/>
  <c r="A10" i="14"/>
  <c r="A9" i="14"/>
  <c r="A31" i="2"/>
  <c r="A88" i="14"/>
  <c r="A87" i="14"/>
  <c r="A86" i="14"/>
  <c r="A85" i="14"/>
  <c r="A53" i="2"/>
  <c r="D58" i="2"/>
  <c r="D28" i="3"/>
  <c r="D27" i="3"/>
  <c r="D26" i="3"/>
  <c r="D25" i="3"/>
  <c r="C26" i="3"/>
  <c r="C25" i="3"/>
  <c r="A28" i="3"/>
  <c r="A27" i="3"/>
  <c r="A26" i="3"/>
  <c r="A25" i="3"/>
  <c r="C23" i="3"/>
  <c r="A8" i="3"/>
  <c r="B6" i="4"/>
  <c r="B2" i="4"/>
  <c r="B1" i="4"/>
  <c r="B54" i="2"/>
  <c r="B44" i="5"/>
  <c r="B5" i="5"/>
  <c r="B2" i="5"/>
  <c r="B1" i="5"/>
  <c r="B38" i="6"/>
  <c r="B6" i="6"/>
  <c r="B2" i="6"/>
  <c r="B1" i="6"/>
  <c r="F35" i="8"/>
  <c r="M19" i="8" s="1"/>
  <c r="D7" i="16"/>
  <c r="E7" i="16"/>
  <c r="E33" i="4" s="1"/>
  <c r="D8" i="16"/>
  <c r="E8" i="16"/>
  <c r="E29" i="15" s="1"/>
  <c r="E50" i="15"/>
  <c r="F24" i="8" s="1"/>
  <c r="D9" i="16"/>
  <c r="E9" i="16"/>
  <c r="E20" i="5" s="1"/>
  <c r="E33" i="5"/>
  <c r="E35" i="5" s="1"/>
  <c r="E25" i="3"/>
  <c r="D10" i="16"/>
  <c r="E10" i="16"/>
  <c r="E73" i="5"/>
  <c r="E75" i="5" s="1"/>
  <c r="J31" i="15"/>
  <c r="J32" i="15"/>
  <c r="J33" i="15"/>
  <c r="J15" i="5"/>
  <c r="J16" i="5"/>
  <c r="J14" i="5"/>
  <c r="J42" i="4"/>
  <c r="J43" i="4"/>
  <c r="J44" i="4"/>
  <c r="M40" i="8"/>
  <c r="J56" i="5"/>
  <c r="J57" i="5"/>
  <c r="J58" i="5"/>
  <c r="E63" i="4"/>
  <c r="C5" i="5"/>
  <c r="C44" i="5" s="1"/>
  <c r="C6" i="4"/>
  <c r="B75" i="5"/>
  <c r="C49" i="6"/>
  <c r="G18" i="5"/>
  <c r="D27" i="8"/>
  <c r="F39" i="8"/>
  <c r="C19" i="6"/>
  <c r="E5" i="15"/>
  <c r="K7" i="9"/>
  <c r="H50" i="4"/>
  <c r="G39" i="4"/>
  <c r="D6" i="4"/>
  <c r="G53" i="5"/>
  <c r="G60" i="5"/>
  <c r="H64" i="5"/>
  <c r="B30" i="5"/>
  <c r="G11" i="5"/>
  <c r="C35" i="4"/>
  <c r="C61" i="6"/>
  <c r="D5" i="5"/>
  <c r="D44" i="5" s="1"/>
  <c r="B70" i="5"/>
  <c r="H26" i="5"/>
  <c r="C6" i="6"/>
  <c r="C38" i="6" s="1"/>
  <c r="E5" i="5"/>
  <c r="E44" i="5" s="1"/>
  <c r="B59" i="6"/>
  <c r="H65" i="5"/>
  <c r="C80" i="5"/>
  <c r="H62" i="5"/>
  <c r="H68" i="5"/>
  <c r="H63" i="5"/>
  <c r="H22" i="5"/>
  <c r="H23" i="5"/>
  <c r="B35" i="5"/>
  <c r="H20" i="5"/>
  <c r="H25" i="5"/>
  <c r="G15" i="5"/>
  <c r="H67" i="5"/>
  <c r="H21" i="5"/>
  <c r="D34" i="8"/>
  <c r="F80" i="5" l="1"/>
  <c r="E72" i="5"/>
  <c r="B28" i="8"/>
  <c r="E27" i="3"/>
  <c r="E29" i="6"/>
  <c r="E32" i="6"/>
  <c r="C31" i="6"/>
  <c r="C34" i="6" s="1"/>
  <c r="C29" i="6"/>
  <c r="B27" i="8"/>
  <c r="B26" i="8"/>
  <c r="D82" i="4"/>
  <c r="D23" i="8"/>
  <c r="G53" i="4"/>
  <c r="C82" i="4"/>
  <c r="B67" i="4" s="1"/>
  <c r="H39" i="15"/>
  <c r="H54" i="4"/>
  <c r="B47" i="15"/>
  <c r="D6" i="6"/>
  <c r="D38" i="6" s="1"/>
  <c r="G43" i="4"/>
  <c r="B32" i="6"/>
  <c r="H48" i="4"/>
  <c r="C5" i="15"/>
  <c r="E6" i="4"/>
  <c r="B64" i="6"/>
  <c r="H51" i="4"/>
  <c r="C57" i="15"/>
  <c r="H53" i="4"/>
  <c r="C70" i="4"/>
  <c r="E6" i="6"/>
  <c r="E38" i="6" s="1"/>
  <c r="B52" i="15"/>
  <c r="H40" i="15"/>
  <c r="H43" i="15"/>
  <c r="G28" i="15"/>
  <c r="G32" i="15"/>
  <c r="H49" i="4"/>
  <c r="D5" i="15"/>
  <c r="G35" i="15"/>
  <c r="H38" i="15"/>
  <c r="B32" i="8"/>
  <c r="B32" i="42"/>
  <c r="H37" i="15"/>
  <c r="H51" i="15"/>
  <c r="H50" i="15"/>
  <c r="H48" i="15"/>
  <c r="H47" i="15"/>
  <c r="G62" i="5"/>
  <c r="D26" i="42"/>
  <c r="G25" i="5"/>
  <c r="B25" i="42"/>
  <c r="I21" i="9"/>
  <c r="D32" i="8"/>
  <c r="D32" i="42"/>
  <c r="B60" i="4"/>
  <c r="H62" i="4"/>
  <c r="H61" i="4"/>
  <c r="H59" i="4"/>
  <c r="H58" i="4"/>
  <c r="E28" i="3"/>
  <c r="G42" i="15"/>
  <c r="J21" i="9"/>
  <c r="B23" i="8"/>
  <c r="B23" i="42"/>
  <c r="G20" i="5"/>
  <c r="D25" i="42"/>
  <c r="C22" i="5"/>
  <c r="A26" i="16"/>
  <c r="F32" i="8"/>
  <c r="F32" i="42"/>
  <c r="D29" i="6"/>
  <c r="D27" i="42"/>
  <c r="G67" i="5"/>
  <c r="B26" i="42"/>
  <c r="D65" i="6"/>
  <c r="D28" i="42"/>
  <c r="D25" i="8"/>
  <c r="F25" i="8"/>
  <c r="K21" i="9"/>
  <c r="F21" i="9"/>
  <c r="F39" i="42"/>
  <c r="C63" i="6"/>
  <c r="C68" i="6" s="1"/>
  <c r="D32" i="5"/>
  <c r="F40" i="8"/>
  <c r="F40" i="42"/>
  <c r="E64" i="6"/>
  <c r="D24" i="8"/>
  <c r="D24" i="42"/>
  <c r="H28" i="9"/>
  <c r="F27" i="8"/>
  <c r="F41" i="8"/>
  <c r="F44" i="8" s="1"/>
  <c r="C92" i="5"/>
  <c r="K28" i="17"/>
  <c r="C62" i="5"/>
  <c r="L21" i="9"/>
  <c r="F42" i="8"/>
  <c r="F42" i="42"/>
  <c r="C94" i="5"/>
  <c r="J29" i="17"/>
  <c r="J30" i="17" s="1"/>
  <c r="C40" i="5"/>
  <c r="H30" i="5"/>
  <c r="H73" i="5"/>
  <c r="H76" i="5"/>
  <c r="H72" i="5"/>
  <c r="H34" i="5"/>
  <c r="H33" i="5"/>
  <c r="H75" i="5"/>
  <c r="H31" i="5"/>
  <c r="D92" i="5"/>
  <c r="C49" i="15"/>
  <c r="B24" i="42"/>
  <c r="I7" i="9"/>
  <c r="C65" i="6"/>
  <c r="K17" i="17"/>
  <c r="K30" i="17" s="1"/>
  <c r="E61" i="6"/>
  <c r="F28" i="8"/>
  <c r="C33" i="6"/>
  <c r="E26" i="3"/>
  <c r="F26" i="42"/>
  <c r="E77" i="5"/>
  <c r="E37" i="5"/>
  <c r="F38" i="5"/>
  <c r="F25" i="42"/>
  <c r="E32" i="5"/>
  <c r="E49" i="15"/>
  <c r="F24" i="42"/>
  <c r="E67" i="4"/>
  <c r="F23" i="42"/>
  <c r="M36" i="8"/>
  <c r="G32" i="5"/>
  <c r="G74" i="5"/>
  <c r="D14" i="38"/>
  <c r="G60" i="4"/>
  <c r="G49" i="15"/>
  <c r="F32" i="3"/>
  <c r="F15" i="3"/>
  <c r="C59" i="3"/>
  <c r="E14" i="3"/>
  <c r="A12" i="3"/>
  <c r="A11" i="3"/>
  <c r="J38" i="8"/>
  <c r="A17" i="8"/>
  <c r="J40" i="8"/>
  <c r="C30" i="8"/>
  <c r="B44" i="8"/>
  <c r="D44" i="8"/>
  <c r="C32" i="5"/>
  <c r="F26" i="8"/>
  <c r="C69" i="15"/>
  <c r="D69" i="15"/>
  <c r="C33" i="15"/>
  <c r="C51" i="15" s="1"/>
  <c r="C70" i="15" s="1"/>
  <c r="D49" i="15"/>
  <c r="F58" i="15"/>
  <c r="E52" i="15"/>
  <c r="E24" i="3"/>
  <c r="E54" i="15"/>
  <c r="E65" i="4"/>
  <c r="C64" i="4"/>
  <c r="C13" i="7"/>
  <c r="D6" i="14"/>
  <c r="E6" i="14"/>
  <c r="F6" i="14"/>
  <c r="C6" i="14"/>
  <c r="A27" i="14"/>
  <c r="B6" i="14"/>
  <c r="A5" i="14"/>
  <c r="M39" i="8"/>
  <c r="G9" i="7"/>
  <c r="E14" i="4" s="1"/>
  <c r="G12" i="7"/>
  <c r="E52" i="5" s="1"/>
  <c r="E10" i="7"/>
  <c r="E11" i="15" s="1"/>
  <c r="E11" i="7"/>
  <c r="E11" i="5" s="1"/>
  <c r="E12" i="7"/>
  <c r="E50" i="5" s="1"/>
  <c r="E9" i="7"/>
  <c r="E12" i="4" s="1"/>
  <c r="A31" i="14"/>
  <c r="B107" i="14"/>
  <c r="A59" i="14"/>
  <c r="A82" i="14"/>
  <c r="A106" i="14"/>
  <c r="D107" i="14"/>
  <c r="D13" i="16"/>
  <c r="E30" i="8"/>
  <c r="E13" i="16"/>
  <c r="C6" i="16"/>
  <c r="E6" i="16"/>
  <c r="D6" i="16"/>
  <c r="A16" i="16"/>
  <c r="B6" i="16"/>
  <c r="C93" i="5"/>
  <c r="D6" i="5"/>
  <c r="D24" i="5" s="1"/>
  <c r="D34" i="5" s="1"/>
  <c r="F10" i="7"/>
  <c r="E12" i="15" s="1"/>
  <c r="F9" i="7"/>
  <c r="F11" i="7"/>
  <c r="E12" i="5" s="1"/>
  <c r="F12" i="7"/>
  <c r="E51" i="5" s="1"/>
  <c r="D35" i="4"/>
  <c r="D45" i="5"/>
  <c r="D64" i="5" s="1"/>
  <c r="D74" i="5" s="1"/>
  <c r="C95" i="5"/>
  <c r="G33" i="7"/>
  <c r="D27" i="7"/>
  <c r="E29" i="7"/>
  <c r="F31" i="7"/>
  <c r="C25" i="7"/>
  <c r="D12" i="7"/>
  <c r="E49" i="5" s="1"/>
  <c r="D9" i="7"/>
  <c r="D11" i="7"/>
  <c r="E10" i="5" s="1"/>
  <c r="D10" i="7"/>
  <c r="E10" i="15" s="1"/>
  <c r="H10" i="7"/>
  <c r="E14" i="15" s="1"/>
  <c r="H9" i="7"/>
  <c r="H12" i="7"/>
  <c r="E53" i="5" s="1"/>
  <c r="H11" i="7"/>
  <c r="E14" i="5" s="1"/>
  <c r="F29" i="17"/>
  <c r="F30" i="17" s="1"/>
  <c r="F38" i="8"/>
  <c r="J23" i="8"/>
  <c r="B29" i="17"/>
  <c r="C9" i="13"/>
  <c r="E9" i="13"/>
  <c r="B29" i="13" s="1"/>
  <c r="E23" i="3"/>
  <c r="J37" i="8"/>
  <c r="J24" i="8"/>
  <c r="B38" i="8"/>
  <c r="E62" i="4"/>
  <c r="E60" i="5"/>
  <c r="G21" i="8"/>
  <c r="D7" i="7"/>
  <c r="D61" i="6"/>
  <c r="D26" i="8"/>
  <c r="H18" i="17"/>
  <c r="H29" i="17" s="1"/>
  <c r="H30" i="17" s="1"/>
  <c r="G11" i="7"/>
  <c r="E13" i="5" s="1"/>
  <c r="B20" i="8"/>
  <c r="D20" i="8"/>
  <c r="D94" i="5"/>
  <c r="A18" i="8"/>
  <c r="J21" i="8"/>
  <c r="F20" i="8"/>
  <c r="F66" i="4"/>
  <c r="B7" i="7"/>
  <c r="B25" i="8"/>
  <c r="J30" i="8"/>
  <c r="J28" i="8"/>
  <c r="J39" i="8"/>
  <c r="F23" i="8"/>
  <c r="D72" i="5"/>
  <c r="D28" i="8"/>
  <c r="D33" i="6"/>
  <c r="D38" i="8"/>
  <c r="J31" i="8"/>
  <c r="G10" i="7"/>
  <c r="E13" i="15" s="1"/>
  <c r="D39" i="6" l="1"/>
  <c r="D51" i="6" s="1"/>
  <c r="D63" i="6" s="1"/>
  <c r="D68" i="6" s="1"/>
  <c r="D7" i="6"/>
  <c r="D19" i="6" s="1"/>
  <c r="D31" i="6" s="1"/>
  <c r="B37" i="5"/>
  <c r="B54" i="15"/>
  <c r="D30" i="42"/>
  <c r="D33" i="42" s="1"/>
  <c r="C83" i="4"/>
  <c r="D7" i="4"/>
  <c r="D37" i="4" s="1"/>
  <c r="D64" i="4" s="1"/>
  <c r="G48" i="4" s="1"/>
  <c r="D6" i="15"/>
  <c r="D33" i="15" s="1"/>
  <c r="D51" i="15" s="1"/>
  <c r="G37" i="15" s="1"/>
  <c r="B29" i="8"/>
  <c r="B30" i="8" s="1"/>
  <c r="B33" i="8" s="1"/>
  <c r="B29" i="42"/>
  <c r="B30" i="42" s="1"/>
  <c r="B33" i="42" s="1"/>
  <c r="F44" i="42"/>
  <c r="B77" i="5"/>
  <c r="F30" i="42"/>
  <c r="F33" i="42" s="1"/>
  <c r="G62" i="4"/>
  <c r="G51" i="15"/>
  <c r="G76" i="5"/>
  <c r="G34" i="5"/>
  <c r="F30" i="8"/>
  <c r="F33" i="8" s="1"/>
  <c r="D30" i="8"/>
  <c r="D33" i="8" s="1"/>
  <c r="E30" i="3"/>
  <c r="M23" i="8"/>
  <c r="M31" i="8" s="1"/>
  <c r="E13" i="7"/>
  <c r="E15" i="4"/>
  <c r="H13" i="7"/>
  <c r="F13" i="7"/>
  <c r="E13" i="4"/>
  <c r="D70" i="15"/>
  <c r="B55" i="15" s="1"/>
  <c r="E6" i="15"/>
  <c r="K18" i="17"/>
  <c r="E32" i="15"/>
  <c r="E23" i="5"/>
  <c r="E6" i="5"/>
  <c r="D93" i="5"/>
  <c r="B38" i="5" s="1"/>
  <c r="E45" i="5"/>
  <c r="D95" i="5"/>
  <c r="B78" i="5" s="1"/>
  <c r="E11" i="4"/>
  <c r="D13" i="7"/>
  <c r="G13" i="7"/>
  <c r="B30" i="17"/>
  <c r="K29" i="17"/>
  <c r="E63" i="5"/>
  <c r="E39" i="6" l="1"/>
  <c r="E51" i="6" s="1"/>
  <c r="E63" i="6" s="1"/>
  <c r="E65" i="6" s="1"/>
  <c r="D34" i="6"/>
  <c r="E7" i="6"/>
  <c r="E19" i="6" s="1"/>
  <c r="E31" i="6" s="1"/>
  <c r="E33" i="6" s="1"/>
  <c r="E7" i="4"/>
  <c r="D83" i="4"/>
  <c r="B68" i="4" s="1"/>
  <c r="G21" i="5"/>
  <c r="E24" i="5"/>
  <c r="E38" i="5" s="1"/>
  <c r="E40" i="5" s="1"/>
  <c r="G63" i="5"/>
  <c r="G38" i="15"/>
  <c r="E36" i="4"/>
  <c r="E64" i="5"/>
  <c r="E78" i="5" s="1"/>
  <c r="E80" i="5" s="1"/>
  <c r="E33" i="15"/>
  <c r="E55" i="15" s="1"/>
  <c r="E57" i="15" s="1"/>
  <c r="E37" i="4" l="1"/>
  <c r="E68" i="4" s="1"/>
  <c r="E70" i="4" s="1"/>
  <c r="G23" i="42" s="1"/>
  <c r="H23" i="42" s="1"/>
  <c r="G25" i="42"/>
  <c r="H25" i="42" s="1"/>
  <c r="E62" i="5"/>
  <c r="G26" i="42"/>
  <c r="H26" i="42" s="1"/>
  <c r="E31" i="15"/>
  <c r="G24" i="42"/>
  <c r="H24" i="42" s="1"/>
  <c r="F26" i="3"/>
  <c r="G26" i="3" s="1"/>
  <c r="G26" i="8"/>
  <c r="H26" i="8" s="1"/>
  <c r="G72" i="5" s="1"/>
  <c r="G64" i="5"/>
  <c r="K64" i="5" s="1"/>
  <c r="F25" i="3"/>
  <c r="G25" i="3" s="1"/>
  <c r="G25" i="8"/>
  <c r="H25" i="8" s="1"/>
  <c r="G30" i="5" s="1"/>
  <c r="G22" i="5"/>
  <c r="K22" i="5" s="1"/>
  <c r="G39" i="15"/>
  <c r="K39" i="15" s="1"/>
  <c r="G24" i="8"/>
  <c r="H24" i="8" s="1"/>
  <c r="G47" i="15" s="1"/>
  <c r="F24" i="3"/>
  <c r="G24" i="3" s="1"/>
  <c r="G49" i="4"/>
  <c r="E22" i="5"/>
  <c r="F23" i="3" l="1"/>
  <c r="G23" i="3" s="1"/>
  <c r="G30" i="3" s="1"/>
  <c r="E35" i="4"/>
  <c r="G50" i="4"/>
  <c r="K50" i="4" s="1"/>
  <c r="G23" i="8"/>
  <c r="H23" i="8" s="1"/>
  <c r="G58" i="4" s="1"/>
  <c r="G30" i="42"/>
  <c r="M30" i="42" s="1"/>
  <c r="M32" i="42" s="1"/>
  <c r="M25" i="42" s="1"/>
  <c r="J25" i="42" s="1"/>
  <c r="H30" i="42"/>
  <c r="M37" i="42" s="1"/>
  <c r="G65" i="5"/>
  <c r="G68" i="5" s="1"/>
  <c r="G23" i="5"/>
  <c r="G26" i="5" s="1"/>
  <c r="G40" i="15"/>
  <c r="G43" i="15" s="1"/>
  <c r="H30" i="8" l="1"/>
  <c r="M42" i="8" s="1"/>
  <c r="J44" i="8" s="1"/>
  <c r="G51" i="4"/>
  <c r="G54" i="4" s="1"/>
  <c r="G30" i="8"/>
  <c r="M30" i="8" s="1"/>
  <c r="M32" i="8" s="1"/>
  <c r="M25" i="8" s="1"/>
  <c r="J25" i="8" s="1"/>
  <c r="F30" i="3"/>
  <c r="M26" i="42"/>
  <c r="J26" i="42" s="1"/>
  <c r="M42" i="42"/>
  <c r="J44" i="42" s="1"/>
  <c r="M37" i="8" l="1"/>
  <c r="M26" i="8"/>
  <c r="J26" i="8" s="1"/>
  <c r="G50" i="15"/>
  <c r="J53" i="15" s="1"/>
  <c r="G55" i="15" s="1"/>
  <c r="G61" i="4"/>
  <c r="J64" i="4" s="1"/>
  <c r="G66" i="4" s="1"/>
  <c r="G75" i="5"/>
  <c r="J78" i="5" s="1"/>
  <c r="G80" i="5" s="1"/>
  <c r="G14" i="38"/>
  <c r="G33" i="5"/>
  <c r="J36" i="5" s="1"/>
  <c r="G38" i="5" s="1"/>
</calcChain>
</file>

<file path=xl/sharedStrings.xml><?xml version="1.0" encoding="utf-8"?>
<sst xmlns="http://schemas.openxmlformats.org/spreadsheetml/2006/main" count="1209" uniqueCount="857">
  <si>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</si>
  <si>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</si>
  <si>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</si>
  <si>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</si>
  <si>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</si>
  <si>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</si>
  <si>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</si>
  <si>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</si>
  <si>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</si>
  <si>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</si>
  <si>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</si>
  <si>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</si>
  <si>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</si>
  <si>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</si>
  <si>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</si>
  <si>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</si>
  <si>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</si>
  <si>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</si>
  <si>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</si>
  <si>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</si>
  <si>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</si>
  <si>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</si>
  <si>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</si>
  <si>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</si>
  <si>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</si>
  <si>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</si>
  <si>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</si>
  <si>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</si>
  <si>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</si>
  <si>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</si>
  <si>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</si>
  <si>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</si>
  <si>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</si>
  <si>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</si>
  <si>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</si>
  <si>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</si>
  <si>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</si>
  <si>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</si>
  <si>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</si>
  <si>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</si>
  <si>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</si>
  <si>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</si>
  <si>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</si>
  <si>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</si>
  <si>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</si>
  <si>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</si>
  <si>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</si>
  <si>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</si>
  <si>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</si>
  <si>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</si>
  <si>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</si>
  <si>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</si>
  <si>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</si>
  <si>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</si>
  <si>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</si>
  <si>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</si>
  <si>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</si>
  <si>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</si>
  <si>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</si>
  <si>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</si>
  <si>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</si>
  <si>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</si>
  <si>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</si>
  <si>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</si>
  <si>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</si>
  <si>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</si>
  <si>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</si>
  <si>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</si>
  <si>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</si>
  <si>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</si>
  <si>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</si>
  <si>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</si>
  <si>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</si>
  <si>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</si>
  <si>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</si>
  <si>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</si>
  <si>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</si>
  <si>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</si>
  <si>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</si>
  <si>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Input Sheet for Special District Budget Workbook</t>
  </si>
  <si>
    <t>Enter special district name (may be longer than green cell):</t>
  </si>
  <si>
    <t>Enter county name (home county) followed by "County":</t>
  </si>
  <si>
    <t>Enter names of other supporting counties:</t>
  </si>
  <si>
    <t>1st</t>
  </si>
  <si>
    <t>2nd</t>
  </si>
  <si>
    <t>3rd</t>
  </si>
  <si>
    <t>4th</t>
  </si>
  <si>
    <t>5th</t>
  </si>
  <si>
    <t>6th</t>
  </si>
  <si>
    <t>7th</t>
  </si>
  <si>
    <t>8th</t>
  </si>
  <si>
    <t>9th</t>
  </si>
  <si>
    <t>10th</t>
  </si>
  <si>
    <t>11th</t>
  </si>
  <si>
    <t>12th</t>
  </si>
  <si>
    <t>13th</t>
  </si>
  <si>
    <t>14th</t>
  </si>
  <si>
    <t>15th</t>
  </si>
  <si>
    <t xml:space="preserve">Enter year being budgeted (YYYY): </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</si>
  <si>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</si>
  <si>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</si>
  <si>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Note:  All amounts are to be entered as whole numbers only.</t>
  </si>
  <si>
    <t xml:space="preserve">The input for the following comes directly from </t>
  </si>
  <si>
    <r>
      <rPr>
        <b/>
        <sz val="12"/>
        <color indexed="10"/>
        <rFont val="Times New Roman"/>
        <family val="1"/>
      </rPr>
      <t>*</t>
    </r>
    <r>
      <rPr>
        <b/>
        <sz val="12"/>
        <rFont val="Times New Roman"/>
        <family val="1"/>
      </rPr>
      <t>If amended, then use the amended figures.</t>
    </r>
    <r>
      <rPr>
        <b/>
        <sz val="12"/>
        <color indexed="10"/>
        <rFont val="Times New Roman"/>
        <family val="1"/>
      </rPr>
      <t>*</t>
    </r>
  </si>
  <si>
    <t xml:space="preserve">Amounts used in lieu of </t>
  </si>
  <si>
    <t>%</t>
  </si>
  <si>
    <t>Fund Names:</t>
  </si>
  <si>
    <t>Statute</t>
  </si>
  <si>
    <r>
      <rPr>
        <sz val="12"/>
        <color indexed="10"/>
        <rFont val="Times New Roman"/>
        <family val="1"/>
      </rPr>
      <t>*</t>
    </r>
    <r>
      <rPr>
        <sz val="12"/>
        <rFont val="Times New Roman"/>
        <family val="1"/>
      </rPr>
      <t>Expenditures</t>
    </r>
    <r>
      <rPr>
        <sz val="12"/>
        <color indexed="10"/>
        <rFont val="Times New Roman"/>
        <family val="1"/>
      </rPr>
      <t>*</t>
    </r>
  </si>
  <si>
    <t>General</t>
  </si>
  <si>
    <t>Debt Service</t>
  </si>
  <si>
    <t>10-113</t>
  </si>
  <si>
    <t>Fund name for all funds with a tax levy:</t>
  </si>
  <si>
    <t>Other (non-tax levy) fund names:</t>
  </si>
  <si>
    <t>Non-budgeted funds:</t>
  </si>
  <si>
    <t>Total</t>
  </si>
  <si>
    <t>Outstanding Indebtedness, January 1:</t>
  </si>
  <si>
    <t xml:space="preserve">  G.O. Bonds</t>
  </si>
  <si>
    <t xml:space="preserve">  Revenue Bonds</t>
  </si>
  <si>
    <t xml:space="preserve"> Other</t>
  </si>
  <si>
    <t xml:space="preserve"> Lease Purchase Principal</t>
  </si>
  <si>
    <t>County</t>
  </si>
  <si>
    <t xml:space="preserve">Note: It is not important to complete the "New Improvements, Remodeling and Renovations", "Personal Property", or "Property that has changed in use"fields. These fields were created for the Tax Lid (repealed in 2021). If the city wishes to track this information, you may do so here. The inputs do not populate to any other field in the workbook. </t>
  </si>
  <si>
    <t>Totals</t>
  </si>
  <si>
    <t xml:space="preserve">Revenue Neutral Rate </t>
  </si>
  <si>
    <t>Fund</t>
  </si>
  <si>
    <t>Rate</t>
  </si>
  <si>
    <t>Amount</t>
  </si>
  <si>
    <t>Total Assessed Valuation</t>
  </si>
  <si>
    <t>Motor Vehicle</t>
  </si>
  <si>
    <t>Recreational Vehicle</t>
  </si>
  <si>
    <t>16/20 M Vehicle</t>
  </si>
  <si>
    <t xml:space="preserve">Commercial Vehicle </t>
  </si>
  <si>
    <t xml:space="preserve">Watercraft </t>
  </si>
  <si>
    <t>Total Vehicle Tax Estimates</t>
  </si>
  <si>
    <t>LAVTR</t>
  </si>
  <si>
    <t>Computation of Delinquency</t>
  </si>
  <si>
    <t>Delinquency Rate:</t>
  </si>
  <si>
    <t>County's Name</t>
  </si>
  <si>
    <t>Uncollected</t>
  </si>
  <si>
    <t>Levied</t>
  </si>
  <si>
    <t>Average Delinquency %</t>
  </si>
  <si>
    <t>Delinquency % used in this budget will be shown on all fund pages with a tax levy**</t>
  </si>
  <si>
    <r>
      <t>**</t>
    </r>
    <r>
      <rPr>
        <b/>
        <u/>
        <sz val="12"/>
        <rFont val="Times New Roman"/>
        <family val="1"/>
      </rPr>
      <t>Note</t>
    </r>
    <r>
      <rPr>
        <sz val="12"/>
        <rFont val="Times New Roman"/>
        <family val="1"/>
      </rPr>
      <t>: The delinquency rate can be up to 5% more than the actual delinquency rate from the previous year.</t>
    </r>
  </si>
  <si>
    <t>Funds</t>
  </si>
  <si>
    <t xml:space="preserve">expenditure amounts should reflect the amended </t>
  </si>
  <si>
    <t>expenditure amounts.</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</si>
  <si>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</si>
  <si>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</si>
  <si>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</si>
  <si>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Official Title:</t>
  </si>
  <si>
    <t>City Clerk, City Treasurer, Mayor</t>
  </si>
  <si>
    <t>Date:</t>
  </si>
  <si>
    <t>August 12, 2022</t>
  </si>
  <si>
    <t>Time:</t>
  </si>
  <si>
    <t>7:00 PM or 7:00 AM</t>
  </si>
  <si>
    <t>Location:</t>
  </si>
  <si>
    <t>City Hall</t>
  </si>
  <si>
    <t>Available at:</t>
  </si>
  <si>
    <t>Budget Hearing Notice Only</t>
  </si>
  <si>
    <t>Official Name:</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</si>
  <si>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</si>
  <si>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</si>
  <si>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</si>
  <si>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</si>
  <si>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</si>
  <si>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</si>
  <si>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</si>
  <si>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CPA Summary of Assumptions</t>
  </si>
  <si>
    <t>State of Kansas</t>
  </si>
  <si>
    <t>Special District</t>
  </si>
  <si>
    <t>CERTIFICATE</t>
  </si>
  <si>
    <t>We, the undersigned, officers of</t>
  </si>
  <si>
    <t>certify that: (1) the hearing mentioned in the attached publication was held;</t>
  </si>
  <si>
    <t>(2) after the Budget Hearing this budget was duly approved and adopted</t>
  </si>
  <si>
    <t xml:space="preserve"> Budget Authority for Expenditures</t>
  </si>
  <si>
    <t>Final Tax Rate (County Clerk's Use Only)</t>
  </si>
  <si>
    <t>Page</t>
  </si>
  <si>
    <t>Table of Contents:</t>
  </si>
  <si>
    <t>No.</t>
  </si>
  <si>
    <t>Allocation of MVT, RVT, 16/20M Veh</t>
  </si>
  <si>
    <t>Schedule of Transfers</t>
  </si>
  <si>
    <t>Statement of Indebt. &amp; Lease/Purchase</t>
  </si>
  <si>
    <t>K.S.A.</t>
  </si>
  <si>
    <t>x</t>
  </si>
  <si>
    <t>Budget Hearing Notice</t>
  </si>
  <si>
    <t>County Clerk's Use Only</t>
  </si>
  <si>
    <t>Combined Rate and Budget Hearing Notice</t>
  </si>
  <si>
    <t>RNR Hearing Notice</t>
  </si>
  <si>
    <t>Neighborhood Revitalization Rebate</t>
  </si>
  <si>
    <t>Revenue Neutral Rate</t>
  </si>
  <si>
    <t>Final Valuation</t>
  </si>
  <si>
    <t xml:space="preserve">County </t>
  </si>
  <si>
    <t>Total of all counties:</t>
  </si>
  <si>
    <t>Assisted by:</t>
  </si>
  <si>
    <t>__________________________  _________________________</t>
  </si>
  <si>
    <t>Address:</t>
  </si>
  <si>
    <t>Email:</t>
  </si>
  <si>
    <t>Attest: _________________,</t>
  </si>
  <si>
    <t>County Clerk</t>
  </si>
  <si>
    <t>Governing Body</t>
  </si>
  <si>
    <t>CPA Summary</t>
  </si>
  <si>
    <t xml:space="preserve">Allocation of MV, RV, 16/20M, Commercial Vehicle, and Watercraft Tax Estimates </t>
  </si>
  <si>
    <t>MVT</t>
  </si>
  <si>
    <t>RVT</t>
  </si>
  <si>
    <t>16/20M Veh</t>
  </si>
  <si>
    <t>Comm Veh</t>
  </si>
  <si>
    <t>Watercraft</t>
  </si>
  <si>
    <t>County Treas Motor Vehicle Estimate</t>
  </si>
  <si>
    <t>County Treas Recreational Vehicle Estimate</t>
  </si>
  <si>
    <t>County Treas 16/20M Vehicle Estimate</t>
  </si>
  <si>
    <t>County Treas Commercial Vehicle Tax Estimate</t>
  </si>
  <si>
    <t>County Treas Watercraft Tax Estimate</t>
  </si>
  <si>
    <t>MVT Factor</t>
  </si>
  <si>
    <t>RVT Factor</t>
  </si>
  <si>
    <t>16/20M Factor</t>
  </si>
  <si>
    <t>Comm Veh Factor</t>
  </si>
  <si>
    <t>Watercraft Factor</t>
  </si>
  <si>
    <t>Expenditure</t>
  </si>
  <si>
    <t>Receipt</t>
  </si>
  <si>
    <t>Actual</t>
  </si>
  <si>
    <t>Current</t>
  </si>
  <si>
    <t>Proposed</t>
  </si>
  <si>
    <t>Transfers</t>
  </si>
  <si>
    <t xml:space="preserve">Fund Transferred </t>
  </si>
  <si>
    <t>Fund Transferred</t>
  </si>
  <si>
    <t>Amount for</t>
  </si>
  <si>
    <t>Authorized by</t>
  </si>
  <si>
    <t>From:</t>
  </si>
  <si>
    <t>To:</t>
  </si>
  <si>
    <t xml:space="preserve"> Statute</t>
  </si>
  <si>
    <r>
      <t>Adjustments</t>
    </r>
    <r>
      <rPr>
        <b/>
        <sz val="12"/>
        <color indexed="10"/>
        <rFont val="Times New Roman"/>
        <family val="1"/>
      </rPr>
      <t>*</t>
    </r>
  </si>
  <si>
    <t>Adjusted Totals</t>
  </si>
  <si>
    <t>*Note:</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</si>
  <si>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</si>
  <si>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</si>
  <si>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</si>
  <si>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</si>
  <si>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</si>
  <si>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</si>
  <si>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</si>
  <si>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</si>
  <si>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</si>
  <si>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</si>
  <si>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</si>
  <si>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</si>
  <si>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</si>
  <si>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</si>
  <si>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</si>
  <si>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STATEMENT OF INDEBTEDNESS</t>
  </si>
  <si>
    <t>Type</t>
  </si>
  <si>
    <t>Date</t>
  </si>
  <si>
    <t>Interest</t>
  </si>
  <si>
    <t xml:space="preserve">   Amount Due</t>
  </si>
  <si>
    <t>of</t>
  </si>
  <si>
    <t xml:space="preserve">Outstanding </t>
  </si>
  <si>
    <t xml:space="preserve">  Date Due</t>
  </si>
  <si>
    <t>Debt</t>
  </si>
  <si>
    <t>Issue</t>
  </si>
  <si>
    <t>Issued</t>
  </si>
  <si>
    <t>Principal</t>
  </si>
  <si>
    <t>General Obligation:</t>
  </si>
  <si>
    <t>Total G.O.</t>
  </si>
  <si>
    <t>Revenue Bonds:</t>
  </si>
  <si>
    <t>Total Revenue</t>
  </si>
  <si>
    <t>Other:</t>
  </si>
  <si>
    <t>Total Other</t>
  </si>
  <si>
    <t xml:space="preserve">Total </t>
  </si>
  <si>
    <t>STATEMENT OF CONDITIONAL LEASE-PURCHASE AND CERTIFICATE OF PARTICIPATION*</t>
  </si>
  <si>
    <t>Term</t>
  </si>
  <si>
    <t>Payments</t>
  </si>
  <si>
    <t>Items</t>
  </si>
  <si>
    <t xml:space="preserve">  Contract</t>
  </si>
  <si>
    <t>Contract</t>
  </si>
  <si>
    <t>Financed</t>
  </si>
  <si>
    <t>Balance On</t>
  </si>
  <si>
    <t>Due</t>
  </si>
  <si>
    <t>Purchased</t>
  </si>
  <si>
    <t>(Months)</t>
  </si>
  <si>
    <t>(Beginning Principal)</t>
  </si>
  <si>
    <t>***If leasing/renting with no intent to purchase, do not list--such transactions are not lease-purchases.</t>
  </si>
  <si>
    <t>FUND PAGE FOR FUNDS WITH A TAX LEVY</t>
  </si>
  <si>
    <t>Adopted Budget</t>
  </si>
  <si>
    <t xml:space="preserve">Prior Year </t>
  </si>
  <si>
    <t xml:space="preserve">Current Year </t>
  </si>
  <si>
    <t xml:space="preserve">Proposed Budget </t>
  </si>
  <si>
    <t>Unencumbered Cash Balance Jan 1</t>
  </si>
  <si>
    <t>Receipts:</t>
  </si>
  <si>
    <t>Ad Valorem Tax</t>
  </si>
  <si>
    <t>Delinquent Tax</t>
  </si>
  <si>
    <t>Motor Vehicle Tax</t>
  </si>
  <si>
    <t>Recreational Vehicle Tax</t>
  </si>
  <si>
    <t>16/20M Vehicle Tax</t>
  </si>
  <si>
    <t>Commercial Vehicle Tax</t>
  </si>
  <si>
    <t>Watercraft Tax</t>
  </si>
  <si>
    <t>In Lieu of Taxes (IRB)</t>
  </si>
  <si>
    <t>Interest on Idle Funds</t>
  </si>
  <si>
    <t>Miscellaneous</t>
  </si>
  <si>
    <t>Does misc. exceed 10% of Total Receipts</t>
  </si>
  <si>
    <t>Total Receipts</t>
  </si>
  <si>
    <t>Resources Available:</t>
  </si>
  <si>
    <t>Expenditures:</t>
  </si>
  <si>
    <t>Desired Carryover Amount:</t>
  </si>
  <si>
    <t>Estimated Mill Rate Impact:</t>
  </si>
  <si>
    <t>Expenditures Must Be Changed by:</t>
  </si>
  <si>
    <t>Estimated Mill Rate &amp;
 Revenue Neutral Rate Comparison</t>
  </si>
  <si>
    <t>Revenue Neutral Rate (KSA 79-2988)</t>
  </si>
  <si>
    <t>Does misc. exceed 10% Total Expenditures</t>
  </si>
  <si>
    <t>Total Expenditures</t>
  </si>
  <si>
    <t>Unencumbered Cash Balance Dec 31</t>
  </si>
  <si>
    <t>Is a rate hearing/resolution required:</t>
  </si>
  <si>
    <t>Non-Appropriated Balance</t>
  </si>
  <si>
    <t>Total Expenditure/Non-Appr Balance</t>
  </si>
  <si>
    <t>Tax Required</t>
  </si>
  <si>
    <t>Delinquent Comp Rate:</t>
  </si>
  <si>
    <t>Page No. 5</t>
  </si>
  <si>
    <t>Page No.</t>
  </si>
  <si>
    <t>FUND PAGE FOR FUNDS WITH NO TAX LEVY</t>
  </si>
  <si>
    <t xml:space="preserve">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</si>
  <si>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</si>
  <si>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</si>
  <si>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</si>
  <si>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</si>
  <si>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</si>
  <si>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</si>
  <si>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</si>
  <si>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</si>
  <si>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</si>
  <si>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</si>
  <si>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</si>
  <si>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</si>
  <si>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</si>
  <si>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</si>
  <si>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</si>
  <si>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</si>
  <si>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</si>
  <si>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</si>
  <si>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</si>
  <si>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</si>
  <si>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</si>
  <si>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</si>
  <si>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</si>
  <si>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</si>
  <si>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</si>
  <si>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</si>
  <si>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</si>
  <si>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</si>
  <si>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r>
      <t>K.S.A. 80-1559.  Township Fire District Reserve Fund.</t>
    </r>
    <r>
      <rPr>
        <sz val="12"/>
        <color indexed="8"/>
        <rFont val="Times New Roman"/>
        <family val="1"/>
      </rPr>
      <t xml:space="preserve">  Authorizes a township fire district to create a</t>
    </r>
    <r>
      <rPr>
        <b/>
        <sz val="12"/>
        <color indexed="8"/>
        <rFont val="Times New Roman"/>
        <family val="1"/>
      </rPr>
      <t xml:space="preserve"> </t>
    </r>
    <r>
      <rPr>
        <sz val="12"/>
        <color indexed="8"/>
        <rFont val="Times New Roman"/>
        <family val="1"/>
      </rPr>
      <t>special fire protection reserve fund to finance the acquisition of fire-fighting equipment, land, and buildings, and to transfer each year to such fund up to 25% of the money credited to the fire fund.</t>
    </r>
  </si>
  <si>
    <t>NOTICE OF BUDGET HEARING</t>
  </si>
  <si>
    <t xml:space="preserve">The governing body of </t>
  </si>
  <si>
    <t>answering objections of taxpayers relating to the proposed use of all funds and the amount of tax to levied.</t>
  </si>
  <si>
    <t>SUPPORTING COUNTIES</t>
  </si>
  <si>
    <t>BUDGET SUMMARY</t>
  </si>
  <si>
    <t>The estimated value of one mill would be:</t>
  </si>
  <si>
    <t>Expenditures</t>
  </si>
  <si>
    <t>Actual Tax Rate*</t>
  </si>
  <si>
    <t>Budget Authority for Expenditures</t>
  </si>
  <si>
    <t>Proposed Estimated Tax Rate*</t>
  </si>
  <si>
    <t>FUND</t>
  </si>
  <si>
    <t>Revenue Neutral Rate**</t>
  </si>
  <si>
    <t>Less: Transfers</t>
  </si>
  <si>
    <t>Change in Ad Valorem Tax Revenue:</t>
  </si>
  <si>
    <t>Net Expenditures</t>
  </si>
  <si>
    <t>Total Tax Levied</t>
  </si>
  <si>
    <t>What Mill Rate Would Be Desired?</t>
  </si>
  <si>
    <t>Assessed Valuation</t>
  </si>
  <si>
    <t>Outstanding Indebtedness,</t>
  </si>
  <si>
    <t xml:space="preserve">  Jan 1,</t>
  </si>
  <si>
    <t>G.O. Bonds</t>
  </si>
  <si>
    <t>Revenue Bonds</t>
  </si>
  <si>
    <t>Other</t>
  </si>
  <si>
    <t>Lease Pur. Princ.</t>
  </si>
  <si>
    <t xml:space="preserve">Is rate hearing/resolution required to exceed Revenue Neutral Rate? </t>
  </si>
  <si>
    <t xml:space="preserve">     Total</t>
  </si>
  <si>
    <t xml:space="preserve">  *Tax rates are expressed in mills.</t>
  </si>
  <si>
    <t>**Revenue Neutral Rate as defined by KSA 79-2988</t>
  </si>
  <si>
    <t>NOTICE OF HEARING TO EXCEED REVENUE NEUTRAL RATE AND BUDGET HEARING</t>
  </si>
  <si>
    <t>answering objections of taxpayers relating to the proposed use of all funds and the amount of tax to levied and Revenue Neutral Rate.</t>
  </si>
  <si>
    <t>NOTICE OF HEARING TO EXCEED REVENUE NEUTRAL RATE</t>
  </si>
  <si>
    <t>answering objections of taxpayers relating to revenue neutral rate and proposed tax rate, as required by KSA 79-2988.</t>
  </si>
  <si>
    <t>Revenue Neutral Rate*</t>
  </si>
  <si>
    <t>Proposed Tax Rate</t>
  </si>
  <si>
    <t>Tax Rates are expressed in mills</t>
  </si>
  <si>
    <t>* Revenue Netural Rate as defined by KSA 79-2988</t>
  </si>
  <si>
    <t xml:space="preserve">Page No. </t>
  </si>
  <si>
    <t>TOTAL</t>
  </si>
  <si>
    <t>Valuation Factor:</t>
  </si>
  <si>
    <t>Neighborhood Revitalization Subj to Rebate:</t>
  </si>
  <si>
    <t>Neighborhood Revitalization factor:</t>
  </si>
  <si>
    <t>the Neighborhood Revitalization Rebate table.</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</si>
  <si>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</si>
  <si>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</si>
  <si>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</si>
  <si>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</si>
  <si>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</si>
  <si>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</si>
  <si>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</si>
  <si>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</si>
  <si>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</si>
  <si>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</si>
  <si>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</si>
  <si>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</si>
  <si>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</si>
  <si>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</si>
  <si>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</si>
  <si>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</si>
  <si>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Resolution No. ______</t>
  </si>
  <si>
    <t>A RESOLUTION OF THE  __________, KANSAS TO LEVY A PROPERTY TAX RATE EXCEEDING THE REVENUE NEUTRAL RATE;</t>
  </si>
  <si>
    <r>
      <t xml:space="preserve">           </t>
    </r>
    <r>
      <rPr>
        <b/>
        <sz val="12"/>
        <rFont val="Times New Roman"/>
        <family val="1"/>
      </rPr>
      <t>WHEREAS</t>
    </r>
    <r>
      <rPr>
        <sz val="12"/>
        <rFont val="Times New Roman"/>
        <family val="1"/>
      </rPr>
      <t>, the Revenue Neutral Rate for the  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</si>
  <si>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</si>
  <si>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</si>
  <si>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____________, having heard testimony, still finds it necessary to exceed the Revenue Neutral Rate.</t>
    </r>
  </si>
  <si>
    <t xml:space="preserve">          NOW, THEREFORE, BE IT RESOLVED BY THE GOVERNING BODY OF THE CITY OF __________:</t>
  </si>
  <si>
    <t xml:space="preserve">          The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</si>
  <si>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</si>
  <si>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Governing Body.</t>
    </r>
  </si>
  <si>
    <t xml:space="preserve">          _____________________________</t>
  </si>
  <si>
    <t xml:space="preserve">          Attested:</t>
  </si>
  <si>
    <t xml:space="preserve">          ______________________________</t>
  </si>
  <si>
    <t>Tab A</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</si>
  <si>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</si>
  <si>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</si>
  <si>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</si>
  <si>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</si>
  <si>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</si>
  <si>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</si>
  <si>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Times New Roman"/>
        <family val="1"/>
      </rPr>
      <t>not been</t>
    </r>
    <r>
      <rPr>
        <sz val="12"/>
        <rFont val="Times New Roman"/>
        <family val="1"/>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</si>
  <si>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</si>
  <si>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</si>
  <si>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</si>
  <si>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</si>
  <si>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</si>
  <si>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</si>
  <si>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</si>
  <si>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</si>
  <si>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</si>
  <si>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</si>
  <si>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</si>
  <si>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Times New Roman"/>
        <family val="1"/>
      </rPr>
      <t>expenditure</t>
    </r>
    <r>
      <rPr>
        <sz val="12"/>
        <rFont val="Times New Roman"/>
        <family val="1"/>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</si>
  <si>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</si>
  <si>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</si>
  <si>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</si>
  <si>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</si>
  <si>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</si>
  <si>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</si>
  <si>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</si>
  <si>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</si>
  <si>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</si>
  <si>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</si>
  <si>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</si>
  <si>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</si>
  <si>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</si>
  <si>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</si>
  <si>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</si>
  <si>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</si>
  <si>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</si>
  <si>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</si>
  <si>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</si>
  <si>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</si>
  <si>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</si>
  <si>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</si>
  <si>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</si>
  <si>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</si>
  <si>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</si>
  <si>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</si>
  <si>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</si>
  <si>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Tab B</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</si>
  <si>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</si>
  <si>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</si>
  <si>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</si>
  <si>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</si>
  <si>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</si>
  <si>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</si>
  <si>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</si>
  <si>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</si>
  <si>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</si>
  <si>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</si>
  <si>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</si>
  <si>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</si>
  <si>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</si>
  <si>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Times New Roman"/>
        <family val="1"/>
      </rPr>
      <t>10-1116 applies.</t>
    </r>
    <r>
      <rPr>
        <sz val="12"/>
        <rFont val="Times New Roman"/>
        <family val="1"/>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</si>
  <si>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</si>
  <si>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</si>
  <si>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</si>
  <si>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</si>
  <si>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</si>
  <si>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</si>
  <si>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</si>
  <si>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</si>
  <si>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</si>
  <si>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</si>
  <si>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</si>
  <si>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</si>
  <si>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</si>
  <si>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</si>
  <si>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</si>
  <si>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</si>
  <si>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</si>
  <si>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</si>
  <si>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</si>
  <si>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</si>
  <si>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</si>
  <si>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</si>
  <si>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</si>
  <si>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</si>
  <si>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</si>
  <si>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</si>
  <si>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</si>
  <si>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</si>
  <si>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</si>
  <si>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</si>
  <si>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</si>
  <si>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</si>
  <si>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</si>
  <si>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</si>
  <si>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</si>
  <si>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</si>
  <si>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</si>
  <si>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</si>
  <si>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</si>
  <si>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</si>
  <si>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</si>
  <si>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Tab C</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</si>
  <si>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</si>
  <si>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</si>
  <si>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</si>
  <si>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</si>
  <si>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</si>
  <si>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</si>
  <si>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</si>
  <si>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</si>
  <si>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</si>
  <si>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</si>
  <si>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</si>
  <si>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</si>
  <si>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</si>
  <si>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</si>
  <si>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</si>
  <si>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</si>
  <si>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</si>
  <si>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</si>
  <si>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</si>
  <si>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</si>
  <si>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</si>
  <si>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</si>
  <si>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</si>
  <si>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</si>
  <si>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</si>
  <si>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</si>
  <si>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</si>
  <si>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</si>
  <si>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</si>
  <si>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</si>
  <si>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</si>
  <si>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</si>
  <si>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</si>
  <si>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</si>
  <si>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</si>
  <si>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</si>
  <si>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</si>
  <si>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Tab D</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</si>
  <si>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</si>
  <si>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</si>
  <si>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</si>
  <si>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</si>
  <si>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</si>
  <si>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</si>
  <si>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</si>
  <si>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</si>
  <si>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</si>
  <si>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</si>
  <si>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</si>
  <si>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</si>
  <si>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</si>
  <si>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</si>
  <si>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</si>
  <si>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</si>
  <si>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</si>
  <si>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</si>
  <si>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</si>
  <si>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</si>
  <si>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</si>
  <si>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</si>
  <si>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</si>
  <si>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</si>
  <si>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Tab 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</si>
  <si>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</si>
  <si>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</si>
  <si>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</si>
  <si>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</si>
  <si>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</si>
  <si>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</si>
  <si>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</si>
  <si>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</si>
  <si>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</si>
  <si>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</si>
  <si>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</si>
  <si>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</si>
  <si>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</si>
  <si>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</si>
  <si>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</si>
  <si>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</si>
  <si>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</si>
  <si>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</si>
  <si>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</si>
  <si>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</si>
  <si>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</si>
  <si>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</si>
  <si>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</si>
  <si>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</si>
  <si>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</si>
  <si>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</si>
  <si>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</si>
  <si>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</si>
  <si>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</si>
  <si>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</si>
  <si>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</si>
  <si>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</si>
  <si>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</si>
  <si>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</si>
  <si>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Municipal Budget Tools/Explainers for Various Situations</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</si>
  <si>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</si>
  <si>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</si>
  <si>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</si>
  <si>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</si>
  <si>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</si>
  <si>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</si>
  <si>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</si>
  <si>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</si>
  <si>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</si>
  <si>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</si>
  <si>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</si>
  <si>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</si>
  <si>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</si>
  <si>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</si>
  <si>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</si>
  <si>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</si>
  <si>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</si>
  <si>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</si>
  <si>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</si>
  <si>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How to Compute the Value of One Mill, and the Impact of Tax Dollars and Assessed Valuation on Mill Rates</t>
  </si>
  <si>
    <t>Helpful Links</t>
  </si>
  <si>
    <t>Municipal Services (Kansas Department of Administration, Accounts and Reports) – Budget forms, confirmation of payments, transfer statutes, non-budgeted fund statutes, etc.</t>
  </si>
  <si>
    <t>https://admin.ks.gov/offices/accounts-reports/local-government/municipal-services</t>
  </si>
  <si>
    <t>State Debt Setoff Program (Kansas Department of Administration, Accounts and Reports) – Passive collection tool to assist municipalities with collection of unpaid utility bills, etc.</t>
  </si>
  <si>
    <t>https://admin.ks.gov/offices/accounts-reports/state-agencies/finance/setoff-program</t>
  </si>
  <si>
    <t>League of Kansas Municipalities</t>
  </si>
  <si>
    <t>https://www.lkm.org/</t>
  </si>
  <si>
    <t>Kansas Legislature – Kansas Statutes (usually updated in January), House and Senate Bills, etc.</t>
  </si>
  <si>
    <t>http://www.kslegislature.org/li/</t>
  </si>
  <si>
    <t>Kansas Attorney General Opinions</t>
  </si>
  <si>
    <t>https://ag.ks.gov/media-center/ag-opinions</t>
  </si>
  <si>
    <t>Kansas State Treasurer</t>
  </si>
  <si>
    <t>https://www.kansasstatetreasurer.com/fin_serv.html</t>
  </si>
  <si>
    <t>Kansas Department of Revenue</t>
  </si>
  <si>
    <t>https://www.ksrevenue.gov/</t>
  </si>
  <si>
    <t>Kansas Department of Revenue – Property Valuation</t>
  </si>
  <si>
    <t>https://www.ksrevenue.gov/pvdindex.html</t>
  </si>
  <si>
    <t>Kansas Pooled Money Investment Board – Investment of Idle Funds in the Municipal Investment Pool</t>
  </si>
  <si>
    <t>https://pooledmoneyinvestmentboard.com/</t>
  </si>
  <si>
    <t xml:space="preserve">The following changes were made to this workbook during April 2023: </t>
  </si>
  <si>
    <t>Reprogram final rate computation on Certificate page</t>
  </si>
  <si>
    <t>Corrected transfer programming for General/Special Machinery and Road/Special Machinery</t>
  </si>
  <si>
    <t>Created Budget Tools, removed 'helpful links' and 'mill rate computation' (those tabs are now located in 'Budget Tools'</t>
  </si>
  <si>
    <t>Added Roll Call Vote Record Sample</t>
  </si>
  <si>
    <t>The following changes were made to this workbook during March 2022</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</si>
  <si>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</si>
  <si>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</si>
  <si>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</si>
  <si>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</si>
  <si>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</si>
  <si>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</si>
  <si>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</si>
  <si>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</si>
  <si>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</si>
  <si>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10. Added RNR to Certificate Page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</si>
  <si>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</si>
  <si>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</si>
  <si>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</si>
  <si>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</si>
  <si>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</si>
  <si>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 xml:space="preserve">5. Updated Cert (Table of Contents) and page numbering. </t>
  </si>
  <si>
    <t>The following changes were made to this workbook April 2020</t>
  </si>
  <si>
    <t xml:space="preserve"> Entered 2021 for the Budget Year and 1.8% as the CPI Percentage on the InputPrYr tab.</t>
  </si>
  <si>
    <t>Updated helpful links tab</t>
  </si>
  <si>
    <t>The following changes were made to this workbook in April 2018</t>
  </si>
  <si>
    <t>1.  Updated the Municipal Services' contact information on the Instruction tab</t>
  </si>
  <si>
    <t>2.  entered 2020 for the Budget Year and 2.5% for the CPI Percentage on the InputPrYr tab</t>
  </si>
  <si>
    <t>3.  Highlighted tabs (pages) in blue if the page is to be printed and submitted as part of the budget</t>
  </si>
  <si>
    <t xml:space="preserve">1.  Added the CPA Summary tab.  </t>
  </si>
  <si>
    <t>2.  Added the CPA Summary comment box on the Certification Page and all fund pages.</t>
  </si>
  <si>
    <t>3.  Renamed the Pub. Notice Option 1 tab to Notice of Vote.</t>
  </si>
  <si>
    <t>4.  Removed the Pub. Notice Option 2 and 3 tabs.</t>
  </si>
  <si>
    <t>The following changes were made to this workbook on 3/7/2017</t>
  </si>
  <si>
    <t xml:space="preserve">1.  inputPrYr tab, inserted CPI percentage, linked the percentage to the Computation tab. </t>
  </si>
  <si>
    <t>The following changes were made to this workbook on 2/25/2016</t>
  </si>
  <si>
    <t>1.  Added K.S.A. 80-1559 thumbnail to the NonBudFunds tab.</t>
  </si>
  <si>
    <t>The following changes were made to this workbook on 2/3/2016</t>
  </si>
  <si>
    <t>1.  Inserted 2015 CPI percentage on computation tab.</t>
  </si>
  <si>
    <t>The following changes were made to this workbook on 1/21/2016</t>
  </si>
  <si>
    <t>1.  On tax levy funds NR estimate shown as a negative receipt.</t>
  </si>
  <si>
    <t>The following changes were made to this workbook on 10/1/2015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</si>
  <si>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</si>
  <si>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</si>
  <si>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</si>
  <si>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</si>
  <si>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</si>
  <si>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1/22/2015</t>
  </si>
  <si>
    <t>1.  Inserted 2014 CPI percentage on computation tab.</t>
  </si>
  <si>
    <t>The following changes were made to this workbook on 10/28/14</t>
  </si>
  <si>
    <t>1.  Various workbook changes associated with commercial vehicle and watercraft tax estimates.</t>
  </si>
  <si>
    <t>The following changes were made to this workbook on 9/9/2014</t>
  </si>
  <si>
    <t>1.  Added "Supporting Counties" section to the notice of budget hearing on the summ tab.</t>
  </si>
  <si>
    <t>The following changes were made to this workbook on 7/15/2014</t>
  </si>
  <si>
    <t>1.  Added the ROUND function to cell J38 in the computation tab so result will be a whole number.</t>
  </si>
  <si>
    <t>The following changes were made to this workbook on 7/8/2014</t>
  </si>
  <si>
    <t>1.  Correction of formula in cell j41 of the computation tab.</t>
  </si>
  <si>
    <t>The following changes were made to this workbook on 5/22/2014</t>
  </si>
  <si>
    <t>1.  Several changes to workbook associated with 2014 HB 2047.</t>
  </si>
  <si>
    <t>The following changes were made to this workbook on 4/21/2014</t>
  </si>
  <si>
    <t>1.  "Budget Authority Amount" cell added to budget year column of all funds.</t>
  </si>
  <si>
    <t>The following changes were made to this workbook on 3/27/2013</t>
  </si>
  <si>
    <t>1.  Instruction tab narrative modification.</t>
  </si>
  <si>
    <t>The following changes were made to this workbook on 10/10/2012</t>
  </si>
  <si>
    <t>1.  Added "resolution required?  yes/no" message to area adjacent to each tax levy fund.</t>
  </si>
  <si>
    <t>The following changes were made to this workbook on 06/12/2012</t>
  </si>
  <si>
    <t>1.  Corrected the Debt tab, provided spacing so the page number would not overwrite the written instruction on the bottom of the form .</t>
  </si>
  <si>
    <t>The following changes were made to this workbook on 12/29/2011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</si>
  <si>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</si>
  <si>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</si>
  <si>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</si>
  <si>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</si>
  <si>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</si>
  <si>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</si>
  <si>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</si>
  <si>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</si>
  <si>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</si>
  <si>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</si>
  <si>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11. InputPrYr tab, added column for adjusting ad valorem taxes to reflect a better picture of actual taxes received, allow a rate to be used to compute the new amount, and links the new amounts to the appropriate fund page, if used, otherwise used the original amounts.</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</si>
  <si>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</si>
  <si>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</si>
  <si>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</si>
  <si>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</si>
  <si>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</si>
  <si>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</si>
  <si>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</si>
  <si>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</si>
  <si>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20. Change out the 'Mill Rate Computation' tab so to agree with the website.</t>
  </si>
  <si>
    <t>21. All tax levy fund pages added 'Mill Rate Comparison' table.</t>
  </si>
  <si>
    <t>22. Certificate tab added a place for the email address of the assisted by.</t>
  </si>
  <si>
    <t>The following changes were made to this workbook on 6/22/2011</t>
  </si>
  <si>
    <t>1. General fund tab management tool; corrected link in cell G55.</t>
  </si>
  <si>
    <t>The following changes were made to this workbook on 4/19/2011</t>
  </si>
  <si>
    <t>1. Summ tab changed proposed year expenditure column to 'Budget Authority for Expenditures.'</t>
  </si>
  <si>
    <t>2. Summ tab actual total computation amended.</t>
  </si>
  <si>
    <t>The following changes were made to this workbook on 10/27/2010</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</si>
  <si>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</si>
  <si>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</si>
  <si>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</si>
  <si>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</si>
  <si>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</si>
  <si>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</si>
  <si>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</si>
  <si>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</si>
  <si>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</si>
  <si>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</si>
  <si>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</si>
  <si>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</si>
  <si>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</si>
  <si>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</si>
  <si>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</si>
  <si>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</si>
  <si>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</si>
  <si>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</si>
  <si>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</si>
  <si>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</si>
  <si>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</si>
  <si>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</si>
  <si>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</si>
  <si>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The following changes were made to this workbook on 1/05/2010</t>
  </si>
  <si>
    <t>1. Instruction tab added line 8b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</si>
  <si>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</si>
  <si>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</si>
  <si>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</si>
  <si>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</si>
  <si>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</si>
  <si>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</si>
  <si>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</si>
  <si>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</si>
  <si>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</si>
  <si>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9/28/2009</t>
  </si>
  <si>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</si>
  <si>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</si>
  <si>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</si>
  <si>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</si>
  <si>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</si>
  <si>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</si>
  <si>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7. Certificate tab moved the Assisted By: and added more lines for governing body signatures.</t>
  </si>
  <si>
    <t>The following changes were made to this workbook on 9/01/2009</t>
  </si>
  <si>
    <t>1. Mvalloc tab change cells c-11 to c-14 from reference 'D' to 'E.'</t>
  </si>
  <si>
    <t>2. InputPrYr tab A21 add 'If amended ….'</t>
  </si>
  <si>
    <t>3. InputPrYr tab changed from Bond &amp; Interest to Debt Service.</t>
  </si>
  <si>
    <t>4. InputOth tab changed from Bond &amp; Interest to Debt Service.</t>
  </si>
  <si>
    <t>The following changes were made to this workbook on 5/08/2009</t>
  </si>
  <si>
    <t>1. InputPrYr tab, cell d21, changed from d11 to d11-1 in order to correct date.</t>
  </si>
  <si>
    <t>The following were changed to this spreadsheet on 3/19/2009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</si>
  <si>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</si>
  <si>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</si>
  <si>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</si>
  <si>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2/23/2009</t>
  </si>
  <si>
    <t>1. Instruction under Submitting of Budget ….required electronic submission.</t>
  </si>
  <si>
    <t>2. Input other tab line 106 change from Budget Summary to Budget Certificate.</t>
  </si>
  <si>
    <t>The following were changed to this spreadsheet on 10/24/2008</t>
  </si>
  <si>
    <t>1. Input tab (inputPrYr) added column for the current year expenditures.</t>
  </si>
  <si>
    <t>2. Added to all tax levy fund pages the miscellaneous receipt for the proposed year comparison takes into account the ad valorem taxes for the 10% Rule.</t>
  </si>
  <si>
    <t>3. All tax levy funds and no tax levy funds fund pages made the following changes:</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</si>
  <si>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</si>
  <si>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</si>
  <si>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</si>
  <si>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</si>
  <si>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</si>
  <si>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</si>
  <si>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</si>
  <si>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</si>
  <si>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</si>
  <si>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</si>
  <si>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</si>
  <si>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</si>
  <si>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</si>
  <si>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</si>
  <si>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</si>
  <si>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</si>
  <si>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</si>
  <si>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</si>
  <si>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</si>
  <si>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</si>
  <si>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</si>
  <si>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</si>
  <si>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</si>
  <si>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</si>
  <si>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</si>
  <si>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</si>
  <si>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</si>
  <si>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</si>
  <si>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14. Added another space for "assisted by" on Certificate allowing two lines for name of company.</t>
  </si>
  <si>
    <t>15. Added to instructions about non-appropriated funds limit of 5%.</t>
  </si>
  <si>
    <t>16. Added warning "Exceeds 5%" on all fund pages for the non-appropirated balance.</t>
  </si>
  <si>
    <t>17. Added Neighborhood Revitalization table and linked to the tax levy fund pages.</t>
  </si>
  <si>
    <t>18. Added Neighborhood Revitalization expenditures to all tax levy fund pages.</t>
  </si>
  <si>
    <t>19. Added Neighborhood Revitalization Rebate page number to the Certificate page.</t>
  </si>
  <si>
    <t>20. Added to all budgeted fund pages the budget authority for the actual year, budget violation, and cash violation.</t>
  </si>
  <si>
    <t>21. Added instruction on the addition for item 20.</t>
  </si>
  <si>
    <t>22. Added 'miscellaneous' category to the receipt/expenditure for all fund pages and set error message.</t>
  </si>
  <si>
    <t>23. Added to the instruction about correct the error message for the miscellaneous.</t>
  </si>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</sst>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_(* \(#,##0\);_(* &quot;-&quot;_);_(@_)"/>
    <numFmt numFmtId="43" formatCode="_(* #,##0.00_);_(* \(#,##0.00\);_(* &quot;-&quot;??_);_(@_)"/>
    <numFmt numFmtId="164" formatCode="0.000_)"/>
    <numFmt numFmtId="165" formatCode="0_)"/>
    <numFmt numFmtId="166" formatCode="0.00000_)"/>
    <numFmt numFmtId="167" formatCode="#,##0.00000_);\(#,##0.00000\)"/>
    <numFmt numFmtId="168" formatCode="_(* #,##0_);_(* \(#,##0\);_(* &quot;-&quot;??_);_(@_)"/>
    <numFmt numFmtId="169" formatCode="m/d/yy"/>
    <numFmt numFmtId="170" formatCode="m/d"/>
    <numFmt numFmtId="171" formatCode="#,##0.000_);\(#,##0.000\)"/>
    <numFmt numFmtId="172" formatCode="0.000"/>
    <numFmt numFmtId="173" formatCode="#,##0.000"/>
    <numFmt numFmtId="174" formatCode="&quot;$&quot;#,##0"/>
    <numFmt numFmtId="175" formatCode="&quot;$&quot;#,##0.00"/>
    <numFmt numFmtId="176" formatCode="0.0%"/>
  </numFmts>
  <fonts count="68">
    <font>
      <sz val="12"/>
      <name val="Courier"/>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family val="3"/>
    </font>
    <font>
      <b/>
      <u/>
      <sz val="12"/>
      <color indexed="10"/>
      <name val="Times New Roman"/>
      <family val="1"/>
    </font>
    <font>
      <b/>
      <u/>
      <sz val="12"/>
      <name val="Courier"/>
      <family val="3"/>
    </font>
    <font>
      <sz val="10"/>
      <name val="Courier"/>
      <family val="3"/>
    </font>
    <font>
      <b/>
      <u/>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sz val="8"/>
      <color indexed="10"/>
      <name val="Times New Roman"/>
      <family val="1"/>
    </font>
    <font>
      <u/>
      <sz val="12"/>
      <color indexed="12"/>
      <name val="Courier"/>
      <family val="3"/>
    </font>
    <font>
      <sz val="12"/>
      <name val="Courier New"/>
      <family val="3"/>
    </font>
    <font>
      <b/>
      <sz val="12"/>
      <name val="Courier"/>
      <family val="3"/>
    </font>
    <font>
      <sz val="12"/>
      <name val="Courier"/>
      <family val="3"/>
    </font>
    <font>
      <b/>
      <sz val="13"/>
      <name val="Times New Roman"/>
      <family val="1"/>
    </font>
    <font>
      <u/>
      <sz val="12"/>
      <color indexed="12"/>
      <name val="Times New Roman"/>
      <family val="1"/>
    </font>
    <font>
      <i/>
      <sz val="12"/>
      <color indexed="8"/>
      <name val="Times New Roman"/>
      <family val="1"/>
    </font>
    <font>
      <b/>
      <u/>
      <sz val="10"/>
      <name val="Times New Roman"/>
      <family val="1"/>
    </font>
    <font>
      <b/>
      <u/>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1"/>
      <color theme="1"/>
      <name val="Calibri"/>
      <family val="2"/>
      <scheme val="minor"/>
    </font>
    <font>
      <u/>
      <sz val="12"/>
      <color rgb="FFFF0000"/>
      <name val="Times New Roman"/>
      <family val="1"/>
    </font>
    <font>
      <sz val="12"/>
      <color rgb="FF000000"/>
      <name val="Times New Roman"/>
      <family val="1"/>
    </font>
    <font>
      <b/>
      <sz val="12"/>
      <color rgb="FF000000"/>
      <name val="Times New Roman"/>
      <family val="1"/>
    </font>
    <font>
      <b/>
      <sz val="12"/>
      <color rgb="FFFF0000"/>
      <name val="Times New Roman"/>
      <family val="1"/>
    </font>
    <font>
      <b/>
      <u/>
      <sz val="12"/>
      <color rgb="FFFF0000"/>
      <name val="Times New Roman"/>
      <family val="1"/>
    </font>
    <font>
      <sz val="10"/>
      <color rgb="FFFF0000"/>
      <name val="Times New Roman"/>
      <family val="1"/>
    </font>
    <font>
      <u/>
      <vertAlign val="superscript"/>
      <sz val="12"/>
      <name val="Times New Roman"/>
      <family val="1"/>
    </font>
    <font>
      <sz val="11"/>
      <name val="Calibri"/>
      <family val="2"/>
    </font>
    <font>
      <sz val="7"/>
      <name val="Times New Roman"/>
      <family val="1"/>
    </font>
    <font>
      <sz val="12"/>
      <color rgb="FFFF0000"/>
      <name val="Times New Roman"/>
      <family val="1"/>
    </font>
    <font>
      <b/>
      <sz val="16"/>
      <name val="Times New Roman"/>
      <family val="1"/>
    </font>
    <font>
      <b/>
      <u/>
      <sz val="16"/>
      <name val="Times New Roman"/>
      <family val="1"/>
    </font>
    <font>
      <b/>
      <sz val="10"/>
      <color rgb="FFFF0000"/>
      <name val="Times"/>
    </font>
    <font>
      <b/>
      <sz val="11"/>
      <color rgb="FFFF0000"/>
      <name val="Times"/>
    </font>
    <font>
      <i/>
      <u/>
      <sz val="12"/>
      <name val="Times New Roman"/>
      <family val="1"/>
    </font>
    <font>
      <sz val="12"/>
      <name val="Courier"/>
    </font>
    <font>
      <b/>
      <sz val="12"/>
      <name val="Courier"/>
    </font>
    <font>
      <b/>
      <sz val="14"/>
      <name val="Calibri"/>
      <family val="2"/>
      <scheme val="minor"/>
    </font>
    <font>
      <sz val="12"/>
      <name val="Calibri"/>
      <family val="2"/>
      <scheme val="minor"/>
    </font>
    <font>
      <u/>
      <sz val="12"/>
      <name val="Calibri"/>
      <family val="2"/>
      <scheme val="minor"/>
    </font>
    <font>
      <b/>
      <sz val="12"/>
      <name val="Calibri"/>
      <family val="2"/>
      <scheme val="minor"/>
    </font>
    <font>
      <b/>
      <sz val="20"/>
      <color rgb="FF000000"/>
      <name val="Cambria"/>
      <family val="1"/>
      <scheme val="major"/>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s>
  <fills count="19">
    <fill>
      <patternFill patternType="none"/>
    </fill>
    <fill>
      <patternFill patternType="gray125"/>
    </fill>
    <fill>
      <patternFill patternType="solid">
        <fgColor indexed="26"/>
        <bgColor indexed="64"/>
      </patternFill>
    </fill>
    <fill>
      <patternFill patternType="solid">
        <fgColor indexed="15"/>
        <bgColor indexed="64"/>
      </patternFill>
    </fill>
    <fill>
      <patternFill patternType="solid">
        <fgColor indexed="11"/>
        <bgColor indexed="64"/>
      </patternFill>
    </fill>
    <fill>
      <patternFill patternType="solid">
        <fgColor indexed="35"/>
        <bgColor indexed="64"/>
      </patternFill>
    </fill>
    <fill>
      <patternFill patternType="solid">
        <fgColor indexed="11"/>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00FF00"/>
        <bgColor indexed="64"/>
      </patternFill>
    </fill>
    <fill>
      <patternFill patternType="solid">
        <fgColor rgb="FF00FFFF"/>
        <bgColor indexed="64"/>
      </patternFill>
    </fill>
    <fill>
      <patternFill patternType="solid">
        <fgColor rgb="FFFFFFC0"/>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s>
  <cellStyleXfs count="527">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 fillId="0" borderId="0"/>
    <xf numFmtId="0" fontId="25"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25"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25" fillId="0" borderId="0"/>
    <xf numFmtId="0" fontId="8" fillId="0" borderId="0"/>
    <xf numFmtId="0" fontId="8" fillId="0" borderId="0"/>
    <xf numFmtId="0" fontId="8" fillId="0" borderId="0"/>
    <xf numFmtId="0" fontId="8" fillId="0" borderId="0"/>
    <xf numFmtId="0" fontId="25" fillId="0" borderId="0"/>
    <xf numFmtId="0" fontId="1" fillId="0" borderId="0"/>
    <xf numFmtId="0" fontId="8" fillId="0" borderId="0"/>
    <xf numFmtId="0" fontId="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25" fillId="0" borderId="0"/>
    <xf numFmtId="0" fontId="8" fillId="0" borderId="0"/>
    <xf numFmtId="0" fontId="8" fillId="0" borderId="0"/>
    <xf numFmtId="0" fontId="8" fillId="0" borderId="0"/>
    <xf numFmtId="0" fontId="8" fillId="0" borderId="0"/>
    <xf numFmtId="0" fontId="25" fillId="0" borderId="0"/>
    <xf numFmtId="0" fontId="8" fillId="0" borderId="0"/>
    <xf numFmtId="0" fontId="8" fillId="0" borderId="0"/>
    <xf numFmtId="0" fontId="8" fillId="0" borderId="0"/>
    <xf numFmtId="0" fontId="8" fillId="0" borderId="0"/>
    <xf numFmtId="0" fontId="25"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25" fillId="0" borderId="0"/>
    <xf numFmtId="0" fontId="8" fillId="0" borderId="0"/>
    <xf numFmtId="0" fontId="8" fillId="0" borderId="0"/>
    <xf numFmtId="0" fontId="8" fillId="0" borderId="0"/>
    <xf numFmtId="0" fontId="25" fillId="0" borderId="0"/>
    <xf numFmtId="0" fontId="1" fillId="0" borderId="0"/>
    <xf numFmtId="0" fontId="8" fillId="0" borderId="0"/>
    <xf numFmtId="0" fontId="1" fillId="0" borderId="0"/>
    <xf numFmtId="0" fontId="8" fillId="0" borderId="0"/>
    <xf numFmtId="0" fontId="8" fillId="0" borderId="0"/>
    <xf numFmtId="0" fontId="8" fillId="0" borderId="0"/>
    <xf numFmtId="0" fontId="1" fillId="0" borderId="0"/>
    <xf numFmtId="0" fontId="25"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25" fillId="0" borderId="0"/>
    <xf numFmtId="0" fontId="8" fillId="0" borderId="0"/>
    <xf numFmtId="0" fontId="8" fillId="0" borderId="0"/>
    <xf numFmtId="0" fontId="8" fillId="0" borderId="0"/>
    <xf numFmtId="0" fontId="8" fillId="0" borderId="0"/>
    <xf numFmtId="0" fontId="25"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2" fillId="0" borderId="0"/>
    <xf numFmtId="0" fontId="53" fillId="0" borderId="0"/>
  </cellStyleXfs>
  <cellXfs count="69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pplyProtection="1">
      <alignment vertical="center"/>
      <protection locked="0"/>
    </xf>
    <xf numFmtId="0" fontId="2" fillId="2" borderId="0" xfId="0" applyFont="1" applyFill="1" applyAlignment="1">
      <alignment horizontal="left" vertical="center"/>
    </xf>
    <xf numFmtId="0" fontId="2" fillId="2" borderId="0" xfId="0" applyFont="1" applyFill="1" applyAlignment="1">
      <alignment vertical="center"/>
    </xf>
    <xf numFmtId="0" fontId="3" fillId="2" borderId="0" xfId="0" applyFont="1" applyFill="1" applyAlignment="1">
      <alignment horizontal="left" vertical="center"/>
    </xf>
    <xf numFmtId="0" fontId="2" fillId="4" borderId="1" xfId="0" applyFont="1" applyFill="1" applyBorder="1" applyAlignment="1" applyProtection="1">
      <alignment vertical="center"/>
      <protection locked="0"/>
    </xf>
    <xf numFmtId="0" fontId="3" fillId="2" borderId="0" xfId="0" applyFont="1" applyFill="1" applyAlignment="1">
      <alignment vertical="center"/>
    </xf>
    <xf numFmtId="0" fontId="2" fillId="2" borderId="0" xfId="0" applyFont="1" applyFill="1" applyAlignment="1">
      <alignment horizontal="centerContinuous"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2" borderId="4" xfId="0" applyFont="1" applyFill="1" applyBorder="1" applyAlignment="1">
      <alignment horizontal="left" vertical="center"/>
    </xf>
    <xf numFmtId="3" fontId="2" fillId="6" borderId="4" xfId="0" applyNumberFormat="1" applyFont="1" applyFill="1" applyBorder="1" applyAlignment="1" applyProtection="1">
      <alignment vertical="center"/>
      <protection locked="0"/>
    </xf>
    <xf numFmtId="0" fontId="2" fillId="2" borderId="4" xfId="0" applyFont="1" applyFill="1" applyBorder="1" applyAlignment="1" applyProtection="1">
      <alignment horizontal="center" vertical="center"/>
      <protection locked="0"/>
    </xf>
    <xf numFmtId="3" fontId="2" fillId="2" borderId="0" xfId="0" applyNumberFormat="1" applyFont="1" applyFill="1" applyAlignment="1">
      <alignment vertical="center"/>
    </xf>
    <xf numFmtId="0" fontId="2" fillId="6" borderId="4" xfId="0" applyFont="1" applyFill="1" applyBorder="1" applyAlignment="1" applyProtection="1">
      <alignment vertical="center"/>
      <protection locked="0"/>
    </xf>
    <xf numFmtId="0" fontId="2" fillId="2" borderId="5" xfId="0" applyFont="1" applyFill="1" applyBorder="1" applyAlignment="1">
      <alignment horizontal="left" vertical="center"/>
    </xf>
    <xf numFmtId="0" fontId="2" fillId="2" borderId="5" xfId="0" applyFont="1" applyFill="1" applyBorder="1" applyAlignment="1">
      <alignment vertical="center"/>
    </xf>
    <xf numFmtId="3" fontId="2" fillId="2" borderId="6" xfId="0" applyNumberFormat="1" applyFont="1" applyFill="1" applyBorder="1" applyAlignment="1">
      <alignment vertical="center"/>
    </xf>
    <xf numFmtId="37" fontId="2" fillId="2" borderId="0" xfId="0" applyNumberFormat="1" applyFont="1" applyFill="1" applyAlignment="1">
      <alignment horizontal="left" vertical="center"/>
    </xf>
    <xf numFmtId="0" fontId="2" fillId="2" borderId="7" xfId="0" applyFont="1" applyFill="1" applyBorder="1" applyAlignment="1">
      <alignment vertical="center"/>
    </xf>
    <xf numFmtId="0" fontId="2" fillId="4" borderId="4" xfId="0" applyFont="1" applyFill="1" applyBorder="1" applyAlignment="1" applyProtection="1">
      <alignment vertical="center"/>
      <protection locked="0"/>
    </xf>
    <xf numFmtId="0" fontId="2" fillId="2" borderId="4" xfId="0" applyFont="1" applyFill="1" applyBorder="1" applyAlignment="1">
      <alignment vertical="center"/>
    </xf>
    <xf numFmtId="164" fontId="2" fillId="6" borderId="4" xfId="0" applyNumberFormat="1" applyFont="1" applyFill="1" applyBorder="1" applyAlignment="1" applyProtection="1">
      <alignment vertical="center"/>
      <protection locked="0"/>
    </xf>
    <xf numFmtId="3" fontId="2" fillId="2" borderId="0" xfId="0" applyNumberFormat="1" applyFont="1" applyFill="1" applyAlignment="1" applyProtection="1">
      <alignment vertical="center"/>
      <protection locked="0"/>
    </xf>
    <xf numFmtId="0" fontId="2" fillId="2" borderId="5" xfId="0" applyFont="1" applyFill="1" applyBorder="1" applyAlignment="1">
      <alignment horizontal="center" vertical="center"/>
    </xf>
    <xf numFmtId="3" fontId="2" fillId="4" borderId="4" xfId="0" applyNumberFormat="1" applyFont="1" applyFill="1" applyBorder="1" applyAlignment="1" applyProtection="1">
      <alignment vertical="center"/>
      <protection locked="0"/>
    </xf>
    <xf numFmtId="0" fontId="2" fillId="2" borderId="6" xfId="0" applyFont="1"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0" xfId="0" applyFill="1" applyAlignment="1">
      <alignment vertical="center"/>
    </xf>
    <xf numFmtId="0" fontId="12" fillId="2" borderId="0" xfId="0" applyFont="1" applyFill="1" applyAlignment="1">
      <alignment horizontal="center" vertical="center"/>
    </xf>
    <xf numFmtId="37" fontId="2" fillId="2" borderId="12" xfId="0" applyNumberFormat="1" applyFont="1" applyFill="1" applyBorder="1" applyAlignment="1">
      <alignment horizontal="left" vertical="center"/>
    </xf>
    <xf numFmtId="3" fontId="2" fillId="6" borderId="3" xfId="0" applyNumberFormat="1" applyFont="1" applyFill="1" applyBorder="1" applyAlignment="1" applyProtection="1">
      <alignment vertical="center"/>
      <protection locked="0"/>
    </xf>
    <xf numFmtId="3" fontId="2" fillId="6" borderId="12" xfId="0" applyNumberFormat="1" applyFont="1" applyFill="1" applyBorder="1" applyAlignment="1" applyProtection="1">
      <alignment vertical="center"/>
      <protection locked="0"/>
    </xf>
    <xf numFmtId="3" fontId="2" fillId="6" borderId="13" xfId="0" applyNumberFormat="1" applyFont="1" applyFill="1" applyBorder="1" applyAlignment="1" applyProtection="1">
      <alignment vertical="center"/>
      <protection locked="0"/>
    </xf>
    <xf numFmtId="3" fontId="2" fillId="6" borderId="2" xfId="0" applyNumberFormat="1" applyFont="1" applyFill="1" applyBorder="1" applyAlignment="1" applyProtection="1">
      <alignment vertical="center"/>
      <protection locked="0"/>
    </xf>
    <xf numFmtId="3" fontId="2" fillId="6" borderId="9" xfId="0" applyNumberFormat="1" applyFont="1" applyFill="1" applyBorder="1" applyAlignment="1" applyProtection="1">
      <alignment vertical="center"/>
      <protection locked="0"/>
    </xf>
    <xf numFmtId="3" fontId="2" fillId="4" borderId="2" xfId="0" applyNumberFormat="1" applyFont="1" applyFill="1" applyBorder="1" applyAlignment="1" applyProtection="1">
      <alignment vertical="center"/>
      <protection locked="0"/>
    </xf>
    <xf numFmtId="37" fontId="2" fillId="2" borderId="11" xfId="0" applyNumberFormat="1" applyFont="1" applyFill="1" applyBorder="1" applyAlignment="1">
      <alignment horizontal="left" vertical="center"/>
    </xf>
    <xf numFmtId="0" fontId="0" fillId="2" borderId="11" xfId="0" applyFill="1" applyBorder="1" applyAlignment="1">
      <alignment vertical="center"/>
    </xf>
    <xf numFmtId="3" fontId="0" fillId="2" borderId="0" xfId="0" applyNumberFormat="1" applyFill="1" applyAlignment="1">
      <alignment vertical="center"/>
    </xf>
    <xf numFmtId="0" fontId="2" fillId="2" borderId="15" xfId="0" applyFont="1" applyFill="1" applyBorder="1" applyAlignment="1">
      <alignment horizontal="center" vertical="center"/>
    </xf>
    <xf numFmtId="10" fontId="2" fillId="2" borderId="0" xfId="0" applyNumberFormat="1" applyFont="1" applyFill="1" applyAlignment="1" applyProtection="1">
      <alignment vertical="center"/>
      <protection locked="0"/>
    </xf>
    <xf numFmtId="0" fontId="2" fillId="2" borderId="3" xfId="0" applyFont="1" applyFill="1" applyBorder="1" applyAlignment="1">
      <alignment horizontal="center" vertical="center"/>
    </xf>
    <xf numFmtId="3" fontId="2" fillId="4" borderId="3" xfId="0" applyNumberFormat="1" applyFont="1" applyFill="1" applyBorder="1" applyAlignment="1" applyProtection="1">
      <alignment vertical="center"/>
      <protection locked="0"/>
    </xf>
    <xf numFmtId="0" fontId="2" fillId="2" borderId="0" xfId="0" applyFont="1" applyFill="1" applyAlignment="1" applyProtection="1">
      <alignment vertical="center"/>
      <protection locked="0"/>
    </xf>
    <xf numFmtId="3" fontId="2" fillId="4" borderId="15" xfId="0" applyNumberFormat="1" applyFont="1" applyFill="1" applyBorder="1" applyAlignment="1" applyProtection="1">
      <alignment vertical="center"/>
      <protection locked="0"/>
    </xf>
    <xf numFmtId="37" fontId="2" fillId="8" borderId="0" xfId="0" applyNumberFormat="1" applyFont="1" applyFill="1" applyAlignment="1">
      <alignment horizontal="left" vertical="center"/>
    </xf>
    <xf numFmtId="0" fontId="15" fillId="8" borderId="0" xfId="0" applyFont="1" applyFill="1" applyAlignment="1">
      <alignment vertical="center"/>
    </xf>
    <xf numFmtId="0" fontId="0" fillId="8" borderId="0" xfId="0" applyFill="1" applyAlignment="1">
      <alignment vertical="center"/>
    </xf>
    <xf numFmtId="0" fontId="17" fillId="2" borderId="0" xfId="0" applyFont="1" applyFill="1" applyAlignment="1">
      <alignment vertical="center"/>
    </xf>
    <xf numFmtId="37" fontId="2" fillId="2" borderId="0" xfId="0" applyNumberFormat="1" applyFont="1" applyFill="1" applyAlignment="1">
      <alignment horizontal="centerContinuous" vertical="center"/>
    </xf>
    <xf numFmtId="0" fontId="4" fillId="2" borderId="0" xfId="0" applyFont="1" applyFill="1" applyAlignment="1">
      <alignment horizontal="center" vertical="center"/>
    </xf>
    <xf numFmtId="0" fontId="2" fillId="2" borderId="0" xfId="0" applyFont="1" applyFill="1" applyAlignment="1">
      <alignment horizontal="fill" vertical="center"/>
    </xf>
    <xf numFmtId="0" fontId="2" fillId="2" borderId="5" xfId="0" applyFont="1" applyFill="1" applyBorder="1" applyAlignment="1">
      <alignment horizontal="fill"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 xfId="0" applyFont="1" applyFill="1" applyBorder="1" applyAlignment="1">
      <alignment horizontal="fill" vertical="center"/>
    </xf>
    <xf numFmtId="0" fontId="2" fillId="2" borderId="7" xfId="0" applyFont="1" applyFill="1" applyBorder="1" applyAlignment="1">
      <alignment horizontal="fill" vertical="center"/>
    </xf>
    <xf numFmtId="0" fontId="2" fillId="2" borderId="13" xfId="0" applyFont="1" applyFill="1" applyBorder="1" applyAlignment="1">
      <alignment horizontal="fill" vertical="center"/>
    </xf>
    <xf numFmtId="0" fontId="2" fillId="2" borderId="14" xfId="0" applyFont="1" applyFill="1" applyBorder="1" applyAlignment="1">
      <alignment horizontal="fill" vertical="center"/>
    </xf>
    <xf numFmtId="0" fontId="2" fillId="2" borderId="12" xfId="0" applyFont="1" applyFill="1" applyBorder="1" applyAlignment="1">
      <alignment vertical="center"/>
    </xf>
    <xf numFmtId="3" fontId="2" fillId="2" borderId="4" xfId="0" applyNumberFormat="1" applyFont="1" applyFill="1" applyBorder="1" applyAlignment="1">
      <alignment horizontal="center" vertical="center"/>
    </xf>
    <xf numFmtId="3" fontId="2" fillId="2" borderId="3" xfId="0" applyNumberFormat="1" applyFont="1" applyFill="1" applyBorder="1" applyAlignment="1">
      <alignment vertical="center"/>
    </xf>
    <xf numFmtId="3" fontId="2" fillId="2" borderId="4" xfId="0" applyNumberFormat="1" applyFont="1" applyFill="1" applyBorder="1" applyAlignment="1">
      <alignment vertical="center"/>
    </xf>
    <xf numFmtId="0" fontId="2" fillId="2" borderId="13" xfId="0" applyFont="1" applyFill="1" applyBorder="1" applyAlignment="1">
      <alignment vertical="center"/>
    </xf>
    <xf numFmtId="0" fontId="2" fillId="2" borderId="6" xfId="0" applyFont="1" applyFill="1" applyBorder="1" applyAlignment="1">
      <alignment horizontal="center" vertical="center"/>
    </xf>
    <xf numFmtId="3" fontId="2" fillId="2" borderId="6" xfId="0" applyNumberFormat="1" applyFont="1" applyFill="1" applyBorder="1" applyAlignment="1">
      <alignment horizontal="center" vertical="center"/>
    </xf>
    <xf numFmtId="37" fontId="2" fillId="2" borderId="4" xfId="0" applyNumberFormat="1"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164" fontId="2" fillId="2" borderId="2" xfId="0" applyNumberFormat="1" applyFont="1" applyFill="1" applyBorder="1" applyAlignment="1">
      <alignment vertical="center"/>
    </xf>
    <xf numFmtId="0" fontId="3" fillId="2" borderId="13" xfId="0" applyFont="1" applyFill="1" applyBorder="1" applyAlignment="1">
      <alignment horizontal="left" vertical="center"/>
    </xf>
    <xf numFmtId="0" fontId="2" fillId="2" borderId="4" xfId="0" applyFont="1" applyFill="1" applyBorder="1" applyAlignment="1">
      <alignment horizontal="fill" vertical="center"/>
    </xf>
    <xf numFmtId="165" fontId="2" fillId="2" borderId="4" xfId="0" applyNumberFormat="1" applyFont="1" applyFill="1" applyBorder="1" applyAlignment="1">
      <alignment horizontal="center" vertical="center"/>
    </xf>
    <xf numFmtId="165" fontId="2" fillId="2" borderId="0" xfId="0" applyNumberFormat="1" applyFont="1" applyFill="1" applyAlignment="1">
      <alignment horizontal="center" vertical="center"/>
    </xf>
    <xf numFmtId="0" fontId="2" fillId="2" borderId="12" xfId="0" applyFont="1" applyFill="1" applyBorder="1" applyAlignment="1">
      <alignment horizontal="left" vertical="center"/>
    </xf>
    <xf numFmtId="0" fontId="6" fillId="2" borderId="0" xfId="0" applyFont="1" applyFill="1" applyAlignment="1">
      <alignment vertical="center"/>
    </xf>
    <xf numFmtId="0" fontId="2" fillId="4" borderId="5" xfId="0" applyFont="1" applyFill="1" applyBorder="1" applyAlignment="1" applyProtection="1">
      <alignment vertical="center"/>
      <protection locked="0"/>
    </xf>
    <xf numFmtId="37" fontId="2" fillId="2" borderId="0" xfId="0" applyNumberFormat="1" applyFont="1" applyFill="1" applyAlignment="1">
      <alignment horizontal="right" vertical="center"/>
    </xf>
    <xf numFmtId="37" fontId="2" fillId="2" borderId="0" xfId="0" applyNumberFormat="1" applyFont="1" applyFill="1" applyAlignment="1">
      <alignment vertical="center"/>
    </xf>
    <xf numFmtId="37" fontId="2" fillId="2" borderId="5" xfId="0" applyNumberFormat="1" applyFont="1" applyFill="1" applyBorder="1" applyAlignment="1">
      <alignment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 xfId="0" applyFont="1" applyFill="1" applyBorder="1" applyAlignment="1">
      <alignment horizontal="center" vertical="center"/>
    </xf>
    <xf numFmtId="1" fontId="2" fillId="2" borderId="3" xfId="0" applyNumberFormat="1" applyFont="1" applyFill="1" applyBorder="1" applyAlignment="1">
      <alignment horizontal="center" vertical="center"/>
    </xf>
    <xf numFmtId="0" fontId="2" fillId="0" borderId="0" xfId="0" applyFont="1" applyAlignment="1" applyProtection="1">
      <alignment horizontal="center" vertical="center"/>
      <protection locked="0"/>
    </xf>
    <xf numFmtId="0" fontId="2" fillId="4" borderId="3" xfId="0" applyFont="1" applyFill="1" applyBorder="1" applyAlignment="1" applyProtection="1">
      <alignment vertical="center"/>
      <protection locked="0"/>
    </xf>
    <xf numFmtId="168" fontId="2" fillId="4" borderId="3" xfId="1" applyNumberFormat="1" applyFont="1" applyFill="1" applyBorder="1" applyAlignment="1" applyProtection="1">
      <alignment vertical="center"/>
      <protection locked="0"/>
    </xf>
    <xf numFmtId="168" fontId="2" fillId="4" borderId="4" xfId="1" applyNumberFormat="1" applyFont="1" applyFill="1" applyBorder="1" applyAlignment="1" applyProtection="1">
      <alignment vertical="center"/>
      <protection locked="0"/>
    </xf>
    <xf numFmtId="0" fontId="4" fillId="4" borderId="4" xfId="0" applyFont="1" applyFill="1" applyBorder="1" applyAlignment="1" applyProtection="1">
      <alignment vertical="center"/>
      <protection locked="0"/>
    </xf>
    <xf numFmtId="0" fontId="3" fillId="2" borderId="4" xfId="0" applyFont="1" applyFill="1" applyBorder="1" applyAlignment="1">
      <alignment horizontal="center" vertical="center"/>
    </xf>
    <xf numFmtId="0" fontId="2" fillId="2" borderId="0" xfId="0" applyFont="1" applyFill="1" applyAlignment="1" applyProtection="1">
      <alignment horizontal="center" vertical="center"/>
      <protection locked="0"/>
    </xf>
    <xf numFmtId="37" fontId="3" fillId="2" borderId="4" xfId="0" applyNumberFormat="1" applyFont="1" applyFill="1" applyBorder="1" applyAlignment="1">
      <alignment horizontal="center" vertical="center"/>
    </xf>
    <xf numFmtId="0" fontId="2" fillId="2" borderId="4" xfId="0" applyFont="1" applyFill="1" applyBorder="1" applyAlignment="1">
      <alignment horizontal="right" vertical="center"/>
    </xf>
    <xf numFmtId="0" fontId="2" fillId="4" borderId="4" xfId="0" applyFont="1" applyFill="1" applyBorder="1" applyAlignment="1" applyProtection="1">
      <alignment horizontal="right" vertical="center"/>
      <protection locked="0"/>
    </xf>
    <xf numFmtId="0" fontId="2" fillId="0" borderId="0" xfId="523" applyFont="1" applyAlignment="1" applyProtection="1">
      <alignment vertical="center"/>
      <protection locked="0"/>
    </xf>
    <xf numFmtId="0" fontId="2" fillId="2" borderId="0" xfId="523" applyFont="1" applyFill="1" applyAlignment="1">
      <alignment vertical="center"/>
    </xf>
    <xf numFmtId="0" fontId="2" fillId="2" borderId="9" xfId="0" applyFont="1" applyFill="1" applyBorder="1" applyAlignment="1">
      <alignment horizontal="centerContinuous" vertical="center"/>
    </xf>
    <xf numFmtId="0" fontId="2" fillId="2" borderId="16" xfId="0" applyFont="1" applyFill="1" applyBorder="1" applyAlignment="1">
      <alignment horizontal="centerContinuous" vertical="center"/>
    </xf>
    <xf numFmtId="0" fontId="2" fillId="2" borderId="12" xfId="0" applyFont="1" applyFill="1" applyBorder="1" applyAlignment="1">
      <alignment horizontal="centerContinuous" vertical="center"/>
    </xf>
    <xf numFmtId="0" fontId="2" fillId="2" borderId="7" xfId="0" applyFont="1" applyFill="1" applyBorder="1" applyAlignment="1">
      <alignment horizontal="centerContinuous" vertical="center"/>
    </xf>
    <xf numFmtId="14" fontId="2" fillId="2" borderId="3" xfId="0" quotePrefix="1" applyNumberFormat="1" applyFont="1" applyFill="1" applyBorder="1" applyAlignment="1">
      <alignment horizontal="center" vertical="center"/>
    </xf>
    <xf numFmtId="169" fontId="2" fillId="2" borderId="4" xfId="0" applyNumberFormat="1" applyFont="1" applyFill="1" applyBorder="1" applyAlignment="1">
      <alignment horizontal="left" vertical="center"/>
    </xf>
    <xf numFmtId="170" fontId="2" fillId="2" borderId="4" xfId="0" applyNumberFormat="1" applyFont="1" applyFill="1" applyBorder="1" applyAlignment="1">
      <alignment horizontal="left" vertical="center"/>
    </xf>
    <xf numFmtId="0" fontId="2" fillId="4" borderId="4" xfId="0" applyFont="1" applyFill="1" applyBorder="1" applyAlignment="1" applyProtection="1">
      <alignment horizontal="left" vertical="center"/>
      <protection locked="0"/>
    </xf>
    <xf numFmtId="170" fontId="2" fillId="4" borderId="4" xfId="0" applyNumberFormat="1" applyFont="1" applyFill="1" applyBorder="1" applyAlignment="1" applyProtection="1">
      <alignment horizontal="left" vertical="center"/>
      <protection locked="0"/>
    </xf>
    <xf numFmtId="2" fontId="2" fillId="6" borderId="4" xfId="0" applyNumberFormat="1" applyFont="1" applyFill="1" applyBorder="1" applyAlignment="1" applyProtection="1">
      <alignment vertical="center"/>
      <protection locked="0"/>
    </xf>
    <xf numFmtId="170" fontId="2" fillId="6" borderId="4" xfId="0" applyNumberFormat="1" applyFont="1" applyFill="1" applyBorder="1" applyAlignment="1" applyProtection="1">
      <alignment vertical="center"/>
      <protection locked="0"/>
    </xf>
    <xf numFmtId="37" fontId="2" fillId="6" borderId="4" xfId="0" applyNumberFormat="1" applyFont="1" applyFill="1" applyBorder="1" applyAlignment="1" applyProtection="1">
      <alignment vertical="center"/>
      <protection locked="0"/>
    </xf>
    <xf numFmtId="169" fontId="2" fillId="2" borderId="4" xfId="0" applyNumberFormat="1" applyFont="1" applyFill="1" applyBorder="1" applyAlignment="1">
      <alignment vertical="center"/>
    </xf>
    <xf numFmtId="2" fontId="2" fillId="2" borderId="4" xfId="0" applyNumberFormat="1" applyFont="1" applyFill="1" applyBorder="1" applyAlignment="1">
      <alignment vertical="center"/>
    </xf>
    <xf numFmtId="37" fontId="2" fillId="7" borderId="4" xfId="0" applyNumberFormat="1" applyFont="1" applyFill="1" applyBorder="1" applyAlignment="1">
      <alignment vertical="center"/>
    </xf>
    <xf numFmtId="170" fontId="2" fillId="2" borderId="4" xfId="0" applyNumberFormat="1" applyFont="1" applyFill="1" applyBorder="1" applyAlignment="1">
      <alignment vertical="center"/>
    </xf>
    <xf numFmtId="0" fontId="2" fillId="2" borderId="4" xfId="523" applyFont="1" applyFill="1" applyBorder="1" applyAlignment="1">
      <alignment horizontal="left" vertical="center"/>
    </xf>
    <xf numFmtId="0" fontId="2" fillId="2" borderId="10" xfId="523" applyFont="1" applyFill="1" applyBorder="1" applyAlignment="1">
      <alignment vertical="center"/>
    </xf>
    <xf numFmtId="37" fontId="3" fillId="7" borderId="4" xfId="523" applyNumberFormat="1" applyFont="1" applyFill="1" applyBorder="1" applyAlignment="1">
      <alignment vertical="center"/>
    </xf>
    <xf numFmtId="0" fontId="2" fillId="2" borderId="0" xfId="524" applyFont="1" applyFill="1" applyAlignment="1">
      <alignment horizontal="centerContinuous" vertical="center"/>
    </xf>
    <xf numFmtId="0" fontId="2" fillId="2" borderId="0" xfId="524" applyFont="1" applyFill="1" applyAlignment="1">
      <alignment vertical="center"/>
    </xf>
    <xf numFmtId="0" fontId="2" fillId="0" borderId="0" xfId="524" applyFont="1" applyAlignment="1">
      <alignment vertical="center"/>
    </xf>
    <xf numFmtId="0" fontId="2" fillId="2" borderId="2" xfId="0" applyFont="1" applyFill="1" applyBorder="1" applyAlignment="1">
      <alignment vertical="center"/>
    </xf>
    <xf numFmtId="0" fontId="2" fillId="2" borderId="11" xfId="524" applyFont="1" applyFill="1" applyBorder="1" applyAlignment="1">
      <alignment vertical="center"/>
    </xf>
    <xf numFmtId="0" fontId="2" fillId="2" borderId="15" xfId="0" applyFont="1" applyFill="1" applyBorder="1" applyAlignment="1">
      <alignment vertical="center"/>
    </xf>
    <xf numFmtId="0" fontId="5" fillId="2" borderId="3" xfId="0" applyFont="1" applyFill="1" applyBorder="1" applyAlignment="1">
      <alignment horizontal="center" vertical="center"/>
    </xf>
    <xf numFmtId="1" fontId="2" fillId="6" borderId="4" xfId="0" applyNumberFormat="1" applyFont="1" applyFill="1" applyBorder="1" applyAlignment="1" applyProtection="1">
      <alignment vertical="center"/>
      <protection locked="0"/>
    </xf>
    <xf numFmtId="165" fontId="2" fillId="2" borderId="0" xfId="0" applyNumberFormat="1" applyFont="1" applyFill="1" applyAlignment="1">
      <alignment vertical="center"/>
    </xf>
    <xf numFmtId="165" fontId="2" fillId="2" borderId="0" xfId="0" quotePrefix="1" applyNumberFormat="1" applyFont="1" applyFill="1" applyAlignment="1">
      <alignment horizontal="right" vertical="center"/>
    </xf>
    <xf numFmtId="37" fontId="2" fillId="2" borderId="13" xfId="0" applyNumberFormat="1" applyFont="1" applyFill="1" applyBorder="1" applyAlignment="1">
      <alignment vertical="center"/>
    </xf>
    <xf numFmtId="1" fontId="2" fillId="2" borderId="4" xfId="0" applyNumberFormat="1" applyFont="1" applyFill="1" applyBorder="1" applyAlignment="1">
      <alignment vertical="center"/>
    </xf>
    <xf numFmtId="37" fontId="2" fillId="6" borderId="13" xfId="0" applyNumberFormat="1" applyFont="1" applyFill="1" applyBorder="1" applyAlignment="1" applyProtection="1">
      <alignment vertical="center"/>
      <protection locked="0"/>
    </xf>
    <xf numFmtId="0" fontId="2" fillId="4" borderId="13" xfId="0" applyFont="1" applyFill="1" applyBorder="1" applyAlignment="1" applyProtection="1">
      <alignment horizontal="left" vertical="center"/>
      <protection locked="0"/>
    </xf>
    <xf numFmtId="37" fontId="2" fillId="2" borderId="13" xfId="0" applyNumberFormat="1" applyFont="1" applyFill="1" applyBorder="1" applyAlignment="1" applyProtection="1">
      <alignment horizontal="left" vertical="center"/>
      <protection locked="0"/>
    </xf>
    <xf numFmtId="37" fontId="2" fillId="6" borderId="6" xfId="0" applyNumberFormat="1" applyFont="1" applyFill="1" applyBorder="1" applyAlignment="1" applyProtection="1">
      <alignment vertical="center"/>
      <protection locked="0"/>
    </xf>
    <xf numFmtId="3" fontId="15" fillId="9" borderId="6" xfId="0" applyNumberFormat="1" applyFont="1" applyFill="1" applyBorder="1" applyAlignment="1">
      <alignment horizontal="center" vertical="center"/>
    </xf>
    <xf numFmtId="37" fontId="3" fillId="2" borderId="13" xfId="0" applyNumberFormat="1" applyFont="1" applyFill="1" applyBorder="1" applyAlignment="1">
      <alignment horizontal="left" vertical="center"/>
    </xf>
    <xf numFmtId="3" fontId="2" fillId="2" borderId="4" xfId="1" applyNumberFormat="1" applyFont="1" applyFill="1" applyBorder="1" applyAlignment="1" applyProtection="1">
      <alignment horizontal="right" vertical="center"/>
    </xf>
    <xf numFmtId="3" fontId="2" fillId="2" borderId="4" xfId="0" applyNumberFormat="1" applyFont="1" applyFill="1" applyBorder="1" applyAlignment="1">
      <alignment horizontal="fill" vertical="center"/>
    </xf>
    <xf numFmtId="3" fontId="2" fillId="6" borderId="4" xfId="0" applyNumberFormat="1" applyFont="1" applyFill="1" applyBorder="1" applyAlignment="1" applyProtection="1">
      <alignment horizontal="right" vertical="center"/>
      <protection locked="0"/>
    </xf>
    <xf numFmtId="3" fontId="2" fillId="2" borderId="4" xfId="0" applyNumberFormat="1" applyFont="1" applyFill="1" applyBorder="1" applyAlignment="1">
      <alignment horizontal="right" vertical="center"/>
    </xf>
    <xf numFmtId="0" fontId="2" fillId="6" borderId="13" xfId="0" applyFont="1" applyFill="1" applyBorder="1" applyAlignment="1" applyProtection="1">
      <alignment horizontal="left" vertical="center"/>
      <protection locked="0"/>
    </xf>
    <xf numFmtId="3" fontId="2" fillId="4" borderId="4" xfId="0" applyNumberFormat="1" applyFont="1" applyFill="1" applyBorder="1" applyAlignment="1" applyProtection="1">
      <alignment horizontal="right" vertical="center"/>
      <protection locked="0"/>
    </xf>
    <xf numFmtId="0" fontId="2" fillId="6" borderId="9" xfId="0" applyFont="1" applyFill="1" applyBorder="1" applyAlignment="1" applyProtection="1">
      <alignment horizontal="left" vertical="center"/>
      <protection locked="0"/>
    </xf>
    <xf numFmtId="0" fontId="2" fillId="6" borderId="13" xfId="0" applyFont="1" applyFill="1" applyBorder="1" applyAlignment="1" applyProtection="1">
      <alignment vertical="center"/>
      <protection locked="0"/>
    </xf>
    <xf numFmtId="0" fontId="15" fillId="0" borderId="0" xfId="0" applyFont="1" applyAlignment="1">
      <alignment vertical="center"/>
    </xf>
    <xf numFmtId="0" fontId="2" fillId="2" borderId="0" xfId="0" applyFont="1" applyFill="1" applyAlignment="1" applyProtection="1">
      <alignment horizontal="left" vertical="center"/>
      <protection locked="0"/>
    </xf>
    <xf numFmtId="3" fontId="3" fillId="2" borderId="4" xfId="0" applyNumberFormat="1" applyFont="1" applyFill="1" applyBorder="1" applyAlignment="1">
      <alignment vertical="center"/>
    </xf>
    <xf numFmtId="1" fontId="2" fillId="2" borderId="2" xfId="0" applyNumberFormat="1" applyFont="1" applyFill="1" applyBorder="1" applyAlignment="1">
      <alignment horizontal="center" vertical="center"/>
    </xf>
    <xf numFmtId="0" fontId="19" fillId="2" borderId="0" xfId="0" applyFont="1" applyFill="1" applyAlignment="1">
      <alignment horizontal="center" vertical="center"/>
    </xf>
    <xf numFmtId="0" fontId="18" fillId="2" borderId="2" xfId="0" applyFont="1" applyFill="1" applyBorder="1" applyAlignment="1">
      <alignment vertical="center"/>
    </xf>
    <xf numFmtId="0" fontId="18" fillId="2" borderId="6" xfId="0" applyFont="1" applyFill="1" applyBorder="1" applyAlignment="1">
      <alignment horizontal="center" vertical="center"/>
    </xf>
    <xf numFmtId="0" fontId="18" fillId="2" borderId="16" xfId="0" applyFont="1" applyFill="1" applyBorder="1" applyAlignment="1">
      <alignment vertical="center"/>
    </xf>
    <xf numFmtId="0" fontId="18" fillId="2" borderId="4" xfId="0" applyFont="1" applyFill="1" applyBorder="1" applyAlignment="1">
      <alignment horizontal="center" vertical="center"/>
    </xf>
    <xf numFmtId="0" fontId="18" fillId="2" borderId="12" xfId="0" applyFont="1" applyFill="1" applyBorder="1" applyAlignment="1">
      <alignment vertical="center"/>
    </xf>
    <xf numFmtId="3" fontId="18" fillId="4" borderId="4" xfId="0" applyNumberFormat="1" applyFont="1" applyFill="1" applyBorder="1" applyAlignment="1" applyProtection="1">
      <alignment horizontal="center" vertical="center"/>
      <protection locked="0"/>
    </xf>
    <xf numFmtId="0" fontId="18" fillId="2" borderId="5" xfId="0" applyFont="1" applyFill="1" applyBorder="1" applyAlignment="1">
      <alignment vertical="center"/>
    </xf>
    <xf numFmtId="3" fontId="18" fillId="7" borderId="4" xfId="0" applyNumberFormat="1" applyFont="1" applyFill="1" applyBorder="1" applyAlignment="1">
      <alignment horizontal="center" vertical="center"/>
    </xf>
    <xf numFmtId="0" fontId="18" fillId="2" borderId="0" xfId="0" applyFont="1" applyFill="1" applyAlignment="1">
      <alignment vertical="center"/>
    </xf>
    <xf numFmtId="3" fontId="18" fillId="2" borderId="0" xfId="0" applyNumberFormat="1" applyFont="1" applyFill="1" applyAlignment="1">
      <alignment horizontal="center" vertical="center"/>
    </xf>
    <xf numFmtId="0" fontId="18" fillId="2" borderId="0" xfId="0" applyFont="1" applyFill="1" applyAlignment="1">
      <alignment horizontal="center" vertical="center"/>
    </xf>
    <xf numFmtId="0" fontId="18" fillId="4" borderId="4" xfId="0" applyFont="1" applyFill="1" applyBorder="1" applyAlignment="1" applyProtection="1">
      <alignment vertical="center"/>
      <protection locked="0"/>
    </xf>
    <xf numFmtId="0" fontId="18" fillId="4" borderId="16" xfId="0" applyFont="1" applyFill="1" applyBorder="1" applyAlignment="1" applyProtection="1">
      <alignment vertical="center"/>
      <protection locked="0"/>
    </xf>
    <xf numFmtId="3" fontId="18" fillId="4" borderId="16" xfId="0" applyNumberFormat="1" applyFont="1" applyFill="1" applyBorder="1" applyAlignment="1" applyProtection="1">
      <alignment horizontal="center" vertical="center"/>
      <protection locked="0"/>
    </xf>
    <xf numFmtId="0" fontId="18" fillId="4" borderId="0" xfId="0" applyFont="1" applyFill="1" applyAlignment="1" applyProtection="1">
      <alignment vertical="center"/>
      <protection locked="0"/>
    </xf>
    <xf numFmtId="3" fontId="18" fillId="4" borderId="7" xfId="0" applyNumberFormat="1" applyFont="1" applyFill="1" applyBorder="1" applyAlignment="1" applyProtection="1">
      <alignment horizontal="center" vertical="center"/>
      <protection locked="0"/>
    </xf>
    <xf numFmtId="3" fontId="18" fillId="4" borderId="6" xfId="0" applyNumberFormat="1" applyFont="1" applyFill="1" applyBorder="1" applyAlignment="1" applyProtection="1">
      <alignment horizontal="center" vertical="center"/>
      <protection locked="0"/>
    </xf>
    <xf numFmtId="0" fontId="18" fillId="4" borderId="6" xfId="0" applyFont="1" applyFill="1" applyBorder="1" applyAlignment="1" applyProtection="1">
      <alignment vertical="center"/>
      <protection locked="0"/>
    </xf>
    <xf numFmtId="0" fontId="18" fillId="4" borderId="3" xfId="0" applyFont="1" applyFill="1" applyBorder="1" applyAlignment="1" applyProtection="1">
      <alignment vertical="center"/>
      <protection locked="0"/>
    </xf>
    <xf numFmtId="3" fontId="18" fillId="4" borderId="14" xfId="0" applyNumberFormat="1" applyFont="1" applyFill="1" applyBorder="1" applyAlignment="1" applyProtection="1">
      <alignment horizontal="center" vertical="center"/>
      <protection locked="0"/>
    </xf>
    <xf numFmtId="0" fontId="18" fillId="4" borderId="14" xfId="0" applyFont="1" applyFill="1" applyBorder="1" applyAlignment="1" applyProtection="1">
      <alignment vertical="center"/>
      <protection locked="0"/>
    </xf>
    <xf numFmtId="3" fontId="18" fillId="7" borderId="3" xfId="0" applyNumberFormat="1" applyFont="1" applyFill="1" applyBorder="1" applyAlignment="1">
      <alignment horizontal="center" vertical="center"/>
    </xf>
    <xf numFmtId="3" fontId="18" fillId="9" borderId="4" xfId="0" applyNumberFormat="1" applyFont="1" applyFill="1" applyBorder="1" applyAlignment="1">
      <alignment horizontal="center" vertical="center"/>
    </xf>
    <xf numFmtId="3" fontId="2" fillId="0" borderId="0" xfId="0" applyNumberFormat="1" applyFont="1" applyAlignment="1">
      <alignment vertical="center"/>
    </xf>
    <xf numFmtId="0" fontId="2" fillId="2" borderId="13"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2" fillId="2" borderId="4" xfId="0" applyFont="1" applyFill="1" applyBorder="1" applyAlignment="1">
      <alignment horizontal="centerContinuous" vertical="center"/>
    </xf>
    <xf numFmtId="0" fontId="2" fillId="2" borderId="1" xfId="0" applyFont="1" applyFill="1" applyBorder="1" applyAlignment="1">
      <alignment horizontal="centerContinuous" vertical="center"/>
    </xf>
    <xf numFmtId="164" fontId="2" fillId="2" borderId="0" xfId="0" applyNumberFormat="1" applyFont="1" applyFill="1" applyAlignment="1">
      <alignment vertical="center"/>
    </xf>
    <xf numFmtId="164" fontId="2" fillId="2" borderId="15" xfId="0" applyNumberFormat="1" applyFont="1" applyFill="1" applyBorder="1" applyAlignment="1">
      <alignment vertical="center"/>
    </xf>
    <xf numFmtId="37" fontId="2" fillId="2" borderId="4" xfId="0" applyNumberFormat="1" applyFont="1" applyFill="1" applyBorder="1" applyAlignment="1">
      <alignment horizontal="center" vertical="center"/>
    </xf>
    <xf numFmtId="165" fontId="2" fillId="2" borderId="0" xfId="0" applyNumberFormat="1" applyFont="1" applyFill="1" applyAlignment="1" applyProtection="1">
      <alignment vertical="center"/>
      <protection locked="0"/>
    </xf>
    <xf numFmtId="37" fontId="2" fillId="2" borderId="0" xfId="0" applyNumberFormat="1" applyFont="1" applyFill="1" applyAlignment="1" applyProtection="1">
      <alignment vertical="center"/>
      <protection locked="0"/>
    </xf>
    <xf numFmtId="0" fontId="2" fillId="2" borderId="16" xfId="0" applyFont="1" applyFill="1" applyBorder="1" applyAlignment="1">
      <alignment horizontal="center" vertical="center" wrapText="1"/>
    </xf>
    <xf numFmtId="37" fontId="2" fillId="2" borderId="4" xfId="0" applyNumberFormat="1" applyFont="1" applyFill="1" applyBorder="1" applyAlignment="1">
      <alignment horizontal="left" vertical="center"/>
    </xf>
    <xf numFmtId="3" fontId="2" fillId="4" borderId="4" xfId="0" applyNumberFormat="1" applyFont="1" applyFill="1" applyBorder="1" applyAlignment="1" applyProtection="1">
      <alignment horizontal="center" vertical="center"/>
      <protection locked="0"/>
    </xf>
    <xf numFmtId="173" fontId="2" fillId="2" borderId="4"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173" fontId="2" fillId="2" borderId="8"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173" fontId="2" fillId="2" borderId="5" xfId="0" applyNumberFormat="1" applyFont="1" applyFill="1" applyBorder="1" applyAlignment="1">
      <alignment horizontal="center" vertical="center"/>
    </xf>
    <xf numFmtId="173" fontId="2" fillId="2" borderId="0" xfId="0" applyNumberFormat="1" applyFont="1" applyFill="1" applyAlignment="1">
      <alignment horizontal="center" vertical="center"/>
    </xf>
    <xf numFmtId="0" fontId="0" fillId="2" borderId="0" xfId="0" applyFill="1" applyAlignment="1">
      <alignment horizontal="center" vertical="center"/>
    </xf>
    <xf numFmtId="0" fontId="4" fillId="0" borderId="0" xfId="0" applyFont="1"/>
    <xf numFmtId="3" fontId="23" fillId="9" borderId="0" xfId="0" applyNumberFormat="1" applyFont="1" applyFill="1" applyAlignment="1">
      <alignment horizontal="center" vertical="center"/>
    </xf>
    <xf numFmtId="0" fontId="2" fillId="0" borderId="0" xfId="511" applyFont="1" applyAlignment="1">
      <alignment vertical="center"/>
    </xf>
    <xf numFmtId="0" fontId="12" fillId="0" borderId="0" xfId="0" applyFont="1" applyAlignment="1">
      <alignment horizontal="center"/>
    </xf>
    <xf numFmtId="0" fontId="1" fillId="0" borderId="0" xfId="0" applyFont="1"/>
    <xf numFmtId="0" fontId="26" fillId="0" borderId="0" xfId="0" applyFont="1"/>
    <xf numFmtId="0" fontId="26" fillId="0" borderId="0" xfId="0" applyFont="1" applyAlignment="1">
      <alignment horizontal="center"/>
    </xf>
    <xf numFmtId="0" fontId="4" fillId="0" borderId="0" xfId="107" applyFont="1" applyAlignment="1">
      <alignment vertical="center"/>
    </xf>
    <xf numFmtId="0" fontId="2" fillId="0" borderId="0" xfId="112" applyFont="1" applyAlignment="1">
      <alignment vertical="center"/>
    </xf>
    <xf numFmtId="0" fontId="2" fillId="2" borderId="0" xfId="0" applyFont="1" applyFill="1"/>
    <xf numFmtId="0" fontId="38" fillId="2" borderId="0" xfId="0"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1" fontId="2" fillId="2" borderId="9"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xf>
    <xf numFmtId="3" fontId="15" fillId="9" borderId="13" xfId="0" applyNumberFormat="1" applyFont="1" applyFill="1" applyBorder="1" applyAlignment="1">
      <alignment horizontal="center" vertical="center"/>
    </xf>
    <xf numFmtId="37" fontId="2" fillId="2" borderId="9" xfId="0" applyNumberFormat="1" applyFont="1" applyFill="1" applyBorder="1" applyAlignment="1">
      <alignment horizontal="center" vertical="center"/>
    </xf>
    <xf numFmtId="3" fontId="2" fillId="2" borderId="13" xfId="0" applyNumberFormat="1" applyFont="1" applyFill="1" applyBorder="1" applyAlignment="1">
      <alignment vertical="center"/>
    </xf>
    <xf numFmtId="3" fontId="2" fillId="6" borderId="13" xfId="0" applyNumberFormat="1" applyFont="1" applyFill="1" applyBorder="1" applyAlignment="1" applyProtection="1">
      <alignment horizontal="right" vertical="center"/>
      <protection locked="0"/>
    </xf>
    <xf numFmtId="3" fontId="2" fillId="2" borderId="13" xfId="1" applyNumberFormat="1" applyFont="1" applyFill="1" applyBorder="1" applyAlignment="1" applyProtection="1">
      <alignment horizontal="right" vertical="center"/>
    </xf>
    <xf numFmtId="3" fontId="2" fillId="2" borderId="13" xfId="0" applyNumberFormat="1" applyFont="1" applyFill="1" applyBorder="1" applyAlignment="1">
      <alignment horizontal="right" vertical="center"/>
    </xf>
    <xf numFmtId="3" fontId="3" fillId="2" borderId="13" xfId="0" applyNumberFormat="1" applyFont="1" applyFill="1" applyBorder="1" applyAlignment="1">
      <alignment vertical="center"/>
    </xf>
    <xf numFmtId="14" fontId="2" fillId="4" borderId="4" xfId="0" applyNumberFormat="1" applyFont="1" applyFill="1" applyBorder="1" applyAlignment="1" applyProtection="1">
      <alignment horizontal="left" vertical="center"/>
      <protection locked="0"/>
    </xf>
    <xf numFmtId="14" fontId="2" fillId="6" borderId="4" xfId="0" applyNumberFormat="1" applyFont="1" applyFill="1" applyBorder="1" applyAlignment="1" applyProtection="1">
      <alignment vertical="center"/>
      <protection locked="0"/>
    </xf>
    <xf numFmtId="0" fontId="20" fillId="0" borderId="0" xfId="0" applyFont="1" applyAlignment="1">
      <alignment horizontal="center" vertical="center"/>
    </xf>
    <xf numFmtId="0" fontId="3" fillId="0" borderId="0" xfId="0" applyFont="1" applyAlignment="1">
      <alignment vertical="center" wrapText="1"/>
    </xf>
    <xf numFmtId="0" fontId="39" fillId="0" borderId="0" xfId="0" applyFont="1" applyAlignment="1">
      <alignment vertical="center"/>
    </xf>
    <xf numFmtId="0" fontId="40" fillId="0" borderId="0" xfId="0" applyFont="1" applyAlignment="1">
      <alignment wrapText="1"/>
    </xf>
    <xf numFmtId="0" fontId="40" fillId="0" borderId="0" xfId="0" applyFont="1" applyAlignment="1">
      <alignment vertical="center" wrapText="1"/>
    </xf>
    <xf numFmtId="0" fontId="39" fillId="0" borderId="0" xfId="0" applyFont="1" applyAlignment="1">
      <alignment vertical="center" wrapText="1"/>
    </xf>
    <xf numFmtId="49" fontId="2" fillId="6" borderId="4" xfId="0" applyNumberFormat="1" applyFont="1" applyFill="1" applyBorder="1" applyAlignment="1" applyProtection="1">
      <alignment horizontal="center" vertical="center"/>
      <protection locked="0"/>
    </xf>
    <xf numFmtId="0" fontId="14" fillId="2" borderId="13" xfId="0" applyFont="1" applyFill="1" applyBorder="1" applyAlignment="1">
      <alignment horizontal="left" vertical="center"/>
    </xf>
    <xf numFmtId="0" fontId="14" fillId="2" borderId="4" xfId="0" applyFont="1" applyFill="1" applyBorder="1" applyAlignment="1">
      <alignment horizontal="center" vertical="center"/>
    </xf>
    <xf numFmtId="37" fontId="2" fillId="11" borderId="13" xfId="0" applyNumberFormat="1" applyFont="1" applyFill="1" applyBorder="1" applyAlignment="1" applyProtection="1">
      <alignment vertical="center"/>
      <protection locked="0"/>
    </xf>
    <xf numFmtId="0" fontId="41" fillId="2" borderId="0" xfId="0" applyFont="1" applyFill="1" applyAlignment="1">
      <alignment horizontal="center" vertical="center"/>
    </xf>
    <xf numFmtId="0" fontId="3" fillId="2" borderId="5" xfId="0" applyFont="1" applyFill="1" applyBorder="1" applyAlignment="1">
      <alignment vertical="center"/>
    </xf>
    <xf numFmtId="3" fontId="15" fillId="9" borderId="4" xfId="0" applyNumberFormat="1" applyFont="1" applyFill="1" applyBorder="1" applyAlignment="1">
      <alignment horizontal="center" vertical="center"/>
    </xf>
    <xf numFmtId="0" fontId="42" fillId="2" borderId="0" xfId="35" applyFont="1" applyFill="1" applyAlignment="1">
      <alignment horizontal="center" vertical="center"/>
    </xf>
    <xf numFmtId="37" fontId="2" fillId="2" borderId="0" xfId="35" applyNumberFormat="1" applyFont="1" applyFill="1" applyAlignment="1">
      <alignment horizontal="right" vertical="center"/>
    </xf>
    <xf numFmtId="0" fontId="2" fillId="11" borderId="13" xfId="0" applyFont="1" applyFill="1" applyBorder="1" applyAlignment="1" applyProtection="1">
      <alignment horizontal="left" vertical="center"/>
      <protection locked="0"/>
    </xf>
    <xf numFmtId="3" fontId="2" fillId="11" borderId="4" xfId="0" applyNumberFormat="1" applyFont="1" applyFill="1" applyBorder="1" applyAlignment="1" applyProtection="1">
      <alignment horizontal="right" vertical="center"/>
      <protection locked="0"/>
    </xf>
    <xf numFmtId="0" fontId="16" fillId="2" borderId="0" xfId="0" applyFont="1" applyFill="1" applyAlignment="1">
      <alignment horizontal="center" vertical="center"/>
    </xf>
    <xf numFmtId="3" fontId="2" fillId="2" borderId="8" xfId="0" applyNumberFormat="1" applyFont="1" applyFill="1" applyBorder="1" applyAlignment="1">
      <alignment vertical="center"/>
    </xf>
    <xf numFmtId="173" fontId="2" fillId="2" borderId="4" xfId="0" applyNumberFormat="1" applyFont="1" applyFill="1" applyBorder="1" applyAlignment="1">
      <alignment vertical="center"/>
    </xf>
    <xf numFmtId="0" fontId="6" fillId="13" borderId="11" xfId="0" applyFont="1" applyFill="1" applyBorder="1"/>
    <xf numFmtId="0" fontId="2" fillId="13" borderId="0" xfId="0" applyFont="1" applyFill="1"/>
    <xf numFmtId="174" fontId="2" fillId="13" borderId="14" xfId="0" applyNumberFormat="1" applyFont="1" applyFill="1" applyBorder="1" applyAlignment="1">
      <alignment horizontal="center"/>
    </xf>
    <xf numFmtId="0" fontId="2" fillId="13" borderId="12" xfId="0" applyFont="1" applyFill="1" applyBorder="1"/>
    <xf numFmtId="0" fontId="2" fillId="13" borderId="5" xfId="0" applyFont="1" applyFill="1" applyBorder="1"/>
    <xf numFmtId="174" fontId="2" fillId="14" borderId="7" xfId="0" applyNumberFormat="1" applyFont="1" applyFill="1" applyBorder="1" applyAlignment="1">
      <alignment horizontal="center"/>
    </xf>
    <xf numFmtId="0" fontId="2" fillId="13" borderId="11" xfId="0" applyFont="1" applyFill="1" applyBorder="1"/>
    <xf numFmtId="0" fontId="2" fillId="13" borderId="14" xfId="0" applyFont="1" applyFill="1" applyBorder="1"/>
    <xf numFmtId="172" fontId="2" fillId="13" borderId="14" xfId="0" applyNumberFormat="1" applyFont="1" applyFill="1" applyBorder="1" applyAlignment="1">
      <alignment horizontal="center"/>
    </xf>
    <xf numFmtId="0" fontId="2" fillId="14" borderId="11" xfId="0" applyFont="1" applyFill="1" applyBorder="1"/>
    <xf numFmtId="0" fontId="2" fillId="14" borderId="0" xfId="0" applyFont="1" applyFill="1"/>
    <xf numFmtId="174" fontId="2" fillId="14" borderId="14" xfId="0" applyNumberFormat="1" applyFont="1" applyFill="1" applyBorder="1" applyAlignment="1">
      <alignment horizontal="center"/>
    </xf>
    <xf numFmtId="0" fontId="2" fillId="14" borderId="12" xfId="0" applyFont="1" applyFill="1" applyBorder="1" applyAlignment="1">
      <alignment vertical="center"/>
    </xf>
    <xf numFmtId="0" fontId="2" fillId="14" borderId="5" xfId="0" applyFont="1" applyFill="1" applyBorder="1" applyAlignment="1">
      <alignment vertical="center"/>
    </xf>
    <xf numFmtId="174" fontId="2" fillId="14" borderId="7" xfId="0" applyNumberFormat="1" applyFont="1" applyFill="1" applyBorder="1" applyAlignment="1">
      <alignment horizontal="center" vertical="center"/>
    </xf>
    <xf numFmtId="174" fontId="2" fillId="13" borderId="7" xfId="0" applyNumberFormat="1" applyFont="1" applyFill="1" applyBorder="1" applyAlignment="1">
      <alignment horizontal="center"/>
    </xf>
    <xf numFmtId="0" fontId="2" fillId="14" borderId="12" xfId="0" applyFont="1" applyFill="1" applyBorder="1"/>
    <xf numFmtId="0" fontId="2" fillId="14" borderId="5" xfId="0" applyFont="1" applyFill="1" applyBorder="1"/>
    <xf numFmtId="173" fontId="2" fillId="11" borderId="14" xfId="0" applyNumberFormat="1" applyFont="1" applyFill="1" applyBorder="1" applyAlignment="1" applyProtection="1">
      <alignment horizontal="center"/>
      <protection locked="0"/>
    </xf>
    <xf numFmtId="0" fontId="2" fillId="13" borderId="11" xfId="0" applyFont="1" applyFill="1" applyBorder="1" applyAlignment="1">
      <alignment vertical="center"/>
    </xf>
    <xf numFmtId="0" fontId="2" fillId="13" borderId="0" xfId="0" applyFont="1" applyFill="1" applyAlignment="1">
      <alignment vertical="center"/>
    </xf>
    <xf numFmtId="0" fontId="2" fillId="13" borderId="14" xfId="0" applyFont="1" applyFill="1" applyBorder="1" applyAlignment="1">
      <alignment vertical="center"/>
    </xf>
    <xf numFmtId="174" fontId="6" fillId="13" borderId="11" xfId="0" applyNumberFormat="1" applyFont="1" applyFill="1" applyBorder="1" applyAlignment="1">
      <alignment horizontal="center" vertical="center"/>
    </xf>
    <xf numFmtId="0" fontId="18" fillId="13" borderId="0" xfId="0" applyFont="1" applyFill="1" applyAlignment="1">
      <alignment vertical="center"/>
    </xf>
    <xf numFmtId="174" fontId="6" fillId="13" borderId="12" xfId="0" applyNumberFormat="1" applyFont="1" applyFill="1" applyBorder="1" applyAlignment="1">
      <alignment horizontal="center" vertical="center"/>
    </xf>
    <xf numFmtId="174" fontId="6" fillId="13" borderId="11" xfId="0" applyNumberFormat="1" applyFont="1" applyFill="1" applyBorder="1" applyAlignment="1">
      <alignment vertical="center"/>
    </xf>
    <xf numFmtId="174" fontId="6" fillId="14" borderId="12" xfId="0" applyNumberFormat="1" applyFont="1" applyFill="1" applyBorder="1" applyAlignment="1">
      <alignment horizontal="center" vertical="center"/>
    </xf>
    <xf numFmtId="0" fontId="2" fillId="14" borderId="7" xfId="0" applyFont="1" applyFill="1" applyBorder="1" applyAlignment="1">
      <alignment vertical="center"/>
    </xf>
    <xf numFmtId="0" fontId="6" fillId="13" borderId="0" xfId="0" applyFont="1" applyFill="1" applyAlignment="1">
      <alignment horizontal="left" vertical="center"/>
    </xf>
    <xf numFmtId="0" fontId="6" fillId="13" borderId="0" xfId="0" applyFont="1" applyFill="1" applyAlignment="1">
      <alignment vertical="center"/>
    </xf>
    <xf numFmtId="0" fontId="6" fillId="14" borderId="5" xfId="0" applyFont="1" applyFill="1" applyBorder="1" applyAlignment="1">
      <alignment vertical="center"/>
    </xf>
    <xf numFmtId="0" fontId="6" fillId="13" borderId="11" xfId="0" applyFont="1" applyFill="1" applyBorder="1" applyAlignment="1">
      <alignment vertical="center"/>
    </xf>
    <xf numFmtId="174" fontId="6" fillId="13" borderId="14" xfId="0" applyNumberFormat="1" applyFont="1" applyFill="1" applyBorder="1" applyAlignment="1">
      <alignment horizontal="center" vertical="center"/>
    </xf>
    <xf numFmtId="0" fontId="6" fillId="13" borderId="11" xfId="0" applyFont="1" applyFill="1" applyBorder="1" applyAlignment="1">
      <alignment horizontal="left" vertical="center"/>
    </xf>
    <xf numFmtId="174" fontId="6" fillId="11" borderId="4" xfId="0" applyNumberFormat="1" applyFont="1" applyFill="1" applyBorder="1" applyAlignment="1" applyProtection="1">
      <alignment horizontal="center" vertical="center"/>
      <protection locked="0"/>
    </xf>
    <xf numFmtId="37" fontId="3" fillId="2" borderId="0" xfId="0" applyNumberFormat="1" applyFont="1" applyFill="1" applyAlignment="1">
      <alignment vertical="center"/>
    </xf>
    <xf numFmtId="0" fontId="3" fillId="2" borderId="3" xfId="0" applyFont="1" applyFill="1" applyBorder="1" applyAlignment="1">
      <alignment horizontal="left" vertical="center"/>
    </xf>
    <xf numFmtId="0" fontId="2" fillId="0" borderId="0" xfId="69" applyFont="1" applyAlignment="1">
      <alignment vertical="center"/>
    </xf>
    <xf numFmtId="0" fontId="2" fillId="0" borderId="0" xfId="69" applyFont="1" applyAlignment="1">
      <alignment vertical="center" wrapText="1"/>
    </xf>
    <xf numFmtId="0" fontId="2" fillId="0" borderId="0" xfId="107" applyFont="1" applyAlignment="1">
      <alignment vertical="center"/>
    </xf>
    <xf numFmtId="3" fontId="2" fillId="2" borderId="3" xfId="0" applyNumberFormat="1" applyFont="1" applyFill="1" applyBorder="1" applyAlignment="1">
      <alignment horizontal="right" vertical="center"/>
    </xf>
    <xf numFmtId="164" fontId="2" fillId="2" borderId="3" xfId="0" applyNumberFormat="1" applyFont="1" applyFill="1" applyBorder="1" applyAlignment="1">
      <alignment horizontal="right" vertical="center"/>
    </xf>
    <xf numFmtId="164" fontId="2" fillId="2" borderId="4" xfId="0" applyNumberFormat="1" applyFont="1" applyFill="1" applyBorder="1" applyAlignment="1">
      <alignment horizontal="right" vertical="center"/>
    </xf>
    <xf numFmtId="37" fontId="2" fillId="2" borderId="4" xfId="0" applyNumberFormat="1" applyFont="1" applyFill="1" applyBorder="1" applyAlignment="1">
      <alignment horizontal="right" vertical="center"/>
    </xf>
    <xf numFmtId="3" fontId="2" fillId="2" borderId="18" xfId="0" applyNumberFormat="1" applyFont="1" applyFill="1" applyBorder="1" applyAlignment="1">
      <alignment horizontal="right" vertical="center"/>
    </xf>
    <xf numFmtId="37" fontId="2" fillId="2" borderId="18" xfId="0" applyNumberFormat="1" applyFont="1" applyFill="1" applyBorder="1" applyAlignment="1">
      <alignment horizontal="right" vertical="center"/>
    </xf>
    <xf numFmtId="164" fontId="2" fillId="2" borderId="18" xfId="0" applyNumberFormat="1" applyFont="1" applyFill="1" applyBorder="1" applyAlignment="1">
      <alignment horizontal="right" vertical="center"/>
    </xf>
    <xf numFmtId="0" fontId="2" fillId="2" borderId="0" xfId="0" applyFont="1" applyFill="1" applyAlignment="1" applyProtection="1">
      <alignment horizontal="fill" vertical="center"/>
      <protection locked="0"/>
    </xf>
    <xf numFmtId="0" fontId="2" fillId="2" borderId="4" xfId="523" applyFont="1" applyFill="1" applyBorder="1" applyAlignment="1">
      <alignment vertical="center"/>
    </xf>
    <xf numFmtId="3" fontId="2" fillId="2" borderId="4" xfId="523" applyNumberFormat="1" applyFont="1" applyFill="1" applyBorder="1" applyAlignment="1">
      <alignment vertical="center"/>
    </xf>
    <xf numFmtId="0" fontId="3" fillId="2" borderId="4" xfId="523" applyFont="1" applyFill="1" applyBorder="1" applyAlignment="1">
      <alignment horizontal="center" vertical="center"/>
    </xf>
    <xf numFmtId="37" fontId="3" fillId="15" borderId="4" xfId="523" applyNumberFormat="1" applyFont="1" applyFill="1" applyBorder="1" applyAlignment="1">
      <alignment vertical="center"/>
    </xf>
    <xf numFmtId="176" fontId="2" fillId="2" borderId="0" xfId="35" applyNumberFormat="1" applyFont="1" applyFill="1" applyAlignment="1">
      <alignment horizontal="center" vertical="center"/>
    </xf>
    <xf numFmtId="0" fontId="6" fillId="14" borderId="0" xfId="0" applyFont="1" applyFill="1" applyAlignment="1">
      <alignment vertical="center"/>
    </xf>
    <xf numFmtId="0" fontId="2" fillId="14" borderId="0" xfId="0" applyFont="1" applyFill="1" applyAlignment="1">
      <alignment vertical="center"/>
    </xf>
    <xf numFmtId="174" fontId="6" fillId="0" borderId="0" xfId="0" applyNumberFormat="1"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174" fontId="6" fillId="0" borderId="0" xfId="0" applyNumberFormat="1" applyFont="1" applyAlignment="1">
      <alignment vertical="center"/>
    </xf>
    <xf numFmtId="0" fontId="31" fillId="0" borderId="0" xfId="0" applyFont="1" applyAlignment="1">
      <alignment horizontal="center" vertical="center"/>
    </xf>
    <xf numFmtId="0" fontId="32" fillId="0" borderId="0" xfId="0" applyFont="1" applyAlignment="1">
      <alignment horizontal="center" vertical="center"/>
    </xf>
    <xf numFmtId="0" fontId="2" fillId="0" borderId="0" xfId="0" applyFont="1" applyAlignment="1">
      <alignment horizontal="right" vertical="center"/>
    </xf>
    <xf numFmtId="10" fontId="2" fillId="6" borderId="4" xfId="0" applyNumberFormat="1" applyFont="1" applyFill="1" applyBorder="1" applyAlignment="1" applyProtection="1">
      <alignment vertical="center"/>
      <protection locked="0"/>
    </xf>
    <xf numFmtId="0" fontId="2" fillId="14" borderId="7" xfId="0" applyFont="1" applyFill="1" applyBorder="1" applyProtection="1">
      <protection locked="0"/>
    </xf>
    <xf numFmtId="0" fontId="43" fillId="0" borderId="0" xfId="0" applyFont="1" applyProtection="1">
      <protection locked="0"/>
    </xf>
    <xf numFmtId="0" fontId="2" fillId="13" borderId="14" xfId="0" applyFont="1" applyFill="1" applyBorder="1" applyAlignment="1" applyProtection="1">
      <alignment vertical="center"/>
      <protection locked="0"/>
    </xf>
    <xf numFmtId="0" fontId="34" fillId="0" borderId="0" xfId="0" applyFont="1" applyAlignment="1">
      <alignment vertical="center"/>
    </xf>
    <xf numFmtId="0" fontId="2" fillId="13" borderId="14" xfId="0" applyFont="1" applyFill="1" applyBorder="1" applyProtection="1">
      <protection locked="0"/>
    </xf>
    <xf numFmtId="173" fontId="33" fillId="13" borderId="6" xfId="0" applyNumberFormat="1" applyFont="1" applyFill="1" applyBorder="1" applyAlignment="1">
      <alignment horizontal="center" vertical="center"/>
    </xf>
    <xf numFmtId="0" fontId="0" fillId="13" borderId="14" xfId="0" applyFill="1" applyBorder="1" applyAlignment="1">
      <alignment vertical="center"/>
    </xf>
    <xf numFmtId="0" fontId="6" fillId="14" borderId="7" xfId="0" applyFont="1" applyFill="1" applyBorder="1" applyAlignment="1">
      <alignment vertical="center"/>
    </xf>
    <xf numFmtId="0" fontId="33" fillId="9" borderId="5" xfId="0" applyFont="1" applyFill="1" applyBorder="1" applyAlignment="1">
      <alignment vertical="center"/>
    </xf>
    <xf numFmtId="174" fontId="33" fillId="9" borderId="12" xfId="0" applyNumberFormat="1" applyFont="1" applyFill="1" applyBorder="1" applyAlignment="1">
      <alignment horizontal="center" vertical="center"/>
    </xf>
    <xf numFmtId="0" fontId="35" fillId="0" borderId="0" xfId="0" applyFont="1" applyAlignment="1">
      <alignment vertical="center"/>
    </xf>
    <xf numFmtId="0" fontId="34" fillId="0" borderId="0" xfId="0" applyFont="1" applyProtection="1">
      <protection locked="0"/>
    </xf>
    <xf numFmtId="0" fontId="6" fillId="13" borderId="14" xfId="0" applyFont="1" applyFill="1" applyBorder="1" applyAlignment="1">
      <alignment vertical="center"/>
    </xf>
    <xf numFmtId="174" fontId="33" fillId="14" borderId="7" xfId="0" applyNumberFormat="1" applyFont="1" applyFill="1" applyBorder="1" applyAlignment="1" applyProtection="1">
      <alignment horizontal="center" vertical="center"/>
      <protection locked="0"/>
    </xf>
    <xf numFmtId="0" fontId="13" fillId="13" borderId="5" xfId="0" applyFont="1" applyFill="1" applyBorder="1" applyAlignment="1">
      <alignment horizontal="left" vertical="center"/>
    </xf>
    <xf numFmtId="174" fontId="33" fillId="14" borderId="6" xfId="0" applyNumberFormat="1" applyFont="1" applyFill="1" applyBorder="1" applyAlignment="1">
      <alignment horizontal="center" vertical="center"/>
    </xf>
    <xf numFmtId="0" fontId="33" fillId="14" borderId="11" xfId="0" applyFont="1" applyFill="1" applyBorder="1" applyAlignment="1">
      <alignment vertical="center"/>
    </xf>
    <xf numFmtId="0" fontId="33" fillId="2" borderId="6" xfId="0" applyFont="1" applyFill="1" applyBorder="1" applyAlignment="1">
      <alignment horizontal="center" vertical="center"/>
    </xf>
    <xf numFmtId="37" fontId="2" fillId="9" borderId="7" xfId="0" applyNumberFormat="1" applyFont="1" applyFill="1" applyBorder="1" applyAlignment="1">
      <alignment horizontal="right" vertical="center"/>
    </xf>
    <xf numFmtId="0" fontId="36" fillId="0" borderId="0" xfId="0" applyFont="1" applyAlignment="1">
      <alignment vertical="center"/>
    </xf>
    <xf numFmtId="37" fontId="2" fillId="2" borderId="14" xfId="0" applyNumberFormat="1" applyFont="1" applyFill="1" applyBorder="1" applyAlignment="1">
      <alignment horizontal="right" vertical="center"/>
    </xf>
    <xf numFmtId="37" fontId="6" fillId="2" borderId="12" xfId="0" applyNumberFormat="1" applyFont="1" applyFill="1" applyBorder="1" applyAlignment="1">
      <alignment horizontal="left" vertical="center"/>
    </xf>
    <xf numFmtId="0" fontId="2" fillId="0" borderId="0" xfId="0" applyFont="1" applyProtection="1">
      <protection locked="0"/>
    </xf>
    <xf numFmtId="37" fontId="2" fillId="2" borderId="1" xfId="36" applyNumberFormat="1" applyFont="1" applyFill="1" applyBorder="1" applyAlignment="1">
      <alignment horizontal="left" vertical="center"/>
    </xf>
    <xf numFmtId="0" fontId="2" fillId="0" borderId="0" xfId="491" applyFont="1" applyAlignment="1">
      <alignment horizontal="left" vertical="center"/>
    </xf>
    <xf numFmtId="3" fontId="2" fillId="2" borderId="7" xfId="0" applyNumberFormat="1" applyFont="1" applyFill="1" applyBorder="1" applyAlignment="1">
      <alignment horizontal="fill" vertical="center"/>
    </xf>
    <xf numFmtId="172" fontId="2" fillId="4" borderId="4" xfId="0" applyNumberFormat="1" applyFont="1" applyFill="1" applyBorder="1" applyAlignment="1" applyProtection="1">
      <alignment vertical="center"/>
      <protection locked="0"/>
    </xf>
    <xf numFmtId="3" fontId="2" fillId="2" borderId="2" xfId="0" applyNumberFormat="1" applyFont="1" applyFill="1" applyBorder="1" applyAlignment="1">
      <alignment horizontal="right" vertical="center"/>
    </xf>
    <xf numFmtId="3" fontId="11" fillId="2" borderId="10"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36" applyFont="1" applyAlignment="1">
      <alignment horizontal="left" vertical="center"/>
    </xf>
    <xf numFmtId="165" fontId="2" fillId="2" borderId="10" xfId="0" applyNumberFormat="1" applyFont="1" applyFill="1" applyBorder="1" applyAlignment="1">
      <alignment horizontal="center" vertical="center"/>
    </xf>
    <xf numFmtId="165" fontId="2" fillId="2" borderId="2" xfId="0" applyNumberFormat="1" applyFont="1" applyFill="1" applyBorder="1" applyAlignment="1">
      <alignment horizontal="center" vertical="center"/>
    </xf>
    <xf numFmtId="0" fontId="2" fillId="2" borderId="10" xfId="0" applyFont="1" applyFill="1" applyBorder="1" applyAlignment="1">
      <alignment horizontal="left" vertical="center"/>
    </xf>
    <xf numFmtId="0" fontId="2" fillId="0" borderId="0" xfId="36" applyFont="1" applyAlignment="1">
      <alignment vertical="center"/>
    </xf>
    <xf numFmtId="0" fontId="3" fillId="5" borderId="9" xfId="0" applyFont="1" applyFill="1" applyBorder="1" applyAlignment="1">
      <alignment vertical="center"/>
    </xf>
    <xf numFmtId="0" fontId="2" fillId="5" borderId="16" xfId="0" applyFont="1" applyFill="1" applyBorder="1" applyAlignment="1">
      <alignment vertical="center"/>
    </xf>
    <xf numFmtId="0" fontId="2" fillId="2" borderId="3" xfId="0" applyFont="1" applyFill="1" applyBorder="1" applyAlignment="1">
      <alignment vertical="center"/>
    </xf>
    <xf numFmtId="37" fontId="2" fillId="5" borderId="9" xfId="0" applyNumberFormat="1" applyFont="1" applyFill="1" applyBorder="1" applyAlignment="1">
      <alignment horizontal="left" vertical="center"/>
    </xf>
    <xf numFmtId="37" fontId="2" fillId="5" borderId="12" xfId="0" applyNumberFormat="1" applyFont="1" applyFill="1" applyBorder="1" applyAlignment="1">
      <alignment horizontal="left" vertical="center"/>
    </xf>
    <xf numFmtId="0" fontId="2" fillId="5" borderId="7" xfId="0" applyFont="1" applyFill="1" applyBorder="1" applyAlignment="1">
      <alignment vertical="center"/>
    </xf>
    <xf numFmtId="0" fontId="2" fillId="5" borderId="9" xfId="0" applyFont="1" applyFill="1" applyBorder="1" applyAlignment="1">
      <alignment vertical="center"/>
    </xf>
    <xf numFmtId="0" fontId="2" fillId="5" borderId="12" xfId="0" applyFont="1" applyFill="1" applyBorder="1" applyAlignment="1">
      <alignment vertical="center"/>
    </xf>
    <xf numFmtId="0" fontId="2" fillId="5" borderId="13" xfId="0" applyFont="1" applyFill="1" applyBorder="1" applyAlignment="1">
      <alignment vertical="center"/>
    </xf>
    <xf numFmtId="0" fontId="2" fillId="5" borderId="6" xfId="0" applyFont="1" applyFill="1" applyBorder="1" applyAlignment="1">
      <alignment vertical="center"/>
    </xf>
    <xf numFmtId="0" fontId="2" fillId="4" borderId="0" xfId="0" applyFont="1" applyFill="1" applyAlignment="1" applyProtection="1">
      <alignment horizontal="center" vertical="center"/>
      <protection locked="0"/>
    </xf>
    <xf numFmtId="165" fontId="2" fillId="6" borderId="0" xfId="0" applyNumberFormat="1" applyFont="1" applyFill="1" applyAlignment="1" applyProtection="1">
      <alignment horizontal="center" vertical="center"/>
      <protection locked="0"/>
    </xf>
    <xf numFmtId="175" fontId="2" fillId="14" borderId="7" xfId="0" applyNumberFormat="1" applyFont="1" applyFill="1" applyBorder="1" applyAlignment="1">
      <alignment horizontal="center"/>
    </xf>
    <xf numFmtId="0" fontId="2" fillId="2" borderId="0" xfId="36" applyFont="1" applyFill="1" applyAlignment="1">
      <alignment horizontal="centerContinuous" vertical="center"/>
    </xf>
    <xf numFmtId="37" fontId="2" fillId="13" borderId="0" xfId="36" applyNumberFormat="1" applyFont="1" applyFill="1" applyAlignment="1">
      <alignment horizontal="centerContinuous" vertical="center"/>
    </xf>
    <xf numFmtId="0" fontId="2" fillId="13" borderId="0" xfId="36" applyFont="1" applyFill="1" applyAlignment="1">
      <alignment horizontal="centerContinuous" vertical="center"/>
    </xf>
    <xf numFmtId="0" fontId="2" fillId="2" borderId="0" xfId="36" applyFont="1" applyFill="1" applyAlignment="1" applyProtection="1">
      <alignment horizontal="left" vertical="center"/>
      <protection locked="0"/>
    </xf>
    <xf numFmtId="0" fontId="2" fillId="6" borderId="4" xfId="36" applyFont="1" applyFill="1" applyBorder="1" applyAlignment="1" applyProtection="1">
      <alignment horizontal="left" vertical="center"/>
      <protection locked="0"/>
    </xf>
    <xf numFmtId="0" fontId="2" fillId="6" borderId="3" xfId="36" applyFont="1" applyFill="1" applyBorder="1" applyAlignment="1" applyProtection="1">
      <alignment horizontal="left" vertical="center"/>
      <protection locked="0"/>
    </xf>
    <xf numFmtId="0" fontId="2" fillId="0" borderId="0" xfId="36" applyFont="1"/>
    <xf numFmtId="0" fontId="4" fillId="0" borderId="0" xfId="36" applyFont="1"/>
    <xf numFmtId="166" fontId="2" fillId="13" borderId="5" xfId="0" applyNumberFormat="1" applyFont="1" applyFill="1" applyBorder="1" applyAlignment="1">
      <alignment vertical="center"/>
    </xf>
    <xf numFmtId="0" fontId="2" fillId="13" borderId="0" xfId="0" applyFont="1" applyFill="1" applyAlignment="1">
      <alignment horizontal="left" vertical="center"/>
    </xf>
    <xf numFmtId="166" fontId="2" fillId="13" borderId="0" xfId="0" applyNumberFormat="1" applyFont="1" applyFill="1" applyAlignment="1">
      <alignment vertical="center"/>
    </xf>
    <xf numFmtId="167" fontId="2" fillId="13" borderId="5" xfId="0" applyNumberFormat="1" applyFont="1" applyFill="1" applyBorder="1" applyAlignment="1">
      <alignment vertical="center"/>
    </xf>
    <xf numFmtId="167" fontId="2" fillId="13" borderId="0" xfId="0" applyNumberFormat="1" applyFont="1" applyFill="1" applyAlignment="1">
      <alignment vertical="center"/>
    </xf>
    <xf numFmtId="167" fontId="2" fillId="13" borderId="0" xfId="36" applyNumberFormat="1" applyFont="1" applyFill="1" applyAlignment="1">
      <alignment vertical="center"/>
    </xf>
    <xf numFmtId="0" fontId="2" fillId="2" borderId="0" xfId="36" applyFont="1" applyFill="1" applyAlignment="1" applyProtection="1">
      <alignment vertical="center"/>
      <protection locked="0"/>
    </xf>
    <xf numFmtId="0" fontId="2" fillId="13" borderId="0" xfId="36" applyFont="1" applyFill="1" applyAlignment="1">
      <alignment vertical="center"/>
    </xf>
    <xf numFmtId="37" fontId="2" fillId="2" borderId="0" xfId="36" applyNumberFormat="1" applyFont="1" applyFill="1" applyAlignment="1">
      <alignment horizontal="left" vertical="center"/>
    </xf>
    <xf numFmtId="37" fontId="2" fillId="2" borderId="3" xfId="36" applyNumberFormat="1" applyFont="1" applyFill="1" applyBorder="1" applyAlignment="1">
      <alignment horizontal="center" vertical="center"/>
    </xf>
    <xf numFmtId="0" fontId="3" fillId="4" borderId="4" xfId="0" applyFont="1" applyFill="1" applyBorder="1" applyAlignment="1" applyProtection="1">
      <alignment horizontal="center" vertical="center"/>
      <protection locked="0"/>
    </xf>
    <xf numFmtId="0" fontId="43" fillId="0" borderId="11" xfId="0" applyFont="1" applyBorder="1" applyAlignment="1" applyProtection="1">
      <alignment vertical="center"/>
      <protection locked="0"/>
    </xf>
    <xf numFmtId="0" fontId="7" fillId="10" borderId="0" xfId="0" applyFont="1" applyFill="1" applyAlignment="1">
      <alignment horizontal="right" vertical="center" textRotation="180"/>
    </xf>
    <xf numFmtId="0" fontId="3" fillId="2" borderId="9" xfId="0" applyFont="1" applyFill="1" applyBorder="1" applyAlignment="1">
      <alignment horizontal="left" vertical="top"/>
    </xf>
    <xf numFmtId="0" fontId="6" fillId="2" borderId="10" xfId="0" applyFont="1" applyFill="1" applyBorder="1" applyAlignment="1">
      <alignment horizontal="left" vertical="top"/>
    </xf>
    <xf numFmtId="0" fontId="6" fillId="2" borderId="16" xfId="0" applyFont="1" applyFill="1" applyBorder="1" applyAlignment="1">
      <alignment horizontal="left" vertical="top"/>
    </xf>
    <xf numFmtId="0" fontId="6" fillId="2" borderId="11" xfId="0" applyFont="1" applyFill="1" applyBorder="1" applyAlignment="1">
      <alignment horizontal="left" vertical="top"/>
    </xf>
    <xf numFmtId="0" fontId="6" fillId="2" borderId="0" xfId="0" applyFont="1" applyFill="1" applyAlignment="1">
      <alignment horizontal="left" vertical="top"/>
    </xf>
    <xf numFmtId="0" fontId="6" fillId="2" borderId="14" xfId="0" applyFont="1" applyFill="1" applyBorder="1" applyAlignment="1">
      <alignment horizontal="left" vertical="top"/>
    </xf>
    <xf numFmtId="0" fontId="6" fillId="2" borderId="12" xfId="0" applyFont="1" applyFill="1" applyBorder="1" applyAlignment="1">
      <alignment horizontal="left" vertical="top"/>
    </xf>
    <xf numFmtId="0" fontId="6" fillId="2" borderId="5" xfId="0" applyFont="1" applyFill="1" applyBorder="1" applyAlignment="1">
      <alignment horizontal="left" vertical="top"/>
    </xf>
    <xf numFmtId="0" fontId="6" fillId="2" borderId="7" xfId="0" applyFont="1" applyFill="1" applyBorder="1" applyAlignment="1">
      <alignment horizontal="left" vertical="top"/>
    </xf>
    <xf numFmtId="0" fontId="2" fillId="2" borderId="10" xfId="0" applyFont="1" applyFill="1" applyBorder="1" applyAlignment="1">
      <alignment horizontal="left" vertical="top"/>
    </xf>
    <xf numFmtId="0" fontId="2" fillId="2" borderId="16" xfId="0" applyFont="1" applyFill="1" applyBorder="1" applyAlignment="1">
      <alignment horizontal="left" vertical="top"/>
    </xf>
    <xf numFmtId="0" fontId="2" fillId="2" borderId="11" xfId="0" applyFont="1" applyFill="1" applyBorder="1" applyAlignment="1">
      <alignment horizontal="left" vertical="top"/>
    </xf>
    <xf numFmtId="0" fontId="2" fillId="2" borderId="0" xfId="0" applyFont="1" applyFill="1" applyAlignment="1">
      <alignment horizontal="left" vertical="top"/>
    </xf>
    <xf numFmtId="0" fontId="2" fillId="2" borderId="14" xfId="0" applyFont="1" applyFill="1" applyBorder="1" applyAlignment="1">
      <alignment horizontal="left" vertical="top"/>
    </xf>
    <xf numFmtId="0" fontId="2" fillId="2" borderId="12" xfId="0" applyFont="1" applyFill="1" applyBorder="1" applyAlignment="1">
      <alignment horizontal="left" vertical="top"/>
    </xf>
    <xf numFmtId="0" fontId="2" fillId="2" borderId="5" xfId="0" applyFont="1" applyFill="1" applyBorder="1" applyAlignment="1">
      <alignment horizontal="left" vertical="top"/>
    </xf>
    <xf numFmtId="0" fontId="2" fillId="2" borderId="7" xfId="0" applyFont="1" applyFill="1" applyBorder="1" applyAlignment="1">
      <alignment horizontal="left" vertical="top"/>
    </xf>
    <xf numFmtId="0" fontId="16" fillId="2" borderId="10" xfId="0" applyFont="1" applyFill="1" applyBorder="1" applyAlignment="1">
      <alignment horizontal="left" vertical="top"/>
    </xf>
    <xf numFmtId="0" fontId="11" fillId="2" borderId="16" xfId="0" applyFont="1" applyFill="1" applyBorder="1" applyAlignment="1">
      <alignment horizontal="left" vertical="top"/>
    </xf>
    <xf numFmtId="0" fontId="16" fillId="2" borderId="0" xfId="0" applyFont="1" applyFill="1" applyAlignment="1">
      <alignment horizontal="left" vertical="top"/>
    </xf>
    <xf numFmtId="0" fontId="11" fillId="2" borderId="14" xfId="0" applyFont="1" applyFill="1" applyBorder="1" applyAlignment="1">
      <alignment horizontal="left" vertical="top"/>
    </xf>
    <xf numFmtId="0" fontId="16" fillId="2" borderId="5" xfId="0" applyFont="1" applyFill="1" applyBorder="1" applyAlignment="1">
      <alignment horizontal="left" vertical="top"/>
    </xf>
    <xf numFmtId="0" fontId="4" fillId="0" borderId="0" xfId="0" applyFont="1" applyAlignment="1">
      <alignment vertical="center"/>
    </xf>
    <xf numFmtId="37" fontId="3" fillId="2" borderId="11" xfId="0" applyNumberFormat="1" applyFont="1" applyFill="1" applyBorder="1" applyAlignment="1">
      <alignment horizontal="left" vertical="center"/>
    </xf>
    <xf numFmtId="0" fontId="19" fillId="2" borderId="0" xfId="0" applyFont="1" applyFill="1" applyAlignment="1" applyProtection="1">
      <alignment vertical="center"/>
      <protection locked="0"/>
    </xf>
    <xf numFmtId="0" fontId="4" fillId="0" borderId="0" xfId="0" applyFont="1" applyAlignment="1">
      <alignment vertical="center" wrapText="1"/>
    </xf>
    <xf numFmtId="0" fontId="0" fillId="0" borderId="0" xfId="0" applyAlignment="1">
      <alignment wrapText="1"/>
    </xf>
    <xf numFmtId="0" fontId="2" fillId="0" borderId="5" xfId="0" applyFont="1" applyBorder="1"/>
    <xf numFmtId="172" fontId="2" fillId="2" borderId="4" xfId="0" applyNumberFormat="1" applyFont="1" applyFill="1" applyBorder="1" applyAlignment="1">
      <alignment horizontal="centerContinuous" vertical="center"/>
    </xf>
    <xf numFmtId="172" fontId="2" fillId="2" borderId="4" xfId="0" applyNumberFormat="1" applyFont="1" applyFill="1" applyBorder="1" applyAlignment="1">
      <alignment horizontal="center" vertical="center"/>
    </xf>
    <xf numFmtId="0" fontId="20" fillId="0" borderId="0" xfId="0" applyFont="1" applyAlignment="1">
      <alignment horizontal="center" vertical="center" wrapText="1"/>
    </xf>
    <xf numFmtId="0" fontId="28" fillId="0" borderId="0" xfId="0" applyFont="1" applyAlignment="1">
      <alignment horizontal="center" vertical="center" wrapText="1"/>
    </xf>
    <xf numFmtId="0" fontId="41" fillId="0" borderId="0" xfId="0" applyFont="1" applyAlignment="1">
      <alignment vertical="center" wrapText="1"/>
    </xf>
    <xf numFmtId="0" fontId="45"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left" vertical="center" wrapText="1" indent="2"/>
    </xf>
    <xf numFmtId="0" fontId="2" fillId="0" borderId="0" xfId="0" applyFont="1" applyAlignment="1">
      <alignment horizontal="left" vertical="center" indent="2"/>
    </xf>
    <xf numFmtId="0" fontId="46" fillId="0" borderId="0" xfId="0" applyFont="1" applyAlignment="1">
      <alignment horizontal="left" vertical="center" wrapText="1" indent="4"/>
    </xf>
    <xf numFmtId="0" fontId="14" fillId="0" borderId="0" xfId="0" applyFont="1" applyAlignment="1">
      <alignment vertical="center" wrapText="1"/>
    </xf>
    <xf numFmtId="0" fontId="8" fillId="0" borderId="0" xfId="491"/>
    <xf numFmtId="0" fontId="2" fillId="0" borderId="0" xfId="491" applyFont="1"/>
    <xf numFmtId="0" fontId="2" fillId="0" borderId="0" xfId="491" applyFont="1" applyAlignment="1">
      <alignment horizontal="right"/>
    </xf>
    <xf numFmtId="49" fontId="2" fillId="0" borderId="0" xfId="491" applyNumberFormat="1" applyFont="1" applyAlignment="1" applyProtection="1">
      <alignment horizontal="left" vertical="center"/>
      <protection locked="0"/>
    </xf>
    <xf numFmtId="0" fontId="8" fillId="0" borderId="0" xfId="491" applyAlignment="1">
      <alignment horizontal="left"/>
    </xf>
    <xf numFmtId="0" fontId="8" fillId="0" borderId="0" xfId="491" applyAlignment="1">
      <alignment horizontal="right"/>
    </xf>
    <xf numFmtId="0" fontId="2" fillId="0" borderId="0" xfId="491" applyFont="1" applyAlignment="1">
      <alignment horizontal="right" vertical="center"/>
    </xf>
    <xf numFmtId="0" fontId="19" fillId="0" borderId="0" xfId="491" applyFont="1" applyAlignment="1">
      <alignment horizontal="left" vertical="center"/>
    </xf>
    <xf numFmtId="0" fontId="2" fillId="2" borderId="8" xfId="0" applyFont="1" applyFill="1" applyBorder="1" applyAlignment="1">
      <alignment vertical="center"/>
    </xf>
    <xf numFmtId="0" fontId="3" fillId="5" borderId="11" xfId="0" applyFont="1" applyFill="1" applyBorder="1" applyAlignment="1">
      <alignment vertical="center"/>
    </xf>
    <xf numFmtId="0" fontId="3" fillId="5" borderId="15" xfId="0" applyFont="1" applyFill="1" applyBorder="1" applyAlignment="1">
      <alignment vertical="center"/>
    </xf>
    <xf numFmtId="0" fontId="3" fillId="5" borderId="12" xfId="0" applyFont="1" applyFill="1" applyBorder="1" applyAlignment="1">
      <alignment vertical="center"/>
    </xf>
    <xf numFmtId="0" fontId="3" fillId="5" borderId="3" xfId="0" applyFont="1" applyFill="1" applyBorder="1" applyAlignment="1">
      <alignment vertical="center"/>
    </xf>
    <xf numFmtId="0" fontId="50" fillId="2" borderId="11" xfId="0" applyFont="1" applyFill="1" applyBorder="1" applyAlignment="1">
      <alignment vertical="center" wrapText="1"/>
    </xf>
    <xf numFmtId="37" fontId="2" fillId="2" borderId="8" xfId="0" applyNumberFormat="1" applyFont="1" applyFill="1" applyBorder="1" applyAlignment="1">
      <alignment horizontal="right" vertical="center"/>
    </xf>
    <xf numFmtId="173" fontId="2" fillId="4" borderId="4" xfId="0" applyNumberFormat="1" applyFont="1" applyFill="1" applyBorder="1" applyAlignment="1" applyProtection="1">
      <alignment vertical="center"/>
      <protection locked="0"/>
    </xf>
    <xf numFmtId="37" fontId="3" fillId="2" borderId="0" xfId="0" applyNumberFormat="1" applyFont="1" applyFill="1" applyAlignment="1">
      <alignment horizontal="left" vertical="center"/>
    </xf>
    <xf numFmtId="3" fontId="2" fillId="2" borderId="0" xfId="0" applyNumberFormat="1" applyFont="1" applyFill="1" applyAlignment="1">
      <alignment horizontal="center" vertical="center"/>
    </xf>
    <xf numFmtId="37" fontId="3" fillId="2" borderId="20" xfId="0" applyNumberFormat="1" applyFont="1" applyFill="1" applyBorder="1" applyAlignment="1">
      <alignment horizontal="center" vertical="center"/>
    </xf>
    <xf numFmtId="37" fontId="3" fillId="2" borderId="21" xfId="0" applyNumberFormat="1" applyFont="1" applyFill="1" applyBorder="1" applyAlignment="1">
      <alignment vertical="center"/>
    </xf>
    <xf numFmtId="171" fontId="2" fillId="2" borderId="4" xfId="0" applyNumberFormat="1" applyFont="1" applyFill="1" applyBorder="1" applyAlignment="1">
      <alignment horizontal="right" vertical="center"/>
    </xf>
    <xf numFmtId="176" fontId="2" fillId="4" borderId="3" xfId="0" applyNumberFormat="1" applyFont="1" applyFill="1" applyBorder="1" applyAlignment="1" applyProtection="1">
      <alignment vertical="center"/>
      <protection locked="0"/>
    </xf>
    <xf numFmtId="176" fontId="2" fillId="2" borderId="8" xfId="0" applyNumberFormat="1" applyFont="1" applyFill="1" applyBorder="1" applyAlignment="1">
      <alignment horizontal="right" vertical="center"/>
    </xf>
    <xf numFmtId="37" fontId="2" fillId="2" borderId="3" xfId="0" applyNumberFormat="1" applyFont="1" applyFill="1" applyBorder="1" applyAlignment="1">
      <alignment horizontal="left" vertical="center"/>
    </xf>
    <xf numFmtId="0" fontId="0" fillId="2" borderId="21" xfId="0" applyFill="1" applyBorder="1" applyAlignment="1">
      <alignment vertical="center"/>
    </xf>
    <xf numFmtId="0" fontId="2" fillId="2" borderId="8" xfId="0" applyFont="1" applyFill="1" applyBorder="1" applyAlignment="1">
      <alignment horizontal="left" vertical="center"/>
    </xf>
    <xf numFmtId="3" fontId="2" fillId="2" borderId="8" xfId="0" applyNumberFormat="1" applyFont="1" applyFill="1" applyBorder="1" applyAlignment="1">
      <alignment horizontal="right" vertical="center"/>
    </xf>
    <xf numFmtId="173" fontId="6" fillId="14" borderId="12" xfId="0" applyNumberFormat="1" applyFont="1" applyFill="1" applyBorder="1" applyAlignment="1">
      <alignment horizontal="center" vertical="center"/>
    </xf>
    <xf numFmtId="0" fontId="31" fillId="13" borderId="0" xfId="0" applyFont="1" applyFill="1" applyAlignment="1">
      <alignment horizontal="center" vertical="center"/>
    </xf>
    <xf numFmtId="173" fontId="6" fillId="13" borderId="12" xfId="0" applyNumberFormat="1" applyFont="1" applyFill="1" applyBorder="1" applyAlignment="1">
      <alignment horizontal="center" vertical="center"/>
    </xf>
    <xf numFmtId="173" fontId="33" fillId="13" borderId="12" xfId="0" applyNumberFormat="1" applyFont="1" applyFill="1" applyBorder="1" applyAlignment="1">
      <alignment horizontal="center" vertical="center"/>
    </xf>
    <xf numFmtId="0" fontId="33" fillId="13" borderId="0" xfId="0" applyFont="1" applyFill="1" applyAlignment="1">
      <alignment horizontal="left" vertical="center"/>
    </xf>
    <xf numFmtId="173" fontId="6" fillId="13" borderId="13" xfId="0" applyNumberFormat="1" applyFont="1" applyFill="1" applyBorder="1" applyAlignment="1">
      <alignment horizontal="center" vertical="center"/>
    </xf>
    <xf numFmtId="3" fontId="3" fillId="2" borderId="4" xfId="0" applyNumberFormat="1" applyFont="1" applyFill="1" applyBorder="1" applyAlignment="1">
      <alignment horizontal="right" vertical="center"/>
    </xf>
    <xf numFmtId="0" fontId="3" fillId="13" borderId="11" xfId="0" applyFont="1" applyFill="1" applyBorder="1"/>
    <xf numFmtId="0" fontId="3" fillId="13" borderId="0" xfId="0" applyFont="1" applyFill="1"/>
    <xf numFmtId="173" fontId="3" fillId="13" borderId="14" xfId="0" applyNumberFormat="1" applyFont="1" applyFill="1" applyBorder="1" applyAlignment="1">
      <alignment horizontal="center"/>
    </xf>
    <xf numFmtId="173" fontId="19" fillId="2" borderId="3" xfId="0" applyNumberFormat="1" applyFont="1" applyFill="1" applyBorder="1" applyAlignment="1">
      <alignment vertical="center"/>
    </xf>
    <xf numFmtId="173" fontId="2" fillId="2" borderId="8" xfId="0" applyNumberFormat="1" applyFont="1" applyFill="1" applyBorder="1" applyAlignment="1">
      <alignment vertical="center"/>
    </xf>
    <xf numFmtId="37" fontId="2" fillId="2" borderId="1" xfId="0" applyNumberFormat="1" applyFont="1" applyFill="1" applyBorder="1" applyAlignment="1">
      <alignment horizontal="center" vertical="center"/>
    </xf>
    <xf numFmtId="0" fontId="3" fillId="0" borderId="0" xfId="0" applyFont="1"/>
    <xf numFmtId="0" fontId="2" fillId="0" borderId="0" xfId="0" quotePrefix="1" applyFont="1"/>
    <xf numFmtId="0" fontId="2" fillId="0" borderId="0" xfId="219" applyFont="1"/>
    <xf numFmtId="0" fontId="48" fillId="0" borderId="0" xfId="0" applyFont="1" applyAlignment="1">
      <alignment horizontal="center"/>
    </xf>
    <xf numFmtId="3" fontId="2" fillId="2" borderId="25" xfId="0" applyNumberFormat="1" applyFont="1" applyFill="1" applyBorder="1" applyAlignment="1">
      <alignment horizontal="right" vertical="center"/>
    </xf>
    <xf numFmtId="165" fontId="2" fillId="2" borderId="2" xfId="0" quotePrefix="1" applyNumberFormat="1" applyFont="1" applyFill="1" applyBorder="1" applyAlignment="1">
      <alignment horizontal="center" vertical="center"/>
    </xf>
    <xf numFmtId="0" fontId="2" fillId="2" borderId="5" xfId="0" applyFont="1" applyFill="1" applyBorder="1" applyAlignment="1">
      <alignment horizontal="center" vertical="center" shrinkToFit="1"/>
    </xf>
    <xf numFmtId="0" fontId="2" fillId="2" borderId="11" xfId="0" applyFont="1" applyFill="1" applyBorder="1" applyAlignment="1">
      <alignment vertical="center" shrinkToFit="1"/>
    </xf>
    <xf numFmtId="0" fontId="2" fillId="2" borderId="0" xfId="0" applyFont="1" applyFill="1" applyAlignment="1">
      <alignment vertical="center" shrinkToFit="1"/>
    </xf>
    <xf numFmtId="0" fontId="2" fillId="2" borderId="10" xfId="0" applyFont="1" applyFill="1" applyBorder="1" applyAlignment="1">
      <alignment vertical="center" shrinkToFit="1"/>
    </xf>
    <xf numFmtId="172" fontId="2" fillId="2" borderId="4" xfId="0" applyNumberFormat="1" applyFont="1" applyFill="1" applyBorder="1" applyAlignment="1">
      <alignment horizontal="center" vertical="center" shrinkToFit="1"/>
    </xf>
    <xf numFmtId="0" fontId="6" fillId="2" borderId="4" xfId="0" applyFont="1" applyFill="1" applyBorder="1" applyAlignment="1">
      <alignment horizontal="center" vertical="center"/>
    </xf>
    <xf numFmtId="0" fontId="6" fillId="2" borderId="0" xfId="0" applyFont="1" applyFill="1" applyAlignment="1">
      <alignment horizontal="left" vertical="center"/>
    </xf>
    <xf numFmtId="0" fontId="5" fillId="2" borderId="4" xfId="0" applyFont="1" applyFill="1" applyBorder="1" applyAlignment="1">
      <alignment horizontal="center" vertical="center"/>
    </xf>
    <xf numFmtId="37" fontId="11" fillId="2" borderId="0" xfId="0" applyNumberFormat="1" applyFont="1" applyFill="1" applyAlignment="1">
      <alignment horizontal="center" vertical="center"/>
    </xf>
    <xf numFmtId="0" fontId="0" fillId="0" borderId="0" xfId="0" applyAlignment="1">
      <alignment vertical="center"/>
    </xf>
    <xf numFmtId="0" fontId="2" fillId="2" borderId="4" xfId="0" applyFont="1" applyFill="1" applyBorder="1" applyAlignment="1">
      <alignment horizontal="center" vertical="center" wrapText="1"/>
    </xf>
    <xf numFmtId="0" fontId="15" fillId="2" borderId="0" xfId="0" applyFont="1" applyFill="1" applyAlignment="1">
      <alignment vertical="center"/>
    </xf>
    <xf numFmtId="0" fontId="17" fillId="0" borderId="0" xfId="0" applyFont="1" applyAlignment="1">
      <alignment vertical="center"/>
    </xf>
    <xf numFmtId="37" fontId="2" fillId="2" borderId="2" xfId="0" applyNumberFormat="1" applyFont="1" applyFill="1" applyBorder="1" applyAlignment="1">
      <alignment horizontal="center" vertical="center"/>
    </xf>
    <xf numFmtId="37" fontId="2" fillId="2" borderId="13" xfId="0" applyNumberFormat="1" applyFont="1" applyFill="1" applyBorder="1" applyAlignment="1">
      <alignment horizontal="left" vertical="center"/>
    </xf>
    <xf numFmtId="37" fontId="2" fillId="2" borderId="1" xfId="0" applyNumberFormat="1" applyFont="1" applyFill="1" applyBorder="1" applyAlignment="1">
      <alignment horizontal="left" vertical="center"/>
    </xf>
    <xf numFmtId="0" fontId="3"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xf>
    <xf numFmtId="0" fontId="2" fillId="2" borderId="13" xfId="0" applyFont="1" applyFill="1" applyBorder="1" applyAlignment="1">
      <alignment horizontal="left" vertical="center"/>
    </xf>
    <xf numFmtId="0" fontId="2" fillId="2" borderId="1" xfId="0" applyFont="1" applyFill="1" applyBorder="1" applyAlignment="1">
      <alignment horizontal="left" vertical="center"/>
    </xf>
    <xf numFmtId="0" fontId="6" fillId="2" borderId="6" xfId="0" applyFont="1" applyFill="1" applyBorder="1" applyAlignment="1">
      <alignment horizontal="center" vertical="center"/>
    </xf>
    <xf numFmtId="0" fontId="5" fillId="2" borderId="6" xfId="0" applyFont="1" applyFill="1" applyBorder="1" applyAlignment="1">
      <alignment horizontal="left" vertical="center"/>
    </xf>
    <xf numFmtId="37" fontId="3" fillId="13" borderId="0" xfId="36" applyNumberFormat="1" applyFont="1" applyFill="1" applyAlignment="1">
      <alignment horizontal="center" vertical="center"/>
    </xf>
    <xf numFmtId="0" fontId="2" fillId="2" borderId="0" xfId="69" applyFont="1" applyFill="1" applyAlignment="1">
      <alignment horizontal="right" vertical="center"/>
    </xf>
    <xf numFmtId="0" fontId="2" fillId="2" borderId="4" xfId="0" applyFont="1" applyFill="1" applyBorder="1" applyAlignment="1">
      <alignment horizontal="center" vertical="center"/>
    </xf>
    <xf numFmtId="49" fontId="2" fillId="2" borderId="0" xfId="0" applyNumberFormat="1" applyFont="1" applyFill="1" applyAlignment="1" applyProtection="1">
      <alignment horizontal="left" vertical="center"/>
      <protection locked="0"/>
    </xf>
    <xf numFmtId="0" fontId="2" fillId="2" borderId="0" xfId="0" applyFont="1" applyFill="1" applyAlignment="1">
      <alignment horizontal="right" vertical="center"/>
    </xf>
    <xf numFmtId="0" fontId="2" fillId="13" borderId="0" xfId="0" applyFont="1" applyFill="1" applyAlignment="1">
      <alignment horizontal="right" vertical="center"/>
    </xf>
    <xf numFmtId="0" fontId="14" fillId="0" borderId="0" xfId="0" applyFont="1" applyAlignment="1">
      <alignment horizontal="center"/>
    </xf>
    <xf numFmtId="0" fontId="2" fillId="0" borderId="0" xfId="0" applyFont="1" applyAlignment="1">
      <alignment horizontal="left" wrapText="1"/>
    </xf>
    <xf numFmtId="0" fontId="3" fillId="0" borderId="0" xfId="0" applyFont="1" applyAlignment="1">
      <alignment wrapText="1"/>
    </xf>
    <xf numFmtId="0" fontId="2" fillId="0" borderId="0" xfId="0" applyFont="1" applyAlignment="1">
      <alignment wrapText="1"/>
    </xf>
    <xf numFmtId="41" fontId="2" fillId="4" borderId="4" xfId="1" applyNumberFormat="1" applyFont="1" applyFill="1" applyBorder="1" applyAlignment="1" applyProtection="1">
      <alignment vertical="center"/>
      <protection locked="0"/>
    </xf>
    <xf numFmtId="41" fontId="2" fillId="4" borderId="3" xfId="1" applyNumberFormat="1" applyFont="1" applyFill="1" applyBorder="1" applyAlignment="1" applyProtection="1">
      <alignment vertical="center"/>
      <protection locked="0"/>
    </xf>
    <xf numFmtId="41" fontId="6" fillId="2" borderId="4" xfId="1" applyNumberFormat="1" applyFont="1" applyFill="1" applyBorder="1" applyAlignment="1">
      <alignment horizontal="center" vertical="center"/>
    </xf>
    <xf numFmtId="173" fontId="2" fillId="2" borderId="25" xfId="0" applyNumberFormat="1" applyFont="1" applyFill="1" applyBorder="1" applyAlignment="1">
      <alignment horizontal="right" vertical="center"/>
    </xf>
    <xf numFmtId="0" fontId="56" fillId="0" borderId="0" xfId="525" applyFont="1"/>
    <xf numFmtId="0" fontId="56" fillId="0" borderId="0" xfId="525" applyFont="1" applyAlignment="1">
      <alignment horizontal="left" wrapText="1"/>
    </xf>
    <xf numFmtId="0" fontId="56" fillId="0" borderId="0" xfId="525" applyFont="1" applyAlignment="1">
      <alignment horizontal="center"/>
    </xf>
    <xf numFmtId="0" fontId="55" fillId="17" borderId="4" xfId="525" applyFont="1" applyFill="1" applyBorder="1" applyAlignment="1">
      <alignment horizontal="center" vertical="center"/>
    </xf>
    <xf numFmtId="0" fontId="56" fillId="0" borderId="4" xfId="525" applyFont="1" applyBorder="1" applyAlignment="1">
      <alignment horizontal="center"/>
    </xf>
    <xf numFmtId="0" fontId="56" fillId="0" borderId="8" xfId="525" applyFont="1" applyBorder="1" applyAlignment="1">
      <alignment horizontal="center"/>
    </xf>
    <xf numFmtId="0" fontId="58" fillId="0" borderId="3" xfId="525" applyFont="1" applyBorder="1" applyAlignment="1">
      <alignment horizontal="center" vertical="center"/>
    </xf>
    <xf numFmtId="0" fontId="56" fillId="0" borderId="0" xfId="525" applyFont="1" applyAlignment="1">
      <alignment horizontal="right" wrapText="1"/>
    </xf>
    <xf numFmtId="0" fontId="56" fillId="0" borderId="0" xfId="525" applyFont="1" applyAlignment="1">
      <alignment wrapText="1"/>
    </xf>
    <xf numFmtId="0" fontId="53" fillId="0" borderId="0" xfId="526"/>
    <xf numFmtId="0" fontId="60" fillId="0" borderId="0" xfId="526" applyFont="1"/>
    <xf numFmtId="0" fontId="61" fillId="0" borderId="0" xfId="526" applyFont="1"/>
    <xf numFmtId="0" fontId="62" fillId="0" borderId="0" xfId="526" applyFont="1" applyAlignment="1">
      <alignment horizontal="left" vertical="center" readingOrder="1"/>
    </xf>
    <xf numFmtId="0" fontId="63" fillId="0" borderId="0" xfId="526" applyFont="1" applyAlignment="1">
      <alignment horizontal="left" vertical="center" indent="2" readingOrder="1"/>
    </xf>
    <xf numFmtId="0" fontId="63" fillId="0" borderId="5" xfId="526" applyFont="1" applyBorder="1" applyAlignment="1">
      <alignment horizontal="center" vertical="center" readingOrder="1"/>
    </xf>
    <xf numFmtId="0" fontId="64" fillId="0" borderId="0" xfId="526" applyFont="1" applyAlignment="1">
      <alignment horizontal="left" vertical="center" readingOrder="1"/>
    </xf>
    <xf numFmtId="0" fontId="53" fillId="18" borderId="0" xfId="526" applyFill="1"/>
    <xf numFmtId="0" fontId="62" fillId="18" borderId="0" xfId="526" applyFont="1" applyFill="1" applyAlignment="1">
      <alignment horizontal="left" vertical="center" readingOrder="1"/>
    </xf>
    <xf numFmtId="0" fontId="66" fillId="0" borderId="0" xfId="526" applyFont="1" applyAlignment="1">
      <alignment wrapText="1"/>
    </xf>
    <xf numFmtId="0" fontId="54" fillId="0" borderId="0" xfId="526" applyFont="1"/>
    <xf numFmtId="0" fontId="67" fillId="0" borderId="0" xfId="526" applyFont="1" applyAlignment="1">
      <alignment horizontal="left"/>
    </xf>
    <xf numFmtId="0" fontId="56" fillId="0" borderId="0" xfId="526" applyFont="1"/>
    <xf numFmtId="0" fontId="2" fillId="0" borderId="0" xfId="526" applyFont="1"/>
    <xf numFmtId="0" fontId="2" fillId="0" borderId="0" xfId="526" applyFont="1" applyAlignment="1">
      <alignment wrapText="1"/>
    </xf>
    <xf numFmtId="0" fontId="29" fillId="0" borderId="0" xfId="19" applyFont="1" applyAlignment="1" applyProtection="1"/>
    <xf numFmtId="0" fontId="2" fillId="2" borderId="9" xfId="0" applyFont="1" applyFill="1" applyBorder="1" applyAlignment="1">
      <alignment vertical="center" wrapText="1"/>
    </xf>
    <xf numFmtId="0" fontId="0" fillId="0" borderId="16"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7" xfId="0" applyBorder="1" applyAlignment="1">
      <alignment vertical="center" wrapText="1"/>
    </xf>
    <xf numFmtId="37" fontId="2" fillId="5" borderId="2" xfId="0" applyNumberFormat="1" applyFont="1" applyFill="1" applyBorder="1" applyAlignment="1">
      <alignment horizontal="center" vertical="center" wrapText="1"/>
    </xf>
    <xf numFmtId="0" fontId="0" fillId="5" borderId="3" xfId="0" applyFill="1" applyBorder="1" applyAlignment="1">
      <alignment vertical="center" wrapText="1"/>
    </xf>
    <xf numFmtId="37" fontId="11" fillId="2" borderId="0" xfId="0" applyNumberFormat="1" applyFont="1" applyFill="1" applyAlignment="1">
      <alignment horizontal="center" vertical="center"/>
    </xf>
    <xf numFmtId="0" fontId="12" fillId="0" borderId="0" xfId="0" applyFont="1" applyAlignment="1">
      <alignment horizontal="center" vertical="center"/>
    </xf>
    <xf numFmtId="0" fontId="14" fillId="2" borderId="0" xfId="0" applyFont="1" applyFill="1" applyAlignment="1">
      <alignment horizontal="center" vertic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37" fontId="3" fillId="2" borderId="0" xfId="0" applyNumberFormat="1" applyFont="1" applyFill="1" applyAlignment="1">
      <alignment vertical="center" wrapText="1"/>
    </xf>
    <xf numFmtId="37" fontId="3" fillId="2" borderId="19" xfId="0" applyNumberFormat="1" applyFont="1" applyFill="1" applyBorder="1" applyAlignment="1">
      <alignment horizontal="center" vertical="center"/>
    </xf>
    <xf numFmtId="37" fontId="3" fillId="2" borderId="17" xfId="0" applyNumberFormat="1" applyFont="1" applyFill="1" applyBorder="1" applyAlignment="1">
      <alignment horizontal="center" vertical="center"/>
    </xf>
    <xf numFmtId="0" fontId="51" fillId="2" borderId="11"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6" xfId="0" applyFont="1" applyFill="1" applyBorder="1" applyAlignment="1">
      <alignment horizontal="center" vertical="center"/>
    </xf>
    <xf numFmtId="0" fontId="15" fillId="2" borderId="0" xfId="0" applyFont="1" applyFill="1" applyAlignment="1">
      <alignment vertical="center"/>
    </xf>
    <xf numFmtId="0" fontId="17" fillId="0" borderId="0" xfId="0" applyFont="1" applyAlignment="1">
      <alignment vertical="center"/>
    </xf>
    <xf numFmtId="37" fontId="2" fillId="2" borderId="2" xfId="0" applyNumberFormat="1" applyFont="1" applyFill="1" applyBorder="1" applyAlignment="1">
      <alignment horizontal="center" vertical="center"/>
    </xf>
    <xf numFmtId="37" fontId="2" fillId="2" borderId="15" xfId="0" applyNumberFormat="1" applyFont="1" applyFill="1" applyBorder="1" applyAlignment="1">
      <alignment horizontal="center" vertical="center"/>
    </xf>
    <xf numFmtId="37" fontId="2" fillId="2" borderId="3" xfId="0" applyNumberFormat="1" applyFont="1" applyFill="1" applyBorder="1" applyAlignment="1">
      <alignment horizontal="center" vertical="center"/>
    </xf>
    <xf numFmtId="37" fontId="2" fillId="2" borderId="13" xfId="0" applyNumberFormat="1" applyFont="1" applyFill="1" applyBorder="1" applyAlignment="1">
      <alignment horizontal="left" vertical="center"/>
    </xf>
    <xf numFmtId="37" fontId="2" fillId="2" borderId="1" xfId="0" applyNumberFormat="1" applyFont="1" applyFill="1" applyBorder="1" applyAlignment="1">
      <alignment horizontal="left" vertical="center"/>
    </xf>
    <xf numFmtId="37" fontId="3" fillId="5" borderId="13" xfId="0" applyNumberFormat="1" applyFont="1" applyFill="1" applyBorder="1" applyAlignment="1">
      <alignment horizontal="center" vertical="center"/>
    </xf>
    <xf numFmtId="37" fontId="3" fillId="5" borderId="1" xfId="0" applyNumberFormat="1" applyFont="1" applyFill="1" applyBorder="1" applyAlignment="1">
      <alignment horizontal="center" vertical="center"/>
    </xf>
    <xf numFmtId="37" fontId="3" fillId="5" borderId="6" xfId="0" applyNumberFormat="1" applyFont="1" applyFill="1" applyBorder="1" applyAlignment="1">
      <alignment horizontal="center" vertical="center"/>
    </xf>
    <xf numFmtId="37" fontId="3" fillId="5" borderId="12" xfId="0" applyNumberFormat="1" applyFont="1" applyFill="1" applyBorder="1" applyAlignment="1">
      <alignment horizontal="center" vertical="center"/>
    </xf>
    <xf numFmtId="37" fontId="3" fillId="5" borderId="5" xfId="0" applyNumberFormat="1" applyFont="1" applyFill="1" applyBorder="1" applyAlignment="1">
      <alignment horizontal="center" vertical="center"/>
    </xf>
    <xf numFmtId="37" fontId="3" fillId="5" borderId="7" xfId="0" applyNumberFormat="1" applyFont="1" applyFill="1" applyBorder="1" applyAlignment="1">
      <alignment horizontal="center" vertical="center"/>
    </xf>
    <xf numFmtId="37" fontId="3" fillId="5" borderId="9" xfId="0" applyNumberFormat="1" applyFont="1" applyFill="1" applyBorder="1" applyAlignment="1">
      <alignment horizontal="center" vertical="center"/>
    </xf>
    <xf numFmtId="37" fontId="3" fillId="5" borderId="10" xfId="0" applyNumberFormat="1" applyFont="1" applyFill="1" applyBorder="1" applyAlignment="1">
      <alignment horizontal="center" vertical="center"/>
    </xf>
    <xf numFmtId="37" fontId="3" fillId="5" borderId="16" xfId="0" applyNumberFormat="1" applyFont="1" applyFill="1" applyBorder="1" applyAlignment="1">
      <alignment horizontal="center" vertical="center"/>
    </xf>
    <xf numFmtId="0" fontId="2" fillId="3" borderId="11" xfId="0" applyFont="1" applyFill="1" applyBorder="1" applyAlignment="1">
      <alignment horizontal="center" vertical="center" wrapText="1"/>
    </xf>
    <xf numFmtId="0" fontId="0" fillId="0" borderId="0" xfId="0" applyAlignment="1">
      <alignment vertical="center"/>
    </xf>
    <xf numFmtId="37"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3" fontId="2" fillId="2" borderId="4"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6" xfId="0" applyBorder="1" applyAlignment="1">
      <alignment horizontal="center" vertical="center"/>
    </xf>
    <xf numFmtId="3" fontId="2" fillId="4" borderId="13" xfId="0" applyNumberFormat="1" applyFont="1" applyFill="1" applyBorder="1" applyAlignment="1" applyProtection="1">
      <alignment horizontal="center" vertical="center"/>
      <protection locked="0"/>
    </xf>
    <xf numFmtId="3" fontId="0" fillId="0" borderId="6" xfId="0" applyNumberFormat="1" applyBorder="1" applyAlignment="1" applyProtection="1">
      <alignment horizontal="center" vertical="center"/>
      <protection locked="0"/>
    </xf>
    <xf numFmtId="0" fontId="2" fillId="3" borderId="11" xfId="0" applyFont="1" applyFill="1" applyBorder="1" applyAlignment="1">
      <alignment horizontal="center" vertical="center"/>
    </xf>
    <xf numFmtId="0" fontId="0" fillId="0" borderId="12" xfId="0" applyBorder="1" applyAlignment="1">
      <alignment vertical="center"/>
    </xf>
    <xf numFmtId="0" fontId="49" fillId="16" borderId="0" xfId="491" applyFont="1" applyFill="1" applyAlignment="1">
      <alignment horizontal="center" vertical="center" wrapText="1"/>
    </xf>
    <xf numFmtId="49" fontId="2" fillId="4" borderId="13" xfId="491" applyNumberFormat="1" applyFont="1" applyFill="1" applyBorder="1" applyAlignment="1" applyProtection="1">
      <alignment horizontal="left" vertical="center"/>
      <protection locked="0"/>
    </xf>
    <xf numFmtId="49" fontId="2" fillId="4" borderId="1" xfId="491" applyNumberFormat="1" applyFont="1" applyFill="1" applyBorder="1" applyAlignment="1" applyProtection="1">
      <alignment horizontal="left" vertical="center"/>
      <protection locked="0"/>
    </xf>
    <xf numFmtId="49" fontId="2" fillId="4" borderId="6" xfId="491" applyNumberFormat="1" applyFont="1" applyFill="1" applyBorder="1" applyAlignment="1" applyProtection="1">
      <alignment horizontal="left" vertical="center"/>
      <protection locked="0"/>
    </xf>
    <xf numFmtId="0" fontId="19" fillId="0" borderId="0" xfId="491" applyFont="1" applyAlignment="1">
      <alignment horizontal="center" vertical="top" wrapText="1"/>
    </xf>
    <xf numFmtId="0" fontId="2" fillId="4" borderId="13" xfId="491" applyFont="1" applyFill="1" applyBorder="1" applyAlignment="1" applyProtection="1">
      <alignment horizontal="left" vertical="center"/>
      <protection locked="0"/>
    </xf>
    <xf numFmtId="0" fontId="2" fillId="4" borderId="1" xfId="491" applyFont="1" applyFill="1" applyBorder="1" applyAlignment="1" applyProtection="1">
      <alignment horizontal="left" vertical="center"/>
      <protection locked="0"/>
    </xf>
    <xf numFmtId="0" fontId="2" fillId="4" borderId="6" xfId="491" applyFont="1" applyFill="1" applyBorder="1" applyAlignment="1" applyProtection="1">
      <alignment horizontal="left" vertical="center"/>
      <protection locked="0"/>
    </xf>
    <xf numFmtId="0" fontId="48" fillId="16" borderId="0" xfId="491" applyFont="1" applyFill="1" applyAlignment="1">
      <alignment horizontal="center" vertical="center"/>
    </xf>
    <xf numFmtId="0" fontId="2" fillId="0" borderId="0" xfId="491" applyFont="1" applyAlignment="1">
      <alignment horizontal="center" vertical="center" wrapText="1"/>
    </xf>
    <xf numFmtId="0" fontId="3" fillId="2" borderId="0" xfId="0" applyFont="1" applyFill="1" applyAlignment="1">
      <alignment horizontal="left" vertical="top" wrapText="1"/>
    </xf>
    <xf numFmtId="0" fontId="5" fillId="2" borderId="13" xfId="0" applyFont="1" applyFill="1" applyBorder="1" applyAlignment="1">
      <alignment horizontal="left" vertical="center"/>
    </xf>
    <xf numFmtId="0" fontId="5" fillId="2" borderId="6" xfId="0" applyFont="1" applyFill="1" applyBorder="1" applyAlignment="1">
      <alignment horizontal="left" vertical="center"/>
    </xf>
    <xf numFmtId="0" fontId="2" fillId="2" borderId="0" xfId="0" applyFont="1" applyFill="1" applyAlignment="1">
      <alignment horizontal="center" vertical="center"/>
    </xf>
    <xf numFmtId="0" fontId="6" fillId="3" borderId="1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left" vertical="center"/>
    </xf>
    <xf numFmtId="0" fontId="2" fillId="2" borderId="1" xfId="0" applyFont="1" applyFill="1" applyBorder="1" applyAlignment="1">
      <alignment horizontal="left" vertical="center"/>
    </xf>
    <xf numFmtId="0" fontId="2" fillId="2" borderId="6" xfId="0" applyFont="1" applyFill="1" applyBorder="1" applyAlignment="1">
      <alignment horizontal="left" vertical="center"/>
    </xf>
    <xf numFmtId="0" fontId="5" fillId="3" borderId="4" xfId="0" applyFont="1" applyFill="1" applyBorder="1" applyAlignment="1">
      <alignment horizontal="center" vertical="center"/>
    </xf>
    <xf numFmtId="0" fontId="5" fillId="12" borderId="15" xfId="0" applyFont="1" applyFill="1" applyBorder="1" applyAlignment="1">
      <alignment horizontal="center" vertical="center" wrapText="1"/>
    </xf>
    <xf numFmtId="0" fontId="5" fillId="12" borderId="3" xfId="0" applyFont="1" applyFill="1" applyBorder="1" applyAlignment="1">
      <alignment horizontal="center" vertical="center" wrapText="1"/>
    </xf>
    <xf numFmtId="41" fontId="2" fillId="2" borderId="2" xfId="1" applyNumberFormat="1" applyFont="1" applyFill="1" applyBorder="1" applyAlignment="1">
      <alignment horizontal="center" vertical="center"/>
    </xf>
    <xf numFmtId="41" fontId="2" fillId="2" borderId="3" xfId="1" applyNumberFormat="1" applyFont="1" applyFill="1" applyBorder="1" applyAlignment="1">
      <alignment horizontal="center" vertical="center"/>
    </xf>
    <xf numFmtId="0" fontId="6" fillId="2" borderId="13" xfId="0" applyFont="1" applyFill="1" applyBorder="1" applyAlignment="1">
      <alignment horizontal="center" vertical="center"/>
    </xf>
    <xf numFmtId="0" fontId="6" fillId="2" borderId="6" xfId="0" applyFont="1" applyFill="1" applyBorder="1" applyAlignment="1">
      <alignment horizontal="center" vertical="center"/>
    </xf>
    <xf numFmtId="0" fontId="2" fillId="2" borderId="5" xfId="0" applyFont="1" applyFill="1" applyBorder="1" applyAlignment="1" applyProtection="1">
      <alignment horizontal="center" vertical="center"/>
      <protection locked="0"/>
    </xf>
    <xf numFmtId="0" fontId="3" fillId="2" borderId="0" xfId="0" applyFont="1" applyFill="1" applyAlignment="1">
      <alignment horizontal="center" vertical="center"/>
    </xf>
    <xf numFmtId="37" fontId="2" fillId="2" borderId="0" xfId="0" applyNumberFormat="1" applyFont="1" applyFill="1" applyAlignment="1">
      <alignment horizontal="center" vertical="center"/>
    </xf>
    <xf numFmtId="0" fontId="2" fillId="2" borderId="13" xfId="0" applyFont="1" applyFill="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37" fontId="2" fillId="2"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2" borderId="9" xfId="0" applyFont="1" applyFill="1" applyBorder="1" applyAlignment="1">
      <alignment horizontal="center" vertical="center" wrapText="1"/>
    </xf>
    <xf numFmtId="37" fontId="3" fillId="13" borderId="0" xfId="36" applyNumberFormat="1" applyFont="1" applyFill="1" applyAlignment="1">
      <alignment horizontal="center" vertical="center"/>
    </xf>
    <xf numFmtId="0" fontId="3" fillId="2" borderId="0" xfId="524" applyFont="1" applyFill="1" applyAlignment="1">
      <alignment horizontal="center" vertical="center"/>
    </xf>
    <xf numFmtId="0" fontId="0" fillId="0" borderId="0" xfId="0" applyAlignment="1">
      <alignment horizontal="center" vertical="center"/>
    </xf>
    <xf numFmtId="0" fontId="2" fillId="8" borderId="0" xfId="523" applyFont="1" applyFill="1" applyAlignment="1">
      <alignment horizontal="center" vertical="center"/>
    </xf>
    <xf numFmtId="3" fontId="2" fillId="2" borderId="10" xfId="69" applyNumberFormat="1" applyFont="1" applyFill="1" applyBorder="1" applyAlignment="1">
      <alignment horizontal="right" vertical="center"/>
    </xf>
    <xf numFmtId="0" fontId="1" fillId="0" borderId="16" xfId="69" applyBorder="1" applyAlignment="1">
      <alignment horizontal="right" vertical="center"/>
    </xf>
    <xf numFmtId="0" fontId="2" fillId="2" borderId="0" xfId="69" applyFont="1" applyFill="1" applyAlignment="1">
      <alignment horizontal="right" vertical="center"/>
    </xf>
    <xf numFmtId="0" fontId="2" fillId="0" borderId="14" xfId="69" applyFont="1" applyBorder="1" applyAlignment="1">
      <alignment horizontal="right" vertical="center"/>
    </xf>
    <xf numFmtId="0" fontId="2" fillId="2" borderId="0" xfId="17" applyNumberFormat="1" applyFont="1" applyFill="1" applyBorder="1" applyAlignment="1" applyProtection="1">
      <alignment horizontal="right" vertical="center"/>
    </xf>
    <xf numFmtId="0" fontId="2" fillId="0" borderId="0" xfId="17" applyFont="1" applyAlignment="1" applyProtection="1">
      <alignment horizontal="right" vertical="center"/>
    </xf>
    <xf numFmtId="0" fontId="31" fillId="13" borderId="9" xfId="0" applyFont="1" applyFill="1" applyBorder="1" applyAlignment="1">
      <alignment horizontal="center" vertical="center"/>
    </xf>
    <xf numFmtId="0" fontId="0" fillId="0" borderId="10" xfId="0" applyBorder="1" applyAlignment="1">
      <alignment vertical="center"/>
    </xf>
    <xf numFmtId="0" fontId="0" fillId="0" borderId="16" xfId="0" applyBorder="1" applyAlignment="1">
      <alignment vertical="center"/>
    </xf>
    <xf numFmtId="173" fontId="31" fillId="13" borderId="9" xfId="0" applyNumberFormat="1" applyFont="1" applyFill="1" applyBorder="1" applyAlignment="1">
      <alignment horizontal="center" wrapText="1"/>
    </xf>
    <xf numFmtId="173" fontId="31" fillId="13" borderId="10" xfId="0" applyNumberFormat="1" applyFont="1" applyFill="1" applyBorder="1" applyAlignment="1">
      <alignment horizontal="center" wrapText="1"/>
    </xf>
    <xf numFmtId="173" fontId="31" fillId="13" borderId="16" xfId="0" applyNumberFormat="1" applyFont="1" applyFill="1" applyBorder="1" applyAlignment="1">
      <alignment horizontal="center" wrapText="1"/>
    </xf>
    <xf numFmtId="173" fontId="31" fillId="13" borderId="11" xfId="0" applyNumberFormat="1" applyFont="1" applyFill="1" applyBorder="1" applyAlignment="1">
      <alignment horizontal="center" wrapText="1"/>
    </xf>
    <xf numFmtId="173" fontId="31" fillId="13" borderId="0" xfId="0" applyNumberFormat="1" applyFont="1" applyFill="1" applyAlignment="1">
      <alignment horizontal="center" wrapText="1"/>
    </xf>
    <xf numFmtId="173" fontId="31" fillId="13" borderId="14" xfId="0" applyNumberFormat="1" applyFont="1" applyFill="1" applyBorder="1" applyAlignment="1">
      <alignment horizontal="center" wrapText="1"/>
    </xf>
    <xf numFmtId="0" fontId="2" fillId="13" borderId="11" xfId="0" applyFont="1" applyFill="1" applyBorder="1" applyAlignment="1">
      <alignment horizontal="center" vertical="center" wrapText="1"/>
    </xf>
    <xf numFmtId="0" fontId="2" fillId="13" borderId="0" xfId="0" applyFont="1" applyFill="1" applyAlignment="1">
      <alignment horizontal="center" vertical="center" wrapText="1"/>
    </xf>
    <xf numFmtId="0" fontId="2" fillId="13" borderId="12" xfId="0" applyFont="1" applyFill="1" applyBorder="1" applyAlignment="1">
      <alignment horizontal="center" vertical="center" wrapText="1"/>
    </xf>
    <xf numFmtId="0" fontId="2" fillId="13" borderId="5" xfId="0" applyFont="1" applyFill="1" applyBorder="1" applyAlignment="1">
      <alignment horizontal="center" vertical="center" wrapText="1"/>
    </xf>
    <xf numFmtId="49" fontId="7" fillId="13" borderId="14" xfId="0" applyNumberFormat="1" applyFont="1" applyFill="1" applyBorder="1" applyAlignment="1">
      <alignment horizontal="center" vertical="center"/>
    </xf>
    <xf numFmtId="49" fontId="7" fillId="13" borderId="7" xfId="0" applyNumberFormat="1" applyFont="1" applyFill="1" applyBorder="1" applyAlignment="1">
      <alignment horizontal="center" vertical="center"/>
    </xf>
    <xf numFmtId="0" fontId="47" fillId="0" borderId="10" xfId="0" applyFont="1" applyBorder="1" applyAlignment="1" applyProtection="1">
      <alignment horizontal="center" vertical="center" wrapText="1"/>
      <protection locked="0"/>
    </xf>
    <xf numFmtId="0" fontId="47" fillId="0" borderId="0" xfId="0" applyFont="1" applyAlignment="1" applyProtection="1">
      <alignment horizontal="center" vertical="center" wrapText="1"/>
      <protection locked="0"/>
    </xf>
    <xf numFmtId="0" fontId="0" fillId="0" borderId="10" xfId="0" applyBorder="1" applyAlignment="1">
      <alignment horizontal="center" vertical="center"/>
    </xf>
    <xf numFmtId="0" fontId="13" fillId="0" borderId="10" xfId="0" applyFont="1" applyBorder="1" applyAlignment="1">
      <alignment horizontal="center" vertical="center"/>
    </xf>
    <xf numFmtId="0" fontId="2" fillId="8" borderId="0" xfId="0" applyFont="1" applyFill="1" applyAlignment="1">
      <alignment horizontal="right" vertical="center"/>
    </xf>
    <xf numFmtId="0" fontId="3" fillId="2" borderId="13" xfId="0" applyFont="1" applyFill="1" applyBorder="1" applyAlignment="1">
      <alignment vertical="center"/>
    </xf>
    <xf numFmtId="0" fontId="3" fillId="2" borderId="6" xfId="0" applyFont="1" applyFill="1" applyBorder="1" applyAlignment="1">
      <alignment vertical="center"/>
    </xf>
    <xf numFmtId="0" fontId="3" fillId="13" borderId="9" xfId="0" applyFont="1" applyFill="1" applyBorder="1" applyAlignment="1">
      <alignment horizontal="center" wrapText="1"/>
    </xf>
    <xf numFmtId="0" fontId="14" fillId="13" borderId="10" xfId="0" applyFont="1" applyFill="1" applyBorder="1" applyAlignment="1">
      <alignment horizontal="center" wrapText="1"/>
    </xf>
    <xf numFmtId="0" fontId="14" fillId="13" borderId="12" xfId="0" applyFont="1" applyFill="1" applyBorder="1" applyAlignment="1">
      <alignment horizontal="center" wrapText="1"/>
    </xf>
    <xf numFmtId="0" fontId="14" fillId="13" borderId="5" xfId="0" applyFont="1" applyFill="1" applyBorder="1" applyAlignment="1">
      <alignment horizontal="center" wrapText="1"/>
    </xf>
    <xf numFmtId="0" fontId="48" fillId="13" borderId="16" xfId="0" applyFont="1" applyFill="1" applyBorder="1" applyAlignment="1">
      <alignment horizontal="center" vertical="center" wrapText="1"/>
    </xf>
    <xf numFmtId="0" fontId="49" fillId="13"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9" fillId="2" borderId="22" xfId="0" applyFont="1" applyFill="1" applyBorder="1" applyAlignment="1">
      <alignment horizontal="right" vertical="center"/>
    </xf>
    <xf numFmtId="0" fontId="19" fillId="2" borderId="23" xfId="0" applyFont="1" applyFill="1" applyBorder="1" applyAlignment="1">
      <alignment horizontal="right" vertical="center"/>
    </xf>
    <xf numFmtId="0" fontId="19" fillId="2" borderId="24" xfId="0" applyFont="1" applyFill="1" applyBorder="1" applyAlignment="1">
      <alignment horizontal="right" vertical="center"/>
    </xf>
    <xf numFmtId="49" fontId="2" fillId="2" borderId="10" xfId="0" applyNumberFormat="1" applyFont="1" applyFill="1" applyBorder="1" applyAlignment="1" applyProtection="1">
      <alignment horizontal="center" vertical="center"/>
      <protection locked="0"/>
    </xf>
    <xf numFmtId="37" fontId="2" fillId="13" borderId="0" xfId="0" applyNumberFormat="1" applyFont="1" applyFill="1" applyAlignment="1">
      <alignment horizontal="center" vertical="center"/>
    </xf>
    <xf numFmtId="49" fontId="2" fillId="2" borderId="5" xfId="0" applyNumberFormat="1"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37" fontId="3" fillId="2" borderId="0" xfId="0" applyNumberFormat="1" applyFont="1" applyFill="1" applyAlignment="1">
      <alignment horizontal="center" vertical="center"/>
    </xf>
    <xf numFmtId="0" fontId="1" fillId="0" borderId="0" xfId="36" applyAlignment="1">
      <alignment horizontal="center" vertical="center"/>
    </xf>
    <xf numFmtId="0" fontId="2" fillId="13" borderId="0" xfId="36" applyFont="1" applyFill="1" applyAlignment="1">
      <alignment horizontal="center" vertical="center"/>
    </xf>
    <xf numFmtId="0" fontId="2" fillId="13" borderId="0" xfId="0" applyFont="1" applyFill="1" applyAlignment="1">
      <alignment horizontal="center" vertical="center"/>
    </xf>
    <xf numFmtId="0" fontId="14" fillId="13" borderId="9" xfId="0" applyFont="1" applyFill="1"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14" fillId="13" borderId="10" xfId="0" applyFont="1" applyFill="1" applyBorder="1" applyAlignment="1">
      <alignment horizontal="center"/>
    </xf>
    <xf numFmtId="0" fontId="14" fillId="13" borderId="16" xfId="0" applyFont="1" applyFill="1" applyBorder="1" applyAlignment="1">
      <alignment horizontal="center"/>
    </xf>
    <xf numFmtId="0" fontId="2" fillId="2" borderId="2" xfId="0" applyFont="1" applyFill="1" applyBorder="1" applyAlignment="1">
      <alignment horizontal="center" vertical="center" wrapText="1" shrinkToFit="1"/>
    </xf>
    <xf numFmtId="0" fontId="1" fillId="0" borderId="3" xfId="0" applyFont="1" applyBorder="1" applyAlignment="1">
      <alignment horizontal="center" vertical="center" wrapText="1" shrinkToFit="1"/>
    </xf>
    <xf numFmtId="0" fontId="2" fillId="2" borderId="4" xfId="0" applyFont="1" applyFill="1" applyBorder="1" applyAlignment="1">
      <alignment horizontal="center" vertical="center"/>
    </xf>
    <xf numFmtId="49" fontId="2" fillId="2" borderId="0" xfId="0" applyNumberFormat="1" applyFont="1" applyFill="1" applyAlignment="1" applyProtection="1">
      <alignment horizontal="left" vertical="center"/>
      <protection locked="0"/>
    </xf>
    <xf numFmtId="37" fontId="14" fillId="2" borderId="0" xfId="0" applyNumberFormat="1" applyFont="1" applyFill="1" applyAlignment="1">
      <alignment horizontal="center" vertical="center"/>
    </xf>
    <xf numFmtId="0" fontId="2" fillId="2" borderId="0" xfId="0" applyFont="1" applyFill="1" applyAlignment="1">
      <alignment horizontal="right" vertical="center"/>
    </xf>
    <xf numFmtId="0" fontId="0" fillId="0" borderId="0" xfId="0" applyAlignment="1">
      <alignment horizontal="right" vertical="center"/>
    </xf>
    <xf numFmtId="0" fontId="2" fillId="13" borderId="0" xfId="0" applyFont="1" applyFill="1" applyAlignment="1">
      <alignment horizontal="right" vertical="center"/>
    </xf>
    <xf numFmtId="0" fontId="14" fillId="0" borderId="0" xfId="0" applyFont="1" applyAlignment="1">
      <alignment horizontal="center"/>
    </xf>
    <xf numFmtId="0" fontId="3"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center"/>
    </xf>
    <xf numFmtId="0" fontId="56" fillId="0" borderId="4" xfId="525" applyFont="1" applyBorder="1" applyAlignment="1">
      <alignment horizontal="center"/>
    </xf>
    <xf numFmtId="0" fontId="56" fillId="0" borderId="8" xfId="525" applyFont="1" applyBorder="1" applyAlignment="1">
      <alignment horizontal="center"/>
    </xf>
    <xf numFmtId="0" fontId="58" fillId="0" borderId="3" xfId="525" applyFont="1" applyBorder="1" applyAlignment="1">
      <alignment horizontal="center" vertical="center"/>
    </xf>
    <xf numFmtId="0" fontId="56" fillId="0" borderId="5" xfId="525" applyFont="1" applyBorder="1" applyAlignment="1">
      <alignment horizontal="center" wrapText="1"/>
    </xf>
    <xf numFmtId="0" fontId="56" fillId="0" borderId="13" xfId="525" applyFont="1" applyBorder="1" applyAlignment="1">
      <alignment horizontal="center"/>
    </xf>
    <xf numFmtId="0" fontId="56" fillId="0" borderId="1" xfId="525" applyFont="1" applyBorder="1" applyAlignment="1">
      <alignment horizontal="center"/>
    </xf>
    <xf numFmtId="0" fontId="56" fillId="0" borderId="6" xfId="525" applyFont="1" applyBorder="1" applyAlignment="1">
      <alignment horizontal="center"/>
    </xf>
    <xf numFmtId="0" fontId="55" fillId="0" borderId="0" xfId="525" applyFont="1" applyAlignment="1">
      <alignment horizontal="center"/>
    </xf>
    <xf numFmtId="0" fontId="56" fillId="0" borderId="0" xfId="525" applyFont="1" applyAlignment="1">
      <alignment horizontal="center" wrapText="1"/>
    </xf>
    <xf numFmtId="0" fontId="56" fillId="0" borderId="0" xfId="525" applyFont="1" applyAlignment="1">
      <alignment horizontal="center"/>
    </xf>
    <xf numFmtId="0" fontId="55" fillId="17" borderId="13" xfId="525" applyFont="1" applyFill="1" applyBorder="1" applyAlignment="1">
      <alignment horizontal="center" vertical="center"/>
    </xf>
    <xf numFmtId="0" fontId="55" fillId="17" borderId="1" xfId="525" applyFont="1" applyFill="1" applyBorder="1" applyAlignment="1">
      <alignment horizontal="center" vertical="center"/>
    </xf>
    <xf numFmtId="0" fontId="55" fillId="17" borderId="6" xfId="525" applyFont="1" applyFill="1" applyBorder="1" applyAlignment="1">
      <alignment horizontal="center" vertical="center"/>
    </xf>
    <xf numFmtId="0" fontId="3" fillId="0" borderId="0" xfId="0" applyFont="1" applyAlignment="1">
      <alignment wrapText="1"/>
    </xf>
    <xf numFmtId="0" fontId="2" fillId="0" borderId="0" xfId="0" applyFont="1" applyAlignment="1">
      <alignment wrapText="1"/>
    </xf>
    <xf numFmtId="0" fontId="59" fillId="0" borderId="0" xfId="526" applyFont="1" applyAlignment="1">
      <alignment horizontal="center"/>
    </xf>
    <xf numFmtId="0" fontId="66" fillId="0" borderId="0" xfId="526" applyFont="1" applyAlignment="1">
      <alignment horizontal="center" wrapText="1"/>
    </xf>
    <xf numFmtId="0" fontId="2" fillId="0" borderId="0" xfId="526" applyFont="1" applyAlignment="1">
      <alignment horizontal="left" wrapText="1"/>
    </xf>
    <xf numFmtId="0" fontId="0" fillId="0" borderId="16" xfId="0" applyBorder="1" applyAlignment="1"/>
  </cellXfs>
  <cellStyles count="527">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17" xfId="6" xr:uid="{00000000-0005-0000-0000-000005000000}"/>
    <cellStyle name="Comma 2 2" xfId="7" xr:uid="{00000000-0005-0000-0000-000006000000}"/>
    <cellStyle name="Comma 3 2" xfId="8" xr:uid="{00000000-0005-0000-0000-000007000000}"/>
    <cellStyle name="Comma 3 3" xfId="9" xr:uid="{00000000-0005-0000-0000-000008000000}"/>
    <cellStyle name="Comma 4" xfId="10" xr:uid="{00000000-0005-0000-0000-000009000000}"/>
    <cellStyle name="Comma 4 2" xfId="11" xr:uid="{00000000-0005-0000-0000-00000A000000}"/>
    <cellStyle name="Comma 6" xfId="12" xr:uid="{00000000-0005-0000-0000-00000B000000}"/>
    <cellStyle name="Comma 6 2" xfId="13" xr:uid="{00000000-0005-0000-0000-00000C000000}"/>
    <cellStyle name="Comma 7" xfId="14" xr:uid="{00000000-0005-0000-0000-00000D000000}"/>
    <cellStyle name="Comma 7 2" xfId="15" xr:uid="{00000000-0005-0000-0000-00000E000000}"/>
    <cellStyle name="Comma 7 3" xfId="16" xr:uid="{00000000-0005-0000-0000-00000F000000}"/>
    <cellStyle name="Hyperlink" xfId="17" builtinId="8"/>
    <cellStyle name="Hyperlink 16" xfId="18" xr:uid="{00000000-0005-0000-0000-000011000000}"/>
    <cellStyle name="Hyperlink 2" xfId="19" xr:uid="{00000000-0005-0000-0000-000012000000}"/>
    <cellStyle name="Hyperlink 2 2" xfId="20" xr:uid="{00000000-0005-0000-0000-000013000000}"/>
    <cellStyle name="Hyperlink 2 3" xfId="21" xr:uid="{00000000-0005-0000-0000-000014000000}"/>
    <cellStyle name="Hyperlink 3" xfId="22" xr:uid="{00000000-0005-0000-0000-000015000000}"/>
    <cellStyle name="Hyperlink 3 2" xfId="23" xr:uid="{00000000-0005-0000-0000-000016000000}"/>
    <cellStyle name="Hyperlink 3 3" xfId="24" xr:uid="{00000000-0005-0000-0000-000017000000}"/>
    <cellStyle name="Hyperlink 3 4" xfId="25" xr:uid="{00000000-0005-0000-0000-000018000000}"/>
    <cellStyle name="Hyperlink 4" xfId="26" xr:uid="{00000000-0005-0000-0000-000019000000}"/>
    <cellStyle name="Hyperlink 4 2" xfId="27" xr:uid="{00000000-0005-0000-0000-00001A000000}"/>
    <cellStyle name="Hyperlink 7" xfId="28" xr:uid="{00000000-0005-0000-0000-00001B000000}"/>
    <cellStyle name="Hyperlink 7 2" xfId="29" xr:uid="{00000000-0005-0000-0000-00001C000000}"/>
    <cellStyle name="Hyperlink 7 3" xfId="30" xr:uid="{00000000-0005-0000-0000-00001D000000}"/>
    <cellStyle name="Hyperlink 8" xfId="31" xr:uid="{00000000-0005-0000-0000-00001E000000}"/>
    <cellStyle name="Hyperlink 8 2" xfId="32" xr:uid="{00000000-0005-0000-0000-00001F000000}"/>
    <cellStyle name="Normal" xfId="0" builtinId="0"/>
    <cellStyle name="Normal 10" xfId="33" xr:uid="{00000000-0005-0000-0000-000021000000}"/>
    <cellStyle name="Normal 10 2" xfId="34" xr:uid="{00000000-0005-0000-0000-000022000000}"/>
    <cellStyle name="Normal 10 2 2" xfId="35" xr:uid="{00000000-0005-0000-0000-000023000000}"/>
    <cellStyle name="Normal 10 2 2 2" xfId="36" xr:uid="{00000000-0005-0000-0000-000024000000}"/>
    <cellStyle name="Normal 10 2 2 3" xfId="37" xr:uid="{00000000-0005-0000-0000-000025000000}"/>
    <cellStyle name="Normal 10 2 3" xfId="38" xr:uid="{00000000-0005-0000-0000-000026000000}"/>
    <cellStyle name="Normal 10 3" xfId="39" xr:uid="{00000000-0005-0000-0000-000027000000}"/>
    <cellStyle name="Normal 10 3 2" xfId="40" xr:uid="{00000000-0005-0000-0000-000028000000}"/>
    <cellStyle name="Normal 10 3 3" xfId="41" xr:uid="{00000000-0005-0000-0000-000029000000}"/>
    <cellStyle name="Normal 10 4" xfId="42" xr:uid="{00000000-0005-0000-0000-00002A000000}"/>
    <cellStyle name="Normal 10 4 2" xfId="43" xr:uid="{00000000-0005-0000-0000-00002B000000}"/>
    <cellStyle name="Normal 10 4 3" xfId="44" xr:uid="{00000000-0005-0000-0000-00002C000000}"/>
    <cellStyle name="Normal 10 5" xfId="45" xr:uid="{00000000-0005-0000-0000-00002D000000}"/>
    <cellStyle name="Normal 10 5 2" xfId="46" xr:uid="{00000000-0005-0000-0000-00002E000000}"/>
    <cellStyle name="Normal 10 5 3" xfId="47" xr:uid="{00000000-0005-0000-0000-00002F000000}"/>
    <cellStyle name="Normal 10 6" xfId="48" xr:uid="{00000000-0005-0000-0000-000030000000}"/>
    <cellStyle name="Normal 10 6 2" xfId="49" xr:uid="{00000000-0005-0000-0000-000031000000}"/>
    <cellStyle name="Normal 10 6 3" xfId="50" xr:uid="{00000000-0005-0000-0000-000032000000}"/>
    <cellStyle name="Normal 10 7" xfId="51" xr:uid="{00000000-0005-0000-0000-000033000000}"/>
    <cellStyle name="Normal 10 7 2" xfId="52" xr:uid="{00000000-0005-0000-0000-000034000000}"/>
    <cellStyle name="Normal 10 7 3" xfId="53" xr:uid="{00000000-0005-0000-0000-000035000000}"/>
    <cellStyle name="Normal 11" xfId="54" xr:uid="{00000000-0005-0000-0000-000036000000}"/>
    <cellStyle name="Normal 11 2" xfId="55" xr:uid="{00000000-0005-0000-0000-000037000000}"/>
    <cellStyle name="Normal 11 2 2" xfId="56" xr:uid="{00000000-0005-0000-0000-000038000000}"/>
    <cellStyle name="Normal 11 2 3" xfId="57" xr:uid="{00000000-0005-0000-0000-000039000000}"/>
    <cellStyle name="Normal 11 3" xfId="58" xr:uid="{00000000-0005-0000-0000-00003A000000}"/>
    <cellStyle name="Normal 11 4" xfId="59" xr:uid="{00000000-0005-0000-0000-00003B000000}"/>
    <cellStyle name="Normal 11 5" xfId="60" xr:uid="{00000000-0005-0000-0000-00003C000000}"/>
    <cellStyle name="Normal 11 5 2" xfId="61" xr:uid="{00000000-0005-0000-0000-00003D000000}"/>
    <cellStyle name="Normal 11 5 3" xfId="62" xr:uid="{00000000-0005-0000-0000-00003E000000}"/>
    <cellStyle name="Normal 11 6" xfId="63" xr:uid="{00000000-0005-0000-0000-00003F000000}"/>
    <cellStyle name="Normal 12" xfId="64" xr:uid="{00000000-0005-0000-0000-000040000000}"/>
    <cellStyle name="Normal 12 10" xfId="65" xr:uid="{00000000-0005-0000-0000-000041000000}"/>
    <cellStyle name="Normal 12 11" xfId="66" xr:uid="{00000000-0005-0000-0000-000042000000}"/>
    <cellStyle name="Normal 12 12" xfId="67" xr:uid="{00000000-0005-0000-0000-000043000000}"/>
    <cellStyle name="Normal 12 13" xfId="68" xr:uid="{00000000-0005-0000-0000-000044000000}"/>
    <cellStyle name="Normal 12 2" xfId="69" xr:uid="{00000000-0005-0000-0000-000045000000}"/>
    <cellStyle name="Normal 12 2 2" xfId="70" xr:uid="{00000000-0005-0000-0000-000046000000}"/>
    <cellStyle name="Normal 12 3" xfId="71" xr:uid="{00000000-0005-0000-0000-000047000000}"/>
    <cellStyle name="Normal 12 4" xfId="72" xr:uid="{00000000-0005-0000-0000-000048000000}"/>
    <cellStyle name="Normal 12 5" xfId="73" xr:uid="{00000000-0005-0000-0000-000049000000}"/>
    <cellStyle name="Normal 12 6" xfId="74" xr:uid="{00000000-0005-0000-0000-00004A000000}"/>
    <cellStyle name="Normal 12 7" xfId="75" xr:uid="{00000000-0005-0000-0000-00004B000000}"/>
    <cellStyle name="Normal 12 8" xfId="76" xr:uid="{00000000-0005-0000-0000-00004C000000}"/>
    <cellStyle name="Normal 12 9" xfId="77" xr:uid="{00000000-0005-0000-0000-00004D000000}"/>
    <cellStyle name="Normal 13" xfId="78" xr:uid="{00000000-0005-0000-0000-00004E000000}"/>
    <cellStyle name="Normal 13 10" xfId="79" xr:uid="{00000000-0005-0000-0000-00004F000000}"/>
    <cellStyle name="Normal 13 11" xfId="80" xr:uid="{00000000-0005-0000-0000-000050000000}"/>
    <cellStyle name="Normal 13 12" xfId="81" xr:uid="{00000000-0005-0000-0000-000051000000}"/>
    <cellStyle name="Normal 13 13" xfId="82" xr:uid="{00000000-0005-0000-0000-000052000000}"/>
    <cellStyle name="Normal 13 2" xfId="83" xr:uid="{00000000-0005-0000-0000-000053000000}"/>
    <cellStyle name="Normal 13 2 2" xfId="84" xr:uid="{00000000-0005-0000-0000-000054000000}"/>
    <cellStyle name="Normal 13 3" xfId="85" xr:uid="{00000000-0005-0000-0000-000055000000}"/>
    <cellStyle name="Normal 13 4" xfId="86" xr:uid="{00000000-0005-0000-0000-000056000000}"/>
    <cellStyle name="Normal 13 5" xfId="87" xr:uid="{00000000-0005-0000-0000-000057000000}"/>
    <cellStyle name="Normal 13 6" xfId="88" xr:uid="{00000000-0005-0000-0000-000058000000}"/>
    <cellStyle name="Normal 13 7" xfId="89" xr:uid="{00000000-0005-0000-0000-000059000000}"/>
    <cellStyle name="Normal 13 8" xfId="90" xr:uid="{00000000-0005-0000-0000-00005A000000}"/>
    <cellStyle name="Normal 13 9" xfId="91" xr:uid="{00000000-0005-0000-0000-00005B000000}"/>
    <cellStyle name="Normal 14" xfId="92" xr:uid="{00000000-0005-0000-0000-00005C000000}"/>
    <cellStyle name="Normal 14 2" xfId="93" xr:uid="{00000000-0005-0000-0000-00005D000000}"/>
    <cellStyle name="Normal 14 3" xfId="94" xr:uid="{00000000-0005-0000-0000-00005E000000}"/>
    <cellStyle name="Normal 14 4" xfId="95" xr:uid="{00000000-0005-0000-0000-00005F000000}"/>
    <cellStyle name="Normal 14 5" xfId="96" xr:uid="{00000000-0005-0000-0000-000060000000}"/>
    <cellStyle name="Normal 14 6" xfId="97" xr:uid="{00000000-0005-0000-0000-000061000000}"/>
    <cellStyle name="Normal 14 7" xfId="98" xr:uid="{00000000-0005-0000-0000-000062000000}"/>
    <cellStyle name="Normal 14 7 2" xfId="99" xr:uid="{00000000-0005-0000-0000-000063000000}"/>
    <cellStyle name="Normal 14 7 3" xfId="100" xr:uid="{00000000-0005-0000-0000-000064000000}"/>
    <cellStyle name="Normal 15" xfId="101" xr:uid="{00000000-0005-0000-0000-000065000000}"/>
    <cellStyle name="Normal 15 2" xfId="102" xr:uid="{00000000-0005-0000-0000-000066000000}"/>
    <cellStyle name="Normal 15 3" xfId="103" xr:uid="{00000000-0005-0000-0000-000067000000}"/>
    <cellStyle name="Normal 15 4" xfId="104" xr:uid="{00000000-0005-0000-0000-000068000000}"/>
    <cellStyle name="Normal 15 5" xfId="105" xr:uid="{00000000-0005-0000-0000-000069000000}"/>
    <cellStyle name="Normal 16" xfId="106" xr:uid="{00000000-0005-0000-0000-00006A000000}"/>
    <cellStyle name="Normal 16 2" xfId="107" xr:uid="{00000000-0005-0000-0000-00006B000000}"/>
    <cellStyle name="Normal 16 3" xfId="108" xr:uid="{00000000-0005-0000-0000-00006C000000}"/>
    <cellStyle name="Normal 16 4" xfId="109" xr:uid="{00000000-0005-0000-0000-00006D000000}"/>
    <cellStyle name="Normal 16 5" xfId="110" xr:uid="{00000000-0005-0000-0000-00006E000000}"/>
    <cellStyle name="Normal 17" xfId="111" xr:uid="{00000000-0005-0000-0000-00006F000000}"/>
    <cellStyle name="Normal 17 2" xfId="112" xr:uid="{00000000-0005-0000-0000-000070000000}"/>
    <cellStyle name="Normal 17 3" xfId="113" xr:uid="{00000000-0005-0000-0000-000071000000}"/>
    <cellStyle name="Normal 17 4" xfId="114" xr:uid="{00000000-0005-0000-0000-000072000000}"/>
    <cellStyle name="Normal 17 5" xfId="115" xr:uid="{00000000-0005-0000-0000-000073000000}"/>
    <cellStyle name="Normal 18" xfId="116" xr:uid="{00000000-0005-0000-0000-000074000000}"/>
    <cellStyle name="Normal 18 2" xfId="117" xr:uid="{00000000-0005-0000-0000-000075000000}"/>
    <cellStyle name="Normal 18 2 2" xfId="118" xr:uid="{00000000-0005-0000-0000-000076000000}"/>
    <cellStyle name="Normal 18 2 3" xfId="119" xr:uid="{00000000-0005-0000-0000-000077000000}"/>
    <cellStyle name="Normal 18 3" xfId="120" xr:uid="{00000000-0005-0000-0000-000078000000}"/>
    <cellStyle name="Normal 18 4" xfId="121" xr:uid="{00000000-0005-0000-0000-000079000000}"/>
    <cellStyle name="Normal 18 5" xfId="122" xr:uid="{00000000-0005-0000-0000-00007A000000}"/>
    <cellStyle name="Normal 18 6" xfId="123" xr:uid="{00000000-0005-0000-0000-00007B000000}"/>
    <cellStyle name="Normal 18 7" xfId="124" xr:uid="{00000000-0005-0000-0000-00007C000000}"/>
    <cellStyle name="Normal 18 8" xfId="125" xr:uid="{00000000-0005-0000-0000-00007D000000}"/>
    <cellStyle name="Normal 18 9" xfId="126" xr:uid="{00000000-0005-0000-0000-00007E000000}"/>
    <cellStyle name="Normal 19" xfId="127" xr:uid="{00000000-0005-0000-0000-00007F000000}"/>
    <cellStyle name="Normal 19 2" xfId="128" xr:uid="{00000000-0005-0000-0000-000080000000}"/>
    <cellStyle name="Normal 19 2 2" xfId="129" xr:uid="{00000000-0005-0000-0000-000081000000}"/>
    <cellStyle name="Normal 19 2 3" xfId="130" xr:uid="{00000000-0005-0000-0000-000082000000}"/>
    <cellStyle name="Normal 19 3" xfId="131" xr:uid="{00000000-0005-0000-0000-000083000000}"/>
    <cellStyle name="Normal 19 4" xfId="132" xr:uid="{00000000-0005-0000-0000-000084000000}"/>
    <cellStyle name="Normal 19 5" xfId="133" xr:uid="{00000000-0005-0000-0000-000085000000}"/>
    <cellStyle name="Normal 19 6" xfId="134" xr:uid="{00000000-0005-0000-0000-000086000000}"/>
    <cellStyle name="Normal 19 7" xfId="135" xr:uid="{00000000-0005-0000-0000-000087000000}"/>
    <cellStyle name="Normal 19 8" xfId="136" xr:uid="{00000000-0005-0000-0000-000088000000}"/>
    <cellStyle name="Normal 2" xfId="525" xr:uid="{803628EC-617D-4E9F-A733-D95589A9DB61}"/>
    <cellStyle name="Normal 2 10" xfId="137" xr:uid="{00000000-0005-0000-0000-000089000000}"/>
    <cellStyle name="Normal 2 10 10" xfId="138" xr:uid="{00000000-0005-0000-0000-00008A000000}"/>
    <cellStyle name="Normal 2 10 11" xfId="139" xr:uid="{00000000-0005-0000-0000-00008B000000}"/>
    <cellStyle name="Normal 2 10 11 2" xfId="140" xr:uid="{00000000-0005-0000-0000-00008C000000}"/>
    <cellStyle name="Normal 2 10 11 2 2" xfId="141" xr:uid="{00000000-0005-0000-0000-00008D000000}"/>
    <cellStyle name="Normal 2 10 11 2 2 2" xfId="142" xr:uid="{00000000-0005-0000-0000-00008E000000}"/>
    <cellStyle name="Normal 2 10 11 2 2 3" xfId="143" xr:uid="{00000000-0005-0000-0000-00008F000000}"/>
    <cellStyle name="Normal 2 10 11 3" xfId="144" xr:uid="{00000000-0005-0000-0000-000090000000}"/>
    <cellStyle name="Normal 2 10 11 4" xfId="145" xr:uid="{00000000-0005-0000-0000-000091000000}"/>
    <cellStyle name="Normal 2 10 11 5" xfId="146" xr:uid="{00000000-0005-0000-0000-000092000000}"/>
    <cellStyle name="Normal 2 10 12" xfId="147" xr:uid="{00000000-0005-0000-0000-000093000000}"/>
    <cellStyle name="Normal 2 10 2" xfId="148" xr:uid="{00000000-0005-0000-0000-000094000000}"/>
    <cellStyle name="Normal 2 10 2 2" xfId="149" xr:uid="{00000000-0005-0000-0000-000095000000}"/>
    <cellStyle name="Normal 2 10 3" xfId="150" xr:uid="{00000000-0005-0000-0000-000096000000}"/>
    <cellStyle name="Normal 2 10 3 2" xfId="151" xr:uid="{00000000-0005-0000-0000-000097000000}"/>
    <cellStyle name="Normal 2 10 4" xfId="152" xr:uid="{00000000-0005-0000-0000-000098000000}"/>
    <cellStyle name="Normal 2 10 4 2" xfId="153" xr:uid="{00000000-0005-0000-0000-000099000000}"/>
    <cellStyle name="Normal 2 10 5" xfId="154" xr:uid="{00000000-0005-0000-0000-00009A000000}"/>
    <cellStyle name="Normal 2 10 5 2" xfId="155" xr:uid="{00000000-0005-0000-0000-00009B000000}"/>
    <cellStyle name="Normal 2 10 6" xfId="156" xr:uid="{00000000-0005-0000-0000-00009C000000}"/>
    <cellStyle name="Normal 2 10 6 2" xfId="157" xr:uid="{00000000-0005-0000-0000-00009D000000}"/>
    <cellStyle name="Normal 2 10 7" xfId="158" xr:uid="{00000000-0005-0000-0000-00009E000000}"/>
    <cellStyle name="Normal 2 10 7 2" xfId="159" xr:uid="{00000000-0005-0000-0000-00009F000000}"/>
    <cellStyle name="Normal 2 10 8" xfId="160" xr:uid="{00000000-0005-0000-0000-0000A0000000}"/>
    <cellStyle name="Normal 2 10 8 2" xfId="161" xr:uid="{00000000-0005-0000-0000-0000A1000000}"/>
    <cellStyle name="Normal 2 10 9" xfId="162" xr:uid="{00000000-0005-0000-0000-0000A2000000}"/>
    <cellStyle name="Normal 2 11" xfId="163" xr:uid="{00000000-0005-0000-0000-0000A3000000}"/>
    <cellStyle name="Normal 2 11 10" xfId="164" xr:uid="{00000000-0005-0000-0000-0000A4000000}"/>
    <cellStyle name="Normal 2 11 11" xfId="165" xr:uid="{00000000-0005-0000-0000-0000A5000000}"/>
    <cellStyle name="Normal 2 11 2" xfId="166" xr:uid="{00000000-0005-0000-0000-0000A6000000}"/>
    <cellStyle name="Normal 2 11 2 2" xfId="167" xr:uid="{00000000-0005-0000-0000-0000A7000000}"/>
    <cellStyle name="Normal 2 11 3" xfId="168" xr:uid="{00000000-0005-0000-0000-0000A8000000}"/>
    <cellStyle name="Normal 2 11 3 2" xfId="169" xr:uid="{00000000-0005-0000-0000-0000A9000000}"/>
    <cellStyle name="Normal 2 11 4" xfId="170" xr:uid="{00000000-0005-0000-0000-0000AA000000}"/>
    <cellStyle name="Normal 2 11 4 2" xfId="171" xr:uid="{00000000-0005-0000-0000-0000AB000000}"/>
    <cellStyle name="Normal 2 11 5" xfId="172" xr:uid="{00000000-0005-0000-0000-0000AC000000}"/>
    <cellStyle name="Normal 2 11 5 2" xfId="173" xr:uid="{00000000-0005-0000-0000-0000AD000000}"/>
    <cellStyle name="Normal 2 11 6" xfId="174" xr:uid="{00000000-0005-0000-0000-0000AE000000}"/>
    <cellStyle name="Normal 2 11 6 2" xfId="175" xr:uid="{00000000-0005-0000-0000-0000AF000000}"/>
    <cellStyle name="Normal 2 11 7" xfId="176" xr:uid="{00000000-0005-0000-0000-0000B0000000}"/>
    <cellStyle name="Normal 2 11 7 2" xfId="177" xr:uid="{00000000-0005-0000-0000-0000B1000000}"/>
    <cellStyle name="Normal 2 11 8" xfId="178" xr:uid="{00000000-0005-0000-0000-0000B2000000}"/>
    <cellStyle name="Normal 2 11 8 2" xfId="179" xr:uid="{00000000-0005-0000-0000-0000B3000000}"/>
    <cellStyle name="Normal 2 11 9" xfId="180" xr:uid="{00000000-0005-0000-0000-0000B4000000}"/>
    <cellStyle name="Normal 2 12" xfId="181" xr:uid="{00000000-0005-0000-0000-0000B5000000}"/>
    <cellStyle name="Normal 2 13" xfId="182" xr:uid="{00000000-0005-0000-0000-0000B6000000}"/>
    <cellStyle name="Normal 2 14" xfId="183" xr:uid="{00000000-0005-0000-0000-0000B7000000}"/>
    <cellStyle name="Normal 2 15" xfId="184" xr:uid="{00000000-0005-0000-0000-0000B8000000}"/>
    <cellStyle name="Normal 2 16" xfId="185" xr:uid="{00000000-0005-0000-0000-0000B9000000}"/>
    <cellStyle name="Normal 2 17" xfId="186" xr:uid="{00000000-0005-0000-0000-0000BA000000}"/>
    <cellStyle name="Normal 2 17 2" xfId="187" xr:uid="{00000000-0005-0000-0000-0000BB000000}"/>
    <cellStyle name="Normal 2 17 3" xfId="188" xr:uid="{00000000-0005-0000-0000-0000BC000000}"/>
    <cellStyle name="Normal 2 2" xfId="189" xr:uid="{00000000-0005-0000-0000-0000BD000000}"/>
    <cellStyle name="Normal 2 2 10" xfId="190" xr:uid="{00000000-0005-0000-0000-0000BE000000}"/>
    <cellStyle name="Normal 2 2 10 2" xfId="191" xr:uid="{00000000-0005-0000-0000-0000BF000000}"/>
    <cellStyle name="Normal 2 2 11" xfId="192" xr:uid="{00000000-0005-0000-0000-0000C0000000}"/>
    <cellStyle name="Normal 2 2 11 2" xfId="193" xr:uid="{00000000-0005-0000-0000-0000C1000000}"/>
    <cellStyle name="Normal 2 2 12" xfId="194" xr:uid="{00000000-0005-0000-0000-0000C2000000}"/>
    <cellStyle name="Normal 2 2 12 2" xfId="195" xr:uid="{00000000-0005-0000-0000-0000C3000000}"/>
    <cellStyle name="Normal 2 2 12 2 2" xfId="196" xr:uid="{00000000-0005-0000-0000-0000C4000000}"/>
    <cellStyle name="Normal 2 2 12 2 3" xfId="197" xr:uid="{00000000-0005-0000-0000-0000C5000000}"/>
    <cellStyle name="Normal 2 2 12 2 4" xfId="198" xr:uid="{00000000-0005-0000-0000-0000C6000000}"/>
    <cellStyle name="Normal 2 2 12 3" xfId="199" xr:uid="{00000000-0005-0000-0000-0000C7000000}"/>
    <cellStyle name="Normal 2 2 12 4" xfId="200" xr:uid="{00000000-0005-0000-0000-0000C8000000}"/>
    <cellStyle name="Normal 2 2 13" xfId="201" xr:uid="{00000000-0005-0000-0000-0000C9000000}"/>
    <cellStyle name="Normal 2 2 13 2" xfId="202" xr:uid="{00000000-0005-0000-0000-0000CA000000}"/>
    <cellStyle name="Normal 2 2 13 2 2" xfId="203" xr:uid="{00000000-0005-0000-0000-0000CB000000}"/>
    <cellStyle name="Normal 2 2 13 2 3" xfId="204" xr:uid="{00000000-0005-0000-0000-0000CC000000}"/>
    <cellStyle name="Normal 2 2 13 2 4" xfId="205" xr:uid="{00000000-0005-0000-0000-0000CD000000}"/>
    <cellStyle name="Normal 2 2 13 3" xfId="206" xr:uid="{00000000-0005-0000-0000-0000CE000000}"/>
    <cellStyle name="Normal 2 2 13 4" xfId="207" xr:uid="{00000000-0005-0000-0000-0000CF000000}"/>
    <cellStyle name="Normal 2 2 14" xfId="208" xr:uid="{00000000-0005-0000-0000-0000D0000000}"/>
    <cellStyle name="Normal 2 2 14 2" xfId="209" xr:uid="{00000000-0005-0000-0000-0000D1000000}"/>
    <cellStyle name="Normal 2 2 15" xfId="210" xr:uid="{00000000-0005-0000-0000-0000D2000000}"/>
    <cellStyle name="Normal 2 2 15 2" xfId="211" xr:uid="{00000000-0005-0000-0000-0000D3000000}"/>
    <cellStyle name="Normal 2 2 16" xfId="212" xr:uid="{00000000-0005-0000-0000-0000D4000000}"/>
    <cellStyle name="Normal 2 2 16 2" xfId="213" xr:uid="{00000000-0005-0000-0000-0000D5000000}"/>
    <cellStyle name="Normal 2 2 16 3" xfId="214" xr:uid="{00000000-0005-0000-0000-0000D6000000}"/>
    <cellStyle name="Normal 2 2 17" xfId="215" xr:uid="{00000000-0005-0000-0000-0000D7000000}"/>
    <cellStyle name="Normal 2 2 18" xfId="216" xr:uid="{00000000-0005-0000-0000-0000D8000000}"/>
    <cellStyle name="Normal 2 2 19" xfId="217" xr:uid="{00000000-0005-0000-0000-0000D9000000}"/>
    <cellStyle name="Normal 2 2 2" xfId="218" xr:uid="{00000000-0005-0000-0000-0000DA000000}"/>
    <cellStyle name="Normal 2 2 2 2" xfId="219" xr:uid="{00000000-0005-0000-0000-0000DB000000}"/>
    <cellStyle name="Normal 2 2 2 2 2" xfId="220" xr:uid="{00000000-0005-0000-0000-0000DC000000}"/>
    <cellStyle name="Normal 2 2 2 2 3" xfId="221" xr:uid="{00000000-0005-0000-0000-0000DD000000}"/>
    <cellStyle name="Normal 2 2 2 2 3 2" xfId="222" xr:uid="{00000000-0005-0000-0000-0000DE000000}"/>
    <cellStyle name="Normal 2 2 2 2 3 3" xfId="223" xr:uid="{00000000-0005-0000-0000-0000DF000000}"/>
    <cellStyle name="Normal 2 2 2 3" xfId="224" xr:uid="{00000000-0005-0000-0000-0000E0000000}"/>
    <cellStyle name="Normal 2 2 2 3 2" xfId="225" xr:uid="{00000000-0005-0000-0000-0000E1000000}"/>
    <cellStyle name="Normal 2 2 2 3 3" xfId="226" xr:uid="{00000000-0005-0000-0000-0000E2000000}"/>
    <cellStyle name="Normal 2 2 2 3 4" xfId="227" xr:uid="{00000000-0005-0000-0000-0000E3000000}"/>
    <cellStyle name="Normal 2 2 2 4" xfId="228" xr:uid="{00000000-0005-0000-0000-0000E4000000}"/>
    <cellStyle name="Normal 2 2 2 4 2" xfId="229" xr:uid="{00000000-0005-0000-0000-0000E5000000}"/>
    <cellStyle name="Normal 2 2 2 5" xfId="230" xr:uid="{00000000-0005-0000-0000-0000E6000000}"/>
    <cellStyle name="Normal 2 2 2 5 2" xfId="231" xr:uid="{00000000-0005-0000-0000-0000E7000000}"/>
    <cellStyle name="Normal 2 2 2 5 3" xfId="232" xr:uid="{00000000-0005-0000-0000-0000E8000000}"/>
    <cellStyle name="Normal 2 2 2 5 4" xfId="233" xr:uid="{00000000-0005-0000-0000-0000E9000000}"/>
    <cellStyle name="Normal 2 2 2 6" xfId="234" xr:uid="{00000000-0005-0000-0000-0000EA000000}"/>
    <cellStyle name="Normal 2 2 2 6 2" xfId="235" xr:uid="{00000000-0005-0000-0000-0000EB000000}"/>
    <cellStyle name="Normal 2 2 2 7" xfId="236" xr:uid="{00000000-0005-0000-0000-0000EC000000}"/>
    <cellStyle name="Normal 2 2 2 7 2" xfId="237" xr:uid="{00000000-0005-0000-0000-0000ED000000}"/>
    <cellStyle name="Normal 2 2 2 7 3" xfId="238" xr:uid="{00000000-0005-0000-0000-0000EE000000}"/>
    <cellStyle name="Normal 2 2 2 8" xfId="239" xr:uid="{00000000-0005-0000-0000-0000EF000000}"/>
    <cellStyle name="Normal 2 2 20" xfId="240" xr:uid="{00000000-0005-0000-0000-0000F0000000}"/>
    <cellStyle name="Normal 2 2 21" xfId="241" xr:uid="{00000000-0005-0000-0000-0000F1000000}"/>
    <cellStyle name="Normal 2 2 22" xfId="242" xr:uid="{00000000-0005-0000-0000-0000F2000000}"/>
    <cellStyle name="Normal 2 2 3" xfId="243" xr:uid="{00000000-0005-0000-0000-0000F3000000}"/>
    <cellStyle name="Normal 2 2 3 2" xfId="244" xr:uid="{00000000-0005-0000-0000-0000F4000000}"/>
    <cellStyle name="Normal 2 2 4" xfId="245" xr:uid="{00000000-0005-0000-0000-0000F5000000}"/>
    <cellStyle name="Normal 2 2 4 2" xfId="246" xr:uid="{00000000-0005-0000-0000-0000F6000000}"/>
    <cellStyle name="Normal 2 2 5" xfId="247" xr:uid="{00000000-0005-0000-0000-0000F7000000}"/>
    <cellStyle name="Normal 2 2 5 2" xfId="248" xr:uid="{00000000-0005-0000-0000-0000F8000000}"/>
    <cellStyle name="Normal 2 2 6" xfId="249" xr:uid="{00000000-0005-0000-0000-0000F9000000}"/>
    <cellStyle name="Normal 2 2 6 2" xfId="250" xr:uid="{00000000-0005-0000-0000-0000FA000000}"/>
    <cellStyle name="Normal 2 2 7" xfId="251" xr:uid="{00000000-0005-0000-0000-0000FB000000}"/>
    <cellStyle name="Normal 2 2 7 2" xfId="252" xr:uid="{00000000-0005-0000-0000-0000FC000000}"/>
    <cellStyle name="Normal 2 2 8" xfId="253" xr:uid="{00000000-0005-0000-0000-0000FD000000}"/>
    <cellStyle name="Normal 2 2 8 2" xfId="254" xr:uid="{00000000-0005-0000-0000-0000FE000000}"/>
    <cellStyle name="Normal 2 2 9" xfId="255" xr:uid="{00000000-0005-0000-0000-0000FF000000}"/>
    <cellStyle name="Normal 2 2 9 2" xfId="256" xr:uid="{00000000-0005-0000-0000-000000010000}"/>
    <cellStyle name="Normal 2 3" xfId="257" xr:uid="{00000000-0005-0000-0000-000001010000}"/>
    <cellStyle name="Normal 2 3 10" xfId="258" xr:uid="{00000000-0005-0000-0000-000002010000}"/>
    <cellStyle name="Normal 2 3 11" xfId="259" xr:uid="{00000000-0005-0000-0000-000003010000}"/>
    <cellStyle name="Normal 2 3 12" xfId="260" xr:uid="{00000000-0005-0000-0000-000004010000}"/>
    <cellStyle name="Normal 2 3 13" xfId="261" xr:uid="{00000000-0005-0000-0000-000005010000}"/>
    <cellStyle name="Normal 2 3 14" xfId="262" xr:uid="{00000000-0005-0000-0000-000006010000}"/>
    <cellStyle name="Normal 2 3 15" xfId="263" xr:uid="{00000000-0005-0000-0000-000007010000}"/>
    <cellStyle name="Normal 2 3 2" xfId="264" xr:uid="{00000000-0005-0000-0000-000008010000}"/>
    <cellStyle name="Normal 2 3 2 2" xfId="265" xr:uid="{00000000-0005-0000-0000-000009010000}"/>
    <cellStyle name="Normal 2 3 2 2 2" xfId="266" xr:uid="{00000000-0005-0000-0000-00000A010000}"/>
    <cellStyle name="Normal 2 3 2 2 3" xfId="267" xr:uid="{00000000-0005-0000-0000-00000B010000}"/>
    <cellStyle name="Normal 2 3 2 3" xfId="268" xr:uid="{00000000-0005-0000-0000-00000C010000}"/>
    <cellStyle name="Normal 2 3 2 4" xfId="269" xr:uid="{00000000-0005-0000-0000-00000D010000}"/>
    <cellStyle name="Normal 2 3 2 5" xfId="270" xr:uid="{00000000-0005-0000-0000-00000E010000}"/>
    <cellStyle name="Normal 2 3 3" xfId="271" xr:uid="{00000000-0005-0000-0000-00000F010000}"/>
    <cellStyle name="Normal 2 3 3 2" xfId="272" xr:uid="{00000000-0005-0000-0000-000010010000}"/>
    <cellStyle name="Normal 2 3 3 3" xfId="273" xr:uid="{00000000-0005-0000-0000-000011010000}"/>
    <cellStyle name="Normal 2 3 4" xfId="274" xr:uid="{00000000-0005-0000-0000-000012010000}"/>
    <cellStyle name="Normal 2 3 5" xfId="275" xr:uid="{00000000-0005-0000-0000-000013010000}"/>
    <cellStyle name="Normal 2 3 6" xfId="276" xr:uid="{00000000-0005-0000-0000-000014010000}"/>
    <cellStyle name="Normal 2 3 7" xfId="277" xr:uid="{00000000-0005-0000-0000-000015010000}"/>
    <cellStyle name="Normal 2 3 8" xfId="278" xr:uid="{00000000-0005-0000-0000-000016010000}"/>
    <cellStyle name="Normal 2 3 9" xfId="279" xr:uid="{00000000-0005-0000-0000-000017010000}"/>
    <cellStyle name="Normal 2 4" xfId="280" xr:uid="{00000000-0005-0000-0000-000018010000}"/>
    <cellStyle name="Normal 2 4 10" xfId="281" xr:uid="{00000000-0005-0000-0000-000019010000}"/>
    <cellStyle name="Normal 2 4 11" xfId="282" xr:uid="{00000000-0005-0000-0000-00001A010000}"/>
    <cellStyle name="Normal 2 4 12" xfId="283" xr:uid="{00000000-0005-0000-0000-00001B010000}"/>
    <cellStyle name="Normal 2 4 12 2" xfId="284" xr:uid="{00000000-0005-0000-0000-00001C010000}"/>
    <cellStyle name="Normal 2 4 12 3" xfId="285" xr:uid="{00000000-0005-0000-0000-00001D010000}"/>
    <cellStyle name="Normal 2 4 13" xfId="286" xr:uid="{00000000-0005-0000-0000-00001E010000}"/>
    <cellStyle name="Normal 2 4 13 2" xfId="287" xr:uid="{00000000-0005-0000-0000-00001F010000}"/>
    <cellStyle name="Normal 2 4 13 3" xfId="288" xr:uid="{00000000-0005-0000-0000-000020010000}"/>
    <cellStyle name="Normal 2 4 2" xfId="289" xr:uid="{00000000-0005-0000-0000-000021010000}"/>
    <cellStyle name="Normal 2 4 2 2" xfId="290" xr:uid="{00000000-0005-0000-0000-000022010000}"/>
    <cellStyle name="Normal 2 4 2 2 2" xfId="291" xr:uid="{00000000-0005-0000-0000-000023010000}"/>
    <cellStyle name="Normal 2 4 2 2 3" xfId="292" xr:uid="{00000000-0005-0000-0000-000024010000}"/>
    <cellStyle name="Normal 2 4 2 3" xfId="293" xr:uid="{00000000-0005-0000-0000-000025010000}"/>
    <cellStyle name="Normal 2 4 2 4" xfId="294" xr:uid="{00000000-0005-0000-0000-000026010000}"/>
    <cellStyle name="Normal 2 4 2 5" xfId="295" xr:uid="{00000000-0005-0000-0000-000027010000}"/>
    <cellStyle name="Normal 2 4 3" xfId="296" xr:uid="{00000000-0005-0000-0000-000028010000}"/>
    <cellStyle name="Normal 2 4 3 2" xfId="297" xr:uid="{00000000-0005-0000-0000-000029010000}"/>
    <cellStyle name="Normal 2 4 3 3" xfId="298" xr:uid="{00000000-0005-0000-0000-00002A010000}"/>
    <cellStyle name="Normal 2 4 4" xfId="299" xr:uid="{00000000-0005-0000-0000-00002B010000}"/>
    <cellStyle name="Normal 2 4 5" xfId="300" xr:uid="{00000000-0005-0000-0000-00002C010000}"/>
    <cellStyle name="Normal 2 4 6" xfId="301" xr:uid="{00000000-0005-0000-0000-00002D010000}"/>
    <cellStyle name="Normal 2 4 7" xfId="302" xr:uid="{00000000-0005-0000-0000-00002E010000}"/>
    <cellStyle name="Normal 2 4 8" xfId="303" xr:uid="{00000000-0005-0000-0000-00002F010000}"/>
    <cellStyle name="Normal 2 4 9" xfId="304" xr:uid="{00000000-0005-0000-0000-000030010000}"/>
    <cellStyle name="Normal 2 5" xfId="305" xr:uid="{00000000-0005-0000-0000-000031010000}"/>
    <cellStyle name="Normal 2 5 10" xfId="306" xr:uid="{00000000-0005-0000-0000-000032010000}"/>
    <cellStyle name="Normal 2 5 11" xfId="307" xr:uid="{00000000-0005-0000-0000-000033010000}"/>
    <cellStyle name="Normal 2 5 12" xfId="308" xr:uid="{00000000-0005-0000-0000-000034010000}"/>
    <cellStyle name="Normal 2 5 12 2" xfId="309" xr:uid="{00000000-0005-0000-0000-000035010000}"/>
    <cellStyle name="Normal 2 5 12 3" xfId="310" xr:uid="{00000000-0005-0000-0000-000036010000}"/>
    <cellStyle name="Normal 2 5 2" xfId="311" xr:uid="{00000000-0005-0000-0000-000037010000}"/>
    <cellStyle name="Normal 2 5 2 2" xfId="312" xr:uid="{00000000-0005-0000-0000-000038010000}"/>
    <cellStyle name="Normal 2 5 3" xfId="313" xr:uid="{00000000-0005-0000-0000-000039010000}"/>
    <cellStyle name="Normal 2 5 3 2" xfId="314" xr:uid="{00000000-0005-0000-0000-00003A010000}"/>
    <cellStyle name="Normal 2 5 4" xfId="315" xr:uid="{00000000-0005-0000-0000-00003B010000}"/>
    <cellStyle name="Normal 2 5 5" xfId="316" xr:uid="{00000000-0005-0000-0000-00003C010000}"/>
    <cellStyle name="Normal 2 5 6" xfId="317" xr:uid="{00000000-0005-0000-0000-00003D010000}"/>
    <cellStyle name="Normal 2 5 7" xfId="318" xr:uid="{00000000-0005-0000-0000-00003E010000}"/>
    <cellStyle name="Normal 2 5 8" xfId="319" xr:uid="{00000000-0005-0000-0000-00003F010000}"/>
    <cellStyle name="Normal 2 5 9" xfId="320" xr:uid="{00000000-0005-0000-0000-000040010000}"/>
    <cellStyle name="Normal 2 6" xfId="321" xr:uid="{00000000-0005-0000-0000-000041010000}"/>
    <cellStyle name="Normal 2 6 10" xfId="322" xr:uid="{00000000-0005-0000-0000-000042010000}"/>
    <cellStyle name="Normal 2 6 11" xfId="323" xr:uid="{00000000-0005-0000-0000-000043010000}"/>
    <cellStyle name="Normal 2 6 12" xfId="324" xr:uid="{00000000-0005-0000-0000-000044010000}"/>
    <cellStyle name="Normal 2 6 2" xfId="325" xr:uid="{00000000-0005-0000-0000-000045010000}"/>
    <cellStyle name="Normal 2 6 2 2" xfId="326" xr:uid="{00000000-0005-0000-0000-000046010000}"/>
    <cellStyle name="Normal 2 6 3" xfId="327" xr:uid="{00000000-0005-0000-0000-000047010000}"/>
    <cellStyle name="Normal 2 6 3 2" xfId="328" xr:uid="{00000000-0005-0000-0000-000048010000}"/>
    <cellStyle name="Normal 2 6 4" xfId="329" xr:uid="{00000000-0005-0000-0000-000049010000}"/>
    <cellStyle name="Normal 2 6 5" xfId="330" xr:uid="{00000000-0005-0000-0000-00004A010000}"/>
    <cellStyle name="Normal 2 6 6" xfId="331" xr:uid="{00000000-0005-0000-0000-00004B010000}"/>
    <cellStyle name="Normal 2 6 7" xfId="332" xr:uid="{00000000-0005-0000-0000-00004C010000}"/>
    <cellStyle name="Normal 2 6 8" xfId="333" xr:uid="{00000000-0005-0000-0000-00004D010000}"/>
    <cellStyle name="Normal 2 6 9" xfId="334" xr:uid="{00000000-0005-0000-0000-00004E010000}"/>
    <cellStyle name="Normal 2 7" xfId="335" xr:uid="{00000000-0005-0000-0000-00004F010000}"/>
    <cellStyle name="Normal 2 7 10" xfId="336" xr:uid="{00000000-0005-0000-0000-000050010000}"/>
    <cellStyle name="Normal 2 7 11" xfId="337" xr:uid="{00000000-0005-0000-0000-000051010000}"/>
    <cellStyle name="Normal 2 7 2" xfId="338" xr:uid="{00000000-0005-0000-0000-000052010000}"/>
    <cellStyle name="Normal 2 7 2 2" xfId="339" xr:uid="{00000000-0005-0000-0000-000053010000}"/>
    <cellStyle name="Normal 2 7 2 3" xfId="340" xr:uid="{00000000-0005-0000-0000-000054010000}"/>
    <cellStyle name="Normal 2 7 3" xfId="341" xr:uid="{00000000-0005-0000-0000-000055010000}"/>
    <cellStyle name="Normal 2 7 3 2" xfId="342" xr:uid="{00000000-0005-0000-0000-000056010000}"/>
    <cellStyle name="Normal 2 7 4" xfId="343" xr:uid="{00000000-0005-0000-0000-000057010000}"/>
    <cellStyle name="Normal 2 7 4 2" xfId="344" xr:uid="{00000000-0005-0000-0000-000058010000}"/>
    <cellStyle name="Normal 2 7 5" xfId="345" xr:uid="{00000000-0005-0000-0000-000059010000}"/>
    <cellStyle name="Normal 2 7 5 2" xfId="346" xr:uid="{00000000-0005-0000-0000-00005A010000}"/>
    <cellStyle name="Normal 2 7 6" xfId="347" xr:uid="{00000000-0005-0000-0000-00005B010000}"/>
    <cellStyle name="Normal 2 7 6 2" xfId="348" xr:uid="{00000000-0005-0000-0000-00005C010000}"/>
    <cellStyle name="Normal 2 7 7" xfId="349" xr:uid="{00000000-0005-0000-0000-00005D010000}"/>
    <cellStyle name="Normal 2 7 7 2" xfId="350" xr:uid="{00000000-0005-0000-0000-00005E010000}"/>
    <cellStyle name="Normal 2 7 8" xfId="351" xr:uid="{00000000-0005-0000-0000-00005F010000}"/>
    <cellStyle name="Normal 2 7 8 2" xfId="352" xr:uid="{00000000-0005-0000-0000-000060010000}"/>
    <cellStyle name="Normal 2 7 9" xfId="353" xr:uid="{00000000-0005-0000-0000-000061010000}"/>
    <cellStyle name="Normal 2 8" xfId="354" xr:uid="{00000000-0005-0000-0000-000062010000}"/>
    <cellStyle name="Normal 2 8 10" xfId="355" xr:uid="{00000000-0005-0000-0000-000063010000}"/>
    <cellStyle name="Normal 2 8 11" xfId="356" xr:uid="{00000000-0005-0000-0000-000064010000}"/>
    <cellStyle name="Normal 2 8 2" xfId="357" xr:uid="{00000000-0005-0000-0000-000065010000}"/>
    <cellStyle name="Normal 2 8 2 2" xfId="358" xr:uid="{00000000-0005-0000-0000-000066010000}"/>
    <cellStyle name="Normal 2 8 3" xfId="359" xr:uid="{00000000-0005-0000-0000-000067010000}"/>
    <cellStyle name="Normal 2 8 3 2" xfId="360" xr:uid="{00000000-0005-0000-0000-000068010000}"/>
    <cellStyle name="Normal 2 8 4" xfId="361" xr:uid="{00000000-0005-0000-0000-000069010000}"/>
    <cellStyle name="Normal 2 8 4 2" xfId="362" xr:uid="{00000000-0005-0000-0000-00006A010000}"/>
    <cellStyle name="Normal 2 8 5" xfId="363" xr:uid="{00000000-0005-0000-0000-00006B010000}"/>
    <cellStyle name="Normal 2 8 5 2" xfId="364" xr:uid="{00000000-0005-0000-0000-00006C010000}"/>
    <cellStyle name="Normal 2 8 6" xfId="365" xr:uid="{00000000-0005-0000-0000-00006D010000}"/>
    <cellStyle name="Normal 2 8 6 2" xfId="366" xr:uid="{00000000-0005-0000-0000-00006E010000}"/>
    <cellStyle name="Normal 2 8 7" xfId="367" xr:uid="{00000000-0005-0000-0000-00006F010000}"/>
    <cellStyle name="Normal 2 8 7 2" xfId="368" xr:uid="{00000000-0005-0000-0000-000070010000}"/>
    <cellStyle name="Normal 2 8 8" xfId="369" xr:uid="{00000000-0005-0000-0000-000071010000}"/>
    <cellStyle name="Normal 2 8 8 2" xfId="370" xr:uid="{00000000-0005-0000-0000-000072010000}"/>
    <cellStyle name="Normal 2 8 9" xfId="371" xr:uid="{00000000-0005-0000-0000-000073010000}"/>
    <cellStyle name="Normal 2 9" xfId="372" xr:uid="{00000000-0005-0000-0000-000074010000}"/>
    <cellStyle name="Normal 2 9 10" xfId="373" xr:uid="{00000000-0005-0000-0000-000075010000}"/>
    <cellStyle name="Normal 2 9 11" xfId="374" xr:uid="{00000000-0005-0000-0000-000076010000}"/>
    <cellStyle name="Normal 2 9 2" xfId="375" xr:uid="{00000000-0005-0000-0000-000077010000}"/>
    <cellStyle name="Normal 2 9 2 2" xfId="376" xr:uid="{00000000-0005-0000-0000-000078010000}"/>
    <cellStyle name="Normal 2 9 3" xfId="377" xr:uid="{00000000-0005-0000-0000-000079010000}"/>
    <cellStyle name="Normal 2 9 3 2" xfId="378" xr:uid="{00000000-0005-0000-0000-00007A010000}"/>
    <cellStyle name="Normal 2 9 4" xfId="379" xr:uid="{00000000-0005-0000-0000-00007B010000}"/>
    <cellStyle name="Normal 2 9 4 2" xfId="380" xr:uid="{00000000-0005-0000-0000-00007C010000}"/>
    <cellStyle name="Normal 2 9 5" xfId="381" xr:uid="{00000000-0005-0000-0000-00007D010000}"/>
    <cellStyle name="Normal 2 9 5 2" xfId="382" xr:uid="{00000000-0005-0000-0000-00007E010000}"/>
    <cellStyle name="Normal 2 9 6" xfId="383" xr:uid="{00000000-0005-0000-0000-00007F010000}"/>
    <cellStyle name="Normal 2 9 6 2" xfId="384" xr:uid="{00000000-0005-0000-0000-000080010000}"/>
    <cellStyle name="Normal 2 9 7" xfId="385" xr:uid="{00000000-0005-0000-0000-000081010000}"/>
    <cellStyle name="Normal 2 9 7 2" xfId="386" xr:uid="{00000000-0005-0000-0000-000082010000}"/>
    <cellStyle name="Normal 2 9 8" xfId="387" xr:uid="{00000000-0005-0000-0000-000083010000}"/>
    <cellStyle name="Normal 2 9 8 2" xfId="388" xr:uid="{00000000-0005-0000-0000-000084010000}"/>
    <cellStyle name="Normal 2 9 9" xfId="389" xr:uid="{00000000-0005-0000-0000-000085010000}"/>
    <cellStyle name="Normal 20" xfId="390" xr:uid="{00000000-0005-0000-0000-000086010000}"/>
    <cellStyle name="Normal 20 2" xfId="391" xr:uid="{00000000-0005-0000-0000-000087010000}"/>
    <cellStyle name="Normal 20 3" xfId="392" xr:uid="{00000000-0005-0000-0000-000088010000}"/>
    <cellStyle name="Normal 21" xfId="393" xr:uid="{00000000-0005-0000-0000-000089010000}"/>
    <cellStyle name="Normal 21 2" xfId="394" xr:uid="{00000000-0005-0000-0000-00008A010000}"/>
    <cellStyle name="Normal 21 2 2" xfId="395" xr:uid="{00000000-0005-0000-0000-00008B010000}"/>
    <cellStyle name="Normal 21 2 3" xfId="396" xr:uid="{00000000-0005-0000-0000-00008C010000}"/>
    <cellStyle name="Normal 21 3" xfId="397" xr:uid="{00000000-0005-0000-0000-00008D010000}"/>
    <cellStyle name="Normal 21 4" xfId="398" xr:uid="{00000000-0005-0000-0000-00008E010000}"/>
    <cellStyle name="Normal 21 5" xfId="399" xr:uid="{00000000-0005-0000-0000-00008F010000}"/>
    <cellStyle name="Normal 22" xfId="400" xr:uid="{00000000-0005-0000-0000-000090010000}"/>
    <cellStyle name="Normal 22 2" xfId="401" xr:uid="{00000000-0005-0000-0000-000091010000}"/>
    <cellStyle name="Normal 22 3" xfId="402" xr:uid="{00000000-0005-0000-0000-000092010000}"/>
    <cellStyle name="Normal 23" xfId="403" xr:uid="{00000000-0005-0000-0000-000093010000}"/>
    <cellStyle name="Normal 23 2" xfId="404" xr:uid="{00000000-0005-0000-0000-000094010000}"/>
    <cellStyle name="Normal 23 3" xfId="405" xr:uid="{00000000-0005-0000-0000-000095010000}"/>
    <cellStyle name="Normal 24" xfId="406" xr:uid="{00000000-0005-0000-0000-000096010000}"/>
    <cellStyle name="Normal 24 2" xfId="407" xr:uid="{00000000-0005-0000-0000-000097010000}"/>
    <cellStyle name="Normal 24 3" xfId="408" xr:uid="{00000000-0005-0000-0000-000098010000}"/>
    <cellStyle name="Normal 25" xfId="409" xr:uid="{00000000-0005-0000-0000-000099010000}"/>
    <cellStyle name="Normal 25 2" xfId="410" xr:uid="{00000000-0005-0000-0000-00009A010000}"/>
    <cellStyle name="Normal 25 3" xfId="411" xr:uid="{00000000-0005-0000-0000-00009B010000}"/>
    <cellStyle name="Normal 26" xfId="412" xr:uid="{00000000-0005-0000-0000-00009C010000}"/>
    <cellStyle name="Normal 27" xfId="413" xr:uid="{00000000-0005-0000-0000-00009D010000}"/>
    <cellStyle name="Normal 27 2" xfId="414" xr:uid="{00000000-0005-0000-0000-00009E010000}"/>
    <cellStyle name="Normal 29" xfId="526" xr:uid="{91A25AA8-1434-4F90-88E7-077EF491582C}"/>
    <cellStyle name="Normal 3" xfId="415" xr:uid="{00000000-0005-0000-0000-00009F010000}"/>
    <cellStyle name="Normal 3 10" xfId="416" xr:uid="{00000000-0005-0000-0000-0000A0010000}"/>
    <cellStyle name="Normal 3 10 2" xfId="417" xr:uid="{00000000-0005-0000-0000-0000A1010000}"/>
    <cellStyle name="Normal 3 11" xfId="418" xr:uid="{00000000-0005-0000-0000-0000A2010000}"/>
    <cellStyle name="Normal 3 12" xfId="419" xr:uid="{00000000-0005-0000-0000-0000A3010000}"/>
    <cellStyle name="Normal 3 13" xfId="420" xr:uid="{00000000-0005-0000-0000-0000A4010000}"/>
    <cellStyle name="Normal 3 14" xfId="421" xr:uid="{00000000-0005-0000-0000-0000A5010000}"/>
    <cellStyle name="Normal 3 15" xfId="422" xr:uid="{00000000-0005-0000-0000-0000A6010000}"/>
    <cellStyle name="Normal 3 2" xfId="423" xr:uid="{00000000-0005-0000-0000-0000A7010000}"/>
    <cellStyle name="Normal 3 2 2" xfId="424" xr:uid="{00000000-0005-0000-0000-0000A8010000}"/>
    <cellStyle name="Normal 3 2 2 2" xfId="425" xr:uid="{00000000-0005-0000-0000-0000A9010000}"/>
    <cellStyle name="Normal 3 2 2 3" xfId="426" xr:uid="{00000000-0005-0000-0000-0000AA010000}"/>
    <cellStyle name="Normal 3 2 3" xfId="427" xr:uid="{00000000-0005-0000-0000-0000AB010000}"/>
    <cellStyle name="Normal 3 2 4" xfId="428" xr:uid="{00000000-0005-0000-0000-0000AC010000}"/>
    <cellStyle name="Normal 3 2 5" xfId="429" xr:uid="{00000000-0005-0000-0000-0000AD010000}"/>
    <cellStyle name="Normal 3 3" xfId="430" xr:uid="{00000000-0005-0000-0000-0000AE010000}"/>
    <cellStyle name="Normal 3 3 2" xfId="431" xr:uid="{00000000-0005-0000-0000-0000AF010000}"/>
    <cellStyle name="Normal 3 3 2 2" xfId="432" xr:uid="{00000000-0005-0000-0000-0000B0010000}"/>
    <cellStyle name="Normal 3 3 2 3" xfId="433" xr:uid="{00000000-0005-0000-0000-0000B1010000}"/>
    <cellStyle name="Normal 3 3 3" xfId="434" xr:uid="{00000000-0005-0000-0000-0000B2010000}"/>
    <cellStyle name="Normal 3 3 4" xfId="435" xr:uid="{00000000-0005-0000-0000-0000B3010000}"/>
    <cellStyle name="Normal 3 4" xfId="436" xr:uid="{00000000-0005-0000-0000-0000B4010000}"/>
    <cellStyle name="Normal 3 5" xfId="437" xr:uid="{00000000-0005-0000-0000-0000B5010000}"/>
    <cellStyle name="Normal 3 6" xfId="438" xr:uid="{00000000-0005-0000-0000-0000B6010000}"/>
    <cellStyle name="Normal 3 7" xfId="439" xr:uid="{00000000-0005-0000-0000-0000B7010000}"/>
    <cellStyle name="Normal 3 7 2" xfId="440" xr:uid="{00000000-0005-0000-0000-0000B8010000}"/>
    <cellStyle name="Normal 3 7 3" xfId="441" xr:uid="{00000000-0005-0000-0000-0000B9010000}"/>
    <cellStyle name="Normal 3 8" xfId="442" xr:uid="{00000000-0005-0000-0000-0000BA010000}"/>
    <cellStyle name="Normal 3 8 2" xfId="443" xr:uid="{00000000-0005-0000-0000-0000BB010000}"/>
    <cellStyle name="Normal 3 8 3" xfId="444" xr:uid="{00000000-0005-0000-0000-0000BC010000}"/>
    <cellStyle name="Normal 3 9" xfId="445" xr:uid="{00000000-0005-0000-0000-0000BD010000}"/>
    <cellStyle name="Normal 3 9 2" xfId="446" xr:uid="{00000000-0005-0000-0000-0000BE010000}"/>
    <cellStyle name="Normal 3 9 3" xfId="447" xr:uid="{00000000-0005-0000-0000-0000BF010000}"/>
    <cellStyle name="Normal 4 10" xfId="448" xr:uid="{00000000-0005-0000-0000-0000C0010000}"/>
    <cellStyle name="Normal 4 11" xfId="449" xr:uid="{00000000-0005-0000-0000-0000C1010000}"/>
    <cellStyle name="Normal 4 12" xfId="450" xr:uid="{00000000-0005-0000-0000-0000C2010000}"/>
    <cellStyle name="Normal 4 13" xfId="451" xr:uid="{00000000-0005-0000-0000-0000C3010000}"/>
    <cellStyle name="Normal 4 2" xfId="452" xr:uid="{00000000-0005-0000-0000-0000C4010000}"/>
    <cellStyle name="Normal 4 2 2" xfId="453" xr:uid="{00000000-0005-0000-0000-0000C5010000}"/>
    <cellStyle name="Normal 4 2 2 2" xfId="454" xr:uid="{00000000-0005-0000-0000-0000C6010000}"/>
    <cellStyle name="Normal 4 2 2 3" xfId="455" xr:uid="{00000000-0005-0000-0000-0000C7010000}"/>
    <cellStyle name="Normal 4 2 2 3 2" xfId="456" xr:uid="{00000000-0005-0000-0000-0000C8010000}"/>
    <cellStyle name="Normal 4 2 2 3 3" xfId="457" xr:uid="{00000000-0005-0000-0000-0000C9010000}"/>
    <cellStyle name="Normal 4 2 3" xfId="458" xr:uid="{00000000-0005-0000-0000-0000CA010000}"/>
    <cellStyle name="Normal 4 2 4" xfId="459" xr:uid="{00000000-0005-0000-0000-0000CB010000}"/>
    <cellStyle name="Normal 4 2 5" xfId="460" xr:uid="{00000000-0005-0000-0000-0000CC010000}"/>
    <cellStyle name="Normal 4 3" xfId="461" xr:uid="{00000000-0005-0000-0000-0000CD010000}"/>
    <cellStyle name="Normal 4 3 2" xfId="462" xr:uid="{00000000-0005-0000-0000-0000CE010000}"/>
    <cellStyle name="Normal 4 3 3" xfId="463" xr:uid="{00000000-0005-0000-0000-0000CF010000}"/>
    <cellStyle name="Normal 4 4" xfId="464" xr:uid="{00000000-0005-0000-0000-0000D0010000}"/>
    <cellStyle name="Normal 4 5" xfId="465" xr:uid="{00000000-0005-0000-0000-0000D1010000}"/>
    <cellStyle name="Normal 4 5 2" xfId="466" xr:uid="{00000000-0005-0000-0000-0000D2010000}"/>
    <cellStyle name="Normal 4 5 3" xfId="467" xr:uid="{00000000-0005-0000-0000-0000D3010000}"/>
    <cellStyle name="Normal 4 6" xfId="468" xr:uid="{00000000-0005-0000-0000-0000D4010000}"/>
    <cellStyle name="Normal 4 6 2" xfId="469" xr:uid="{00000000-0005-0000-0000-0000D5010000}"/>
    <cellStyle name="Normal 4 6 3" xfId="470" xr:uid="{00000000-0005-0000-0000-0000D6010000}"/>
    <cellStyle name="Normal 4 7" xfId="471" xr:uid="{00000000-0005-0000-0000-0000D7010000}"/>
    <cellStyle name="Normal 4 8" xfId="472" xr:uid="{00000000-0005-0000-0000-0000D8010000}"/>
    <cellStyle name="Normal 4 9" xfId="473" xr:uid="{00000000-0005-0000-0000-0000D9010000}"/>
    <cellStyle name="Normal 5" xfId="474" xr:uid="{00000000-0005-0000-0000-0000DA010000}"/>
    <cellStyle name="Normal 5 2" xfId="475" xr:uid="{00000000-0005-0000-0000-0000DB010000}"/>
    <cellStyle name="Normal 5 3" xfId="476" xr:uid="{00000000-0005-0000-0000-0000DC010000}"/>
    <cellStyle name="Normal 5 3 2" xfId="477" xr:uid="{00000000-0005-0000-0000-0000DD010000}"/>
    <cellStyle name="Normal 5 3 3" xfId="478" xr:uid="{00000000-0005-0000-0000-0000DE010000}"/>
    <cellStyle name="Normal 5 4" xfId="479" xr:uid="{00000000-0005-0000-0000-0000DF010000}"/>
    <cellStyle name="Normal 5 5" xfId="480" xr:uid="{00000000-0005-0000-0000-0000E0010000}"/>
    <cellStyle name="Normal 5 5 2" xfId="481" xr:uid="{00000000-0005-0000-0000-0000E1010000}"/>
    <cellStyle name="Normal 5 5 3" xfId="482" xr:uid="{00000000-0005-0000-0000-0000E2010000}"/>
    <cellStyle name="Normal 5 6" xfId="483" xr:uid="{00000000-0005-0000-0000-0000E3010000}"/>
    <cellStyle name="Normal 6 2" xfId="484" xr:uid="{00000000-0005-0000-0000-0000E4010000}"/>
    <cellStyle name="Normal 6 3" xfId="485" xr:uid="{00000000-0005-0000-0000-0000E5010000}"/>
    <cellStyle name="Normal 6 4" xfId="486" xr:uid="{00000000-0005-0000-0000-0000E6010000}"/>
    <cellStyle name="Normal 6 5" xfId="487" xr:uid="{00000000-0005-0000-0000-0000E7010000}"/>
    <cellStyle name="Normal 7" xfId="488" xr:uid="{00000000-0005-0000-0000-0000E8010000}"/>
    <cellStyle name="Normal 7 2" xfId="489" xr:uid="{00000000-0005-0000-0000-0000E9010000}"/>
    <cellStyle name="Normal 7 2 2" xfId="490" xr:uid="{00000000-0005-0000-0000-0000EA010000}"/>
    <cellStyle name="Normal 7 2 2 2" xfId="491" xr:uid="{00000000-0005-0000-0000-0000EB010000}"/>
    <cellStyle name="Normal 7 2 2 3" xfId="492" xr:uid="{00000000-0005-0000-0000-0000EC010000}"/>
    <cellStyle name="Normal 7 2 3" xfId="493" xr:uid="{00000000-0005-0000-0000-0000ED010000}"/>
    <cellStyle name="Normal 7 2 4" xfId="494" xr:uid="{00000000-0005-0000-0000-0000EE010000}"/>
    <cellStyle name="Normal 7 2 4 2" xfId="495" xr:uid="{00000000-0005-0000-0000-0000EF010000}"/>
    <cellStyle name="Normal 7 2 4 3" xfId="496" xr:uid="{00000000-0005-0000-0000-0000F0010000}"/>
    <cellStyle name="Normal 7 2 5" xfId="497" xr:uid="{00000000-0005-0000-0000-0000F1010000}"/>
    <cellStyle name="Normal 7 3" xfId="498" xr:uid="{00000000-0005-0000-0000-0000F2010000}"/>
    <cellStyle name="Normal 7 4" xfId="499" xr:uid="{00000000-0005-0000-0000-0000F3010000}"/>
    <cellStyle name="Normal 7 4 2" xfId="500" xr:uid="{00000000-0005-0000-0000-0000F4010000}"/>
    <cellStyle name="Normal 7 4 3" xfId="501" xr:uid="{00000000-0005-0000-0000-0000F5010000}"/>
    <cellStyle name="Normal 7 5" xfId="502" xr:uid="{00000000-0005-0000-0000-0000F6010000}"/>
    <cellStyle name="Normal 7 5 2" xfId="503" xr:uid="{00000000-0005-0000-0000-0000F7010000}"/>
    <cellStyle name="Normal 7 5 3" xfId="504" xr:uid="{00000000-0005-0000-0000-0000F8010000}"/>
    <cellStyle name="Normal 7 5 4" xfId="505" xr:uid="{00000000-0005-0000-0000-0000F9010000}"/>
    <cellStyle name="Normal 7 5 5" xfId="506" xr:uid="{00000000-0005-0000-0000-0000FA010000}"/>
    <cellStyle name="Normal 7 6" xfId="507" xr:uid="{00000000-0005-0000-0000-0000FB010000}"/>
    <cellStyle name="Normal 7 7" xfId="508" xr:uid="{00000000-0005-0000-0000-0000FC010000}"/>
    <cellStyle name="Normal 8 2" xfId="509" xr:uid="{00000000-0005-0000-0000-0000FD010000}"/>
    <cellStyle name="Normal 8 3" xfId="510" xr:uid="{00000000-0005-0000-0000-0000FE010000}"/>
    <cellStyle name="Normal 9" xfId="511" xr:uid="{00000000-0005-0000-0000-0000FF010000}"/>
    <cellStyle name="Normal 9 2" xfId="512" xr:uid="{00000000-0005-0000-0000-000000020000}"/>
    <cellStyle name="Normal 9 2 2" xfId="513" xr:uid="{00000000-0005-0000-0000-000001020000}"/>
    <cellStyle name="Normal 9 2 3" xfId="514" xr:uid="{00000000-0005-0000-0000-000002020000}"/>
    <cellStyle name="Normal 9 3" xfId="515" xr:uid="{00000000-0005-0000-0000-000003020000}"/>
    <cellStyle name="Normal 9 4" xfId="516" xr:uid="{00000000-0005-0000-0000-000004020000}"/>
    <cellStyle name="Normal 9 5" xfId="517" xr:uid="{00000000-0005-0000-0000-000005020000}"/>
    <cellStyle name="Normal 9 5 2" xfId="518" xr:uid="{00000000-0005-0000-0000-000006020000}"/>
    <cellStyle name="Normal 9 5 3" xfId="519" xr:uid="{00000000-0005-0000-0000-000007020000}"/>
    <cellStyle name="Normal 9 6" xfId="520" xr:uid="{00000000-0005-0000-0000-000008020000}"/>
    <cellStyle name="Normal 9 6 2" xfId="521" xr:uid="{00000000-0005-0000-0000-000009020000}"/>
    <cellStyle name="Normal 9 6 3" xfId="522" xr:uid="{00000000-0005-0000-0000-00000A020000}"/>
    <cellStyle name="Normal_debt" xfId="523" xr:uid="{00000000-0005-0000-0000-00000B020000}"/>
    <cellStyle name="Normal_lpform" xfId="524" xr:uid="{00000000-0005-0000-0000-00000C020000}"/>
  </cellStyles>
  <dxfs count="72">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87618CE2-FA45-4E68-B1C7-1EA467CF6660}"/>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3" name="Text Box 5">
          <a:extLst>
            <a:ext uri="{FF2B5EF4-FFF2-40B4-BE49-F238E27FC236}">
              <a16:creationId xmlns:a16="http://schemas.microsoft.com/office/drawing/2014/main" id="{5B879E2A-3573-4D49-B8F1-D6E1FAC0AF4A}"/>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id="{AC83690D-C716-4C01-83F1-5CD0159185D4}"/>
            </a:ext>
          </a:extLst>
        </xdr:cNvPr>
        <xdr:cNvSpPr txBox="1"/>
      </xdr:nvSpPr>
      <xdr:spPr>
        <a:xfrm>
          <a:off x="104775" y="7086600"/>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id="{7102FAFC-0A95-4A1B-9FDB-B843978F4F4D}"/>
            </a:ext>
          </a:extLst>
        </xdr:cNvPr>
        <xdr:cNvSpPr txBox="1"/>
      </xdr:nvSpPr>
      <xdr:spPr>
        <a:xfrm>
          <a:off x="104775" y="744855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B81017AB-6319-4040-9F6E-D3D3804961D5}"/>
            </a:ext>
          </a:extLst>
        </xdr:cNvPr>
        <xdr:cNvPicPr>
          <a:picLocks noChangeAspect="1"/>
        </xdr:cNvPicPr>
      </xdr:nvPicPr>
      <xdr:blipFill>
        <a:blip xmlns:r="http://schemas.openxmlformats.org/officeDocument/2006/relationships" r:embed="rId1"/>
        <a:stretch>
          <a:fillRect/>
        </a:stretch>
      </xdr:blipFill>
      <xdr:spPr>
        <a:xfrm>
          <a:off x="180975" y="3249326"/>
          <a:ext cx="5038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70CFA193-ED2A-4C38-9D46-678C0779A65D}"/>
            </a:ext>
          </a:extLst>
        </xdr:cNvPr>
        <xdr:cNvPicPr>
          <a:picLocks noChangeAspect="1"/>
        </xdr:cNvPicPr>
      </xdr:nvPicPr>
      <xdr:blipFill>
        <a:blip xmlns:r="http://schemas.openxmlformats.org/officeDocument/2006/relationships" r:embed="rId2"/>
        <a:stretch>
          <a:fillRect/>
        </a:stretch>
      </xdr:blipFill>
      <xdr:spPr>
        <a:xfrm>
          <a:off x="5238750" y="3648075"/>
          <a:ext cx="55587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E78A7FB4-A0B8-4B8B-B7C6-70BBC118AE42}"/>
            </a:ext>
          </a:extLst>
        </xdr:cNvPr>
        <xdr:cNvPicPr>
          <a:picLocks noChangeAspect="1"/>
        </xdr:cNvPicPr>
      </xdr:nvPicPr>
      <xdr:blipFill>
        <a:blip xmlns:r="http://schemas.openxmlformats.org/officeDocument/2006/relationships" r:embed="rId3"/>
        <a:stretch>
          <a:fillRect/>
        </a:stretch>
      </xdr:blipFill>
      <xdr:spPr>
        <a:xfrm>
          <a:off x="123826" y="8703229"/>
          <a:ext cx="48387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7F1C13CD-96FA-4579-887D-87AF19BE739F}"/>
            </a:ext>
          </a:extLst>
        </xdr:cNvPr>
        <xdr:cNvPicPr>
          <a:picLocks noChangeAspect="1"/>
        </xdr:cNvPicPr>
      </xdr:nvPicPr>
      <xdr:blipFill>
        <a:blip xmlns:r="http://schemas.openxmlformats.org/officeDocument/2006/relationships" r:embed="rId4"/>
        <a:stretch>
          <a:fillRect/>
        </a:stretch>
      </xdr:blipFill>
      <xdr:spPr>
        <a:xfrm>
          <a:off x="5219701" y="8559886"/>
          <a:ext cx="54673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FC2E937D-A595-49F3-88BC-79BFBF3B9D53}"/>
            </a:ext>
          </a:extLst>
        </xdr:cNvPr>
        <xdr:cNvPicPr>
          <a:picLocks noChangeAspect="1"/>
        </xdr:cNvPicPr>
      </xdr:nvPicPr>
      <xdr:blipFill>
        <a:blip xmlns:r="http://schemas.openxmlformats.org/officeDocument/2006/relationships" r:embed="rId5"/>
        <a:stretch>
          <a:fillRect/>
        </a:stretch>
      </xdr:blipFill>
      <xdr:spPr>
        <a:xfrm>
          <a:off x="304799" y="16295682"/>
          <a:ext cx="63722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DDF922E9-11C9-4BFA-91F9-3412A72917FC}"/>
            </a:ext>
          </a:extLst>
        </xdr:cNvPr>
        <xdr:cNvPicPr>
          <a:picLocks noChangeAspect="1"/>
        </xdr:cNvPicPr>
      </xdr:nvPicPr>
      <xdr:blipFill>
        <a:blip xmlns:r="http://schemas.openxmlformats.org/officeDocument/2006/relationships" r:embed="rId6"/>
        <a:stretch>
          <a:fillRect/>
        </a:stretch>
      </xdr:blipFill>
      <xdr:spPr>
        <a:xfrm>
          <a:off x="304800" y="12152869"/>
          <a:ext cx="63817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112DE777-4E5B-4B48-9EA6-BA78781C6B3F}"/>
            </a:ext>
          </a:extLst>
        </xdr:cNvPr>
        <xdr:cNvPicPr>
          <a:picLocks noChangeAspect="1"/>
        </xdr:cNvPicPr>
      </xdr:nvPicPr>
      <xdr:blipFill>
        <a:blip xmlns:r="http://schemas.openxmlformats.org/officeDocument/2006/relationships" r:embed="rId7"/>
        <a:stretch>
          <a:fillRect/>
        </a:stretch>
      </xdr:blipFill>
      <xdr:spPr>
        <a:xfrm>
          <a:off x="295275" y="20906755"/>
          <a:ext cx="63817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2B9F52A1-A670-40C8-86BC-4B132CEBA4CF}"/>
            </a:ext>
          </a:extLst>
        </xdr:cNvPr>
        <xdr:cNvPicPr>
          <a:picLocks noChangeAspect="1"/>
        </xdr:cNvPicPr>
      </xdr:nvPicPr>
      <xdr:blipFill>
        <a:blip xmlns:r="http://schemas.openxmlformats.org/officeDocument/2006/relationships" r:embed="rId8"/>
        <a:stretch>
          <a:fillRect/>
        </a:stretch>
      </xdr:blipFill>
      <xdr:spPr>
        <a:xfrm>
          <a:off x="285749" y="26990920"/>
          <a:ext cx="63722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0C6BFF7A-B64F-4E27-A4B7-D71CFD45D564}"/>
            </a:ext>
          </a:extLst>
        </xdr:cNvPr>
        <xdr:cNvPicPr>
          <a:picLocks noChangeAspect="1"/>
        </xdr:cNvPicPr>
      </xdr:nvPicPr>
      <xdr:blipFill>
        <a:blip xmlns:r="http://schemas.openxmlformats.org/officeDocument/2006/relationships" r:embed="rId9"/>
        <a:stretch>
          <a:fillRect/>
        </a:stretch>
      </xdr:blipFill>
      <xdr:spPr>
        <a:xfrm>
          <a:off x="295275" y="34874583"/>
          <a:ext cx="6372225" cy="57774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8.bin"/><Relationship Id="rId1" Type="http://schemas.openxmlformats.org/officeDocument/2006/relationships/hyperlink" Target="https://pooledmoneyinvestmentboard.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0E6CE-3AF6-4D2E-83AB-1C7C99E01E8C}">
  <sheetPr>
    <tabColor rgb="FFC00000"/>
  </sheetPr>
  <dimension ref="B1:B109"/>
  <sheetViews>
    <sheetView tabSelected="1" zoomScaleNormal="100" workbookViewId="0">
      <selection activeCell="B1" sqref="B1"/>
    </sheetView>
  </sheetViews>
  <sheetFormatPr defaultRowHeight="15.75"/>
  <cols>
    <col min="1" max="1" width="1.21875" style="2" customWidth="1"/>
    <col min="2" max="2" width="84.6640625" style="4" customWidth="1"/>
    <col min="3" max="16384" width="8.88671875" style="2"/>
  </cols>
  <sheetData>
    <row r="1" spans="2:2" ht="39" customHeight="1">
      <c r="B1" s="402" t="s">
        <v>0</v>
      </c>
    </row>
    <row r="2" spans="2:2" ht="12.95" customHeight="1"/>
    <row r="3" spans="2:2" ht="34.5" customHeight="1">
      <c r="B3" s="4" t="s">
        <v>1</v>
      </c>
    </row>
    <row r="4" spans="2:2" ht="12.95" customHeight="1"/>
    <row r="5" spans="2:2" ht="66" customHeight="1">
      <c r="B5" s="4" t="s">
        <v>2</v>
      </c>
    </row>
    <row r="6" spans="2:2" ht="14.45" customHeight="1"/>
    <row r="7" spans="2:2" ht="25.5" customHeight="1">
      <c r="B7" s="403" t="s">
        <v>3</v>
      </c>
    </row>
    <row r="8" spans="2:2" ht="12.95" customHeight="1"/>
    <row r="9" spans="2:2" ht="50.25">
      <c r="B9" s="4" t="s">
        <v>4</v>
      </c>
    </row>
    <row r="10" spans="2:2" ht="12.95" customHeight="1"/>
    <row r="11" spans="2:2" ht="31.5">
      <c r="B11" s="4" t="s">
        <v>5</v>
      </c>
    </row>
    <row r="12" spans="2:2" ht="15" customHeight="1"/>
    <row r="13" spans="2:2" ht="25.5" customHeight="1">
      <c r="B13" s="403" t="s">
        <v>6</v>
      </c>
    </row>
    <row r="14" spans="2:2" ht="12.95" customHeight="1"/>
    <row r="15" spans="2:2" ht="39.75" customHeight="1">
      <c r="B15" s="4" t="s">
        <v>7</v>
      </c>
    </row>
    <row r="16" spans="2:2" ht="12.95" customHeight="1"/>
    <row r="17" spans="2:2">
      <c r="B17" s="404" t="s">
        <v>8</v>
      </c>
    </row>
    <row r="18" spans="2:2" ht="12.95" customHeight="1">
      <c r="B18" s="404"/>
    </row>
    <row r="19" spans="2:2">
      <c r="B19" s="4" t="s">
        <v>9</v>
      </c>
    </row>
    <row r="20" spans="2:2" ht="12.95" customHeight="1"/>
    <row r="21" spans="2:2" ht="67.5" customHeight="1">
      <c r="B21" s="4" t="s">
        <v>10</v>
      </c>
    </row>
    <row r="22" spans="2:2" ht="12.95" customHeight="1">
      <c r="B22" s="405"/>
    </row>
    <row r="23" spans="2:2" ht="15.75" customHeight="1">
      <c r="B23" s="4" t="s">
        <v>11</v>
      </c>
    </row>
    <row r="24" spans="2:2" ht="12.95" customHeight="1">
      <c r="B24" s="405"/>
    </row>
    <row r="25" spans="2:2" ht="15.75" customHeight="1">
      <c r="B25" s="4" t="s">
        <v>12</v>
      </c>
    </row>
    <row r="26" spans="2:2" ht="12.95" customHeight="1"/>
    <row r="27" spans="2:2" ht="49.5" customHeight="1">
      <c r="B27" s="4" t="s">
        <v>13</v>
      </c>
    </row>
    <row r="28" spans="2:2" ht="12.95" customHeight="1"/>
    <row r="29" spans="2:2" ht="25.5" customHeight="1">
      <c r="B29" s="403" t="s">
        <v>14</v>
      </c>
    </row>
    <row r="30" spans="2:2" ht="12.95" customHeight="1">
      <c r="B30" s="406"/>
    </row>
    <row r="31" spans="2:2" ht="50.25" customHeight="1">
      <c r="B31" s="4" t="s">
        <v>15</v>
      </c>
    </row>
    <row r="32" spans="2:2" ht="12.95" customHeight="1"/>
    <row r="33" spans="2:2" ht="49.5" customHeight="1">
      <c r="B33" s="221" t="s">
        <v>16</v>
      </c>
    </row>
    <row r="34" spans="2:2" ht="39.75" customHeight="1">
      <c r="B34" s="407" t="s">
        <v>17</v>
      </c>
    </row>
    <row r="35" spans="2:2" ht="60.75" customHeight="1">
      <c r="B35" s="407" t="s">
        <v>18</v>
      </c>
    </row>
    <row r="36" spans="2:2" ht="61.5" customHeight="1">
      <c r="B36" s="407" t="s">
        <v>19</v>
      </c>
    </row>
    <row r="37" spans="2:2" ht="41.25" customHeight="1">
      <c r="B37" s="407" t="s">
        <v>20</v>
      </c>
    </row>
    <row r="38" spans="2:2" ht="12.95" customHeight="1"/>
    <row r="39" spans="2:2" ht="52.5" customHeight="1">
      <c r="B39" s="221" t="s">
        <v>21</v>
      </c>
    </row>
    <row r="40" spans="2:2" ht="27.75" customHeight="1">
      <c r="B40" s="407" t="s">
        <v>22</v>
      </c>
    </row>
    <row r="41" spans="2:2" ht="57" customHeight="1">
      <c r="B41" s="407" t="s">
        <v>23</v>
      </c>
    </row>
    <row r="42" spans="2:2" ht="105" customHeight="1">
      <c r="B42" s="407" t="s">
        <v>24</v>
      </c>
    </row>
    <row r="43" spans="2:2" s="4" customFormat="1" ht="12.95" customHeight="1"/>
    <row r="44" spans="2:2" ht="47.25">
      <c r="B44" s="221" t="s">
        <v>25</v>
      </c>
    </row>
    <row r="45" spans="2:2" ht="66.75" customHeight="1">
      <c r="B45" s="221" t="s">
        <v>26</v>
      </c>
    </row>
    <row r="46" spans="2:2" ht="72.75" customHeight="1">
      <c r="B46" s="407" t="s">
        <v>27</v>
      </c>
    </row>
    <row r="47" spans="2:2" ht="108" customHeight="1">
      <c r="B47" s="407" t="s">
        <v>28</v>
      </c>
    </row>
    <row r="48" spans="2:2" ht="95.25" customHeight="1">
      <c r="B48" s="407" t="s">
        <v>29</v>
      </c>
    </row>
    <row r="49" spans="2:2" ht="12.95" customHeight="1"/>
    <row r="50" spans="2:2" ht="47.25">
      <c r="B50" s="221" t="s">
        <v>30</v>
      </c>
    </row>
    <row r="51" spans="2:2" ht="38.25" customHeight="1">
      <c r="B51" s="407" t="s">
        <v>31</v>
      </c>
    </row>
    <row r="52" spans="2:2" ht="34.5" customHeight="1">
      <c r="B52" s="407" t="s">
        <v>32</v>
      </c>
    </row>
    <row r="53" spans="2:2" ht="12.95" customHeight="1"/>
    <row r="54" spans="2:2" ht="71.25" customHeight="1">
      <c r="B54" s="221" t="s">
        <v>33</v>
      </c>
    </row>
    <row r="55" spans="2:2" ht="21.75" customHeight="1">
      <c r="B55" s="407" t="s">
        <v>34</v>
      </c>
    </row>
    <row r="56" spans="2:2" ht="12.95" customHeight="1">
      <c r="B56" s="3"/>
    </row>
    <row r="57" spans="2:2" ht="57.75" customHeight="1">
      <c r="B57" s="221" t="s">
        <v>35</v>
      </c>
    </row>
    <row r="58" spans="2:2" ht="41.25" customHeight="1">
      <c r="B58" s="407" t="s">
        <v>36</v>
      </c>
    </row>
    <row r="59" spans="2:2" ht="72" customHeight="1">
      <c r="B59" s="407" t="s">
        <v>37</v>
      </c>
    </row>
    <row r="60" spans="2:2" ht="27" customHeight="1">
      <c r="B60" s="407" t="s">
        <v>38</v>
      </c>
    </row>
    <row r="61" spans="2:2" ht="44.25" customHeight="1">
      <c r="B61" s="407" t="s">
        <v>39</v>
      </c>
    </row>
    <row r="62" spans="2:2" ht="12.95" customHeight="1"/>
    <row r="63" spans="2:2" ht="38.25" customHeight="1">
      <c r="B63" s="221" t="s">
        <v>40</v>
      </c>
    </row>
    <row r="64" spans="2:2" s="408" customFormat="1" ht="30.75" customHeight="1">
      <c r="B64" s="407" t="s">
        <v>41</v>
      </c>
    </row>
    <row r="65" spans="2:2" ht="12.95" customHeight="1"/>
    <row r="66" spans="2:2" ht="52.5" customHeight="1">
      <c r="B66" s="221" t="s">
        <v>42</v>
      </c>
    </row>
    <row r="67" spans="2:2" s="408" customFormat="1" ht="39.75" customHeight="1">
      <c r="B67" s="407" t="s">
        <v>43</v>
      </c>
    </row>
    <row r="68" spans="2:2" ht="12.95" customHeight="1"/>
    <row r="69" spans="2:2" ht="68.25" customHeight="1">
      <c r="B69" s="221" t="s">
        <v>44</v>
      </c>
    </row>
    <row r="70" spans="2:2" ht="57" customHeight="1">
      <c r="B70" s="407" t="s">
        <v>45</v>
      </c>
    </row>
    <row r="71" spans="2:2" ht="44.25" customHeight="1">
      <c r="B71" s="407" t="s">
        <v>46</v>
      </c>
    </row>
    <row r="72" spans="2:2" ht="12.95" customHeight="1"/>
    <row r="73" spans="2:2" ht="78.75">
      <c r="B73" s="221" t="s">
        <v>47</v>
      </c>
    </row>
    <row r="74" spans="2:2" ht="72.75" customHeight="1">
      <c r="B74" s="407" t="s">
        <v>48</v>
      </c>
    </row>
    <row r="75" spans="2:2" ht="90" customHeight="1">
      <c r="B75" s="407" t="s">
        <v>49</v>
      </c>
    </row>
    <row r="76" spans="2:2" ht="70.5" customHeight="1">
      <c r="B76" s="407" t="s">
        <v>50</v>
      </c>
    </row>
    <row r="77" spans="2:2" ht="87" customHeight="1">
      <c r="B77" s="407" t="s">
        <v>51</v>
      </c>
    </row>
    <row r="78" spans="2:2" ht="110.25">
      <c r="B78" s="407" t="s">
        <v>52</v>
      </c>
    </row>
    <row r="79" spans="2:2" ht="55.5" customHeight="1">
      <c r="B79" s="407" t="s">
        <v>53</v>
      </c>
    </row>
    <row r="80" spans="2:2" ht="96.75" customHeight="1">
      <c r="B80" s="407" t="s">
        <v>54</v>
      </c>
    </row>
    <row r="81" spans="2:2" ht="111.75" customHeight="1">
      <c r="B81" s="407" t="s">
        <v>55</v>
      </c>
    </row>
    <row r="82" spans="2:2" ht="123.75" customHeight="1">
      <c r="B82" s="407" t="s">
        <v>56</v>
      </c>
    </row>
    <row r="83" spans="2:2" ht="26.25" customHeight="1">
      <c r="B83" s="407" t="s">
        <v>57</v>
      </c>
    </row>
    <row r="84" spans="2:2" ht="57.75" customHeight="1">
      <c r="B84" s="407" t="s">
        <v>58</v>
      </c>
    </row>
    <row r="85" spans="2:2" ht="57.75" customHeight="1">
      <c r="B85" s="407" t="s">
        <v>59</v>
      </c>
    </row>
    <row r="86" spans="2:2" ht="91.5" customHeight="1">
      <c r="B86" s="407" t="s">
        <v>60</v>
      </c>
    </row>
    <row r="87" spans="2:2" ht="75" customHeight="1">
      <c r="B87" s="407" t="s">
        <v>61</v>
      </c>
    </row>
    <row r="88" spans="2:2" ht="69" customHeight="1">
      <c r="B88" s="407" t="s">
        <v>62</v>
      </c>
    </row>
    <row r="89" spans="2:2" ht="39" customHeight="1">
      <c r="B89" s="407" t="s">
        <v>63</v>
      </c>
    </row>
    <row r="90" spans="2:2" ht="12.95" customHeight="1"/>
    <row r="91" spans="2:2" ht="63">
      <c r="B91" s="221" t="s">
        <v>64</v>
      </c>
    </row>
    <row r="92" spans="2:2" ht="75.75" customHeight="1">
      <c r="B92" s="407" t="s">
        <v>65</v>
      </c>
    </row>
    <row r="93" spans="2:2" ht="23.25" customHeight="1">
      <c r="B93" s="407" t="s">
        <v>66</v>
      </c>
    </row>
    <row r="94" spans="2:2" ht="27" customHeight="1">
      <c r="B94" s="407" t="s">
        <v>67</v>
      </c>
    </row>
    <row r="95" spans="2:2" ht="42" customHeight="1">
      <c r="B95" s="409" t="s">
        <v>68</v>
      </c>
    </row>
    <row r="96" spans="2:2" ht="108" customHeight="1">
      <c r="B96" s="409" t="s">
        <v>69</v>
      </c>
    </row>
    <row r="97" spans="2:2" ht="88.5" customHeight="1">
      <c r="B97" s="409" t="s">
        <v>70</v>
      </c>
    </row>
    <row r="98" spans="2:2" ht="98.25" customHeight="1">
      <c r="B98" s="407" t="s">
        <v>71</v>
      </c>
    </row>
    <row r="99" spans="2:2" ht="68.25" customHeight="1">
      <c r="B99" s="407" t="s">
        <v>72</v>
      </c>
    </row>
    <row r="100" spans="2:2" ht="12.95" customHeight="1"/>
    <row r="101" spans="2:2" ht="94.5">
      <c r="B101" s="221" t="s">
        <v>73</v>
      </c>
    </row>
    <row r="102" spans="2:2" ht="78.75">
      <c r="B102" s="410" t="s">
        <v>74</v>
      </c>
    </row>
    <row r="103" spans="2:2" ht="63">
      <c r="B103" s="407" t="s">
        <v>75</v>
      </c>
    </row>
    <row r="104" spans="2:2" ht="39.75" customHeight="1">
      <c r="B104" s="407" t="s">
        <v>76</v>
      </c>
    </row>
    <row r="105" spans="2:2" ht="12.95" customHeight="1">
      <c r="B105" s="2"/>
    </row>
    <row r="106" spans="2:2" ht="47.25">
      <c r="B106" s="221" t="s">
        <v>77</v>
      </c>
    </row>
    <row r="107" spans="2:2" ht="12.95" customHeight="1">
      <c r="B107" s="2"/>
    </row>
    <row r="108" spans="2:2" ht="47.25">
      <c r="B108" s="221" t="s">
        <v>78</v>
      </c>
    </row>
    <row r="109" spans="2:2">
      <c r="B109" s="2"/>
    </row>
  </sheetData>
  <sheetProtection sheet="1" objects="1" scenarios="1"/>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B1:Y43"/>
  <sheetViews>
    <sheetView topLeftCell="B1" zoomScale="80" zoomScaleNormal="80" workbookViewId="0">
      <selection activeCell="M1" sqref="M1"/>
    </sheetView>
  </sheetViews>
  <sheetFormatPr defaultRowHeight="15.75"/>
  <cols>
    <col min="1" max="1" width="5.88671875" style="5" customWidth="1"/>
    <col min="2" max="2" width="20.77734375" style="5" customWidth="1"/>
    <col min="3" max="3" width="9.77734375" style="5" customWidth="1"/>
    <col min="4" max="4" width="10.77734375" style="5" customWidth="1"/>
    <col min="5" max="5" width="12.88671875" style="5" customWidth="1"/>
    <col min="6" max="6" width="15.109375" style="5" customWidth="1"/>
    <col min="7" max="12" width="9.77734375" style="5" customWidth="1"/>
    <col min="13" max="16384" width="8.88671875" style="5"/>
  </cols>
  <sheetData>
    <row r="1" spans="2:12">
      <c r="B1" s="7">
        <f>inputPrYr!$D$3</f>
        <v>0</v>
      </c>
      <c r="C1" s="7"/>
      <c r="D1" s="7"/>
      <c r="E1" s="7"/>
      <c r="F1" s="7"/>
      <c r="G1" s="7"/>
      <c r="H1" s="7"/>
      <c r="I1" s="7"/>
      <c r="J1" s="7"/>
      <c r="K1" s="7"/>
      <c r="L1" s="484">
        <f>inputPrYr!D22</f>
        <v>2024</v>
      </c>
    </row>
    <row r="2" spans="2:12">
      <c r="B2" s="7">
        <f>inputPrYr!$D$4</f>
        <v>0</v>
      </c>
      <c r="C2" s="7"/>
      <c r="D2" s="7"/>
      <c r="E2" s="7"/>
      <c r="F2" s="7"/>
      <c r="G2" s="7"/>
      <c r="H2" s="7"/>
      <c r="I2" s="7"/>
      <c r="J2" s="7"/>
      <c r="K2" s="7"/>
      <c r="L2" s="484"/>
    </row>
    <row r="3" spans="2:12">
      <c r="B3" s="7"/>
      <c r="C3" s="7"/>
      <c r="D3" s="7"/>
      <c r="E3" s="7"/>
      <c r="F3" s="7"/>
      <c r="G3" s="7"/>
      <c r="H3" s="7"/>
      <c r="I3" s="7"/>
      <c r="J3" s="7"/>
      <c r="K3" s="7"/>
      <c r="L3" s="484"/>
    </row>
    <row r="4" spans="2:12" s="102" customFormat="1">
      <c r="B4" s="605" t="s">
        <v>249</v>
      </c>
      <c r="C4" s="606"/>
      <c r="D4" s="606"/>
      <c r="E4" s="606"/>
      <c r="F4" s="606"/>
      <c r="G4" s="606"/>
      <c r="H4" s="606"/>
      <c r="I4" s="606"/>
      <c r="J4" s="606"/>
      <c r="K4" s="606"/>
      <c r="L4" s="606"/>
    </row>
    <row r="5" spans="2:12" s="102" customFormat="1">
      <c r="B5" s="103"/>
      <c r="C5" s="103"/>
      <c r="D5" s="103"/>
      <c r="E5" s="103"/>
      <c r="F5" s="103"/>
      <c r="G5" s="103"/>
      <c r="H5" s="103"/>
      <c r="I5" s="103"/>
      <c r="J5" s="103"/>
      <c r="K5" s="103"/>
      <c r="L5" s="103"/>
    </row>
    <row r="6" spans="2:12" s="102" customFormat="1">
      <c r="B6" s="60" t="s">
        <v>250</v>
      </c>
      <c r="C6" s="60" t="s">
        <v>251</v>
      </c>
      <c r="D6" s="60" t="s">
        <v>252</v>
      </c>
      <c r="E6" s="60"/>
      <c r="F6" s="60" t="s">
        <v>127</v>
      </c>
      <c r="G6" s="104"/>
      <c r="H6" s="105"/>
      <c r="I6" s="104" t="s">
        <v>253</v>
      </c>
      <c r="J6" s="105"/>
      <c r="K6" s="104" t="s">
        <v>253</v>
      </c>
      <c r="L6" s="105"/>
    </row>
    <row r="7" spans="2:12" s="102" customFormat="1">
      <c r="B7" s="45" t="s">
        <v>254</v>
      </c>
      <c r="C7" s="45" t="s">
        <v>254</v>
      </c>
      <c r="D7" s="45" t="s">
        <v>126</v>
      </c>
      <c r="E7" s="45" t="s">
        <v>127</v>
      </c>
      <c r="F7" s="45" t="s">
        <v>255</v>
      </c>
      <c r="G7" s="106" t="s">
        <v>256</v>
      </c>
      <c r="H7" s="107"/>
      <c r="I7" s="106">
        <f>L1-1</f>
        <v>2023</v>
      </c>
      <c r="J7" s="107"/>
      <c r="K7" s="106">
        <f>L1</f>
        <v>2024</v>
      </c>
      <c r="L7" s="107"/>
    </row>
    <row r="8" spans="2:12" s="102" customFormat="1">
      <c r="B8" s="47" t="s">
        <v>257</v>
      </c>
      <c r="C8" s="47" t="s">
        <v>258</v>
      </c>
      <c r="D8" s="47" t="s">
        <v>105</v>
      </c>
      <c r="E8" s="47" t="s">
        <v>259</v>
      </c>
      <c r="F8" s="108" t="str">
        <f>CONCATENATE("Jan 1, ",L1-1,"")</f>
        <v>Jan 1, 2023</v>
      </c>
      <c r="G8" s="482" t="s">
        <v>252</v>
      </c>
      <c r="H8" s="482" t="s">
        <v>260</v>
      </c>
      <c r="I8" s="482" t="s">
        <v>252</v>
      </c>
      <c r="J8" s="482" t="s">
        <v>260</v>
      </c>
      <c r="K8" s="482" t="s">
        <v>252</v>
      </c>
      <c r="L8" s="482" t="s">
        <v>260</v>
      </c>
    </row>
    <row r="9" spans="2:12" s="102" customFormat="1">
      <c r="B9" s="14" t="s">
        <v>261</v>
      </c>
      <c r="C9" s="109"/>
      <c r="D9" s="14"/>
      <c r="E9" s="14"/>
      <c r="F9" s="14"/>
      <c r="G9" s="110"/>
      <c r="H9" s="110"/>
      <c r="I9" s="14"/>
      <c r="J9" s="14"/>
      <c r="K9" s="14"/>
      <c r="L9" s="14"/>
    </row>
    <row r="10" spans="2:12" s="102" customFormat="1">
      <c r="B10" s="111"/>
      <c r="C10" s="218"/>
      <c r="D10" s="111"/>
      <c r="E10" s="111"/>
      <c r="F10" s="29"/>
      <c r="G10" s="112"/>
      <c r="H10" s="112"/>
      <c r="I10" s="111"/>
      <c r="J10" s="111"/>
      <c r="K10" s="111"/>
      <c r="L10" s="111"/>
    </row>
    <row r="11" spans="2:12" s="102" customFormat="1">
      <c r="B11" s="18"/>
      <c r="C11" s="219"/>
      <c r="D11" s="113"/>
      <c r="E11" s="15"/>
      <c r="F11" s="15"/>
      <c r="G11" s="114"/>
      <c r="H11" s="114"/>
      <c r="I11" s="115"/>
      <c r="J11" s="115"/>
      <c r="K11" s="115"/>
      <c r="L11" s="115"/>
    </row>
    <row r="12" spans="2:12" s="102" customFormat="1">
      <c r="B12" s="25" t="s">
        <v>262</v>
      </c>
      <c r="C12" s="116"/>
      <c r="D12" s="117"/>
      <c r="E12" s="69"/>
      <c r="F12" s="118">
        <f>SUM(F10:F11)</f>
        <v>0</v>
      </c>
      <c r="G12" s="119"/>
      <c r="H12" s="119"/>
      <c r="I12" s="118">
        <f>SUM(I10:I11)</f>
        <v>0</v>
      </c>
      <c r="J12" s="118">
        <f>SUM(J10:J11)</f>
        <v>0</v>
      </c>
      <c r="K12" s="118">
        <f>SUM(K10:K11)</f>
        <v>0</v>
      </c>
      <c r="L12" s="118">
        <f>SUM(L10:L11)</f>
        <v>0</v>
      </c>
    </row>
    <row r="13" spans="2:12" s="102" customFormat="1">
      <c r="B13" s="25" t="s">
        <v>263</v>
      </c>
      <c r="C13" s="116"/>
      <c r="D13" s="117"/>
      <c r="E13" s="69"/>
      <c r="F13" s="73"/>
      <c r="G13" s="119"/>
      <c r="H13" s="119"/>
      <c r="I13" s="73"/>
      <c r="J13" s="73"/>
      <c r="K13" s="73"/>
      <c r="L13" s="73"/>
    </row>
    <row r="14" spans="2:12" s="102" customFormat="1">
      <c r="B14" s="18"/>
      <c r="C14" s="219"/>
      <c r="D14" s="113"/>
      <c r="E14" s="15"/>
      <c r="F14" s="115"/>
      <c r="G14" s="114"/>
      <c r="H14" s="114"/>
      <c r="I14" s="115"/>
      <c r="J14" s="115"/>
      <c r="K14" s="115"/>
      <c r="L14" s="115"/>
    </row>
    <row r="15" spans="2:12" s="102" customFormat="1">
      <c r="B15" s="18"/>
      <c r="C15" s="219"/>
      <c r="D15" s="113"/>
      <c r="E15" s="15"/>
      <c r="F15" s="115"/>
      <c r="G15" s="114"/>
      <c r="H15" s="114"/>
      <c r="I15" s="115"/>
      <c r="J15" s="115"/>
      <c r="K15" s="115"/>
      <c r="L15" s="115"/>
    </row>
    <row r="16" spans="2:12" s="102" customFormat="1">
      <c r="B16" s="25" t="s">
        <v>264</v>
      </c>
      <c r="C16" s="116"/>
      <c r="D16" s="117"/>
      <c r="E16" s="69"/>
      <c r="F16" s="118">
        <f>SUM(F14:F15)</f>
        <v>0</v>
      </c>
      <c r="G16" s="119"/>
      <c r="H16" s="119"/>
      <c r="I16" s="118">
        <f>SUM(I14:I15)</f>
        <v>0</v>
      </c>
      <c r="J16" s="118">
        <f>SUM(J14:J15)</f>
        <v>0</v>
      </c>
      <c r="K16" s="118">
        <f>SUM(K14:K15)</f>
        <v>0</v>
      </c>
      <c r="L16" s="118">
        <f>SUM(L14:L15)</f>
        <v>0</v>
      </c>
    </row>
    <row r="17" spans="2:25" s="102" customFormat="1">
      <c r="B17" s="25" t="s">
        <v>265</v>
      </c>
      <c r="C17" s="116"/>
      <c r="D17" s="117"/>
      <c r="E17" s="69"/>
      <c r="F17" s="73"/>
      <c r="G17" s="119"/>
      <c r="H17" s="119"/>
      <c r="I17" s="73"/>
      <c r="J17" s="73"/>
      <c r="K17" s="73"/>
      <c r="L17" s="73"/>
    </row>
    <row r="18" spans="2:25" s="102" customFormat="1">
      <c r="B18" s="18"/>
      <c r="C18" s="219"/>
      <c r="D18" s="113"/>
      <c r="E18" s="15"/>
      <c r="F18" s="115"/>
      <c r="G18" s="114"/>
      <c r="H18" s="114"/>
      <c r="I18" s="115"/>
      <c r="J18" s="115"/>
      <c r="K18" s="115"/>
      <c r="L18" s="115"/>
    </row>
    <row r="19" spans="2:25" s="102" customFormat="1">
      <c r="B19" s="18"/>
      <c r="C19" s="219"/>
      <c r="D19" s="113"/>
      <c r="E19" s="15"/>
      <c r="F19" s="115"/>
      <c r="G19" s="114"/>
      <c r="H19" s="114"/>
      <c r="I19" s="115"/>
      <c r="J19" s="115"/>
      <c r="K19" s="115"/>
      <c r="L19" s="115"/>
    </row>
    <row r="20" spans="2:25" s="102" customFormat="1">
      <c r="B20" s="25" t="s">
        <v>266</v>
      </c>
      <c r="C20" s="116"/>
      <c r="D20" s="117"/>
      <c r="E20" s="69"/>
      <c r="F20" s="118">
        <f>SUM(F18:F19)</f>
        <v>0</v>
      </c>
      <c r="G20" s="119"/>
      <c r="H20" s="119"/>
      <c r="I20" s="118">
        <f>SUM(I18:I19)</f>
        <v>0</v>
      </c>
      <c r="J20" s="118">
        <f>SUM(J18:J19)</f>
        <v>0</v>
      </c>
      <c r="K20" s="118">
        <f>SUM(K18:K19)</f>
        <v>0</v>
      </c>
      <c r="L20" s="118">
        <f>SUM(L18:L19)</f>
        <v>0</v>
      </c>
    </row>
    <row r="21" spans="2:25" s="102" customFormat="1">
      <c r="B21" s="120" t="s">
        <v>267</v>
      </c>
      <c r="C21" s="288"/>
      <c r="D21" s="288"/>
      <c r="E21" s="289"/>
      <c r="F21" s="122">
        <f>SUM(F12+F16+F20)</f>
        <v>0</v>
      </c>
      <c r="G21" s="288"/>
      <c r="H21" s="288"/>
      <c r="I21" s="122">
        <f>SUM(I12+I16+I20)</f>
        <v>0</v>
      </c>
      <c r="J21" s="122">
        <f>SUM(J12+J16+J20)</f>
        <v>0</v>
      </c>
      <c r="K21" s="122">
        <f>SUM(K12+K16+K20)</f>
        <v>0</v>
      </c>
      <c r="L21" s="122">
        <f>SUM(L12+L16+L20)</f>
        <v>0</v>
      </c>
    </row>
    <row r="22" spans="2:25" s="102" customFormat="1">
      <c r="B22" s="7"/>
      <c r="C22" s="7"/>
      <c r="D22" s="7"/>
      <c r="E22" s="7"/>
      <c r="F22" s="7"/>
      <c r="G22" s="7"/>
      <c r="H22" s="7"/>
      <c r="I22" s="7"/>
      <c r="J22" s="7"/>
      <c r="K22" s="7"/>
      <c r="L22" s="7"/>
      <c r="M22" s="2"/>
      <c r="N22" s="2"/>
      <c r="O22" s="2"/>
      <c r="P22" s="2"/>
      <c r="Q22" s="2"/>
      <c r="R22" s="2"/>
      <c r="S22" s="2"/>
      <c r="T22" s="2"/>
      <c r="U22" s="2"/>
      <c r="V22" s="2"/>
      <c r="W22" s="2"/>
      <c r="X22" s="2"/>
      <c r="Y22" s="2"/>
    </row>
    <row r="23" spans="2:25" s="125" customFormat="1">
      <c r="B23" s="605" t="s">
        <v>268</v>
      </c>
      <c r="C23" s="606"/>
      <c r="D23" s="606"/>
      <c r="E23" s="606"/>
      <c r="F23" s="606"/>
      <c r="G23" s="606"/>
      <c r="H23" s="606"/>
      <c r="I23" s="606"/>
      <c r="J23" s="123"/>
      <c r="K23" s="123"/>
      <c r="L23" s="124"/>
    </row>
    <row r="24" spans="2:25" s="125" customFormat="1">
      <c r="B24" s="7"/>
      <c r="C24" s="58"/>
      <c r="D24" s="58"/>
      <c r="E24" s="58"/>
      <c r="F24" s="58"/>
      <c r="G24" s="58"/>
      <c r="H24" s="58"/>
      <c r="I24" s="58"/>
      <c r="J24" s="57"/>
      <c r="K24" s="57"/>
      <c r="L24" s="124"/>
    </row>
    <row r="25" spans="2:25" s="125" customFormat="1">
      <c r="B25" s="126"/>
      <c r="C25" s="126"/>
      <c r="D25" s="60" t="s">
        <v>269</v>
      </c>
      <c r="E25" s="126"/>
      <c r="F25" s="60" t="s">
        <v>115</v>
      </c>
      <c r="G25" s="126"/>
      <c r="H25" s="126"/>
      <c r="I25" s="126"/>
      <c r="J25" s="127"/>
      <c r="K25" s="124"/>
      <c r="L25" s="124"/>
    </row>
    <row r="26" spans="2:25" s="125" customFormat="1">
      <c r="B26" s="128"/>
      <c r="C26" s="45"/>
      <c r="D26" s="45" t="s">
        <v>254</v>
      </c>
      <c r="E26" s="45" t="s">
        <v>252</v>
      </c>
      <c r="F26" s="45" t="s">
        <v>127</v>
      </c>
      <c r="G26" s="45" t="s">
        <v>260</v>
      </c>
      <c r="H26" s="45" t="s">
        <v>270</v>
      </c>
      <c r="I26" s="45" t="s">
        <v>270</v>
      </c>
      <c r="J26" s="124"/>
      <c r="K26" s="124"/>
      <c r="L26" s="124"/>
    </row>
    <row r="27" spans="2:25" s="125" customFormat="1">
      <c r="B27" s="45" t="s">
        <v>271</v>
      </c>
      <c r="C27" s="45" t="s">
        <v>272</v>
      </c>
      <c r="D27" s="45" t="s">
        <v>273</v>
      </c>
      <c r="E27" s="45" t="s">
        <v>126</v>
      </c>
      <c r="F27" s="45" t="s">
        <v>274</v>
      </c>
      <c r="G27" s="45" t="s">
        <v>275</v>
      </c>
      <c r="H27" s="45" t="s">
        <v>276</v>
      </c>
      <c r="I27" s="45" t="s">
        <v>276</v>
      </c>
      <c r="J27" s="124"/>
      <c r="K27" s="124"/>
      <c r="L27" s="124"/>
    </row>
    <row r="28" spans="2:25" s="125" customFormat="1">
      <c r="B28" s="47" t="s">
        <v>277</v>
      </c>
      <c r="C28" s="47" t="s">
        <v>251</v>
      </c>
      <c r="D28" s="129" t="s">
        <v>278</v>
      </c>
      <c r="E28" s="47" t="s">
        <v>105</v>
      </c>
      <c r="F28" s="129" t="s">
        <v>279</v>
      </c>
      <c r="G28" s="108" t="str">
        <f>F8</f>
        <v>Jan 1, 2023</v>
      </c>
      <c r="H28" s="47">
        <f>L1-1</f>
        <v>2023</v>
      </c>
      <c r="I28" s="47">
        <f>L1</f>
        <v>2024</v>
      </c>
      <c r="J28" s="124"/>
      <c r="K28" s="124"/>
      <c r="L28" s="124"/>
    </row>
    <row r="29" spans="2:25" s="125" customFormat="1">
      <c r="B29" s="18"/>
      <c r="C29" s="219"/>
      <c r="D29" s="130"/>
      <c r="E29" s="113"/>
      <c r="F29" s="15"/>
      <c r="G29" s="15"/>
      <c r="H29" s="15"/>
      <c r="I29" s="15"/>
      <c r="J29" s="124"/>
      <c r="K29" s="124"/>
      <c r="L29" s="124"/>
    </row>
    <row r="30" spans="2:25" s="125" customFormat="1">
      <c r="B30" s="18"/>
      <c r="C30" s="219"/>
      <c r="D30" s="130"/>
      <c r="E30" s="113"/>
      <c r="F30" s="15"/>
      <c r="G30" s="15"/>
      <c r="H30" s="15"/>
      <c r="I30" s="15"/>
      <c r="J30" s="124"/>
      <c r="K30" s="124"/>
      <c r="L30" s="124"/>
    </row>
    <row r="31" spans="2:25" s="125" customFormat="1">
      <c r="B31" s="18"/>
      <c r="C31" s="219"/>
      <c r="D31" s="130"/>
      <c r="E31" s="113"/>
      <c r="F31" s="15"/>
      <c r="G31" s="15"/>
      <c r="H31" s="15"/>
      <c r="I31" s="15"/>
      <c r="J31" s="124"/>
      <c r="K31" s="124"/>
      <c r="L31" s="124"/>
    </row>
    <row r="32" spans="2:25" s="125" customFormat="1">
      <c r="B32" s="18"/>
      <c r="C32" s="219"/>
      <c r="D32" s="130"/>
      <c r="E32" s="113"/>
      <c r="F32" s="15"/>
      <c r="G32" s="15"/>
      <c r="H32" s="15"/>
      <c r="I32" s="15"/>
      <c r="J32" s="124"/>
      <c r="K32" s="124"/>
      <c r="L32" s="124"/>
    </row>
    <row r="33" spans="2:12" s="125" customFormat="1">
      <c r="B33" s="18"/>
      <c r="C33" s="219"/>
      <c r="D33" s="130"/>
      <c r="E33" s="113"/>
      <c r="F33" s="15"/>
      <c r="G33" s="15"/>
      <c r="H33" s="15"/>
      <c r="I33" s="15"/>
      <c r="J33" s="124"/>
      <c r="K33" s="124"/>
      <c r="L33" s="124"/>
    </row>
    <row r="34" spans="2:12" s="125" customFormat="1">
      <c r="B34" s="18"/>
      <c r="C34" s="219"/>
      <c r="D34" s="130"/>
      <c r="E34" s="113"/>
      <c r="F34" s="15"/>
      <c r="G34" s="15"/>
      <c r="H34" s="15"/>
      <c r="I34" s="15"/>
      <c r="J34" s="124"/>
      <c r="K34" s="124"/>
      <c r="L34" s="124"/>
    </row>
    <row r="35" spans="2:12" s="125" customFormat="1">
      <c r="B35" s="18"/>
      <c r="C35" s="219"/>
      <c r="D35" s="130"/>
      <c r="E35" s="113"/>
      <c r="F35" s="15"/>
      <c r="G35" s="15"/>
      <c r="H35" s="15"/>
      <c r="I35" s="15"/>
      <c r="J35" s="124"/>
      <c r="K35" s="124"/>
      <c r="L35" s="124"/>
    </row>
    <row r="36" spans="2:12" s="125" customFormat="1">
      <c r="B36" s="18"/>
      <c r="C36" s="219"/>
      <c r="D36" s="130"/>
      <c r="E36" s="113"/>
      <c r="F36" s="15"/>
      <c r="G36" s="15"/>
      <c r="H36" s="15"/>
      <c r="I36" s="15"/>
      <c r="J36" s="124"/>
      <c r="K36" s="124"/>
      <c r="L36" s="124"/>
    </row>
    <row r="37" spans="2:12" s="125" customFormat="1">
      <c r="B37" s="18"/>
      <c r="C37" s="219"/>
      <c r="D37" s="130"/>
      <c r="E37" s="113"/>
      <c r="F37" s="15"/>
      <c r="G37" s="15"/>
      <c r="H37" s="15"/>
      <c r="I37" s="15"/>
      <c r="J37" s="124"/>
      <c r="K37" s="124"/>
      <c r="L37" s="124"/>
    </row>
    <row r="38" spans="2:12" s="125" customFormat="1">
      <c r="B38" s="18"/>
      <c r="C38" s="219"/>
      <c r="D38" s="130"/>
      <c r="E38" s="113"/>
      <c r="F38" s="15"/>
      <c r="G38" s="15"/>
      <c r="H38" s="15"/>
      <c r="I38" s="15"/>
      <c r="J38" s="124"/>
      <c r="K38" s="124"/>
      <c r="L38" s="124"/>
    </row>
    <row r="39" spans="2:12" s="125" customFormat="1">
      <c r="B39" s="18"/>
      <c r="C39" s="219"/>
      <c r="D39" s="130"/>
      <c r="E39" s="113"/>
      <c r="F39" s="15"/>
      <c r="G39" s="15"/>
      <c r="H39" s="15"/>
      <c r="I39" s="15"/>
      <c r="J39" s="124"/>
      <c r="K39" s="124"/>
      <c r="L39" s="124"/>
    </row>
    <row r="40" spans="2:12" s="125" customFormat="1">
      <c r="B40" s="18"/>
      <c r="C40" s="219"/>
      <c r="D40" s="130"/>
      <c r="E40" s="113"/>
      <c r="F40" s="15"/>
      <c r="G40" s="15"/>
      <c r="H40" s="15"/>
      <c r="I40" s="15"/>
      <c r="J40" s="124"/>
      <c r="K40" s="124"/>
      <c r="L40" s="124"/>
    </row>
    <row r="41" spans="2:12" s="102" customFormat="1">
      <c r="B41" s="124"/>
      <c r="C41" s="121"/>
      <c r="D41" s="121"/>
      <c r="E41" s="290" t="s">
        <v>267</v>
      </c>
      <c r="F41" s="291">
        <f>SUM(F29:F40)</f>
        <v>0</v>
      </c>
      <c r="G41" s="122">
        <f>SUM(G29:G40)</f>
        <v>0</v>
      </c>
      <c r="H41" s="122">
        <f>SUM(H29:H40)</f>
        <v>0</v>
      </c>
      <c r="I41" s="122">
        <f>SUM(I29:I40)</f>
        <v>0</v>
      </c>
      <c r="J41" s="103"/>
      <c r="K41" s="103"/>
      <c r="L41" s="33"/>
    </row>
    <row r="42" spans="2:12">
      <c r="B42" s="7"/>
      <c r="C42" s="7"/>
      <c r="D42" s="7"/>
      <c r="E42" s="7"/>
      <c r="F42" s="7"/>
      <c r="G42" s="7"/>
      <c r="H42" s="7"/>
      <c r="I42" s="7"/>
      <c r="J42" s="7"/>
      <c r="K42" s="7"/>
      <c r="L42" s="7"/>
    </row>
    <row r="43" spans="2:12">
      <c r="B43" s="607" t="s">
        <v>280</v>
      </c>
      <c r="C43" s="607"/>
      <c r="D43" s="607"/>
      <c r="E43" s="607"/>
      <c r="F43" s="607"/>
      <c r="G43" s="607"/>
      <c r="H43" s="607"/>
      <c r="I43" s="607"/>
      <c r="J43" s="7"/>
      <c r="K43" s="7"/>
      <c r="L43" s="7"/>
    </row>
  </sheetData>
  <sheetProtection sheet="1" objects="1" scenarios="1"/>
  <mergeCells count="3">
    <mergeCell ref="B4:L4"/>
    <mergeCell ref="B23:I23"/>
    <mergeCell ref="B43:I43"/>
  </mergeCells>
  <phoneticPr fontId="0" type="noConversion"/>
  <pageMargins left="0.5" right="0.5" top="1" bottom="0.25" header="0.5" footer="0.25"/>
  <pageSetup scale="77" orientation="landscape" blackAndWhite="1" horizontalDpi="120" verticalDpi="144" r:id="rId1"/>
  <headerFooter alignWithMargins="0">
    <oddHeader xml:space="preserve">&amp;RState of Kansas
Special District
</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B1:K83"/>
  <sheetViews>
    <sheetView workbookViewId="0">
      <selection activeCell="E48" sqref="E48"/>
    </sheetView>
  </sheetViews>
  <sheetFormatPr defaultRowHeight="15.75"/>
  <cols>
    <col min="1" max="1" width="2.44140625" style="2" customWidth="1"/>
    <col min="2" max="2" width="31.109375" style="2" customWidth="1"/>
    <col min="3" max="5" width="15.77734375" style="2" customWidth="1"/>
    <col min="6" max="6" width="7.44140625" style="2" customWidth="1"/>
    <col min="7" max="7" width="10.21875" style="2" customWidth="1"/>
    <col min="8" max="8" width="8.88671875" style="2"/>
    <col min="9" max="9" width="5.77734375" style="2" customWidth="1"/>
    <col min="10" max="10" width="10" style="2" customWidth="1"/>
    <col min="11" max="16384" width="8.88671875" style="2"/>
  </cols>
  <sheetData>
    <row r="1" spans="2:6">
      <c r="B1" s="7">
        <f>inputPrYr!D3</f>
        <v>0</v>
      </c>
      <c r="C1" s="131"/>
      <c r="D1" s="7"/>
      <c r="E1" s="484">
        <f>inputPrYr!D22</f>
        <v>2024</v>
      </c>
    </row>
    <row r="2" spans="2:6">
      <c r="B2" s="7">
        <f>inputPrYr!D4</f>
        <v>0</v>
      </c>
      <c r="C2" s="131"/>
      <c r="D2" s="7"/>
      <c r="E2" s="484"/>
    </row>
    <row r="3" spans="2:6">
      <c r="B3" s="10" t="s">
        <v>281</v>
      </c>
      <c r="C3" s="131"/>
      <c r="D3" s="7"/>
      <c r="E3" s="484"/>
      <c r="F3" s="301"/>
    </row>
    <row r="4" spans="2:6">
      <c r="B4" s="7"/>
      <c r="C4" s="57"/>
      <c r="D4" s="57"/>
      <c r="E4" s="57"/>
    </row>
    <row r="5" spans="2:6">
      <c r="B5" s="6" t="s">
        <v>282</v>
      </c>
      <c r="C5" s="209" t="s">
        <v>283</v>
      </c>
      <c r="D5" s="212" t="s">
        <v>284</v>
      </c>
      <c r="E5" s="470" t="s">
        <v>285</v>
      </c>
    </row>
    <row r="6" spans="2:6">
      <c r="B6" s="10" t="str">
        <f>inputPrYr!B35</f>
        <v>General</v>
      </c>
      <c r="C6" s="210" t="str">
        <f>CONCATENATE("Actual for ",E1-2,"")</f>
        <v>Actual for 2022</v>
      </c>
      <c r="D6" s="210" t="str">
        <f>CONCATENATE("Estimate for ",E1-1,"")</f>
        <v>Estimate for 2023</v>
      </c>
      <c r="E6" s="91" t="str">
        <f>CONCATENATE("Year for ",E1,"")</f>
        <v>Year for 2024</v>
      </c>
    </row>
    <row r="7" spans="2:6">
      <c r="B7" s="476" t="s">
        <v>286</v>
      </c>
      <c r="C7" s="38"/>
      <c r="D7" s="213">
        <f>C64</f>
        <v>0</v>
      </c>
      <c r="E7" s="69">
        <f>D64</f>
        <v>0</v>
      </c>
    </row>
    <row r="8" spans="2:6">
      <c r="B8" s="81" t="s">
        <v>287</v>
      </c>
      <c r="C8" s="133"/>
      <c r="D8" s="133"/>
      <c r="E8" s="73"/>
    </row>
    <row r="9" spans="2:6">
      <c r="B9" s="476" t="s">
        <v>288</v>
      </c>
      <c r="C9" s="38"/>
      <c r="D9" s="213">
        <f>IF(inputPrYr!H34&gt;0,inputPrYr!G35,inputPrYr!E35)</f>
        <v>0</v>
      </c>
      <c r="E9" s="78" t="s">
        <v>184</v>
      </c>
    </row>
    <row r="10" spans="2:6">
      <c r="B10" s="476" t="s">
        <v>289</v>
      </c>
      <c r="C10" s="38"/>
      <c r="D10" s="38"/>
      <c r="E10" s="115"/>
    </row>
    <row r="11" spans="2:6">
      <c r="B11" s="476" t="s">
        <v>290</v>
      </c>
      <c r="C11" s="38"/>
      <c r="D11" s="38"/>
      <c r="E11" s="69">
        <f>Mvalloc!D9</f>
        <v>0</v>
      </c>
    </row>
    <row r="12" spans="2:6">
      <c r="B12" s="476" t="s">
        <v>291</v>
      </c>
      <c r="C12" s="38"/>
      <c r="D12" s="38"/>
      <c r="E12" s="69">
        <f>Mvalloc!E9</f>
        <v>0</v>
      </c>
    </row>
    <row r="13" spans="2:6">
      <c r="B13" s="133" t="s">
        <v>292</v>
      </c>
      <c r="C13" s="38"/>
      <c r="D13" s="38"/>
      <c r="E13" s="69">
        <f>Mvalloc!F9</f>
        <v>0</v>
      </c>
    </row>
    <row r="14" spans="2:6">
      <c r="B14" s="476" t="s">
        <v>293</v>
      </c>
      <c r="C14" s="38"/>
      <c r="D14" s="38"/>
      <c r="E14" s="69">
        <f>Mvalloc!G9</f>
        <v>0</v>
      </c>
    </row>
    <row r="15" spans="2:6">
      <c r="B15" s="476" t="s">
        <v>294</v>
      </c>
      <c r="C15" s="38"/>
      <c r="D15" s="38"/>
      <c r="E15" s="69">
        <f>Mvalloc!H9</f>
        <v>0</v>
      </c>
    </row>
    <row r="16" spans="2:6">
      <c r="B16" s="133" t="s">
        <v>135</v>
      </c>
      <c r="C16" s="38"/>
      <c r="D16" s="38"/>
      <c r="E16" s="69">
        <f>inputOth!D79</f>
        <v>0</v>
      </c>
    </row>
    <row r="17" spans="2:5">
      <c r="B17" s="135"/>
      <c r="C17" s="38"/>
      <c r="D17" s="38"/>
      <c r="E17" s="115"/>
    </row>
    <row r="18" spans="2:5">
      <c r="B18" s="229"/>
      <c r="C18" s="38"/>
      <c r="D18" s="38"/>
      <c r="E18" s="115"/>
    </row>
    <row r="19" spans="2:5">
      <c r="B19" s="135"/>
      <c r="C19" s="38"/>
      <c r="D19" s="38"/>
      <c r="E19" s="115"/>
    </row>
    <row r="20" spans="2:5">
      <c r="B20" s="135"/>
      <c r="C20" s="38"/>
      <c r="D20" s="38"/>
      <c r="E20" s="115"/>
    </row>
    <row r="21" spans="2:5">
      <c r="B21" s="135"/>
      <c r="C21" s="38"/>
      <c r="D21" s="38"/>
      <c r="E21" s="115"/>
    </row>
    <row r="22" spans="2:5">
      <c r="B22" s="135"/>
      <c r="C22" s="38"/>
      <c r="D22" s="38"/>
      <c r="E22" s="115"/>
    </row>
    <row r="23" spans="2:5">
      <c r="B23" s="135"/>
      <c r="C23" s="38"/>
      <c r="D23" s="38"/>
      <c r="E23" s="115"/>
    </row>
    <row r="24" spans="2:5">
      <c r="B24" s="135"/>
      <c r="C24" s="38"/>
      <c r="D24" s="38"/>
      <c r="E24" s="115"/>
    </row>
    <row r="25" spans="2:5">
      <c r="B25" s="135"/>
      <c r="C25" s="38"/>
      <c r="D25" s="38"/>
      <c r="E25" s="115"/>
    </row>
    <row r="26" spans="2:5">
      <c r="B26" s="135"/>
      <c r="C26" s="38"/>
      <c r="D26" s="38"/>
      <c r="E26" s="115"/>
    </row>
    <row r="27" spans="2:5">
      <c r="B27" s="135"/>
      <c r="C27" s="38"/>
      <c r="D27" s="38"/>
      <c r="E27" s="115"/>
    </row>
    <row r="28" spans="2:5">
      <c r="B28" s="135"/>
      <c r="C28" s="38"/>
      <c r="D28" s="38"/>
      <c r="E28" s="115"/>
    </row>
    <row r="29" spans="2:5">
      <c r="B29" s="135"/>
      <c r="C29" s="38"/>
      <c r="D29" s="38"/>
      <c r="E29" s="115"/>
    </row>
    <row r="30" spans="2:5">
      <c r="B30" s="135"/>
      <c r="C30" s="38"/>
      <c r="D30" s="38"/>
      <c r="E30" s="115"/>
    </row>
    <row r="31" spans="2:5">
      <c r="B31" s="135" t="s">
        <v>295</v>
      </c>
      <c r="C31" s="38"/>
      <c r="D31" s="38"/>
      <c r="E31" s="115"/>
    </row>
    <row r="32" spans="2:5">
      <c r="B32" s="136" t="s">
        <v>296</v>
      </c>
      <c r="C32" s="38"/>
      <c r="D32" s="38"/>
      <c r="E32" s="115"/>
    </row>
    <row r="33" spans="2:11">
      <c r="B33" s="70" t="s">
        <v>189</v>
      </c>
      <c r="C33" s="38"/>
      <c r="D33" s="38"/>
      <c r="E33" s="69">
        <f>'NR Rebate'!E7*-1</f>
        <v>0</v>
      </c>
    </row>
    <row r="34" spans="2:11">
      <c r="B34" s="137" t="s">
        <v>297</v>
      </c>
      <c r="C34" s="135"/>
      <c r="D34" s="135"/>
      <c r="E34" s="115"/>
    </row>
    <row r="35" spans="2:11">
      <c r="B35" s="137" t="s">
        <v>298</v>
      </c>
      <c r="C35" s="211" t="str">
        <f>IF(C36*0.1&lt;C34,"Exceed 10% Rule","")</f>
        <v/>
      </c>
      <c r="D35" s="211" t="str">
        <f>IF(D36*0.1&lt;D34,"Exceed 10% Rule","")</f>
        <v/>
      </c>
      <c r="E35" s="232" t="str">
        <f>IF(E36*0.1+E70&lt;E34,"Exceed 10% Rule","")</f>
        <v/>
      </c>
    </row>
    <row r="36" spans="2:11">
      <c r="B36" s="140" t="s">
        <v>299</v>
      </c>
      <c r="C36" s="151">
        <f>SUM(C9:C34)</f>
        <v>0</v>
      </c>
      <c r="D36" s="151">
        <f>SUM(D9:D34)</f>
        <v>0</v>
      </c>
      <c r="E36" s="151">
        <f>SUM(E9:E34)</f>
        <v>0</v>
      </c>
    </row>
    <row r="37" spans="2:11">
      <c r="B37" s="140" t="s">
        <v>300</v>
      </c>
      <c r="C37" s="151">
        <f>C7+C36</f>
        <v>0</v>
      </c>
      <c r="D37" s="151">
        <f>D7+D36</f>
        <v>0</v>
      </c>
      <c r="E37" s="151">
        <f>E7+E36</f>
        <v>0</v>
      </c>
    </row>
    <row r="38" spans="2:11">
      <c r="B38" s="476" t="s">
        <v>301</v>
      </c>
      <c r="C38" s="70"/>
      <c r="D38" s="70"/>
      <c r="E38" s="25"/>
    </row>
    <row r="39" spans="2:11">
      <c r="B39" s="135"/>
      <c r="C39" s="38"/>
      <c r="D39" s="38"/>
      <c r="E39" s="15"/>
      <c r="G39" s="614" t="str">
        <f>CONCATENATE("Desired Carryover Into ",E1+1,"")</f>
        <v>Desired Carryover Into 2025</v>
      </c>
      <c r="H39" s="615"/>
      <c r="I39" s="615"/>
      <c r="J39" s="616"/>
      <c r="K39" s="5"/>
    </row>
    <row r="40" spans="2:11">
      <c r="B40" s="135"/>
      <c r="C40" s="38"/>
      <c r="D40" s="38"/>
      <c r="E40" s="15"/>
      <c r="G40" s="271"/>
      <c r="H40" s="7"/>
      <c r="I40" s="269"/>
      <c r="J40" s="272"/>
      <c r="K40" s="5"/>
    </row>
    <row r="41" spans="2:11">
      <c r="B41" s="135"/>
      <c r="C41" s="38"/>
      <c r="D41" s="38"/>
      <c r="E41" s="15"/>
      <c r="G41" s="273" t="s">
        <v>302</v>
      </c>
      <c r="H41" s="269"/>
      <c r="I41" s="269"/>
      <c r="J41" s="274">
        <v>0</v>
      </c>
      <c r="K41" s="5"/>
    </row>
    <row r="42" spans="2:11">
      <c r="B42" s="135"/>
      <c r="C42" s="38"/>
      <c r="D42" s="38"/>
      <c r="E42" s="15"/>
      <c r="G42" s="271" t="s">
        <v>303</v>
      </c>
      <c r="H42" s="7"/>
      <c r="I42" s="7"/>
      <c r="J42" s="320" t="str">
        <f>IF(J41=0,"",ROUND((J41+E70-G54)/inputOth!B25*1000,3)-G59)</f>
        <v/>
      </c>
      <c r="K42" s="5"/>
    </row>
    <row r="43" spans="2:11">
      <c r="B43" s="135"/>
      <c r="C43" s="38"/>
      <c r="D43" s="38"/>
      <c r="E43" s="15"/>
      <c r="G43" s="319" t="str">
        <f>CONCATENATE("",E1," Tot Exp/Non-Appr Must Be:")</f>
        <v>2024 Tot Exp/Non-Appr Must Be:</v>
      </c>
      <c r="H43" s="294"/>
      <c r="I43" s="293"/>
      <c r="J43" s="318">
        <f>IF(J41&gt;0,IF(E67&lt;E37,IF(J41=G54,E67,((J41-G54)*(1-D69))+E37),E67+(J41-G54)),0)</f>
        <v>0</v>
      </c>
      <c r="K43" s="5"/>
    </row>
    <row r="44" spans="2:11">
      <c r="B44" s="135"/>
      <c r="C44" s="38"/>
      <c r="D44" s="38"/>
      <c r="E44" s="15"/>
      <c r="G44" s="324" t="s">
        <v>304</v>
      </c>
      <c r="H44" s="317"/>
      <c r="I44" s="317"/>
      <c r="J44" s="316">
        <f>IF(J41&gt;0,J43-E67,0)</f>
        <v>0</v>
      </c>
      <c r="K44" s="5"/>
    </row>
    <row r="45" spans="2:11">
      <c r="B45" s="135"/>
      <c r="C45" s="38"/>
      <c r="D45" s="38"/>
      <c r="E45" s="15"/>
      <c r="G45" s="5"/>
      <c r="H45" s="5"/>
      <c r="I45" s="5"/>
      <c r="J45" s="5"/>
      <c r="K45" s="5"/>
    </row>
    <row r="46" spans="2:11">
      <c r="B46" s="135"/>
      <c r="C46" s="38"/>
      <c r="D46" s="38"/>
      <c r="E46" s="15"/>
      <c r="G46" s="614" t="str">
        <f>CONCATENATE("Projected Carryover Into ",E3+1,"")</f>
        <v>Projected Carryover Into 1</v>
      </c>
      <c r="H46" s="615"/>
      <c r="I46" s="615"/>
      <c r="J46" s="616"/>
      <c r="K46" s="5"/>
    </row>
    <row r="47" spans="2:11">
      <c r="B47" s="135"/>
      <c r="C47" s="38"/>
      <c r="D47" s="38"/>
      <c r="E47" s="15"/>
      <c r="G47" s="259"/>
      <c r="H47" s="7"/>
      <c r="I47" s="7"/>
      <c r="J47" s="261"/>
      <c r="K47" s="5"/>
    </row>
    <row r="48" spans="2:11">
      <c r="B48" s="135"/>
      <c r="C48" s="38"/>
      <c r="D48" s="38"/>
      <c r="E48" s="15"/>
      <c r="G48" s="262">
        <f>D64</f>
        <v>0</v>
      </c>
      <c r="H48" s="268" t="str">
        <f>CONCATENATE("",E1-1," Ending Cash Balance (est.)")</f>
        <v>2023 Ending Cash Balance (est.)</v>
      </c>
      <c r="I48" s="315"/>
      <c r="J48" s="261"/>
      <c r="K48" s="5"/>
    </row>
    <row r="49" spans="2:11">
      <c r="B49" s="135"/>
      <c r="C49" s="38"/>
      <c r="D49" s="38"/>
      <c r="E49" s="15"/>
      <c r="G49" s="262">
        <f>E36</f>
        <v>0</v>
      </c>
      <c r="H49" s="269" t="str">
        <f>CONCATENATE("",E1," Non-AV Receipts (est.)")</f>
        <v>2024 Non-AV Receipts (est.)</v>
      </c>
      <c r="I49" s="315"/>
      <c r="J49" s="261"/>
      <c r="K49" s="5"/>
    </row>
    <row r="50" spans="2:11">
      <c r="B50" s="135"/>
      <c r="C50" s="38"/>
      <c r="D50" s="38"/>
      <c r="E50" s="15"/>
      <c r="G50" s="264">
        <f>IF(E69&gt;0,E68,E70)</f>
        <v>0</v>
      </c>
      <c r="H50" s="269" t="str">
        <f>CONCATENATE("",E1," Ad Valorem Tax (est.)")</f>
        <v>2024 Ad Valorem Tax (est.)</v>
      </c>
      <c r="I50" s="269"/>
      <c r="J50" s="261"/>
      <c r="K50" s="314" t="str">
        <f>IF(G50=E70,"","Note: Does not include Delinquent Taxes")</f>
        <v/>
      </c>
    </row>
    <row r="51" spans="2:11">
      <c r="B51" s="135"/>
      <c r="C51" s="38"/>
      <c r="D51" s="38"/>
      <c r="E51" s="15"/>
      <c r="G51" s="262">
        <f>SUM(G48:G50)</f>
        <v>0</v>
      </c>
      <c r="H51" s="269" t="str">
        <f>CONCATENATE("Total ",E1," Resources Available")</f>
        <v>Total 2024 Resources Available</v>
      </c>
      <c r="I51" s="315"/>
      <c r="J51" s="261"/>
      <c r="K51" s="5"/>
    </row>
    <row r="52" spans="2:11">
      <c r="B52" s="135"/>
      <c r="C52" s="38"/>
      <c r="D52" s="38"/>
      <c r="E52" s="15"/>
      <c r="G52" s="265"/>
      <c r="H52" s="269"/>
      <c r="I52" s="269"/>
      <c r="J52" s="261"/>
      <c r="K52" s="5"/>
    </row>
    <row r="53" spans="2:11">
      <c r="B53" s="135"/>
      <c r="C53" s="38"/>
      <c r="D53" s="38"/>
      <c r="E53" s="15"/>
      <c r="G53" s="264">
        <f>ROUND(C63*0.05+C63,0)</f>
        <v>0</v>
      </c>
      <c r="H53" s="269" t="str">
        <f>CONCATENATE("Less ",E1-2," Expenditures + 5%")</f>
        <v>Less 2022 Expenditures + 5%</v>
      </c>
      <c r="I53" s="315"/>
      <c r="J53" s="261"/>
      <c r="K53" s="5"/>
    </row>
    <row r="54" spans="2:11">
      <c r="B54" s="135"/>
      <c r="C54" s="38"/>
      <c r="D54" s="38"/>
      <c r="E54" s="15"/>
      <c r="F54" s="5"/>
      <c r="G54" s="312">
        <f>G51-G53</f>
        <v>0</v>
      </c>
      <c r="H54" s="311" t="str">
        <f>CONCATENATE("Projected ",E1+1," Carryover (est.)")</f>
        <v>Projected 2025 Carryover (est.)</v>
      </c>
      <c r="I54" s="310"/>
      <c r="J54" s="267"/>
      <c r="K54" s="5"/>
    </row>
    <row r="55" spans="2:11">
      <c r="B55" s="135"/>
      <c r="C55" s="38"/>
      <c r="D55" s="38"/>
      <c r="E55" s="15"/>
      <c r="F55" s="5"/>
      <c r="G55" s="5"/>
      <c r="H55" s="5"/>
      <c r="I55" s="5"/>
      <c r="J55" s="5"/>
      <c r="K55" s="5"/>
    </row>
    <row r="56" spans="2:11">
      <c r="B56" s="135"/>
      <c r="C56" s="38"/>
      <c r="D56" s="38"/>
      <c r="E56" s="15"/>
      <c r="F56" s="5"/>
      <c r="G56" s="617" t="s">
        <v>305</v>
      </c>
      <c r="H56" s="618"/>
      <c r="I56" s="618"/>
      <c r="J56" s="619"/>
      <c r="K56" s="5"/>
    </row>
    <row r="57" spans="2:11">
      <c r="B57" s="135"/>
      <c r="C57" s="38"/>
      <c r="D57" s="38"/>
      <c r="E57" s="15"/>
      <c r="F57" s="5"/>
      <c r="G57" s="620"/>
      <c r="H57" s="621"/>
      <c r="I57" s="621"/>
      <c r="J57" s="622"/>
      <c r="K57" s="5"/>
    </row>
    <row r="58" spans="2:11">
      <c r="B58" s="135"/>
      <c r="C58" s="38"/>
      <c r="D58" s="38"/>
      <c r="E58" s="15"/>
      <c r="F58" s="5"/>
      <c r="G58" s="438" t="str">
        <f>'Budget Hearing Notice'!H23</f>
        <v xml:space="preserve"> </v>
      </c>
      <c r="H58" s="268" t="str">
        <f>CONCATENATE("",E1," Estimated Fund Mill Rate")</f>
        <v>2024 Estimated Fund Mill Rate</v>
      </c>
      <c r="I58" s="439"/>
      <c r="J58" s="309"/>
      <c r="K58" s="5"/>
    </row>
    <row r="59" spans="2:11">
      <c r="B59" s="135"/>
      <c r="C59" s="38"/>
      <c r="D59" s="38"/>
      <c r="E59" s="15"/>
      <c r="F59" s="5"/>
      <c r="G59" s="440" t="str">
        <f>'Budget Hearing Notice'!E23</f>
        <v xml:space="preserve">  </v>
      </c>
      <c r="H59" s="268" t="str">
        <f>CONCATENATE("",E1-1," Fund Mill Rate")</f>
        <v>2023 Fund Mill Rate</v>
      </c>
      <c r="I59" s="439"/>
      <c r="J59" s="309"/>
      <c r="K59" s="5"/>
    </row>
    <row r="60" spans="2:11">
      <c r="B60" s="70" t="str">
        <f>CONCATENATE("Cash Forward (",E1," column)")</f>
        <v>Cash Forward (2024 column)</v>
      </c>
      <c r="C60" s="38"/>
      <c r="D60" s="38"/>
      <c r="E60" s="15"/>
      <c r="F60" s="5"/>
      <c r="G60" s="441">
        <f>'Budget Hearing Notice'!H31</f>
        <v>0</v>
      </c>
      <c r="H60" s="442" t="s">
        <v>306</v>
      </c>
      <c r="I60" s="439"/>
      <c r="J60" s="309"/>
      <c r="K60" s="5"/>
    </row>
    <row r="61" spans="2:11">
      <c r="B61" s="70" t="s">
        <v>297</v>
      </c>
      <c r="C61" s="38"/>
      <c r="D61" s="38"/>
      <c r="E61" s="15"/>
      <c r="F61" s="5"/>
      <c r="G61" s="438">
        <f>'Budget Hearing Notice'!H30</f>
        <v>0</v>
      </c>
      <c r="H61" s="268" t="str">
        <f>CONCATENATE(E1," Estimated Total Mill Rate")</f>
        <v>2024 Estimated Total Mill Rate</v>
      </c>
      <c r="I61" s="439"/>
      <c r="J61" s="309"/>
      <c r="K61" s="5"/>
    </row>
    <row r="62" spans="2:11">
      <c r="B62" s="70" t="s">
        <v>307</v>
      </c>
      <c r="C62" s="211" t="str">
        <f>IF(C63*0.1&lt;C61,"Exceed 10% Rule","")</f>
        <v/>
      </c>
      <c r="D62" s="211" t="str">
        <f>IF(D63*0.1&lt;D61,"Exceed 10% Rule","")</f>
        <v/>
      </c>
      <c r="E62" s="232" t="str">
        <f>IF(E63*0.1&lt;E61,"Exceed 10% Rule","")</f>
        <v/>
      </c>
      <c r="F62" s="5"/>
      <c r="G62" s="443">
        <f>'Budget Hearing Notice'!E30</f>
        <v>0</v>
      </c>
      <c r="H62" s="268" t="str">
        <f>CONCATENATE(E1-1," Total Mill Rate")</f>
        <v>2023 Total Mill Rate</v>
      </c>
      <c r="I62" s="439"/>
      <c r="J62" s="309"/>
    </row>
    <row r="63" spans="2:11">
      <c r="B63" s="140" t="s">
        <v>308</v>
      </c>
      <c r="C63" s="151">
        <f>SUM(C39:C61)</f>
        <v>0</v>
      </c>
      <c r="D63" s="151">
        <f>SUM(D39:D61)</f>
        <v>0</v>
      </c>
      <c r="E63" s="151">
        <f>SUM(E39:E61)</f>
        <v>0</v>
      </c>
      <c r="F63" s="5"/>
      <c r="G63" s="259"/>
      <c r="H63" s="260"/>
      <c r="I63" s="260"/>
      <c r="J63" s="261"/>
    </row>
    <row r="64" spans="2:11">
      <c r="B64" s="476" t="s">
        <v>309</v>
      </c>
      <c r="C64" s="69">
        <f>C37-C63</f>
        <v>0</v>
      </c>
      <c r="D64" s="69">
        <f>D37-D63</f>
        <v>0</v>
      </c>
      <c r="E64" s="78" t="s">
        <v>184</v>
      </c>
      <c r="F64" s="5"/>
      <c r="G64" s="623" t="s">
        <v>310</v>
      </c>
      <c r="H64" s="624"/>
      <c r="I64" s="624"/>
      <c r="J64" s="627" t="str">
        <f>IF(G61&gt;G60, "Yes", "No")</f>
        <v>No</v>
      </c>
    </row>
    <row r="65" spans="2:10">
      <c r="B65" s="6" t="str">
        <f>CONCATENATE("",E1-2,"/",E1-1,"/",E1," Budget Authority Amount:")</f>
        <v>2022/2023/2024 Budget Authority Amount:</v>
      </c>
      <c r="C65" s="144">
        <f>inputOth!B109</f>
        <v>0</v>
      </c>
      <c r="D65" s="144">
        <f>inputPrYr!D35</f>
        <v>0</v>
      </c>
      <c r="E65" s="69">
        <f>E63</f>
        <v>0</v>
      </c>
      <c r="F65" s="149"/>
      <c r="G65" s="625"/>
      <c r="H65" s="626"/>
      <c r="I65" s="626"/>
      <c r="J65" s="628"/>
    </row>
    <row r="66" spans="2:10">
      <c r="B66" s="484"/>
      <c r="C66" s="608" t="s">
        <v>311</v>
      </c>
      <c r="D66" s="609"/>
      <c r="E66" s="115"/>
      <c r="F66" s="313" t="str">
        <f>IF(E63/0.95-E63&lt;E66,"Exceeds 5%","")</f>
        <v/>
      </c>
      <c r="G66" s="629" t="str">
        <f>IF(J64="Yes", "Follow procedure prescribed by KSA 79-2988 to exceed the Revenue Neutral Rate.", " ")</f>
        <v xml:space="preserve"> </v>
      </c>
      <c r="H66" s="629"/>
      <c r="I66" s="629"/>
      <c r="J66" s="629"/>
    </row>
    <row r="67" spans="2:10">
      <c r="B67" s="230" t="str">
        <f>CONCATENATE(C82,"     ",D82)</f>
        <v xml:space="preserve">     </v>
      </c>
      <c r="C67" s="610" t="s">
        <v>312</v>
      </c>
      <c r="D67" s="611"/>
      <c r="E67" s="69">
        <f>E63+E66</f>
        <v>0</v>
      </c>
      <c r="F67" s="5"/>
      <c r="G67" s="630"/>
      <c r="H67" s="630"/>
      <c r="I67" s="630"/>
      <c r="J67" s="630"/>
    </row>
    <row r="68" spans="2:10">
      <c r="B68" s="230" t="str">
        <f>CONCATENATE(C83,"     ",D83)</f>
        <v xml:space="preserve">     </v>
      </c>
      <c r="C68" s="233"/>
      <c r="D68" s="234" t="s">
        <v>313</v>
      </c>
      <c r="E68" s="144">
        <f>IF(E67-E37&gt;0,E67-E37,0)</f>
        <v>0</v>
      </c>
      <c r="F68" s="5"/>
      <c r="G68" s="630"/>
      <c r="H68" s="630"/>
      <c r="I68" s="630"/>
      <c r="J68" s="630"/>
    </row>
    <row r="69" spans="2:10">
      <c r="B69" s="84"/>
      <c r="C69" s="481" t="s">
        <v>314</v>
      </c>
      <c r="D69" s="292">
        <f>inputOth!$D$103</f>
        <v>0</v>
      </c>
      <c r="E69" s="69">
        <f>ROUND(IF(D69&gt;0,(E68*D69),0),0)</f>
        <v>0</v>
      </c>
      <c r="F69" s="5"/>
    </row>
    <row r="70" spans="2:10" ht="16.5" thickBot="1">
      <c r="B70" s="7"/>
      <c r="C70" s="612" t="str">
        <f>CONCATENATE("Amount of  ",$E$1-1," Ad Valorem Tax")</f>
        <v>Amount of  2023 Ad Valorem Tax</v>
      </c>
      <c r="D70" s="613"/>
      <c r="E70" s="437">
        <f>E68+E69</f>
        <v>0</v>
      </c>
      <c r="F70" s="5"/>
    </row>
    <row r="71" spans="2:10" ht="16.5" thickTop="1">
      <c r="B71" s="7"/>
      <c r="C71" s="7"/>
      <c r="D71" s="7"/>
      <c r="E71" s="7"/>
      <c r="F71" s="5"/>
    </row>
    <row r="72" spans="2:10">
      <c r="B72" s="372" t="s">
        <v>201</v>
      </c>
      <c r="C72" s="381"/>
      <c r="D72" s="381"/>
      <c r="E72" s="382"/>
      <c r="F72" s="5"/>
    </row>
    <row r="73" spans="2:10">
      <c r="B73" s="383"/>
      <c r="C73" s="384"/>
      <c r="D73" s="384"/>
      <c r="E73" s="385"/>
      <c r="F73" s="5"/>
    </row>
    <row r="74" spans="2:10">
      <c r="B74" s="386"/>
      <c r="C74" s="387"/>
      <c r="D74" s="387"/>
      <c r="E74" s="388"/>
      <c r="F74" s="466"/>
    </row>
    <row r="75" spans="2:10">
      <c r="B75" s="7"/>
      <c r="C75" s="131"/>
      <c r="D75" s="131"/>
      <c r="E75" s="131"/>
      <c r="F75" s="5"/>
    </row>
    <row r="76" spans="2:10">
      <c r="B76" s="484"/>
      <c r="C76" s="475" t="s">
        <v>315</v>
      </c>
      <c r="D76" s="7"/>
      <c r="E76" s="7"/>
      <c r="F76" s="5"/>
    </row>
    <row r="78" spans="2:10">
      <c r="B78" s="466"/>
    </row>
    <row r="82" spans="3:4" hidden="1">
      <c r="C82" s="2" t="str">
        <f>IF(C63&gt;C65,"See Tab A","")</f>
        <v/>
      </c>
      <c r="D82" s="2" t="str">
        <f>IF(D63&gt;D65,"See Tab C","")</f>
        <v/>
      </c>
    </row>
    <row r="83" spans="3:4" hidden="1">
      <c r="C83" s="2" t="str">
        <f>IF(C64&lt;0,"See Tab B","")</f>
        <v/>
      </c>
      <c r="D83" s="2" t="str">
        <f>IF(D64&lt;0,"See Tab D","")</f>
        <v/>
      </c>
    </row>
  </sheetData>
  <sheetProtection sheet="1" objects="1" scenarios="1"/>
  <mergeCells count="9">
    <mergeCell ref="C66:D66"/>
    <mergeCell ref="C67:D67"/>
    <mergeCell ref="C70:D70"/>
    <mergeCell ref="G39:J39"/>
    <mergeCell ref="G46:J46"/>
    <mergeCell ref="G56:J57"/>
    <mergeCell ref="G64:I65"/>
    <mergeCell ref="J64:J65"/>
    <mergeCell ref="G66:J68"/>
  </mergeCells>
  <phoneticPr fontId="0" type="noConversion"/>
  <conditionalFormatting sqref="C61">
    <cfRule type="cellIs" dxfId="71" priority="8" stopIfTrue="1" operator="greaterThan">
      <formula>$C$63*0.1</formula>
    </cfRule>
  </conditionalFormatting>
  <conditionalFormatting sqref="D61">
    <cfRule type="cellIs" dxfId="70" priority="9" stopIfTrue="1" operator="greaterThan">
      <formula>$D$63*0.1</formula>
    </cfRule>
  </conditionalFormatting>
  <conditionalFormatting sqref="E61">
    <cfRule type="cellIs" dxfId="69" priority="10" stopIfTrue="1" operator="greaterThan">
      <formula>$E$63*0.1</formula>
    </cfRule>
  </conditionalFormatting>
  <conditionalFormatting sqref="E66">
    <cfRule type="cellIs" dxfId="68" priority="11" stopIfTrue="1" operator="greaterThan">
      <formula>$E$63/0.95-$E$63</formula>
    </cfRule>
  </conditionalFormatting>
  <conditionalFormatting sqref="C34">
    <cfRule type="cellIs" dxfId="67" priority="12" stopIfTrue="1" operator="greaterThan">
      <formula>$C$36*0.1</formula>
    </cfRule>
  </conditionalFormatting>
  <conditionalFormatting sqref="D34">
    <cfRule type="cellIs" dxfId="66" priority="13" stopIfTrue="1" operator="greaterThan">
      <formula>$D$36*0.1</formula>
    </cfRule>
  </conditionalFormatting>
  <conditionalFormatting sqref="E34">
    <cfRule type="cellIs" dxfId="65" priority="95" stopIfTrue="1" operator="greaterThan">
      <formula>$E$36*0.1+$E$70</formula>
    </cfRule>
  </conditionalFormatting>
  <conditionalFormatting sqref="J64">
    <cfRule type="containsText" dxfId="64" priority="5" operator="containsText" text="Yes">
      <formula>NOT(ISERROR(SEARCH("Yes",J64)))</formula>
    </cfRule>
  </conditionalFormatting>
  <conditionalFormatting sqref="C63">
    <cfRule type="expression" dxfId="63" priority="4">
      <formula>$C$63&gt;$C$65</formula>
    </cfRule>
  </conditionalFormatting>
  <conditionalFormatting sqref="C64">
    <cfRule type="expression" dxfId="62" priority="3">
      <formula>$C$64&lt;0</formula>
    </cfRule>
  </conditionalFormatting>
  <conditionalFormatting sqref="D63">
    <cfRule type="expression" dxfId="61" priority="2">
      <formula>$D$63&gt;$D$65</formula>
    </cfRule>
  </conditionalFormatting>
  <conditionalFormatting sqref="D64">
    <cfRule type="expression" dxfId="60" priority="1">
      <formula>$D$64&lt;0</formula>
    </cfRule>
  </conditionalFormatting>
  <pageMargins left="1" right="1" top="0.5" bottom="0.5" header="0.5" footer="0.5"/>
  <pageSetup scale="67" orientation="portrait" blackAndWhite="1" horizontalDpi="120" verticalDpi="144" r:id="rId1"/>
  <headerFooter alignWithMargins="0">
    <oddHeader xml:space="preserve">&amp;RState of Kansas
Special District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1:K71"/>
  <sheetViews>
    <sheetView workbookViewId="0">
      <selection activeCell="E39" sqref="E39"/>
    </sheetView>
  </sheetViews>
  <sheetFormatPr defaultRowHeight="15.75"/>
  <cols>
    <col min="1" max="1" width="2.44140625" style="5" customWidth="1"/>
    <col min="2" max="2" width="31.109375" style="5" customWidth="1"/>
    <col min="3" max="5" width="15.77734375" style="5" customWidth="1"/>
    <col min="6" max="6" width="7.44140625" style="2" customWidth="1"/>
    <col min="7" max="7" width="10.21875" style="2" customWidth="1"/>
    <col min="8" max="8" width="8.88671875" style="2"/>
    <col min="9" max="9" width="5.88671875" style="2" customWidth="1"/>
    <col min="10" max="10" width="10" style="2" customWidth="1"/>
    <col min="11" max="16384" width="8.88671875" style="5"/>
  </cols>
  <sheetData>
    <row r="1" spans="2:6">
      <c r="B1" s="85">
        <f>inputPrYr!D3</f>
        <v>0</v>
      </c>
      <c r="C1" s="7"/>
      <c r="D1" s="7"/>
      <c r="E1" s="484">
        <f>inputPrYr!D22</f>
        <v>2024</v>
      </c>
    </row>
    <row r="2" spans="2:6">
      <c r="B2" s="7"/>
      <c r="C2" s="7"/>
      <c r="D2" s="7"/>
      <c r="E2" s="84"/>
    </row>
    <row r="3" spans="2:6">
      <c r="B3" s="10" t="s">
        <v>281</v>
      </c>
      <c r="C3" s="131"/>
      <c r="D3" s="131"/>
      <c r="E3" s="484"/>
      <c r="F3" s="301"/>
    </row>
    <row r="4" spans="2:6">
      <c r="B4" s="22" t="s">
        <v>282</v>
      </c>
      <c r="C4" s="209" t="s">
        <v>283</v>
      </c>
      <c r="D4" s="212" t="s">
        <v>284</v>
      </c>
      <c r="E4" s="470" t="s">
        <v>285</v>
      </c>
    </row>
    <row r="5" spans="2:6">
      <c r="B5" s="275" t="s">
        <v>110</v>
      </c>
      <c r="C5" s="210" t="str">
        <f>CONCATENATE("Actual for ",E1-2,"")</f>
        <v>Actual for 2022</v>
      </c>
      <c r="D5" s="210" t="str">
        <f>CONCATENATE("Estimate for ",E1-1,"")</f>
        <v>Estimate for 2023</v>
      </c>
      <c r="E5" s="91" t="str">
        <f>CONCATENATE("Year for ",E1,"")</f>
        <v>Year for 2024</v>
      </c>
    </row>
    <row r="6" spans="2:6">
      <c r="B6" s="471" t="s">
        <v>286</v>
      </c>
      <c r="C6" s="214"/>
      <c r="D6" s="215">
        <f>C51</f>
        <v>0</v>
      </c>
      <c r="E6" s="141">
        <f>D51</f>
        <v>0</v>
      </c>
    </row>
    <row r="7" spans="2:6">
      <c r="B7" s="35" t="s">
        <v>287</v>
      </c>
      <c r="C7" s="216"/>
      <c r="D7" s="215"/>
      <c r="E7" s="141"/>
    </row>
    <row r="8" spans="2:6">
      <c r="B8" s="471" t="s">
        <v>288</v>
      </c>
      <c r="C8" s="214"/>
      <c r="D8" s="216">
        <f>IF(inputPrYr!H34&gt;0,inputPrYr!G36,inputPrYr!E36)</f>
        <v>0</v>
      </c>
      <c r="E8" s="142" t="s">
        <v>184</v>
      </c>
    </row>
    <row r="9" spans="2:6">
      <c r="B9" s="471" t="s">
        <v>289</v>
      </c>
      <c r="C9" s="214"/>
      <c r="D9" s="214"/>
      <c r="E9" s="143"/>
    </row>
    <row r="10" spans="2:6">
      <c r="B10" s="471" t="s">
        <v>290</v>
      </c>
      <c r="C10" s="214"/>
      <c r="D10" s="214"/>
      <c r="E10" s="144">
        <f>Mvalloc!D10</f>
        <v>0</v>
      </c>
    </row>
    <row r="11" spans="2:6">
      <c r="B11" s="471" t="s">
        <v>291</v>
      </c>
      <c r="C11" s="214"/>
      <c r="D11" s="214"/>
      <c r="E11" s="144">
        <f>Mvalloc!E10</f>
        <v>0</v>
      </c>
    </row>
    <row r="12" spans="2:6">
      <c r="B12" s="476" t="s">
        <v>292</v>
      </c>
      <c r="C12" s="214"/>
      <c r="D12" s="214"/>
      <c r="E12" s="144">
        <f>Mvalloc!F10</f>
        <v>0</v>
      </c>
    </row>
    <row r="13" spans="2:6">
      <c r="B13" s="476" t="s">
        <v>293</v>
      </c>
      <c r="C13" s="214"/>
      <c r="D13" s="214"/>
      <c r="E13" s="144">
        <f>Mvalloc!G10</f>
        <v>0</v>
      </c>
    </row>
    <row r="14" spans="2:6">
      <c r="B14" s="476" t="s">
        <v>294</v>
      </c>
      <c r="C14" s="214"/>
      <c r="D14" s="214"/>
      <c r="E14" s="144">
        <f>Mvalloc!H10</f>
        <v>0</v>
      </c>
    </row>
    <row r="15" spans="2:6">
      <c r="B15" s="235"/>
      <c r="C15" s="214"/>
      <c r="D15" s="214"/>
      <c r="E15" s="143"/>
    </row>
    <row r="16" spans="2:6">
      <c r="B16" s="235"/>
      <c r="C16" s="214"/>
      <c r="D16" s="214"/>
      <c r="E16" s="236"/>
    </row>
    <row r="17" spans="2:10">
      <c r="B17" s="235"/>
      <c r="C17" s="214"/>
      <c r="D17" s="214"/>
      <c r="E17" s="236"/>
    </row>
    <row r="18" spans="2:10">
      <c r="B18" s="145"/>
      <c r="C18" s="214"/>
      <c r="D18" s="214"/>
      <c r="E18" s="143"/>
    </row>
    <row r="19" spans="2:10">
      <c r="B19" s="145"/>
      <c r="C19" s="214"/>
      <c r="D19" s="214"/>
      <c r="E19" s="146"/>
    </row>
    <row r="20" spans="2:10">
      <c r="B20" s="145"/>
      <c r="C20" s="214"/>
      <c r="D20" s="214"/>
      <c r="E20" s="143"/>
    </row>
    <row r="21" spans="2:10">
      <c r="B21" s="145"/>
      <c r="C21" s="214"/>
      <c r="D21" s="214"/>
      <c r="E21" s="143"/>
    </row>
    <row r="22" spans="2:10">
      <c r="B22" s="145"/>
      <c r="C22" s="214"/>
      <c r="D22" s="214"/>
      <c r="E22" s="143"/>
    </row>
    <row r="23" spans="2:10">
      <c r="B23" s="145"/>
      <c r="C23" s="214"/>
      <c r="D23" s="214"/>
      <c r="E23" s="143"/>
    </row>
    <row r="24" spans="2:10">
      <c r="B24" s="145"/>
      <c r="C24" s="214"/>
      <c r="D24" s="214"/>
      <c r="E24" s="143"/>
    </row>
    <row r="25" spans="2:10">
      <c r="B25" s="145"/>
      <c r="C25" s="214"/>
      <c r="D25" s="214"/>
      <c r="E25" s="143"/>
    </row>
    <row r="26" spans="2:10">
      <c r="B26" s="145"/>
      <c r="C26" s="214"/>
      <c r="D26" s="214"/>
      <c r="E26" s="143"/>
    </row>
    <row r="27" spans="2:10">
      <c r="B27" s="145"/>
      <c r="C27" s="214"/>
      <c r="D27" s="214"/>
      <c r="E27" s="143"/>
    </row>
    <row r="28" spans="2:10">
      <c r="B28" s="147" t="s">
        <v>296</v>
      </c>
      <c r="C28" s="214"/>
      <c r="D28" s="214"/>
      <c r="E28" s="143"/>
      <c r="G28" s="614" t="str">
        <f>CONCATENATE("Desired Carryover Into ",E1+1,"")</f>
        <v>Desired Carryover Into 2025</v>
      </c>
      <c r="H28" s="615"/>
      <c r="I28" s="615"/>
      <c r="J28" s="616"/>
    </row>
    <row r="29" spans="2:10">
      <c r="B29" s="70" t="s">
        <v>189</v>
      </c>
      <c r="C29" s="214"/>
      <c r="D29" s="214"/>
      <c r="E29" s="144">
        <f>'NR Rebate'!E8*-1</f>
        <v>0</v>
      </c>
      <c r="G29" s="271"/>
      <c r="H29" s="7"/>
      <c r="I29" s="269"/>
      <c r="J29" s="272"/>
    </row>
    <row r="30" spans="2:10">
      <c r="B30" s="137" t="s">
        <v>297</v>
      </c>
      <c r="C30" s="214"/>
      <c r="D30" s="214"/>
      <c r="E30" s="143"/>
      <c r="G30" s="273" t="s">
        <v>302</v>
      </c>
      <c r="H30" s="269"/>
      <c r="I30" s="269"/>
      <c r="J30" s="274">
        <v>0</v>
      </c>
    </row>
    <row r="31" spans="2:10">
      <c r="B31" s="137" t="s">
        <v>298</v>
      </c>
      <c r="C31" s="211" t="str">
        <f>IF(C32*0.1&lt;C30,"Exceed 10% Rule","")</f>
        <v/>
      </c>
      <c r="D31" s="211" t="str">
        <f>IF(D32*0.1&lt;D30,"Exceed 10% Rule","")</f>
        <v/>
      </c>
      <c r="E31" s="232" t="str">
        <f>IF(E32*0.1+E57&lt;E30,"Exceed 10% Rule","")</f>
        <v/>
      </c>
      <c r="G31" s="271" t="s">
        <v>303</v>
      </c>
      <c r="H31" s="7"/>
      <c r="I31" s="7"/>
      <c r="J31" s="308" t="str">
        <f>IF(J30=0,"",ROUND((J30+E57-G43)/inputOth!B25*1000,3)-G48)</f>
        <v/>
      </c>
    </row>
    <row r="32" spans="2:10">
      <c r="B32" s="140" t="s">
        <v>299</v>
      </c>
      <c r="C32" s="444">
        <f>SUM(C8:C30)</f>
        <v>0</v>
      </c>
      <c r="D32" s="444">
        <f>SUM(D8:D30)</f>
        <v>0</v>
      </c>
      <c r="E32" s="444">
        <f>SUM(E8:E30)</f>
        <v>0</v>
      </c>
      <c r="G32" s="319" t="str">
        <f>CONCATENATE("",E1," Tot Exp/Non-Appr Must Be:")</f>
        <v>2024 Tot Exp/Non-Appr Must Be:</v>
      </c>
      <c r="H32" s="294"/>
      <c r="I32" s="293"/>
      <c r="J32" s="318">
        <f>IF(J30&gt;0,IF(E54&lt;E33,IF(J30=G43,E54,((J30-G43)*(1-D56))+E33),E54+(J30-G43)),0)</f>
        <v>0</v>
      </c>
    </row>
    <row r="33" spans="2:11">
      <c r="B33" s="140" t="s">
        <v>300</v>
      </c>
      <c r="C33" s="444">
        <f>C6+C32</f>
        <v>0</v>
      </c>
      <c r="D33" s="444">
        <f>D6+D32</f>
        <v>0</v>
      </c>
      <c r="E33" s="444">
        <f>E6+E32</f>
        <v>0</v>
      </c>
      <c r="G33" s="324" t="s">
        <v>304</v>
      </c>
      <c r="H33" s="317"/>
      <c r="I33" s="317"/>
      <c r="J33" s="316">
        <f>IF(J30&gt;0,J32-E54,0)</f>
        <v>0</v>
      </c>
    </row>
    <row r="34" spans="2:11">
      <c r="B34" s="35" t="s">
        <v>301</v>
      </c>
      <c r="C34" s="216"/>
      <c r="D34" s="216"/>
      <c r="E34" s="144"/>
      <c r="G34" s="325"/>
      <c r="H34" s="325"/>
      <c r="I34" s="325"/>
      <c r="J34" s="325"/>
    </row>
    <row r="35" spans="2:11">
      <c r="B35" s="148"/>
      <c r="C35" s="214"/>
      <c r="D35" s="214"/>
      <c r="E35" s="143"/>
      <c r="G35" s="614" t="str">
        <f>CONCATENATE("Projected Carryover Into ",E1+1,"")</f>
        <v>Projected Carryover Into 2025</v>
      </c>
      <c r="H35" s="631"/>
      <c r="I35" s="631"/>
      <c r="J35" s="689"/>
    </row>
    <row r="36" spans="2:11">
      <c r="B36" s="148"/>
      <c r="C36" s="214"/>
      <c r="D36" s="214"/>
      <c r="E36" s="143"/>
      <c r="G36" s="271"/>
      <c r="H36" s="269"/>
      <c r="I36" s="269"/>
      <c r="J36" s="323"/>
    </row>
    <row r="37" spans="2:11">
      <c r="B37" s="148"/>
      <c r="C37" s="214"/>
      <c r="D37" s="214"/>
      <c r="E37" s="143"/>
      <c r="G37" s="262">
        <f>D51</f>
        <v>0</v>
      </c>
      <c r="H37" s="268" t="str">
        <f>CONCATENATE("",E1-1," Ending Cash Balance (est.)")</f>
        <v>2023 Ending Cash Balance (est.)</v>
      </c>
      <c r="I37" s="315"/>
      <c r="J37" s="323"/>
    </row>
    <row r="38" spans="2:11">
      <c r="B38" s="148"/>
      <c r="C38" s="214"/>
      <c r="D38" s="214"/>
      <c r="E38" s="143"/>
      <c r="G38" s="262">
        <f>E32</f>
        <v>0</v>
      </c>
      <c r="H38" s="269" t="str">
        <f>CONCATENATE("",E1," Non-AV Receipts (est.)")</f>
        <v>2024 Non-AV Receipts (est.)</v>
      </c>
      <c r="I38" s="315"/>
      <c r="J38" s="323"/>
    </row>
    <row r="39" spans="2:11">
      <c r="B39" s="148"/>
      <c r="C39" s="214"/>
      <c r="D39" s="214"/>
      <c r="E39" s="143"/>
      <c r="G39" s="264">
        <f>IF(E56&gt;0,E55,E57)</f>
        <v>0</v>
      </c>
      <c r="H39" s="269" t="str">
        <f>CONCATENATE("",E1," Ad Valorem Tax (est.)")</f>
        <v>2024 Ad Valorem Tax (est.)</v>
      </c>
      <c r="I39" s="269"/>
      <c r="J39" s="84"/>
      <c r="K39" s="370" t="str">
        <f>IF(G39=E57,"","Note: Does not include Delinquent Taxes")</f>
        <v/>
      </c>
    </row>
    <row r="40" spans="2:11">
      <c r="B40" s="148"/>
      <c r="C40" s="214"/>
      <c r="D40" s="214"/>
      <c r="E40" s="143"/>
      <c r="G40" s="262">
        <f>SUM(G37:G39)</f>
        <v>0</v>
      </c>
      <c r="H40" s="269" t="str">
        <f>CONCATENATE("Total ",E1," Resources Available")</f>
        <v>Total 2024 Resources Available</v>
      </c>
      <c r="I40" s="315"/>
      <c r="J40" s="323"/>
    </row>
    <row r="41" spans="2:11">
      <c r="B41" s="148"/>
      <c r="C41" s="214"/>
      <c r="D41" s="214"/>
      <c r="E41" s="143"/>
      <c r="G41" s="265"/>
      <c r="H41" s="269"/>
      <c r="I41" s="269"/>
      <c r="J41" s="323"/>
    </row>
    <row r="42" spans="2:11">
      <c r="B42" s="148"/>
      <c r="C42" s="214"/>
      <c r="D42" s="214"/>
      <c r="E42" s="143"/>
      <c r="G42" s="264">
        <f>C50</f>
        <v>0</v>
      </c>
      <c r="H42" s="269" t="str">
        <f>CONCATENATE("Less ",E1-2," Expenditures")</f>
        <v>Less 2022 Expenditures</v>
      </c>
      <c r="I42" s="269"/>
      <c r="J42" s="323"/>
    </row>
    <row r="43" spans="2:11">
      <c r="B43" s="148"/>
      <c r="C43" s="214"/>
      <c r="D43" s="214"/>
      <c r="E43" s="143"/>
      <c r="G43" s="266">
        <f>G40-G42</f>
        <v>0</v>
      </c>
      <c r="H43" s="270" t="str">
        <f>CONCATENATE("Projected ",E1+1," carryover (est.)")</f>
        <v>Projected 2025 carryover (est.)</v>
      </c>
      <c r="I43" s="310"/>
      <c r="J43" s="321"/>
    </row>
    <row r="44" spans="2:11">
      <c r="B44" s="148"/>
      <c r="C44" s="214"/>
      <c r="D44" s="214"/>
      <c r="E44" s="143"/>
      <c r="G44" s="325"/>
      <c r="H44" s="325"/>
      <c r="I44" s="325"/>
      <c r="J44" s="325"/>
    </row>
    <row r="45" spans="2:11">
      <c r="B45" s="148"/>
      <c r="C45" s="214"/>
      <c r="D45" s="214"/>
      <c r="E45" s="143"/>
      <c r="G45" s="617" t="s">
        <v>305</v>
      </c>
      <c r="H45" s="618"/>
      <c r="I45" s="618"/>
      <c r="J45" s="619"/>
    </row>
    <row r="46" spans="2:11">
      <c r="B46" s="148"/>
      <c r="C46" s="214"/>
      <c r="D46" s="214"/>
      <c r="E46" s="143"/>
      <c r="F46" s="325"/>
      <c r="G46" s="620"/>
      <c r="H46" s="621"/>
      <c r="I46" s="621"/>
      <c r="J46" s="622"/>
    </row>
    <row r="47" spans="2:11">
      <c r="B47" s="70" t="str">
        <f>CONCATENATE("Cash Basis Reserve (",E1," column)")</f>
        <v>Cash Basis Reserve (2024 column)</v>
      </c>
      <c r="C47" s="214"/>
      <c r="D47" s="214"/>
      <c r="E47" s="143"/>
      <c r="F47" s="325"/>
      <c r="G47" s="438" t="str">
        <f>'Budget Hearing Notice'!H24</f>
        <v xml:space="preserve"> </v>
      </c>
      <c r="H47" s="268" t="str">
        <f>CONCATENATE("",E1," Estimated Fund Mill Rate")</f>
        <v>2024 Estimated Fund Mill Rate</v>
      </c>
      <c r="I47" s="439"/>
      <c r="J47" s="309"/>
    </row>
    <row r="48" spans="2:11">
      <c r="B48" s="70" t="s">
        <v>297</v>
      </c>
      <c r="C48" s="214"/>
      <c r="D48" s="214"/>
      <c r="E48" s="143"/>
      <c r="F48" s="325"/>
      <c r="G48" s="440" t="str">
        <f>'Budget Hearing Notice'!E24</f>
        <v xml:space="preserve">  </v>
      </c>
      <c r="H48" s="268" t="str">
        <f>CONCATENATE("",E1-1," Fund Mill Rate")</f>
        <v>2023 Fund Mill Rate</v>
      </c>
      <c r="I48" s="439"/>
      <c r="J48" s="309"/>
    </row>
    <row r="49" spans="2:10">
      <c r="B49" s="70" t="s">
        <v>307</v>
      </c>
      <c r="C49" s="211" t="str">
        <f>IF(C50*0.1&lt;C48,"Exceed 10% Rule","")</f>
        <v/>
      </c>
      <c r="D49" s="211" t="str">
        <f>IF(D50*0.1&lt;D48,"Exceed 10% Rule","")</f>
        <v/>
      </c>
      <c r="E49" s="232" t="str">
        <f>IF(E50*0.1&lt;E48,"Exceed 10% Rule","")</f>
        <v/>
      </c>
      <c r="F49" s="325"/>
      <c r="G49" s="441">
        <f>'Budget Hearing Notice'!H31</f>
        <v>0</v>
      </c>
      <c r="H49" s="442" t="s">
        <v>306</v>
      </c>
      <c r="I49" s="439"/>
      <c r="J49" s="309"/>
    </row>
    <row r="50" spans="2:10">
      <c r="B50" s="140" t="s">
        <v>308</v>
      </c>
      <c r="C50" s="444">
        <f>SUM(C35:C48)</f>
        <v>0</v>
      </c>
      <c r="D50" s="444">
        <f>SUM(D35:D48)</f>
        <v>0</v>
      </c>
      <c r="E50" s="444">
        <f>SUM(E35:E48)</f>
        <v>0</v>
      </c>
      <c r="F50" s="325"/>
      <c r="G50" s="438">
        <f>'Budget Hearing Notice'!H30</f>
        <v>0</v>
      </c>
      <c r="H50" s="268" t="str">
        <f>CONCATENATE(E1," Estimated Total Mill Rate")</f>
        <v>2024 Estimated Total Mill Rate</v>
      </c>
      <c r="I50" s="439"/>
      <c r="J50" s="309"/>
    </row>
    <row r="51" spans="2:10">
      <c r="B51" s="471" t="s">
        <v>309</v>
      </c>
      <c r="C51" s="144">
        <f>C33-C50</f>
        <v>0</v>
      </c>
      <c r="D51" s="144">
        <f>D33-D50</f>
        <v>0</v>
      </c>
      <c r="E51" s="142" t="s">
        <v>184</v>
      </c>
      <c r="F51" s="325"/>
      <c r="G51" s="443">
        <f>'Budget Hearing Notice'!E30</f>
        <v>0</v>
      </c>
      <c r="H51" s="268" t="str">
        <f>CONCATENATE(E1-1," Total Mill Rate")</f>
        <v>2023 Total Mill Rate</v>
      </c>
      <c r="I51" s="439"/>
      <c r="J51" s="309"/>
    </row>
    <row r="52" spans="2:10">
      <c r="B52" s="6" t="str">
        <f>CONCATENATE("",E1-2,"/",E1-1,"/",E1," Budget Authority Amount:")</f>
        <v>2022/2023/2024 Budget Authority Amount:</v>
      </c>
      <c r="C52" s="144">
        <f>inputOth!B110</f>
        <v>0</v>
      </c>
      <c r="D52" s="144">
        <f>inputPrYr!D36</f>
        <v>0</v>
      </c>
      <c r="E52" s="69">
        <f>E50</f>
        <v>0</v>
      </c>
      <c r="F52" s="325"/>
      <c r="G52" s="259"/>
      <c r="H52" s="260"/>
      <c r="I52" s="260"/>
      <c r="J52" s="261"/>
    </row>
    <row r="53" spans="2:10">
      <c r="B53" s="484"/>
      <c r="C53" s="608" t="s">
        <v>311</v>
      </c>
      <c r="D53" s="609"/>
      <c r="E53" s="15"/>
      <c r="F53" s="325"/>
      <c r="G53" s="623" t="s">
        <v>310</v>
      </c>
      <c r="H53" s="624"/>
      <c r="I53" s="624"/>
      <c r="J53" s="627" t="str">
        <f>IF(G50&gt;G49, "Yes", "No")</f>
        <v>No</v>
      </c>
    </row>
    <row r="54" spans="2:10">
      <c r="B54" s="230" t="str">
        <f>CONCATENATE(C69,"     ",D69)</f>
        <v xml:space="preserve">     </v>
      </c>
      <c r="C54" s="610" t="s">
        <v>312</v>
      </c>
      <c r="D54" s="611"/>
      <c r="E54" s="69">
        <f>E50+E53</f>
        <v>0</v>
      </c>
      <c r="F54" s="325"/>
      <c r="G54" s="625"/>
      <c r="H54" s="626"/>
      <c r="I54" s="626"/>
      <c r="J54" s="628"/>
    </row>
    <row r="55" spans="2:10">
      <c r="B55" s="230" t="str">
        <f>CONCATENATE(C70,"     ",D70)</f>
        <v xml:space="preserve">     </v>
      </c>
      <c r="C55" s="233"/>
      <c r="D55" s="234" t="s">
        <v>313</v>
      </c>
      <c r="E55" s="144">
        <f>IF(E54-E33&gt;0,E54-E33,0)</f>
        <v>0</v>
      </c>
      <c r="F55" s="325"/>
      <c r="G55" s="629" t="str">
        <f>IF(J53="Yes", "Follow procedure prescribed by KSA 79-2988 to exceed the Revenue Neutral Rate.", " ")</f>
        <v xml:space="preserve"> </v>
      </c>
      <c r="H55" s="629"/>
      <c r="I55" s="629"/>
      <c r="J55" s="629"/>
    </row>
    <row r="56" spans="2:10">
      <c r="B56" s="84"/>
      <c r="C56" s="481" t="s">
        <v>314</v>
      </c>
      <c r="D56" s="292">
        <f>inputOth!$D$103</f>
        <v>0</v>
      </c>
      <c r="E56" s="69">
        <f>ROUND(IF(D56&gt;0,(E55*D56),0),0)</f>
        <v>0</v>
      </c>
      <c r="F56"/>
      <c r="G56" s="630"/>
      <c r="H56" s="630"/>
      <c r="I56" s="630"/>
      <c r="J56" s="630"/>
    </row>
    <row r="57" spans="2:10" ht="16.5" thickBot="1">
      <c r="B57" s="7"/>
      <c r="C57" s="612" t="str">
        <f>CONCATENATE("Amount of  ",$E$1-1," Ad Valorem Tax")</f>
        <v>Amount of  2023 Ad Valorem Tax</v>
      </c>
      <c r="D57" s="613"/>
      <c r="E57" s="437">
        <f>E55+E56</f>
        <v>0</v>
      </c>
      <c r="F57" s="149"/>
      <c r="G57" s="630"/>
      <c r="H57" s="630"/>
      <c r="I57" s="630"/>
      <c r="J57" s="630"/>
    </row>
    <row r="58" spans="2:10" ht="16.5" thickTop="1">
      <c r="B58" s="7"/>
      <c r="C58" s="7"/>
      <c r="D58" s="7"/>
      <c r="E58" s="7"/>
      <c r="F58" s="322" t="str">
        <f>IF(E50/0.95-E50&lt;E53,"Exceeds 5%","")</f>
        <v/>
      </c>
    </row>
    <row r="59" spans="2:10">
      <c r="B59" s="372" t="s">
        <v>201</v>
      </c>
      <c r="C59" s="381"/>
      <c r="D59" s="381"/>
      <c r="E59" s="382"/>
      <c r="F59"/>
    </row>
    <row r="60" spans="2:10">
      <c r="B60" s="383"/>
      <c r="C60" s="384"/>
      <c r="D60" s="384"/>
      <c r="E60" s="385"/>
      <c r="F60"/>
    </row>
    <row r="61" spans="2:10">
      <c r="B61" s="386"/>
      <c r="C61" s="387"/>
      <c r="D61" s="387"/>
      <c r="E61" s="388"/>
      <c r="F61"/>
    </row>
    <row r="62" spans="2:10">
      <c r="B62" s="7"/>
      <c r="C62" s="7"/>
      <c r="D62" s="7"/>
      <c r="E62" s="7"/>
      <c r="F62"/>
    </row>
    <row r="63" spans="2:10">
      <c r="B63" s="484" t="s">
        <v>316</v>
      </c>
      <c r="C63" s="348"/>
      <c r="D63" s="7"/>
      <c r="E63" s="7"/>
      <c r="F63"/>
    </row>
    <row r="64" spans="2:10">
      <c r="F64"/>
    </row>
    <row r="65" spans="3:6">
      <c r="F65"/>
    </row>
    <row r="66" spans="3:6">
      <c r="F66"/>
    </row>
    <row r="67" spans="3:6">
      <c r="F67"/>
    </row>
    <row r="68" spans="3:6">
      <c r="F68"/>
    </row>
    <row r="69" spans="3:6">
      <c r="C69" s="5" t="str">
        <f>IF(C50&gt;C52,"See Tab A","")</f>
        <v/>
      </c>
      <c r="D69" s="5" t="str">
        <f>IF(D50&gt;D52,"See Tab C","")</f>
        <v/>
      </c>
    </row>
    <row r="70" spans="3:6" ht="15.75" hidden="1" customHeight="1">
      <c r="C70" s="5" t="str">
        <f>IF(C51&lt;0,"See Tab B","")</f>
        <v/>
      </c>
      <c r="D70" s="5" t="str">
        <f>IF(D51&lt;0,"See Tab D","")</f>
        <v/>
      </c>
    </row>
    <row r="71" spans="3:6" ht="15.75" hidden="1" customHeight="1"/>
  </sheetData>
  <sheetProtection sheet="1" objects="1" scenarios="1"/>
  <mergeCells count="9">
    <mergeCell ref="G55:J57"/>
    <mergeCell ref="C53:D53"/>
    <mergeCell ref="C54:D54"/>
    <mergeCell ref="C57:D57"/>
    <mergeCell ref="G28:J28"/>
    <mergeCell ref="G35:J35"/>
    <mergeCell ref="G45:J46"/>
    <mergeCell ref="G53:I54"/>
    <mergeCell ref="J53:J54"/>
  </mergeCells>
  <phoneticPr fontId="10" type="noConversion"/>
  <conditionalFormatting sqref="C48">
    <cfRule type="cellIs" dxfId="59" priority="7" stopIfTrue="1" operator="greaterThan">
      <formula>$C$50*0.1</formula>
    </cfRule>
  </conditionalFormatting>
  <conditionalFormatting sqref="D48">
    <cfRule type="cellIs" dxfId="58" priority="8" stopIfTrue="1" operator="greaterThan">
      <formula>$D$50*0.1</formula>
    </cfRule>
  </conditionalFormatting>
  <conditionalFormatting sqref="E48">
    <cfRule type="cellIs" dxfId="57" priority="9" stopIfTrue="1" operator="greaterThan">
      <formula>$E$50*0.1</formula>
    </cfRule>
  </conditionalFormatting>
  <conditionalFormatting sqref="E53">
    <cfRule type="cellIs" dxfId="56" priority="10" stopIfTrue="1" operator="greaterThan">
      <formula>$E$50/0.95-$E$50</formula>
    </cfRule>
  </conditionalFormatting>
  <conditionalFormatting sqref="C30">
    <cfRule type="cellIs" dxfId="55" priority="11" stopIfTrue="1" operator="greaterThan">
      <formula>$C$32*0.1</formula>
    </cfRule>
  </conditionalFormatting>
  <conditionalFormatting sqref="D30">
    <cfRule type="cellIs" dxfId="54" priority="12" stopIfTrue="1" operator="greaterThan">
      <formula>$D$32*0.1</formula>
    </cfRule>
  </conditionalFormatting>
  <conditionalFormatting sqref="E30">
    <cfRule type="cellIs" dxfId="53" priority="99" stopIfTrue="1" operator="greaterThan">
      <formula>$E$32*0.1+$E$57</formula>
    </cfRule>
  </conditionalFormatting>
  <conditionalFormatting sqref="J53">
    <cfRule type="containsText" dxfId="52" priority="5" operator="containsText" text="Yes">
      <formula>NOT(ISERROR(SEARCH("Yes",J53)))</formula>
    </cfRule>
  </conditionalFormatting>
  <conditionalFormatting sqref="C50">
    <cfRule type="expression" dxfId="51" priority="4">
      <formula>$C$50&gt;$C$52</formula>
    </cfRule>
  </conditionalFormatting>
  <conditionalFormatting sqref="C51">
    <cfRule type="expression" dxfId="50" priority="3">
      <formula>$C$51&lt;0</formula>
    </cfRule>
  </conditionalFormatting>
  <conditionalFormatting sqref="D50">
    <cfRule type="expression" dxfId="49" priority="2">
      <formula>$D$50&gt;$D$52</formula>
    </cfRule>
  </conditionalFormatting>
  <conditionalFormatting sqref="D51">
    <cfRule type="expression" dxfId="48" priority="1">
      <formula>$D$51&lt;0</formula>
    </cfRule>
  </conditionalFormatting>
  <pageMargins left="0.75" right="0.75" top="1" bottom="1" header="0.5" footer="0.5"/>
  <pageSetup scale="72" orientation="portrait" blackAndWhite="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B1:K95"/>
  <sheetViews>
    <sheetView zoomScaleNormal="100" workbookViewId="0">
      <selection activeCell="E29" sqref="E29"/>
    </sheetView>
  </sheetViews>
  <sheetFormatPr defaultRowHeight="15.75"/>
  <cols>
    <col min="1" max="1" width="2.44140625" style="2" customWidth="1"/>
    <col min="2" max="2" width="31.109375" style="2" customWidth="1"/>
    <col min="3" max="5" width="15.77734375" style="2" customWidth="1"/>
    <col min="6" max="6" width="7.44140625" style="2" customWidth="1"/>
    <col min="7" max="7" width="10.21875" style="2" customWidth="1"/>
    <col min="8" max="8" width="8.88671875" style="2"/>
    <col min="9" max="9" width="5.88671875" style="2" customWidth="1"/>
    <col min="10" max="10" width="10" style="2" customWidth="1"/>
    <col min="11" max="16384" width="8.88671875" style="2"/>
  </cols>
  <sheetData>
    <row r="1" spans="2:11">
      <c r="B1" s="7">
        <f>inputPrYr!D3</f>
        <v>0</v>
      </c>
      <c r="C1" s="7"/>
      <c r="D1" s="7"/>
      <c r="E1" s="484">
        <f>inputPrYr!D22</f>
        <v>2024</v>
      </c>
    </row>
    <row r="2" spans="2:11">
      <c r="B2" s="7">
        <f>inputPrYr!D4</f>
        <v>0</v>
      </c>
      <c r="C2" s="7"/>
      <c r="D2" s="7"/>
      <c r="E2" s="484"/>
    </row>
    <row r="3" spans="2:11">
      <c r="B3" s="10" t="s">
        <v>281</v>
      </c>
      <c r="C3" s="131"/>
      <c r="D3" s="131"/>
      <c r="E3" s="132"/>
      <c r="F3" s="301"/>
    </row>
    <row r="4" spans="2:11">
      <c r="B4" s="6" t="s">
        <v>282</v>
      </c>
      <c r="C4" s="209" t="s">
        <v>283</v>
      </c>
      <c r="D4" s="212" t="s">
        <v>284</v>
      </c>
      <c r="E4" s="470" t="s">
        <v>285</v>
      </c>
    </row>
    <row r="5" spans="2:11">
      <c r="B5" s="10">
        <f>inputPrYr!B38</f>
        <v>0</v>
      </c>
      <c r="C5" s="210" t="str">
        <f>CONCATENATE("Actual for ",E1-2,"")</f>
        <v>Actual for 2022</v>
      </c>
      <c r="D5" s="210" t="str">
        <f>CONCATENATE("Estimate for ",E1-1,"")</f>
        <v>Estimate for 2023</v>
      </c>
      <c r="E5" s="91" t="str">
        <f>CONCATENATE("Year for ",E1,"")</f>
        <v>Year for 2024</v>
      </c>
    </row>
    <row r="6" spans="2:11">
      <c r="B6" s="476" t="s">
        <v>286</v>
      </c>
      <c r="C6" s="38"/>
      <c r="D6" s="213">
        <f>C34</f>
        <v>0</v>
      </c>
      <c r="E6" s="69">
        <f>D34</f>
        <v>0</v>
      </c>
    </row>
    <row r="7" spans="2:11">
      <c r="B7" s="81" t="s">
        <v>287</v>
      </c>
      <c r="C7" s="133"/>
      <c r="D7" s="133"/>
      <c r="E7" s="73"/>
    </row>
    <row r="8" spans="2:11">
      <c r="B8" s="476" t="s">
        <v>288</v>
      </c>
      <c r="C8" s="38"/>
      <c r="D8" s="213">
        <f>IF(inputPrYr!H34&gt;0,inputPrYr!G38,inputPrYr!E38)</f>
        <v>0</v>
      </c>
      <c r="E8" s="78" t="s">
        <v>184</v>
      </c>
    </row>
    <row r="9" spans="2:11">
      <c r="B9" s="476" t="s">
        <v>289</v>
      </c>
      <c r="C9" s="38"/>
      <c r="D9" s="38"/>
      <c r="E9" s="115"/>
    </row>
    <row r="10" spans="2:11">
      <c r="B10" s="476" t="s">
        <v>290</v>
      </c>
      <c r="C10" s="38"/>
      <c r="D10" s="38"/>
      <c r="E10" s="69">
        <f>Mvalloc!D11</f>
        <v>0</v>
      </c>
    </row>
    <row r="11" spans="2:11">
      <c r="B11" s="476" t="s">
        <v>291</v>
      </c>
      <c r="C11" s="38"/>
      <c r="D11" s="38"/>
      <c r="E11" s="69">
        <f>Mvalloc!E11</f>
        <v>0</v>
      </c>
      <c r="G11" s="614" t="str">
        <f>CONCATENATE("Desired Carryover Into ",E1+1,"")</f>
        <v>Desired Carryover Into 2025</v>
      </c>
      <c r="H11" s="615"/>
      <c r="I11" s="615"/>
      <c r="J11" s="616"/>
      <c r="K11" s="5"/>
    </row>
    <row r="12" spans="2:11">
      <c r="B12" s="133" t="s">
        <v>292</v>
      </c>
      <c r="C12" s="38"/>
      <c r="D12" s="38"/>
      <c r="E12" s="69">
        <f>Mvalloc!F11</f>
        <v>0</v>
      </c>
      <c r="G12" s="271"/>
      <c r="H12" s="260"/>
      <c r="I12" s="269"/>
      <c r="J12" s="272"/>
      <c r="K12" s="5"/>
    </row>
    <row r="13" spans="2:11">
      <c r="B13" s="476" t="s">
        <v>293</v>
      </c>
      <c r="C13" s="38"/>
      <c r="D13" s="38"/>
      <c r="E13" s="69">
        <f>Mvalloc!G11</f>
        <v>0</v>
      </c>
      <c r="G13" s="273" t="s">
        <v>302</v>
      </c>
      <c r="H13" s="269"/>
      <c r="I13" s="269"/>
      <c r="J13" s="274">
        <v>0</v>
      </c>
      <c r="K13" s="5"/>
    </row>
    <row r="14" spans="2:11">
      <c r="B14" s="476" t="s">
        <v>294</v>
      </c>
      <c r="C14" s="38"/>
      <c r="D14" s="38"/>
      <c r="E14" s="69">
        <f>Mvalloc!H11</f>
        <v>0</v>
      </c>
      <c r="G14" s="271" t="s">
        <v>303</v>
      </c>
      <c r="H14" s="260"/>
      <c r="I14" s="260"/>
      <c r="J14" s="308" t="str">
        <f>IF(J13=0,"",ROUND((J13+E39-G26)/inputOth!B25*1000,3)-G31)</f>
        <v/>
      </c>
      <c r="K14" s="5"/>
    </row>
    <row r="15" spans="2:11">
      <c r="B15" s="135"/>
      <c r="C15" s="38"/>
      <c r="D15" s="38"/>
      <c r="E15" s="115"/>
      <c r="G15" s="319" t="str">
        <f>CONCATENATE("",E1," Tot Exp/Non-Appr Must Be:")</f>
        <v>2024 Tot Exp/Non-Appr Must Be:</v>
      </c>
      <c r="H15" s="294"/>
      <c r="I15" s="293"/>
      <c r="J15" s="318">
        <f>IF(J13&gt;0,IF(E37&lt;E24,IF(J13=G26,E38,((J13-G26)*(1-D39))+E24),E37+(J13-G26)),0)</f>
        <v>0</v>
      </c>
      <c r="K15" s="5"/>
    </row>
    <row r="16" spans="2:11">
      <c r="B16" s="135"/>
      <c r="C16" s="38"/>
      <c r="D16" s="38"/>
      <c r="E16" s="115"/>
      <c r="G16" s="324" t="s">
        <v>304</v>
      </c>
      <c r="H16" s="317"/>
      <c r="I16" s="317"/>
      <c r="J16" s="316">
        <f>IF(J13&gt;0,J15-E37,0)</f>
        <v>0</v>
      </c>
      <c r="K16" s="5"/>
    </row>
    <row r="17" spans="2:11">
      <c r="B17" s="135"/>
      <c r="C17" s="38"/>
      <c r="D17" s="38"/>
      <c r="E17" s="115"/>
      <c r="G17" s="5"/>
      <c r="H17" s="5"/>
      <c r="I17" s="5"/>
      <c r="J17" s="325"/>
      <c r="K17" s="5"/>
    </row>
    <row r="18" spans="2:11">
      <c r="B18" s="135"/>
      <c r="C18" s="38"/>
      <c r="D18" s="38"/>
      <c r="E18" s="115"/>
      <c r="G18" s="614" t="str">
        <f>CONCATENATE("Projected Carryover Into ",E1+1,"")</f>
        <v>Projected Carryover Into 2025</v>
      </c>
      <c r="H18" s="631"/>
      <c r="I18" s="631"/>
      <c r="J18" s="689"/>
      <c r="K18" s="5"/>
    </row>
    <row r="19" spans="2:11">
      <c r="B19" s="136" t="s">
        <v>296</v>
      </c>
      <c r="C19" s="38"/>
      <c r="D19" s="38"/>
      <c r="E19" s="115"/>
      <c r="G19" s="271"/>
      <c r="H19" s="269"/>
      <c r="I19" s="269"/>
      <c r="J19" s="307"/>
      <c r="K19" s="5"/>
    </row>
    <row r="20" spans="2:11">
      <c r="B20" s="70" t="s">
        <v>189</v>
      </c>
      <c r="C20" s="38"/>
      <c r="D20" s="38"/>
      <c r="E20" s="69">
        <f>'NR Rebate'!E9*-1</f>
        <v>0</v>
      </c>
      <c r="G20" s="262">
        <f>D33</f>
        <v>0</v>
      </c>
      <c r="H20" s="268" t="str">
        <f>CONCATENATE("",E1-1," Ending Cash Balance (est.)")</f>
        <v>2023 Ending Cash Balance (est.)</v>
      </c>
      <c r="I20" s="315"/>
      <c r="J20" s="307"/>
      <c r="K20" s="5"/>
    </row>
    <row r="21" spans="2:11">
      <c r="B21" s="137" t="s">
        <v>297</v>
      </c>
      <c r="C21" s="135"/>
      <c r="D21" s="135"/>
      <c r="E21" s="115"/>
      <c r="G21" s="262">
        <f>E23</f>
        <v>0</v>
      </c>
      <c r="H21" s="269" t="str">
        <f>CONCATENATE("",E1," Non-AV Receipts (est.)")</f>
        <v>2024 Non-AV Receipts (est.)</v>
      </c>
      <c r="I21" s="315"/>
      <c r="J21" s="307"/>
      <c r="K21" s="5"/>
    </row>
    <row r="22" spans="2:11">
      <c r="B22" s="137" t="s">
        <v>298</v>
      </c>
      <c r="C22" s="211" t="str">
        <f>IF(C23*0.1&lt;C21,"Exceed 10% Rule","")</f>
        <v/>
      </c>
      <c r="D22" s="211" t="str">
        <f>IF(D23*0.1&lt;D21,"Exceed 10% Rule","")</f>
        <v/>
      </c>
      <c r="E22" s="232" t="str">
        <f>IF(E23*0.1+E40&lt;E21,"Exceed 10% Rule","")</f>
        <v/>
      </c>
      <c r="G22" s="264">
        <f>IF(E39&gt;0,E38,E40)</f>
        <v>0</v>
      </c>
      <c r="H22" s="269" t="str">
        <f>CONCATENATE("",E1," Ad Valorem Tax (est.)")</f>
        <v>2024 Ad Valorem Tax (est.)</v>
      </c>
      <c r="I22" s="315"/>
      <c r="J22" s="305"/>
      <c r="K22" s="304" t="str">
        <f>IF(G22=E40,"","Note: Does not include Delinquent Taxes")</f>
        <v/>
      </c>
    </row>
    <row r="23" spans="2:11">
      <c r="B23" s="140" t="s">
        <v>299</v>
      </c>
      <c r="C23" s="217">
        <f>SUM(C8:C21)</f>
        <v>0</v>
      </c>
      <c r="D23" s="217">
        <f>SUM(D8:D21)</f>
        <v>0</v>
      </c>
      <c r="E23" s="151">
        <f>SUM(E8:E21)</f>
        <v>0</v>
      </c>
      <c r="G23" s="262">
        <f>SUM(G20:G22)</f>
        <v>0</v>
      </c>
      <c r="H23" s="269" t="str">
        <f>CONCATENATE("Total ",E1," Resources Available")</f>
        <v>Total 2024 Resources Available</v>
      </c>
      <c r="I23" s="315"/>
      <c r="J23" s="307"/>
      <c r="K23" s="5"/>
    </row>
    <row r="24" spans="2:11">
      <c r="B24" s="140" t="s">
        <v>300</v>
      </c>
      <c r="C24" s="217">
        <f>C6+C23</f>
        <v>0</v>
      </c>
      <c r="D24" s="217">
        <f>D6+D23</f>
        <v>0</v>
      </c>
      <c r="E24" s="151">
        <f>E6+E23</f>
        <v>0</v>
      </c>
      <c r="G24" s="265"/>
      <c r="H24" s="269"/>
      <c r="I24" s="269"/>
      <c r="J24" s="307"/>
      <c r="K24" s="5"/>
    </row>
    <row r="25" spans="2:11">
      <c r="B25" s="476" t="s">
        <v>301</v>
      </c>
      <c r="C25" s="70"/>
      <c r="D25" s="70"/>
      <c r="E25" s="25"/>
      <c r="G25" s="264">
        <f>ROUND(C33*0.05+C33,0)</f>
        <v>0</v>
      </c>
      <c r="H25" s="269" t="str">
        <f>CONCATENATE("Less ",E1-2," Expenditures + 5%")</f>
        <v>Less 2022 Expenditures + 5%</v>
      </c>
      <c r="I25" s="315"/>
      <c r="J25" s="307"/>
      <c r="K25" s="5"/>
    </row>
    <row r="26" spans="2:11">
      <c r="B26" s="135"/>
      <c r="C26" s="38"/>
      <c r="D26" s="38"/>
      <c r="E26" s="15"/>
      <c r="F26" s="5"/>
      <c r="G26" s="266">
        <f>G23-G25</f>
        <v>0</v>
      </c>
      <c r="H26" s="270" t="str">
        <f>CONCATENATE("Projected ",E1+1," carryover (est.)")</f>
        <v>Projected 2025 carryover (est.)</v>
      </c>
      <c r="I26" s="310"/>
      <c r="J26" s="303"/>
      <c r="K26" s="5"/>
    </row>
    <row r="27" spans="2:11">
      <c r="B27" s="135"/>
      <c r="C27" s="38"/>
      <c r="D27" s="38"/>
      <c r="E27" s="15"/>
      <c r="F27" s="5"/>
      <c r="G27" s="325"/>
      <c r="H27" s="325"/>
      <c r="I27" s="325"/>
      <c r="J27" s="325"/>
      <c r="K27" s="5"/>
    </row>
    <row r="28" spans="2:11">
      <c r="B28" s="135"/>
      <c r="C28" s="38"/>
      <c r="D28" s="38"/>
      <c r="E28" s="15"/>
      <c r="F28" s="5"/>
      <c r="G28" s="617" t="s">
        <v>305</v>
      </c>
      <c r="H28" s="618"/>
      <c r="I28" s="618"/>
      <c r="J28" s="619"/>
      <c r="K28" s="5"/>
    </row>
    <row r="29" spans="2:11">
      <c r="B29" s="135"/>
      <c r="C29" s="38"/>
      <c r="D29" s="38"/>
      <c r="E29" s="15"/>
      <c r="F29" s="5"/>
      <c r="G29" s="620"/>
      <c r="H29" s="621"/>
      <c r="I29" s="621"/>
      <c r="J29" s="622"/>
      <c r="K29" s="5"/>
    </row>
    <row r="30" spans="2:11">
      <c r="B30" s="70" t="str">
        <f>CONCATENATE("Cash Forward (",E1," column)")</f>
        <v>Cash Forward (2024 column)</v>
      </c>
      <c r="C30" s="38"/>
      <c r="D30" s="38"/>
      <c r="E30" s="15"/>
      <c r="F30" s="5"/>
      <c r="G30" s="438" t="str">
        <f>'Budget Hearing Notice'!H25</f>
        <v xml:space="preserve"> </v>
      </c>
      <c r="H30" s="268" t="str">
        <f>CONCATENATE("",E1," Estimated Fund Mill Rate")</f>
        <v>2024 Estimated Fund Mill Rate</v>
      </c>
      <c r="I30" s="439"/>
      <c r="J30" s="309"/>
      <c r="K30" s="5"/>
    </row>
    <row r="31" spans="2:11">
      <c r="B31" s="70" t="s">
        <v>297</v>
      </c>
      <c r="C31" s="38"/>
      <c r="D31" s="38"/>
      <c r="E31" s="15"/>
      <c r="F31" s="5"/>
      <c r="G31" s="440" t="str">
        <f>'Budget Hearing Notice'!E25</f>
        <v xml:space="preserve">  </v>
      </c>
      <c r="H31" s="268" t="str">
        <f>CONCATENATE("",E1-1," Fund Mill Rate")</f>
        <v>2023 Fund Mill Rate</v>
      </c>
      <c r="I31" s="439"/>
      <c r="J31" s="309"/>
      <c r="K31" s="5"/>
    </row>
    <row r="32" spans="2:11">
      <c r="B32" s="70" t="s">
        <v>307</v>
      </c>
      <c r="C32" s="211" t="str">
        <f>IF(C33*0.1&lt;C31,"Exceed 10% Rule","")</f>
        <v/>
      </c>
      <c r="D32" s="211" t="str">
        <f>IF(D33*0.1&lt;D31,"Exceed 10% Rule","")</f>
        <v/>
      </c>
      <c r="E32" s="232" t="str">
        <f>IF(E33*0.1&lt;E31,"Exceed 10% Rule","")</f>
        <v/>
      </c>
      <c r="F32" s="5"/>
      <c r="G32" s="441">
        <f>'Budget Hearing Notice'!H31</f>
        <v>0</v>
      </c>
      <c r="H32" s="442" t="s">
        <v>306</v>
      </c>
      <c r="I32" s="439"/>
      <c r="J32" s="309"/>
      <c r="K32" s="5"/>
    </row>
    <row r="33" spans="2:11">
      <c r="B33" s="140" t="s">
        <v>308</v>
      </c>
      <c r="C33" s="217">
        <f>SUM(C26:C31)</f>
        <v>0</v>
      </c>
      <c r="D33" s="217">
        <f>SUM(D26:D31)</f>
        <v>0</v>
      </c>
      <c r="E33" s="151">
        <f>SUM(E26:E31)</f>
        <v>0</v>
      </c>
      <c r="F33" s="5"/>
      <c r="G33" s="438">
        <f>'Budget Hearing Notice'!H30</f>
        <v>0</v>
      </c>
      <c r="H33" s="268" t="str">
        <f>CONCATENATE(E1," Estimated Total Mill Rate")</f>
        <v>2024 Estimated Total Mill Rate</v>
      </c>
      <c r="I33" s="439"/>
      <c r="J33" s="309"/>
      <c r="K33" s="5"/>
    </row>
    <row r="34" spans="2:11">
      <c r="B34" s="476" t="s">
        <v>309</v>
      </c>
      <c r="C34" s="69">
        <f>C24-C33</f>
        <v>0</v>
      </c>
      <c r="D34" s="69">
        <f>D24-D33</f>
        <v>0</v>
      </c>
      <c r="E34" s="78" t="s">
        <v>184</v>
      </c>
      <c r="F34" s="5"/>
      <c r="G34" s="443">
        <f>'Budget Hearing Notice'!E30</f>
        <v>0</v>
      </c>
      <c r="H34" s="268" t="str">
        <f>CONCATENATE(E1-1," Total Mill Rate")</f>
        <v>2023 Total Mill Rate</v>
      </c>
      <c r="I34" s="439"/>
      <c r="J34" s="309"/>
    </row>
    <row r="35" spans="2:11">
      <c r="B35" s="6" t="str">
        <f>CONCATENATE("",E1-2,"/",E1-1,"/",E1," Budget Authority Amount:")</f>
        <v>2022/2023/2024 Budget Authority Amount:</v>
      </c>
      <c r="C35" s="144">
        <f>inputOth!B111</f>
        <v>0</v>
      </c>
      <c r="D35" s="144">
        <f>inputPrYr!D38</f>
        <v>0</v>
      </c>
      <c r="E35" s="69">
        <f>E33</f>
        <v>0</v>
      </c>
      <c r="F35" s="5"/>
      <c r="G35" s="259"/>
      <c r="H35" s="260"/>
      <c r="I35" s="260"/>
      <c r="J35" s="261"/>
    </row>
    <row r="36" spans="2:11">
      <c r="B36" s="484"/>
      <c r="C36" s="608" t="s">
        <v>311</v>
      </c>
      <c r="D36" s="609"/>
      <c r="E36" s="15"/>
      <c r="F36" s="5"/>
      <c r="G36" s="623" t="s">
        <v>310</v>
      </c>
      <c r="H36" s="624"/>
      <c r="I36" s="624"/>
      <c r="J36" s="627" t="str">
        <f>IF(G33&gt;G32, "Yes", "No")</f>
        <v>No</v>
      </c>
    </row>
    <row r="37" spans="2:11">
      <c r="B37" s="230" t="str">
        <f>CONCATENATE(C92,"     ",D92)</f>
        <v xml:space="preserve">     </v>
      </c>
      <c r="C37" s="610" t="s">
        <v>312</v>
      </c>
      <c r="D37" s="611"/>
      <c r="E37" s="69">
        <f>E33+E36</f>
        <v>0</v>
      </c>
      <c r="F37" s="306"/>
      <c r="G37" s="625"/>
      <c r="H37" s="626"/>
      <c r="I37" s="626"/>
      <c r="J37" s="628"/>
    </row>
    <row r="38" spans="2:11">
      <c r="B38" s="230" t="str">
        <f>CONCATENATE(C93,"     ",D93)</f>
        <v xml:space="preserve">     </v>
      </c>
      <c r="C38" s="233"/>
      <c r="D38" s="234" t="s">
        <v>313</v>
      </c>
      <c r="E38" s="69">
        <f>IF(E37-E24&gt;0,E37-E24,0)</f>
        <v>0</v>
      </c>
      <c r="F38" s="306" t="str">
        <f>IF(E33/0.95-E33&lt;E36,"Exceeds 5%","")</f>
        <v/>
      </c>
      <c r="G38" s="629" t="str">
        <f>IF(J36="Yes", "Follow procedure prescribed by KSA 79-2988 to exceed the Revenue Neutral Rate.", " ")</f>
        <v xml:space="preserve"> </v>
      </c>
      <c r="H38" s="629"/>
      <c r="I38" s="629"/>
      <c r="J38" s="629"/>
    </row>
    <row r="39" spans="2:11">
      <c r="B39" s="84"/>
      <c r="C39" s="481" t="s">
        <v>314</v>
      </c>
      <c r="D39" s="292">
        <f>inputOth!$D$103</f>
        <v>0</v>
      </c>
      <c r="E39" s="69">
        <f>ROUND(IF(D39&gt;0,(E38*D39),0),0)</f>
        <v>0</v>
      </c>
      <c r="F39" s="5"/>
      <c r="G39" s="630"/>
      <c r="H39" s="630"/>
      <c r="I39" s="630"/>
      <c r="J39" s="630"/>
    </row>
    <row r="40" spans="2:11" ht="16.5" thickBot="1">
      <c r="B40" s="7"/>
      <c r="C40" s="612" t="str">
        <f>CONCATENATE("Amount of  ",$E$1-1," Ad Valorem Tax")</f>
        <v>Amount of  2023 Ad Valorem Tax</v>
      </c>
      <c r="D40" s="613"/>
      <c r="E40" s="238">
        <f>E38+E39</f>
        <v>0</v>
      </c>
      <c r="F40" s="5"/>
      <c r="G40" s="630"/>
      <c r="H40" s="630"/>
      <c r="I40" s="630"/>
      <c r="J40" s="630"/>
    </row>
    <row r="41" spans="2:11" ht="16.5" thickTop="1">
      <c r="B41" s="7"/>
      <c r="C41" s="7"/>
      <c r="D41" s="7"/>
      <c r="E41" s="7"/>
      <c r="F41" s="5"/>
    </row>
    <row r="42" spans="2:11">
      <c r="B42" s="6" t="s">
        <v>282</v>
      </c>
      <c r="C42" s="58"/>
      <c r="D42" s="58"/>
      <c r="E42" s="58"/>
      <c r="F42" s="5"/>
    </row>
    <row r="43" spans="2:11">
      <c r="B43" s="7"/>
      <c r="C43" s="209" t="s">
        <v>283</v>
      </c>
      <c r="D43" s="212" t="s">
        <v>284</v>
      </c>
      <c r="E43" s="470" t="s">
        <v>285</v>
      </c>
      <c r="F43" s="5"/>
    </row>
    <row r="44" spans="2:11">
      <c r="B44" s="231">
        <f>inputPrYr!B39</f>
        <v>0</v>
      </c>
      <c r="C44" s="210" t="str">
        <f>C5</f>
        <v>Actual for 2022</v>
      </c>
      <c r="D44" s="210" t="str">
        <f>D5</f>
        <v>Estimate for 2023</v>
      </c>
      <c r="E44" s="91" t="str">
        <f>E5</f>
        <v>Year for 2024</v>
      </c>
      <c r="F44" s="5"/>
    </row>
    <row r="45" spans="2:11">
      <c r="B45" s="476" t="s">
        <v>286</v>
      </c>
      <c r="C45" s="38"/>
      <c r="D45" s="213">
        <f>C74</f>
        <v>0</v>
      </c>
      <c r="E45" s="69">
        <f>D74</f>
        <v>0</v>
      </c>
      <c r="F45" s="5"/>
      <c r="G45" s="299"/>
      <c r="H45" s="300"/>
      <c r="I45" s="300"/>
      <c r="J45" s="466"/>
    </row>
    <row r="46" spans="2:11">
      <c r="B46" s="476" t="s">
        <v>287</v>
      </c>
      <c r="C46" s="133"/>
      <c r="D46" s="133"/>
      <c r="E46" s="73"/>
      <c r="F46" s="5"/>
    </row>
    <row r="47" spans="2:11">
      <c r="B47" s="476" t="s">
        <v>288</v>
      </c>
      <c r="C47" s="38"/>
      <c r="D47" s="213">
        <f>IF(inputPrYr!H34&gt;0,inputPrYr!G39,inputPrYr!E39)</f>
        <v>0</v>
      </c>
      <c r="E47" s="78" t="s">
        <v>184</v>
      </c>
      <c r="F47" s="5"/>
      <c r="G47" s="295"/>
      <c r="H47" s="296"/>
      <c r="I47" s="297"/>
    </row>
    <row r="48" spans="2:11">
      <c r="B48" s="476" t="s">
        <v>289</v>
      </c>
      <c r="C48" s="38"/>
      <c r="D48" s="38"/>
      <c r="E48" s="115"/>
      <c r="F48" s="5"/>
      <c r="G48" s="295"/>
      <c r="H48" s="297"/>
      <c r="I48" s="297"/>
    </row>
    <row r="49" spans="2:11">
      <c r="B49" s="476" t="s">
        <v>290</v>
      </c>
      <c r="C49" s="38"/>
      <c r="D49" s="38"/>
      <c r="E49" s="134">
        <f>Mvalloc!D12</f>
        <v>0</v>
      </c>
      <c r="G49" s="295"/>
      <c r="H49" s="297"/>
      <c r="I49" s="297"/>
    </row>
    <row r="50" spans="2:11">
      <c r="B50" s="476" t="s">
        <v>291</v>
      </c>
      <c r="C50" s="38"/>
      <c r="D50" s="38"/>
      <c r="E50" s="134">
        <f>Mvalloc!E12</f>
        <v>0</v>
      </c>
      <c r="G50" s="295"/>
      <c r="H50" s="297"/>
      <c r="I50" s="297"/>
    </row>
    <row r="51" spans="2:11">
      <c r="B51" s="133" t="s">
        <v>292</v>
      </c>
      <c r="C51" s="38"/>
      <c r="D51" s="38"/>
      <c r="E51" s="134">
        <f>Mvalloc!F12</f>
        <v>0</v>
      </c>
      <c r="G51" s="298"/>
      <c r="H51" s="297"/>
      <c r="I51" s="297"/>
    </row>
    <row r="52" spans="2:11">
      <c r="B52" s="476" t="s">
        <v>293</v>
      </c>
      <c r="C52" s="38"/>
      <c r="D52" s="38"/>
      <c r="E52" s="134">
        <f>Mvalloc!G12</f>
        <v>0</v>
      </c>
      <c r="G52" s="295"/>
      <c r="H52" s="297"/>
      <c r="I52" s="297"/>
    </row>
    <row r="53" spans="2:11">
      <c r="B53" s="476" t="s">
        <v>294</v>
      </c>
      <c r="C53" s="38"/>
      <c r="D53" s="38"/>
      <c r="E53" s="134">
        <f>Mvalloc!H12</f>
        <v>0</v>
      </c>
      <c r="G53" s="614" t="str">
        <f>CONCATENATE("Desired Carryover Into ",E1+1,"")</f>
        <v>Desired Carryover Into 2025</v>
      </c>
      <c r="H53" s="615"/>
      <c r="I53" s="615"/>
      <c r="J53" s="616"/>
      <c r="K53" s="5"/>
    </row>
    <row r="54" spans="2:11">
      <c r="B54" s="135"/>
      <c r="C54" s="38"/>
      <c r="D54" s="38"/>
      <c r="E54" s="115"/>
      <c r="G54" s="271"/>
      <c r="H54" s="260"/>
      <c r="I54" s="269"/>
      <c r="J54" s="272"/>
      <c r="K54" s="5"/>
    </row>
    <row r="55" spans="2:11">
      <c r="B55" s="135"/>
      <c r="C55" s="38"/>
      <c r="D55" s="38"/>
      <c r="E55" s="115"/>
      <c r="G55" s="273" t="s">
        <v>302</v>
      </c>
      <c r="H55" s="269"/>
      <c r="I55" s="269"/>
      <c r="J55" s="274">
        <v>0</v>
      </c>
      <c r="K55" s="5"/>
    </row>
    <row r="56" spans="2:11">
      <c r="B56" s="135"/>
      <c r="C56" s="38"/>
      <c r="D56" s="38"/>
      <c r="E56" s="115"/>
      <c r="G56" s="271" t="s">
        <v>303</v>
      </c>
      <c r="H56" s="260"/>
      <c r="I56" s="260"/>
      <c r="J56" s="308" t="str">
        <f>IF(J55=0,"",ROUND((J55+E76-G68)/inputOth!B25*1000,3)-G73)</f>
        <v/>
      </c>
      <c r="K56" s="5"/>
    </row>
    <row r="57" spans="2:11">
      <c r="B57" s="135"/>
      <c r="C57" s="38"/>
      <c r="D57" s="38"/>
      <c r="E57" s="115"/>
      <c r="G57" s="319" t="str">
        <f>CONCATENATE("",E1," Tot Exp/Non-Appr Must Be:")</f>
        <v>2024 Tot Exp/Non-Appr Must Be:</v>
      </c>
      <c r="H57" s="294"/>
      <c r="I57" s="293"/>
      <c r="J57" s="318">
        <f>IF(J55&gt;0,IF(E77&lt;E64,IF(J55=G68,E76,((J55-G68)*(1-D79))+E51),E77+(J55-G68)),0)</f>
        <v>0</v>
      </c>
      <c r="K57" s="5"/>
    </row>
    <row r="58" spans="2:11">
      <c r="B58" s="135"/>
      <c r="C58" s="38"/>
      <c r="D58" s="38"/>
      <c r="E58" s="115"/>
      <c r="G58" s="324" t="s">
        <v>304</v>
      </c>
      <c r="H58" s="317"/>
      <c r="I58" s="317"/>
      <c r="J58" s="316">
        <f>IF(J55&gt;0,J57-E77,0)</f>
        <v>0</v>
      </c>
      <c r="K58" s="5"/>
    </row>
    <row r="59" spans="2:11">
      <c r="B59" s="136" t="s">
        <v>296</v>
      </c>
      <c r="C59" s="38"/>
      <c r="D59" s="135"/>
      <c r="E59" s="115"/>
      <c r="G59" s="5"/>
      <c r="H59" s="5"/>
      <c r="I59" s="5"/>
      <c r="J59" s="325"/>
      <c r="K59" s="5"/>
    </row>
    <row r="60" spans="2:11">
      <c r="B60" s="70" t="s">
        <v>189</v>
      </c>
      <c r="C60" s="38"/>
      <c r="D60" s="135"/>
      <c r="E60" s="69">
        <f>'NR Rebate'!E10*-1</f>
        <v>0</v>
      </c>
      <c r="G60" s="614" t="str">
        <f>CONCATENATE("Projected Carryover Into ",E1+1,"")</f>
        <v>Projected Carryover Into 2025</v>
      </c>
      <c r="H60" s="632"/>
      <c r="I60" s="632"/>
      <c r="J60" s="689"/>
      <c r="K60" s="5"/>
    </row>
    <row r="61" spans="2:11">
      <c r="B61" s="137" t="s">
        <v>297</v>
      </c>
      <c r="C61" s="135"/>
      <c r="D61" s="135"/>
      <c r="E61" s="115"/>
      <c r="G61" s="259"/>
      <c r="H61" s="260"/>
      <c r="I61" s="260"/>
      <c r="J61" s="261"/>
      <c r="K61" s="5"/>
    </row>
    <row r="62" spans="2:11">
      <c r="B62" s="137" t="s">
        <v>298</v>
      </c>
      <c r="C62" s="211" t="str">
        <f>IF(C63*0.1&lt;C61,"Exceed 10% Rule","")</f>
        <v/>
      </c>
      <c r="D62" s="211" t="str">
        <f>IF(D63*0.1&lt;D61,"Exceed 10% Rule","")</f>
        <v/>
      </c>
      <c r="E62" s="232" t="str">
        <f>IF(E63*0.1+E80&lt;E61,"Exceed 10% Rule","")</f>
        <v/>
      </c>
      <c r="G62" s="262">
        <f>D73</f>
        <v>0</v>
      </c>
      <c r="H62" s="268" t="str">
        <f>CONCATENATE("",E1-1," Ending Cash Balance (est.)")</f>
        <v>2023 Ending Cash Balance (est.)</v>
      </c>
      <c r="I62" s="315"/>
      <c r="J62" s="261"/>
      <c r="K62" s="5"/>
    </row>
    <row r="63" spans="2:11">
      <c r="B63" s="140" t="s">
        <v>299</v>
      </c>
      <c r="C63" s="217">
        <f>SUM(C47:C61)</f>
        <v>0</v>
      </c>
      <c r="D63" s="217">
        <f>SUM(D47:D61)</f>
        <v>0</v>
      </c>
      <c r="E63" s="151">
        <f>SUM(E47:E61)</f>
        <v>0</v>
      </c>
      <c r="G63" s="262">
        <f>E63</f>
        <v>0</v>
      </c>
      <c r="H63" s="269" t="str">
        <f>CONCATENATE("",E1," Non-AV Receipts (est.)")</f>
        <v>2024 Non-AV Receipts (est.)</v>
      </c>
      <c r="I63" s="315"/>
      <c r="J63" s="261"/>
      <c r="K63" s="5"/>
    </row>
    <row r="64" spans="2:11">
      <c r="B64" s="140" t="s">
        <v>300</v>
      </c>
      <c r="C64" s="217">
        <f>C45+C63</f>
        <v>0</v>
      </c>
      <c r="D64" s="217">
        <f>D45+D63</f>
        <v>0</v>
      </c>
      <c r="E64" s="151">
        <f>E45+E63</f>
        <v>0</v>
      </c>
      <c r="G64" s="264">
        <f>IF(E79&gt;0,E78,E80)</f>
        <v>0</v>
      </c>
      <c r="H64" s="269" t="str">
        <f>CONCATENATE("",E1," Ad Valorem Tax (est.)")</f>
        <v>2024 Ad Valorem Tax (est.)</v>
      </c>
      <c r="I64" s="315"/>
      <c r="J64" s="261"/>
      <c r="K64" s="304" t="str">
        <f>IF(G64=E80,"","Note: Does not include Delinquent Taxes")</f>
        <v/>
      </c>
    </row>
    <row r="65" spans="2:11">
      <c r="B65" s="476" t="s">
        <v>301</v>
      </c>
      <c r="C65" s="70"/>
      <c r="D65" s="70"/>
      <c r="E65" s="25"/>
      <c r="G65" s="262">
        <f>SUM(G62:G64)</f>
        <v>0</v>
      </c>
      <c r="H65" s="269" t="str">
        <f>CONCATENATE("Total ",E1," Resources Available")</f>
        <v>Total 2024 Resources Available</v>
      </c>
      <c r="I65" s="261"/>
      <c r="J65" s="261"/>
      <c r="K65" s="5"/>
    </row>
    <row r="66" spans="2:11">
      <c r="B66" s="135"/>
      <c r="C66" s="38"/>
      <c r="D66" s="38"/>
      <c r="E66" s="15"/>
      <c r="G66" s="265"/>
      <c r="H66" s="263"/>
      <c r="I66" s="260"/>
      <c r="J66" s="261"/>
      <c r="K66" s="5"/>
    </row>
    <row r="67" spans="2:11">
      <c r="B67" s="135"/>
      <c r="C67" s="38"/>
      <c r="D67" s="38"/>
      <c r="E67" s="15"/>
      <c r="G67" s="264">
        <f>ROUND(C73*0.05+C73,0)</f>
        <v>0</v>
      </c>
      <c r="H67" s="269" t="str">
        <f>CONCATENATE("Less ",E1-2," Expenditures + 5%")</f>
        <v>Less 2022 Expenditures + 5%</v>
      </c>
      <c r="I67" s="261"/>
      <c r="J67" s="261"/>
      <c r="K67" s="5"/>
    </row>
    <row r="68" spans="2:11">
      <c r="B68" s="135"/>
      <c r="C68" s="38"/>
      <c r="D68" s="38"/>
      <c r="E68" s="15"/>
      <c r="F68" s="5"/>
      <c r="G68" s="266">
        <f>G65-G67</f>
        <v>0</v>
      </c>
      <c r="H68" s="270" t="str">
        <f>CONCATENATE("Projected ",E1+1," carryover (est.)")</f>
        <v>Projected 2025 carryover (est.)</v>
      </c>
      <c r="I68" s="267"/>
      <c r="J68" s="303"/>
      <c r="K68" s="5"/>
    </row>
    <row r="69" spans="2:11">
      <c r="B69" s="135"/>
      <c r="C69" s="38"/>
      <c r="D69" s="38"/>
      <c r="E69" s="15"/>
      <c r="F69" s="5"/>
      <c r="G69" s="325"/>
      <c r="H69" s="325"/>
      <c r="I69" s="325"/>
      <c r="J69" s="5"/>
      <c r="K69" s="5"/>
    </row>
    <row r="70" spans="2:11">
      <c r="B70" s="70" t="str">
        <f>CONCATENATE("Cash Forward (",E1," column)")</f>
        <v>Cash Forward (2024 column)</v>
      </c>
      <c r="C70" s="38"/>
      <c r="D70" s="38"/>
      <c r="E70" s="15"/>
      <c r="F70" s="5"/>
      <c r="G70" s="617" t="s">
        <v>305</v>
      </c>
      <c r="H70" s="618"/>
      <c r="I70" s="618"/>
      <c r="J70" s="619"/>
      <c r="K70" s="5"/>
    </row>
    <row r="71" spans="2:11">
      <c r="B71" s="70" t="s">
        <v>297</v>
      </c>
      <c r="C71" s="135"/>
      <c r="D71" s="135"/>
      <c r="E71" s="15"/>
      <c r="F71" s="5"/>
      <c r="G71" s="620"/>
      <c r="H71" s="621"/>
      <c r="I71" s="621"/>
      <c r="J71" s="622"/>
      <c r="K71" s="5"/>
    </row>
    <row r="72" spans="2:11">
      <c r="B72" s="70" t="s">
        <v>307</v>
      </c>
      <c r="C72" s="211" t="str">
        <f>IF(C73*0.1&lt;C71,"Exceed 10% Rule","")</f>
        <v/>
      </c>
      <c r="D72" s="211" t="str">
        <f>IF(D73*0.1&lt;D71,"Exceed 10% Rule","")</f>
        <v/>
      </c>
      <c r="E72" s="232" t="str">
        <f>IF(E73*0.1&lt;E71,"Exceed 10% Rule","")</f>
        <v/>
      </c>
      <c r="F72" s="5"/>
      <c r="G72" s="438" t="str">
        <f>'Budget Hearing Notice'!H26</f>
        <v xml:space="preserve"> </v>
      </c>
      <c r="H72" s="268" t="str">
        <f>CONCATENATE("",E1," Estimated Fund Mill Rate")</f>
        <v>2024 Estimated Fund Mill Rate</v>
      </c>
      <c r="I72" s="439"/>
      <c r="J72" s="309"/>
      <c r="K72" s="5"/>
    </row>
    <row r="73" spans="2:11">
      <c r="B73" s="140" t="s">
        <v>308</v>
      </c>
      <c r="C73" s="217">
        <f>SUM(C66:C71)</f>
        <v>0</v>
      </c>
      <c r="D73" s="217">
        <f>SUM(D66:D71)</f>
        <v>0</v>
      </c>
      <c r="E73" s="151">
        <f>SUM(E66:E71)</f>
        <v>0</v>
      </c>
      <c r="F73" s="5"/>
      <c r="G73" s="440" t="str">
        <f>'Budget Hearing Notice'!E26</f>
        <v xml:space="preserve">  </v>
      </c>
      <c r="H73" s="268" t="str">
        <f>CONCATENATE("",E1-1," Fund Mill Rate")</f>
        <v>2023 Fund Mill Rate</v>
      </c>
      <c r="I73" s="439"/>
      <c r="J73" s="309"/>
      <c r="K73" s="5"/>
    </row>
    <row r="74" spans="2:11">
      <c r="B74" s="476" t="s">
        <v>309</v>
      </c>
      <c r="C74" s="69">
        <f>C64-C73</f>
        <v>0</v>
      </c>
      <c r="D74" s="69">
        <f>D64-D73</f>
        <v>0</v>
      </c>
      <c r="E74" s="78" t="s">
        <v>184</v>
      </c>
      <c r="F74" s="5"/>
      <c r="G74" s="441">
        <f>'Budget Hearing Notice'!H31</f>
        <v>0</v>
      </c>
      <c r="H74" s="442" t="s">
        <v>306</v>
      </c>
      <c r="I74" s="439"/>
      <c r="J74" s="309"/>
      <c r="K74" s="5"/>
    </row>
    <row r="75" spans="2:11">
      <c r="B75" s="6" t="str">
        <f>CONCATENATE("",E1-2,"/",E1-1,"/",E1," Budget Authority Amount:")</f>
        <v>2022/2023/2024 Budget Authority Amount:</v>
      </c>
      <c r="C75" s="144">
        <f>inputOth!B112</f>
        <v>0</v>
      </c>
      <c r="D75" s="144">
        <f>inputPrYr!D39</f>
        <v>0</v>
      </c>
      <c r="E75" s="69">
        <f>E73</f>
        <v>0</v>
      </c>
      <c r="F75" s="5"/>
      <c r="G75" s="438">
        <f>'Budget Hearing Notice'!H30</f>
        <v>0</v>
      </c>
      <c r="H75" s="268" t="str">
        <f>CONCATENATE(E1," Estimated Total Mill Rate")</f>
        <v>2024 Estimated Total Mill Rate</v>
      </c>
      <c r="I75" s="439"/>
      <c r="J75" s="309"/>
      <c r="K75" s="5"/>
    </row>
    <row r="76" spans="2:11">
      <c r="B76" s="484"/>
      <c r="C76" s="608" t="s">
        <v>311</v>
      </c>
      <c r="D76" s="609"/>
      <c r="E76" s="15"/>
      <c r="F76" s="5"/>
      <c r="G76" s="443">
        <f>'Budget Hearing Notice'!E30</f>
        <v>0</v>
      </c>
      <c r="H76" s="268" t="str">
        <f>CONCATENATE(E1-1," Total Mill Rate")</f>
        <v>2023 Total Mill Rate</v>
      </c>
      <c r="I76" s="439"/>
      <c r="J76" s="309"/>
    </row>
    <row r="77" spans="2:11">
      <c r="B77" s="230" t="str">
        <f>CONCATENATE(C94,"     ",D94)</f>
        <v xml:space="preserve">     </v>
      </c>
      <c r="C77" s="610" t="s">
        <v>312</v>
      </c>
      <c r="D77" s="611"/>
      <c r="E77" s="69">
        <f>E73+E76</f>
        <v>0</v>
      </c>
      <c r="G77" s="259"/>
      <c r="H77" s="260"/>
      <c r="I77" s="260"/>
      <c r="J77" s="261"/>
    </row>
    <row r="78" spans="2:11">
      <c r="B78" s="230" t="str">
        <f>CONCATENATE(C95,"     ",D95)</f>
        <v xml:space="preserve">     </v>
      </c>
      <c r="C78" s="233"/>
      <c r="D78" s="234" t="s">
        <v>313</v>
      </c>
      <c r="E78" s="69">
        <f>IF(E77-E64&gt;0,E77-E64,0)</f>
        <v>0</v>
      </c>
      <c r="F78" s="5"/>
      <c r="G78" s="623" t="s">
        <v>310</v>
      </c>
      <c r="H78" s="624"/>
      <c r="I78" s="624"/>
      <c r="J78" s="627" t="str">
        <f>IF(G75&gt;G74, "Yes", "No")</f>
        <v>No</v>
      </c>
    </row>
    <row r="79" spans="2:11">
      <c r="B79" s="84"/>
      <c r="C79" s="481" t="s">
        <v>314</v>
      </c>
      <c r="D79" s="292">
        <f>inputOth!$D$103</f>
        <v>0</v>
      </c>
      <c r="E79" s="69">
        <f>ROUND(IF(D79&gt;0,(E78*D79),0),)</f>
        <v>0</v>
      </c>
      <c r="F79" s="306"/>
      <c r="G79" s="625"/>
      <c r="H79" s="626"/>
      <c r="I79" s="626"/>
      <c r="J79" s="628"/>
    </row>
    <row r="80" spans="2:11" ht="16.5" thickBot="1">
      <c r="B80" s="7"/>
      <c r="C80" s="612" t="str">
        <f>CONCATENATE("Amount of  ",$E$1-1," Ad Valorem Tax")</f>
        <v>Amount of  2023 Ad Valorem Tax</v>
      </c>
      <c r="D80" s="613"/>
      <c r="E80" s="238">
        <f>E78+E79</f>
        <v>0</v>
      </c>
      <c r="F80" s="306" t="str">
        <f>IF(E73/0.95-E73&lt;E76,"Exceeds 5%","")</f>
        <v/>
      </c>
      <c r="G80" s="629" t="str">
        <f>IF(J78="Yes", "Follow procedure prescribed by KSA 79-2988 to exceed the Revenue Neutral Rate.", " ")</f>
        <v xml:space="preserve"> </v>
      </c>
      <c r="H80" s="629"/>
      <c r="I80" s="629"/>
      <c r="J80" s="629"/>
    </row>
    <row r="81" spans="2:10" ht="16.5" thickTop="1">
      <c r="B81" s="7"/>
      <c r="C81" s="7"/>
      <c r="D81" s="7"/>
      <c r="E81" s="7"/>
      <c r="F81" s="5"/>
      <c r="G81" s="630"/>
      <c r="H81" s="630"/>
      <c r="I81" s="630"/>
      <c r="J81" s="630"/>
    </row>
    <row r="82" spans="2:10">
      <c r="B82" s="372" t="s">
        <v>201</v>
      </c>
      <c r="C82" s="381"/>
      <c r="D82" s="381"/>
      <c r="E82" s="382"/>
      <c r="F82" s="5"/>
      <c r="G82" s="630"/>
      <c r="H82" s="630"/>
      <c r="I82" s="630"/>
      <c r="J82" s="630"/>
    </row>
    <row r="83" spans="2:10">
      <c r="B83" s="383"/>
      <c r="C83" s="384"/>
      <c r="D83" s="384"/>
      <c r="E83" s="385"/>
      <c r="F83" s="5"/>
    </row>
    <row r="84" spans="2:10">
      <c r="B84" s="386"/>
      <c r="C84" s="387"/>
      <c r="D84" s="387"/>
      <c r="E84" s="388"/>
      <c r="F84" s="5"/>
    </row>
    <row r="85" spans="2:10">
      <c r="B85" s="7"/>
      <c r="C85" s="7"/>
      <c r="D85" s="7"/>
      <c r="E85" s="7"/>
      <c r="F85" s="5"/>
    </row>
    <row r="86" spans="2:10">
      <c r="B86" s="484" t="s">
        <v>316</v>
      </c>
      <c r="C86" s="348"/>
      <c r="D86" s="7"/>
      <c r="E86" s="7"/>
      <c r="F86" s="5"/>
    </row>
    <row r="87" spans="2:10">
      <c r="F87" s="5"/>
    </row>
    <row r="88" spans="2:10">
      <c r="F88" s="5"/>
    </row>
    <row r="89" spans="2:10">
      <c r="F89" s="5"/>
    </row>
    <row r="90" spans="2:10">
      <c r="F90" s="5"/>
    </row>
    <row r="92" spans="2:10" hidden="1">
      <c r="C92" s="2" t="str">
        <f>IF(C33&gt;C35,"See Tab A","")</f>
        <v/>
      </c>
      <c r="D92" s="2" t="str">
        <f>IF(D33&gt;D35,"See Tab C","")</f>
        <v/>
      </c>
    </row>
    <row r="93" spans="2:10" hidden="1">
      <c r="C93" s="2" t="str">
        <f>IF(C34&lt;0,"See Tab B","")</f>
        <v/>
      </c>
      <c r="D93" s="2" t="str">
        <f>IF(D34&lt;0,"See Tab D","")</f>
        <v/>
      </c>
    </row>
    <row r="94" spans="2:10" hidden="1">
      <c r="C94" s="2" t="str">
        <f>IF(C73&gt;C75,"See Tab A","")</f>
        <v/>
      </c>
      <c r="D94" s="2" t="str">
        <f>IF(D73&gt;D75,"See Tab C","")</f>
        <v/>
      </c>
    </row>
    <row r="95" spans="2:10" hidden="1">
      <c r="C95" s="2" t="str">
        <f>IF(C74&lt;0,"See Tab B","")</f>
        <v/>
      </c>
      <c r="D95" s="2" t="str">
        <f>IF(D74&lt;0,"See Tab D","")</f>
        <v/>
      </c>
    </row>
  </sheetData>
  <sheetProtection sheet="1" objects="1" scenarios="1"/>
  <mergeCells count="18">
    <mergeCell ref="G11:J11"/>
    <mergeCell ref="G18:J18"/>
    <mergeCell ref="G53:J53"/>
    <mergeCell ref="G60:J60"/>
    <mergeCell ref="G70:J71"/>
    <mergeCell ref="C36:D36"/>
    <mergeCell ref="C37:D37"/>
    <mergeCell ref="C76:D76"/>
    <mergeCell ref="C77:D77"/>
    <mergeCell ref="C80:D80"/>
    <mergeCell ref="C40:D40"/>
    <mergeCell ref="G78:I79"/>
    <mergeCell ref="J78:J79"/>
    <mergeCell ref="G80:J82"/>
    <mergeCell ref="G28:J29"/>
    <mergeCell ref="G36:I37"/>
    <mergeCell ref="J36:J37"/>
    <mergeCell ref="G38:J40"/>
  </mergeCells>
  <phoneticPr fontId="0" type="noConversion"/>
  <conditionalFormatting sqref="C71">
    <cfRule type="cellIs" dxfId="47" priority="13" stopIfTrue="1" operator="greaterThan">
      <formula>$C$73*0.1</formula>
    </cfRule>
  </conditionalFormatting>
  <conditionalFormatting sqref="D71">
    <cfRule type="cellIs" dxfId="46" priority="14" stopIfTrue="1" operator="greaterThan">
      <formula>$D$73*0.1</formula>
    </cfRule>
  </conditionalFormatting>
  <conditionalFormatting sqref="E71">
    <cfRule type="cellIs" dxfId="45" priority="15" stopIfTrue="1" operator="greaterThan">
      <formula>$E$73*0.1</formula>
    </cfRule>
  </conditionalFormatting>
  <conditionalFormatting sqref="E76">
    <cfRule type="cellIs" dxfId="44" priority="16" stopIfTrue="1" operator="greaterThan">
      <formula>$E$73/0.95-$E$73</formula>
    </cfRule>
  </conditionalFormatting>
  <conditionalFormatting sqref="C31">
    <cfRule type="cellIs" dxfId="43" priority="17" stopIfTrue="1" operator="greaterThan">
      <formula>$C$33*0.1</formula>
    </cfRule>
  </conditionalFormatting>
  <conditionalFormatting sqref="D31">
    <cfRule type="cellIs" dxfId="42" priority="18" stopIfTrue="1" operator="greaterThan">
      <formula>$D$33*0.1</formula>
    </cfRule>
  </conditionalFormatting>
  <conditionalFormatting sqref="E31">
    <cfRule type="cellIs" dxfId="41" priority="19" stopIfTrue="1" operator="greaterThan">
      <formula>$E$33*0.1</formula>
    </cfRule>
  </conditionalFormatting>
  <conditionalFormatting sqref="E36">
    <cfRule type="cellIs" dxfId="40" priority="20" stopIfTrue="1" operator="greaterThan">
      <formula>$E$33/0.95-$E$33</formula>
    </cfRule>
  </conditionalFormatting>
  <conditionalFormatting sqref="C21">
    <cfRule type="cellIs" dxfId="39" priority="21" stopIfTrue="1" operator="greaterThan">
      <formula>$C$23*0.1</formula>
    </cfRule>
  </conditionalFormatting>
  <conditionalFormatting sqref="D21">
    <cfRule type="cellIs" dxfId="38" priority="22" stopIfTrue="1" operator="greaterThan">
      <formula>$D$23*0.1</formula>
    </cfRule>
  </conditionalFormatting>
  <conditionalFormatting sqref="C61">
    <cfRule type="cellIs" dxfId="37" priority="23" stopIfTrue="1" operator="greaterThan">
      <formula>$C$63*0.1</formula>
    </cfRule>
  </conditionalFormatting>
  <conditionalFormatting sqref="D61">
    <cfRule type="cellIs" dxfId="36" priority="24" stopIfTrue="1" operator="greaterThan">
      <formula>$D$63*0.1</formula>
    </cfRule>
  </conditionalFormatting>
  <conditionalFormatting sqref="E21">
    <cfRule type="cellIs" dxfId="35" priority="105" stopIfTrue="1" operator="greaterThan">
      <formula>$E$23*0.1+$E$40</formula>
    </cfRule>
  </conditionalFormatting>
  <conditionalFormatting sqref="E61">
    <cfRule type="cellIs" dxfId="34" priority="106" stopIfTrue="1" operator="greaterThan">
      <formula>$E$63*0.1+$E$80</formula>
    </cfRule>
  </conditionalFormatting>
  <conditionalFormatting sqref="J78">
    <cfRule type="containsText" dxfId="33" priority="10" operator="containsText" text="Yes">
      <formula>NOT(ISERROR(SEARCH("Yes",J78)))</formula>
    </cfRule>
  </conditionalFormatting>
  <conditionalFormatting sqref="J36">
    <cfRule type="containsText" dxfId="32" priority="9" operator="containsText" text="Yes">
      <formula>NOT(ISERROR(SEARCH("Yes",J36)))</formula>
    </cfRule>
  </conditionalFormatting>
  <conditionalFormatting sqref="C33">
    <cfRule type="expression" dxfId="31" priority="8">
      <formula>$C$33&gt;$C$35</formula>
    </cfRule>
  </conditionalFormatting>
  <conditionalFormatting sqref="C34">
    <cfRule type="expression" dxfId="30" priority="7">
      <formula>$C$34&lt;0</formula>
    </cfRule>
  </conditionalFormatting>
  <conditionalFormatting sqref="D33">
    <cfRule type="expression" dxfId="29" priority="6">
      <formula>$D$33&gt;$D$35</formula>
    </cfRule>
  </conditionalFormatting>
  <conditionalFormatting sqref="D34">
    <cfRule type="expression" dxfId="28" priority="5">
      <formula>$D$34&lt;0</formula>
    </cfRule>
  </conditionalFormatting>
  <conditionalFormatting sqref="C73">
    <cfRule type="expression" dxfId="27" priority="4">
      <formula>$C$73&gt;$C$75</formula>
    </cfRule>
  </conditionalFormatting>
  <conditionalFormatting sqref="C74">
    <cfRule type="expression" dxfId="26" priority="3">
      <formula>$C$74&lt;0</formula>
    </cfRule>
  </conditionalFormatting>
  <conditionalFormatting sqref="D73">
    <cfRule type="expression" dxfId="25" priority="2">
      <formula>$D$73&gt;$D$75</formula>
    </cfRule>
  </conditionalFormatting>
  <conditionalFormatting sqref="D74">
    <cfRule type="expression" dxfId="24" priority="1">
      <formula>$D$74&lt;0</formula>
    </cfRule>
  </conditionalFormatting>
  <pageMargins left="1" right="1" top="0.5" bottom="0.5" header="0.5" footer="0.5"/>
  <pageSetup scale="57" orientation="portrait" blackAndWhite="1" horizontalDpi="120" verticalDpi="144" r:id="rId1"/>
  <headerFooter alignWithMargins="0">
    <oddHeader xml:space="preserve">&amp;RState of Kansas
Special District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B1:F70"/>
  <sheetViews>
    <sheetView workbookViewId="0">
      <selection activeCell="E60" sqref="E60"/>
    </sheetView>
  </sheetViews>
  <sheetFormatPr defaultColWidth="27.77734375" defaultRowHeight="15.75"/>
  <cols>
    <col min="1" max="1" width="2.44140625" style="2" customWidth="1"/>
    <col min="2" max="2" width="31.109375" style="2" customWidth="1"/>
    <col min="3" max="5" width="15.77734375" style="2" customWidth="1"/>
    <col min="6" max="16384" width="27.77734375" style="2"/>
  </cols>
  <sheetData>
    <row r="1" spans="2:5">
      <c r="B1" s="7">
        <f>inputPrYr!D3</f>
        <v>0</v>
      </c>
      <c r="C1" s="131"/>
      <c r="D1" s="7"/>
      <c r="E1" s="484">
        <f>inputPrYr!D22</f>
        <v>2024</v>
      </c>
    </row>
    <row r="2" spans="2:5">
      <c r="B2" s="7">
        <f>inputPrYr!D4</f>
        <v>0</v>
      </c>
      <c r="C2" s="131"/>
      <c r="D2" s="7"/>
      <c r="E2" s="484"/>
    </row>
    <row r="3" spans="2:5">
      <c r="B3" s="10" t="s">
        <v>317</v>
      </c>
      <c r="C3" s="131"/>
      <c r="D3" s="131"/>
      <c r="E3" s="132"/>
    </row>
    <row r="4" spans="2:5">
      <c r="B4" s="7"/>
      <c r="C4" s="58"/>
      <c r="D4" s="58"/>
      <c r="E4" s="58"/>
    </row>
    <row r="5" spans="2:5">
      <c r="B5" s="6" t="s">
        <v>282</v>
      </c>
      <c r="C5" s="152" t="s">
        <v>283</v>
      </c>
      <c r="D5" s="470" t="s">
        <v>284</v>
      </c>
      <c r="E5" s="470" t="s">
        <v>285</v>
      </c>
    </row>
    <row r="6" spans="2:5">
      <c r="B6" s="10">
        <f>inputPrYr!B42</f>
        <v>0</v>
      </c>
      <c r="C6" s="91" t="str">
        <f>CONCATENATE("Actual for ",E1-2,"")</f>
        <v>Actual for 2022</v>
      </c>
      <c r="D6" s="91" t="str">
        <f>CONCATENATE("Estimate for ",E1-1,"")</f>
        <v>Estimate for 2023</v>
      </c>
      <c r="E6" s="91" t="str">
        <f>CONCATENATE("Year for ",E1,"")</f>
        <v>Year for 2024</v>
      </c>
    </row>
    <row r="7" spans="2:5">
      <c r="B7" s="476" t="s">
        <v>286</v>
      </c>
      <c r="C7" s="15"/>
      <c r="D7" s="69">
        <f>C31</f>
        <v>0</v>
      </c>
      <c r="E7" s="69">
        <f>D31</f>
        <v>0</v>
      </c>
    </row>
    <row r="8" spans="2:5">
      <c r="B8" s="81" t="s">
        <v>287</v>
      </c>
      <c r="C8" s="25"/>
      <c r="D8" s="25"/>
      <c r="E8" s="25"/>
    </row>
    <row r="9" spans="2:5">
      <c r="B9" s="135"/>
      <c r="C9" s="115"/>
      <c r="D9" s="115"/>
      <c r="E9" s="115"/>
    </row>
    <row r="10" spans="2:5">
      <c r="B10" s="135"/>
      <c r="C10" s="115"/>
      <c r="D10" s="115"/>
      <c r="E10" s="115"/>
    </row>
    <row r="11" spans="2:5">
      <c r="B11" s="135"/>
      <c r="C11" s="115"/>
      <c r="D11" s="115"/>
      <c r="E11" s="115"/>
    </row>
    <row r="12" spans="2:5">
      <c r="B12" s="135"/>
      <c r="C12" s="115"/>
      <c r="D12" s="115"/>
      <c r="E12" s="115"/>
    </row>
    <row r="13" spans="2:5">
      <c r="B13" s="135"/>
      <c r="C13" s="115"/>
      <c r="D13" s="115"/>
      <c r="E13" s="115"/>
    </row>
    <row r="14" spans="2:5">
      <c r="B14" s="135"/>
      <c r="C14" s="115"/>
      <c r="D14" s="115"/>
      <c r="E14" s="115"/>
    </row>
    <row r="15" spans="2:5">
      <c r="B15" s="136" t="s">
        <v>296</v>
      </c>
      <c r="C15" s="115"/>
      <c r="D15" s="115"/>
      <c r="E15" s="115"/>
    </row>
    <row r="16" spans="2:5">
      <c r="B16" s="137" t="s">
        <v>297</v>
      </c>
      <c r="C16" s="115"/>
      <c r="D16" s="138"/>
      <c r="E16" s="138"/>
    </row>
    <row r="17" spans="2:5">
      <c r="B17" s="137" t="s">
        <v>298</v>
      </c>
      <c r="C17" s="232" t="str">
        <f>IF(C18*0.1&lt;C16,"Exceed 10% Rule","")</f>
        <v/>
      </c>
      <c r="D17" s="139" t="str">
        <f>IF(D18*0.1&lt;D16,"Exceed 10% Rule","")</f>
        <v/>
      </c>
      <c r="E17" s="139" t="str">
        <f>IF(E18*0.1&lt;E16,"Exceed 10% Rule","")</f>
        <v/>
      </c>
    </row>
    <row r="18" spans="2:5">
      <c r="B18" s="140" t="s">
        <v>299</v>
      </c>
      <c r="C18" s="151">
        <f>SUM(C9:C16)</f>
        <v>0</v>
      </c>
      <c r="D18" s="151">
        <f>SUM(D9:D16)</f>
        <v>0</v>
      </c>
      <c r="E18" s="151">
        <f>SUM(E9:E16)</f>
        <v>0</v>
      </c>
    </row>
    <row r="19" spans="2:5">
      <c r="B19" s="140" t="s">
        <v>300</v>
      </c>
      <c r="C19" s="151">
        <f>C18+C7</f>
        <v>0</v>
      </c>
      <c r="D19" s="151">
        <f>D18+D7</f>
        <v>0</v>
      </c>
      <c r="E19" s="151">
        <f>E18+E7</f>
        <v>0</v>
      </c>
    </row>
    <row r="20" spans="2:5">
      <c r="B20" s="476" t="s">
        <v>301</v>
      </c>
      <c r="C20" s="25"/>
      <c r="D20" s="25"/>
      <c r="E20" s="25"/>
    </row>
    <row r="21" spans="2:5">
      <c r="B21" s="135"/>
      <c r="C21" s="115"/>
      <c r="D21" s="115"/>
      <c r="E21" s="115"/>
    </row>
    <row r="22" spans="2:5">
      <c r="B22" s="135"/>
      <c r="C22" s="115"/>
      <c r="D22" s="115"/>
      <c r="E22" s="115"/>
    </row>
    <row r="23" spans="2:5">
      <c r="B23" s="135"/>
      <c r="C23" s="115"/>
      <c r="D23" s="115"/>
      <c r="E23" s="115"/>
    </row>
    <row r="24" spans="2:5">
      <c r="B24" s="135"/>
      <c r="C24" s="115"/>
      <c r="D24" s="115"/>
      <c r="E24" s="115"/>
    </row>
    <row r="25" spans="2:5">
      <c r="B25" s="135"/>
      <c r="C25" s="115"/>
      <c r="D25" s="115"/>
      <c r="E25" s="115"/>
    </row>
    <row r="26" spans="2:5">
      <c r="B26" s="135"/>
      <c r="C26" s="115"/>
      <c r="D26" s="115"/>
      <c r="E26" s="115"/>
    </row>
    <row r="27" spans="2:5">
      <c r="B27" s="70" t="str">
        <f>CONCATENATE("Cash Forward (",E1," column)")</f>
        <v>Cash Forward (2024 column)</v>
      </c>
      <c r="C27" s="115"/>
      <c r="D27" s="115"/>
      <c r="E27" s="115"/>
    </row>
    <row r="28" spans="2:5">
      <c r="B28" s="70" t="s">
        <v>297</v>
      </c>
      <c r="C28" s="115"/>
      <c r="D28" s="138"/>
      <c r="E28" s="138"/>
    </row>
    <row r="29" spans="2:5">
      <c r="B29" s="70" t="s">
        <v>307</v>
      </c>
      <c r="C29" s="232" t="str">
        <f>IF(C30*0.1&lt;C28,"Exceed 10% Rule","")</f>
        <v/>
      </c>
      <c r="D29" s="139" t="str">
        <f>IF(D30*0.1&lt;D28,"Exceed 10% Rule","")</f>
        <v/>
      </c>
      <c r="E29" s="139" t="str">
        <f>IF(E30*0.1&lt;E28,"Exceed 10% Rule","")</f>
        <v/>
      </c>
    </row>
    <row r="30" spans="2:5">
      <c r="B30" s="140" t="s">
        <v>308</v>
      </c>
      <c r="C30" s="151">
        <f>SUM(C21:C28)</f>
        <v>0</v>
      </c>
      <c r="D30" s="151">
        <f>SUM(D21:D28)</f>
        <v>0</v>
      </c>
      <c r="E30" s="151">
        <f>SUM(E21:E28)</f>
        <v>0</v>
      </c>
    </row>
    <row r="31" spans="2:5">
      <c r="B31" s="476" t="s">
        <v>309</v>
      </c>
      <c r="C31" s="69">
        <f>C19-C30</f>
        <v>0</v>
      </c>
      <c r="D31" s="69">
        <f>D19-D30</f>
        <v>0</v>
      </c>
      <c r="E31" s="69">
        <f>E19-E30</f>
        <v>0</v>
      </c>
    </row>
    <row r="32" spans="2:5">
      <c r="B32" s="6" t="str">
        <f>CONCATENATE("",E1-2,"/",E1-1,"/",E1," Budget Authority Amount:")</f>
        <v>2022/2023/2024 Budget Authority Amount:</v>
      </c>
      <c r="C32" s="144">
        <f>inputOth!B113</f>
        <v>0</v>
      </c>
      <c r="D32" s="144">
        <f>inputPrYr!D42</f>
        <v>0</v>
      </c>
      <c r="E32" s="330">
        <f>E30</f>
        <v>0</v>
      </c>
    </row>
    <row r="33" spans="2:5">
      <c r="B33" s="484"/>
      <c r="C33" s="237" t="str">
        <f>IF(C30&gt;C32,"See Tab A","")</f>
        <v/>
      </c>
      <c r="D33" s="237" t="str">
        <f>IF(D30&gt;D32,"See Tab C","")</f>
        <v/>
      </c>
      <c r="E33" s="331" t="str">
        <f>IF(E31&lt;0,"See Tab E","")</f>
        <v/>
      </c>
    </row>
    <row r="34" spans="2:5">
      <c r="B34" s="484"/>
      <c r="C34" s="237" t="str">
        <f>IF(C31&lt;0,"See Tab B","")</f>
        <v/>
      </c>
      <c r="D34" s="237" t="str">
        <f>IF(D31&lt;0,"See Tab D","")</f>
        <v/>
      </c>
      <c r="E34" s="17"/>
    </row>
    <row r="35" spans="2:5">
      <c r="B35" s="7"/>
      <c r="C35" s="85"/>
      <c r="D35" s="85"/>
      <c r="E35" s="85"/>
    </row>
    <row r="36" spans="2:5">
      <c r="B36" s="7"/>
      <c r="C36" s="58"/>
      <c r="D36" s="58"/>
      <c r="E36" s="58"/>
    </row>
    <row r="37" spans="2:5">
      <c r="B37" s="6" t="s">
        <v>282</v>
      </c>
      <c r="C37" s="152" t="s">
        <v>283</v>
      </c>
      <c r="D37" s="470" t="s">
        <v>284</v>
      </c>
      <c r="E37" s="470" t="s">
        <v>285</v>
      </c>
    </row>
    <row r="38" spans="2:5">
      <c r="B38" s="231">
        <f>inputPrYr!B43</f>
        <v>0</v>
      </c>
      <c r="C38" s="91" t="str">
        <f>C6</f>
        <v>Actual for 2022</v>
      </c>
      <c r="D38" s="91" t="str">
        <f>D6</f>
        <v>Estimate for 2023</v>
      </c>
      <c r="E38" s="91" t="str">
        <f>E6</f>
        <v>Year for 2024</v>
      </c>
    </row>
    <row r="39" spans="2:5">
      <c r="B39" s="476" t="s">
        <v>286</v>
      </c>
      <c r="C39" s="15"/>
      <c r="D39" s="69">
        <f>C63</f>
        <v>0</v>
      </c>
      <c r="E39" s="69">
        <f>D63</f>
        <v>0</v>
      </c>
    </row>
    <row r="40" spans="2:5">
      <c r="B40" s="476" t="s">
        <v>287</v>
      </c>
      <c r="C40" s="25"/>
      <c r="D40" s="25"/>
      <c r="E40" s="25"/>
    </row>
    <row r="41" spans="2:5">
      <c r="B41" s="135"/>
      <c r="C41" s="115"/>
      <c r="D41" s="115"/>
      <c r="E41" s="115"/>
    </row>
    <row r="42" spans="2:5">
      <c r="B42" s="135"/>
      <c r="C42" s="115"/>
      <c r="D42" s="115"/>
      <c r="E42" s="115"/>
    </row>
    <row r="43" spans="2:5">
      <c r="B43" s="135"/>
      <c r="C43" s="115"/>
      <c r="D43" s="115"/>
      <c r="E43" s="115"/>
    </row>
    <row r="44" spans="2:5">
      <c r="B44" s="135"/>
      <c r="C44" s="115"/>
      <c r="D44" s="115"/>
      <c r="E44" s="115"/>
    </row>
    <row r="45" spans="2:5">
      <c r="B45" s="135"/>
      <c r="C45" s="115"/>
      <c r="D45" s="115"/>
      <c r="E45" s="115"/>
    </row>
    <row r="46" spans="2:5">
      <c r="B46" s="135"/>
      <c r="C46" s="115"/>
      <c r="D46" s="115"/>
      <c r="E46" s="115"/>
    </row>
    <row r="47" spans="2:5">
      <c r="B47" s="136" t="s">
        <v>296</v>
      </c>
      <c r="C47" s="115"/>
      <c r="D47" s="115"/>
      <c r="E47" s="115"/>
    </row>
    <row r="48" spans="2:5">
      <c r="B48" s="137" t="s">
        <v>297</v>
      </c>
      <c r="C48" s="115"/>
      <c r="D48" s="138"/>
      <c r="E48" s="138"/>
    </row>
    <row r="49" spans="2:6">
      <c r="B49" s="137" t="s">
        <v>298</v>
      </c>
      <c r="C49" s="232" t="str">
        <f>IF(C50*0.1&lt;C48,"Exceed 10% Rule","")</f>
        <v/>
      </c>
      <c r="D49" s="139" t="str">
        <f>IF(D50*0.1&lt;D48,"Exceed 10% Rule","")</f>
        <v/>
      </c>
      <c r="E49" s="139" t="str">
        <f>IF(E50*0.1&lt;E48,"Exceed 10% Rule","")</f>
        <v/>
      </c>
    </row>
    <row r="50" spans="2:6">
      <c r="B50" s="140" t="s">
        <v>299</v>
      </c>
      <c r="C50" s="151">
        <f>SUM(C41:C48)</f>
        <v>0</v>
      </c>
      <c r="D50" s="151">
        <f>SUM(D41:D48)</f>
        <v>0</v>
      </c>
      <c r="E50" s="151">
        <f>SUM(E41:E48)</f>
        <v>0</v>
      </c>
    </row>
    <row r="51" spans="2:6">
      <c r="B51" s="140" t="s">
        <v>300</v>
      </c>
      <c r="C51" s="151">
        <f>C50+C39</f>
        <v>0</v>
      </c>
      <c r="D51" s="151">
        <f>D50+D39</f>
        <v>0</v>
      </c>
      <c r="E51" s="151">
        <f>E50+E39</f>
        <v>0</v>
      </c>
    </row>
    <row r="52" spans="2:6">
      <c r="B52" s="476" t="s">
        <v>301</v>
      </c>
      <c r="C52" s="25"/>
      <c r="D52" s="25"/>
      <c r="E52" s="25"/>
    </row>
    <row r="53" spans="2:6">
      <c r="B53" s="135"/>
      <c r="C53" s="115"/>
      <c r="D53" s="115"/>
      <c r="E53" s="115"/>
    </row>
    <row r="54" spans="2:6">
      <c r="B54" s="135"/>
      <c r="C54" s="115"/>
      <c r="D54" s="115"/>
      <c r="E54" s="115"/>
    </row>
    <row r="55" spans="2:6">
      <c r="B55" s="135"/>
      <c r="C55" s="115"/>
      <c r="D55" s="115"/>
      <c r="E55" s="115"/>
    </row>
    <row r="56" spans="2:6">
      <c r="B56" s="135"/>
      <c r="C56" s="115"/>
      <c r="D56" s="115"/>
      <c r="E56" s="115"/>
    </row>
    <row r="57" spans="2:6">
      <c r="B57" s="135"/>
      <c r="C57" s="115"/>
      <c r="D57" s="115"/>
      <c r="E57" s="115"/>
    </row>
    <row r="58" spans="2:6">
      <c r="B58" s="135"/>
      <c r="C58" s="115"/>
      <c r="D58" s="115"/>
      <c r="E58" s="115"/>
    </row>
    <row r="59" spans="2:6">
      <c r="B59" s="70" t="str">
        <f>CONCATENATE("Cash Forward (",E1," column)")</f>
        <v>Cash Forward (2024 column)</v>
      </c>
      <c r="C59" s="115"/>
      <c r="D59" s="115"/>
      <c r="E59" s="115"/>
    </row>
    <row r="60" spans="2:6">
      <c r="B60" s="70" t="s">
        <v>297</v>
      </c>
      <c r="C60" s="115"/>
      <c r="D60" s="138"/>
      <c r="E60" s="138"/>
      <c r="F60" s="2" t="s">
        <v>318</v>
      </c>
    </row>
    <row r="61" spans="2:6">
      <c r="B61" s="70" t="s">
        <v>307</v>
      </c>
      <c r="C61" s="232" t="str">
        <f>IF(C62*0.1&lt;C60,"Exceed 10% Rule","")</f>
        <v/>
      </c>
      <c r="D61" s="139" t="str">
        <f>IF(D62*0.1&lt;D60,"Exceed 10% Rule","")</f>
        <v/>
      </c>
      <c r="E61" s="139" t="str">
        <f>IF(E62*0.1&lt;E60,"Exceed 10% Rule","")</f>
        <v/>
      </c>
    </row>
    <row r="62" spans="2:6">
      <c r="B62" s="140" t="s">
        <v>308</v>
      </c>
      <c r="C62" s="151">
        <f>SUM(C53:C60)</f>
        <v>0</v>
      </c>
      <c r="D62" s="151">
        <f>SUM(D53:D60)</f>
        <v>0</v>
      </c>
      <c r="E62" s="151">
        <f>SUM(E53:E60)</f>
        <v>0</v>
      </c>
    </row>
    <row r="63" spans="2:6">
      <c r="B63" s="476" t="s">
        <v>309</v>
      </c>
      <c r="C63" s="69">
        <f>C51-C62</f>
        <v>0</v>
      </c>
      <c r="D63" s="69">
        <f>D51-D62</f>
        <v>0</v>
      </c>
      <c r="E63" s="69">
        <f>E51-E62</f>
        <v>0</v>
      </c>
    </row>
    <row r="64" spans="2:6">
      <c r="B64" s="6" t="str">
        <f>CONCATENATE("",E1-2,"/",E1-1,"/",E1," Budget Authority Amount:")</f>
        <v>2022/2023/2024 Budget Authority Amount:</v>
      </c>
      <c r="C64" s="144">
        <f>inputOth!B114</f>
        <v>0</v>
      </c>
      <c r="D64" s="144">
        <f>inputPrYr!D43</f>
        <v>0</v>
      </c>
      <c r="E64" s="330">
        <f>E62</f>
        <v>0</v>
      </c>
    </row>
    <row r="65" spans="2:5">
      <c r="B65" s="484"/>
      <c r="C65" s="237" t="str">
        <f>IF(C62&gt;C64,"See Tab A","")</f>
        <v/>
      </c>
      <c r="D65" s="237" t="str">
        <f>IF(D62&gt;D64,"See Tab C","")</f>
        <v/>
      </c>
      <c r="E65" s="332" t="str">
        <f>IF(E63&lt;0,"See Tab E","")</f>
        <v/>
      </c>
    </row>
    <row r="66" spans="2:5">
      <c r="B66" s="372" t="s">
        <v>201</v>
      </c>
      <c r="C66" s="389"/>
      <c r="D66" s="389"/>
      <c r="E66" s="390"/>
    </row>
    <row r="67" spans="2:5">
      <c r="B67" s="383"/>
      <c r="C67" s="391"/>
      <c r="D67" s="391"/>
      <c r="E67" s="392"/>
    </row>
    <row r="68" spans="2:5">
      <c r="B68" s="386"/>
      <c r="C68" s="393" t="str">
        <f>IF(C63&lt;0,"See Tab B","")</f>
        <v/>
      </c>
      <c r="D68" s="393" t="str">
        <f>IF(D63&lt;0,"See Tab D","")</f>
        <v/>
      </c>
      <c r="E68" s="388"/>
    </row>
    <row r="69" spans="2:5">
      <c r="B69" s="7"/>
      <c r="C69" s="7"/>
      <c r="D69" s="131"/>
      <c r="E69" s="131"/>
    </row>
    <row r="70" spans="2:5">
      <c r="B70" s="484" t="s">
        <v>316</v>
      </c>
      <c r="C70" s="348"/>
      <c r="D70" s="7"/>
      <c r="E70" s="7"/>
    </row>
  </sheetData>
  <sheetProtection sheet="1" objects="1" scenarios="1"/>
  <phoneticPr fontId="0" type="noConversion"/>
  <conditionalFormatting sqref="C60">
    <cfRule type="cellIs" dxfId="23" priority="13" stopIfTrue="1" operator="greaterThan">
      <formula>$C$62*0.1</formula>
    </cfRule>
  </conditionalFormatting>
  <conditionalFormatting sqref="D60">
    <cfRule type="cellIs" dxfId="22" priority="14" stopIfTrue="1" operator="greaterThan">
      <formula>$D$62*0.1</formula>
    </cfRule>
  </conditionalFormatting>
  <conditionalFormatting sqref="E60">
    <cfRule type="cellIs" dxfId="21" priority="15" stopIfTrue="1" operator="greaterThan">
      <formula>$E$62*0.1</formula>
    </cfRule>
  </conditionalFormatting>
  <conditionalFormatting sqref="C48">
    <cfRule type="cellIs" dxfId="20" priority="16" stopIfTrue="1" operator="greaterThan">
      <formula>$C$50*0.1</formula>
    </cfRule>
  </conditionalFormatting>
  <conditionalFormatting sqref="D48">
    <cfRule type="cellIs" dxfId="19" priority="17" stopIfTrue="1" operator="greaterThan">
      <formula>$D$50*0.1</formula>
    </cfRule>
  </conditionalFormatting>
  <conditionalFormatting sqref="E48">
    <cfRule type="cellIs" dxfId="18" priority="18" stopIfTrue="1" operator="greaterThan">
      <formula>$E$50*0.1</formula>
    </cfRule>
  </conditionalFormatting>
  <conditionalFormatting sqref="C28">
    <cfRule type="cellIs" dxfId="17" priority="19" stopIfTrue="1" operator="greaterThan">
      <formula>$C$30*0.1</formula>
    </cfRule>
  </conditionalFormatting>
  <conditionalFormatting sqref="D28">
    <cfRule type="cellIs" dxfId="16" priority="20" stopIfTrue="1" operator="greaterThan">
      <formula>$D$30*0.1</formula>
    </cfRule>
  </conditionalFormatting>
  <conditionalFormatting sqref="E28">
    <cfRule type="cellIs" dxfId="15" priority="21" stopIfTrue="1" operator="greaterThan">
      <formula>$E$30*0.1</formula>
    </cfRule>
  </conditionalFormatting>
  <conditionalFormatting sqref="C16">
    <cfRule type="cellIs" dxfId="14" priority="22" stopIfTrue="1" operator="greaterThan">
      <formula>$C$18*0.1</formula>
    </cfRule>
  </conditionalFormatting>
  <conditionalFormatting sqref="D16">
    <cfRule type="cellIs" dxfId="13" priority="23" stopIfTrue="1" operator="greaterThan">
      <formula>$D$18*0.1</formula>
    </cfRule>
  </conditionalFormatting>
  <conditionalFormatting sqref="E16">
    <cfRule type="cellIs" dxfId="12" priority="24" stopIfTrue="1" operator="greaterThan">
      <formula>$E$18*0.1</formula>
    </cfRule>
  </conditionalFormatting>
  <conditionalFormatting sqref="C30">
    <cfRule type="expression" dxfId="11" priority="10">
      <formula>$C$30&gt;$C$32</formula>
    </cfRule>
  </conditionalFormatting>
  <conditionalFormatting sqref="C31">
    <cfRule type="expression" dxfId="10" priority="9">
      <formula>$C$31&lt;0</formula>
    </cfRule>
  </conditionalFormatting>
  <conditionalFormatting sqref="D30">
    <cfRule type="expression" dxfId="9" priority="8">
      <formula>$D$30&gt;$D$32</formula>
    </cfRule>
  </conditionalFormatting>
  <conditionalFormatting sqref="D31">
    <cfRule type="expression" dxfId="8" priority="7">
      <formula>$D$31&lt;0</formula>
    </cfRule>
  </conditionalFormatting>
  <conditionalFormatting sqref="E31">
    <cfRule type="expression" dxfId="7" priority="6">
      <formula>$E$31&lt;0</formula>
    </cfRule>
  </conditionalFormatting>
  <conditionalFormatting sqref="C62">
    <cfRule type="expression" dxfId="6" priority="5">
      <formula>$C$62&gt;$C$64</formula>
    </cfRule>
  </conditionalFormatting>
  <conditionalFormatting sqref="C63">
    <cfRule type="expression" dxfId="5" priority="4">
      <formula>$C$63&lt;0</formula>
    </cfRule>
  </conditionalFormatting>
  <conditionalFormatting sqref="D62">
    <cfRule type="expression" dxfId="4" priority="3">
      <formula>$D$62&gt;$D$64</formula>
    </cfRule>
  </conditionalFormatting>
  <conditionalFormatting sqref="D63">
    <cfRule type="expression" dxfId="3" priority="2">
      <formula>$D$63&lt;0</formula>
    </cfRule>
  </conditionalFormatting>
  <conditionalFormatting sqref="E63">
    <cfRule type="expression" dxfId="2" priority="1">
      <formula>$E$63&lt;0</formula>
    </cfRule>
  </conditionalFormatting>
  <pageMargins left="1" right="1" top="0.5" bottom="0.5" header="0.5" footer="0.5"/>
  <pageSetup scale="71"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L45"/>
  <sheetViews>
    <sheetView workbookViewId="0">
      <selection activeCell="L1" sqref="L1"/>
    </sheetView>
  </sheetViews>
  <sheetFormatPr defaultRowHeight="15.75"/>
  <cols>
    <col min="1" max="1" width="11.5546875" style="2" customWidth="1"/>
    <col min="2" max="2" width="7.44140625" style="2" customWidth="1"/>
    <col min="3" max="3" width="11.5546875" style="2" customWidth="1"/>
    <col min="4" max="4" width="7.44140625" style="2" customWidth="1"/>
    <col min="5" max="5" width="11.5546875" style="2" customWidth="1"/>
    <col min="6" max="6" width="7.44140625" style="2" customWidth="1"/>
    <col min="7" max="7" width="11.5546875" style="2" customWidth="1"/>
    <col min="8" max="8" width="7.44140625" style="2" customWidth="1"/>
    <col min="9" max="9" width="11.5546875" style="2" customWidth="1"/>
    <col min="10" max="16384" width="8.88671875" style="2"/>
  </cols>
  <sheetData>
    <row r="1" spans="1:11">
      <c r="A1" s="85">
        <f>inputPrYr!$D$3</f>
        <v>0</v>
      </c>
      <c r="B1" s="475"/>
      <c r="C1" s="7"/>
      <c r="D1" s="7"/>
      <c r="E1" s="7"/>
      <c r="F1" s="473" t="s">
        <v>319</v>
      </c>
      <c r="G1" s="7"/>
      <c r="H1" s="7"/>
      <c r="I1" s="7"/>
      <c r="J1" s="7"/>
      <c r="K1" s="7">
        <f>inputPrYr!$D$22</f>
        <v>2024</v>
      </c>
    </row>
    <row r="2" spans="1:11">
      <c r="A2" s="7"/>
      <c r="B2" s="7"/>
      <c r="C2" s="7"/>
      <c r="D2" s="7"/>
      <c r="E2" s="7"/>
      <c r="F2" s="153" t="str">
        <f>CONCATENATE("(Only the actual budget year for ",K1-2," is reported)")</f>
        <v>(Only the actual budget year for 2022 is reported)</v>
      </c>
      <c r="G2" s="7"/>
      <c r="H2" s="7"/>
      <c r="I2" s="7"/>
      <c r="J2" s="7"/>
      <c r="K2" s="7"/>
    </row>
    <row r="3" spans="1:11">
      <c r="A3" s="7" t="s">
        <v>320</v>
      </c>
      <c r="B3" s="7"/>
      <c r="C3" s="7"/>
      <c r="D3" s="7"/>
      <c r="E3" s="7"/>
      <c r="F3" s="475"/>
      <c r="G3" s="7"/>
      <c r="H3" s="7"/>
      <c r="I3" s="7"/>
      <c r="J3" s="7"/>
      <c r="K3" s="7"/>
    </row>
    <row r="4" spans="1:11">
      <c r="A4" s="7" t="s">
        <v>321</v>
      </c>
      <c r="B4" s="7"/>
      <c r="C4" s="7" t="s">
        <v>322</v>
      </c>
      <c r="D4" s="7"/>
      <c r="E4" s="7" t="s">
        <v>323</v>
      </c>
      <c r="F4" s="475"/>
      <c r="G4" s="7" t="s">
        <v>324</v>
      </c>
      <c r="H4" s="7"/>
      <c r="I4" s="7" t="s">
        <v>325</v>
      </c>
      <c r="J4" s="7"/>
      <c r="K4" s="7"/>
    </row>
    <row r="5" spans="1:11">
      <c r="A5" s="634">
        <f>inputPrYr!B46</f>
        <v>0</v>
      </c>
      <c r="B5" s="635"/>
      <c r="C5" s="634">
        <f>inputPrYr!B47</f>
        <v>0</v>
      </c>
      <c r="D5" s="635"/>
      <c r="E5" s="634">
        <f>inputPrYr!B48</f>
        <v>0</v>
      </c>
      <c r="F5" s="635"/>
      <c r="G5" s="634">
        <f>inputPrYr!B49</f>
        <v>0</v>
      </c>
      <c r="H5" s="635"/>
      <c r="I5" s="634">
        <f>inputPrYr!B50</f>
        <v>0</v>
      </c>
      <c r="J5" s="635"/>
      <c r="K5" s="20"/>
    </row>
    <row r="6" spans="1:11">
      <c r="A6" s="154" t="s">
        <v>326</v>
      </c>
      <c r="B6" s="155"/>
      <c r="C6" s="156" t="s">
        <v>326</v>
      </c>
      <c r="D6" s="157"/>
      <c r="E6" s="156" t="s">
        <v>326</v>
      </c>
      <c r="F6" s="71"/>
      <c r="G6" s="156" t="s">
        <v>326</v>
      </c>
      <c r="H6" s="30"/>
      <c r="I6" s="156" t="s">
        <v>326</v>
      </c>
      <c r="J6" s="7"/>
      <c r="K6" s="482" t="s">
        <v>115</v>
      </c>
    </row>
    <row r="7" spans="1:11">
      <c r="A7" s="158" t="s">
        <v>327</v>
      </c>
      <c r="B7" s="159"/>
      <c r="C7" s="160" t="s">
        <v>327</v>
      </c>
      <c r="D7" s="159"/>
      <c r="E7" s="160" t="s">
        <v>327</v>
      </c>
      <c r="F7" s="159"/>
      <c r="G7" s="160" t="s">
        <v>327</v>
      </c>
      <c r="H7" s="159"/>
      <c r="I7" s="160" t="s">
        <v>327</v>
      </c>
      <c r="J7" s="159"/>
      <c r="K7" s="161">
        <f>SUM(B7+D7+F7+H7+J7)</f>
        <v>0</v>
      </c>
    </row>
    <row r="8" spans="1:11">
      <c r="A8" s="162" t="s">
        <v>287</v>
      </c>
      <c r="B8" s="163"/>
      <c r="C8" s="162" t="s">
        <v>287</v>
      </c>
      <c r="D8" s="164"/>
      <c r="E8" s="162" t="s">
        <v>287</v>
      </c>
      <c r="F8" s="475"/>
      <c r="G8" s="162" t="s">
        <v>287</v>
      </c>
      <c r="H8" s="7"/>
      <c r="I8" s="162" t="s">
        <v>287</v>
      </c>
      <c r="J8" s="7"/>
      <c r="K8" s="475"/>
    </row>
    <row r="9" spans="1:11">
      <c r="A9" s="165"/>
      <c r="B9" s="159"/>
      <c r="C9" s="165"/>
      <c r="D9" s="159"/>
      <c r="E9" s="165"/>
      <c r="F9" s="159"/>
      <c r="G9" s="165"/>
      <c r="H9" s="159"/>
      <c r="I9" s="165"/>
      <c r="J9" s="159"/>
      <c r="K9" s="475"/>
    </row>
    <row r="10" spans="1:11">
      <c r="A10" s="165"/>
      <c r="B10" s="159"/>
      <c r="C10" s="165"/>
      <c r="D10" s="159"/>
      <c r="E10" s="165"/>
      <c r="F10" s="159"/>
      <c r="G10" s="165"/>
      <c r="H10" s="159"/>
      <c r="I10" s="165"/>
      <c r="J10" s="159"/>
      <c r="K10" s="475"/>
    </row>
    <row r="11" spans="1:11">
      <c r="A11" s="165"/>
      <c r="B11" s="159"/>
      <c r="C11" s="166"/>
      <c r="D11" s="167"/>
      <c r="E11" s="166"/>
      <c r="F11" s="159"/>
      <c r="G11" s="166"/>
      <c r="H11" s="159"/>
      <c r="I11" s="168"/>
      <c r="J11" s="159"/>
      <c r="K11" s="475"/>
    </row>
    <row r="12" spans="1:11">
      <c r="A12" s="165"/>
      <c r="B12" s="169"/>
      <c r="C12" s="165"/>
      <c r="D12" s="170"/>
      <c r="E12" s="171"/>
      <c r="F12" s="159"/>
      <c r="G12" s="171"/>
      <c r="H12" s="159"/>
      <c r="I12" s="171"/>
      <c r="J12" s="159"/>
      <c r="K12" s="475"/>
    </row>
    <row r="13" spans="1:11">
      <c r="A13" s="172"/>
      <c r="B13" s="173"/>
      <c r="C13" s="174"/>
      <c r="D13" s="170"/>
      <c r="E13" s="174"/>
      <c r="F13" s="159"/>
      <c r="G13" s="174"/>
      <c r="H13" s="159"/>
      <c r="I13" s="168"/>
      <c r="J13" s="159"/>
      <c r="K13" s="475"/>
    </row>
    <row r="14" spans="1:11">
      <c r="A14" s="165"/>
      <c r="B14" s="159"/>
      <c r="C14" s="171"/>
      <c r="D14" s="170"/>
      <c r="E14" s="171"/>
      <c r="F14" s="159"/>
      <c r="G14" s="171"/>
      <c r="H14" s="159"/>
      <c r="I14" s="171"/>
      <c r="J14" s="159"/>
      <c r="K14" s="475"/>
    </row>
    <row r="15" spans="1:11">
      <c r="A15" s="165"/>
      <c r="B15" s="159"/>
      <c r="C15" s="171"/>
      <c r="D15" s="170"/>
      <c r="E15" s="171"/>
      <c r="F15" s="159"/>
      <c r="G15" s="171"/>
      <c r="H15" s="159"/>
      <c r="I15" s="171"/>
      <c r="J15" s="159"/>
      <c r="K15" s="475"/>
    </row>
    <row r="16" spans="1:11">
      <c r="A16" s="165"/>
      <c r="B16" s="173"/>
      <c r="C16" s="165"/>
      <c r="D16" s="170"/>
      <c r="E16" s="165"/>
      <c r="F16" s="159"/>
      <c r="G16" s="171"/>
      <c r="H16" s="159"/>
      <c r="I16" s="165"/>
      <c r="J16" s="159"/>
      <c r="K16" s="475"/>
    </row>
    <row r="17" spans="1:12">
      <c r="A17" s="162" t="s">
        <v>299</v>
      </c>
      <c r="B17" s="161">
        <f>SUM(B9:B16)</f>
        <v>0</v>
      </c>
      <c r="C17" s="162" t="s">
        <v>299</v>
      </c>
      <c r="D17" s="161">
        <f>SUM(D9:D16)</f>
        <v>0</v>
      </c>
      <c r="E17" s="162" t="s">
        <v>299</v>
      </c>
      <c r="F17" s="175">
        <f>SUM(F9:F16)</f>
        <v>0</v>
      </c>
      <c r="G17" s="162" t="s">
        <v>299</v>
      </c>
      <c r="H17" s="161">
        <f>SUM(H9:H16)</f>
        <v>0</v>
      </c>
      <c r="I17" s="162" t="s">
        <v>299</v>
      </c>
      <c r="J17" s="161">
        <f>SUM(J9:J16)</f>
        <v>0</v>
      </c>
      <c r="K17" s="161">
        <f>SUM(B17+D17+F17+H17+J17)</f>
        <v>0</v>
      </c>
    </row>
    <row r="18" spans="1:12">
      <c r="A18" s="162" t="s">
        <v>300</v>
      </c>
      <c r="B18" s="161">
        <f>SUM(B7+B17)</f>
        <v>0</v>
      </c>
      <c r="C18" s="162" t="s">
        <v>300</v>
      </c>
      <c r="D18" s="161">
        <f>SUM(D7+D17)</f>
        <v>0</v>
      </c>
      <c r="E18" s="162" t="s">
        <v>300</v>
      </c>
      <c r="F18" s="161">
        <f>SUM(F7+F17)</f>
        <v>0</v>
      </c>
      <c r="G18" s="162" t="s">
        <v>300</v>
      </c>
      <c r="H18" s="161">
        <f>SUM(H7+H17)</f>
        <v>0</v>
      </c>
      <c r="I18" s="162" t="s">
        <v>300</v>
      </c>
      <c r="J18" s="161">
        <f>SUM(J7+J17)</f>
        <v>0</v>
      </c>
      <c r="K18" s="161">
        <f>SUM(B18+D18+F18+H18+J18)</f>
        <v>0</v>
      </c>
    </row>
    <row r="19" spans="1:12">
      <c r="A19" s="162" t="s">
        <v>301</v>
      </c>
      <c r="B19" s="163"/>
      <c r="C19" s="162" t="s">
        <v>301</v>
      </c>
      <c r="D19" s="164"/>
      <c r="E19" s="162" t="s">
        <v>301</v>
      </c>
      <c r="F19" s="475"/>
      <c r="G19" s="162" t="s">
        <v>301</v>
      </c>
      <c r="H19" s="7"/>
      <c r="I19" s="162" t="s">
        <v>301</v>
      </c>
      <c r="J19" s="7"/>
      <c r="K19" s="475"/>
    </row>
    <row r="20" spans="1:12">
      <c r="A20" s="165"/>
      <c r="B20" s="159"/>
      <c r="C20" s="171"/>
      <c r="D20" s="159"/>
      <c r="E20" s="171"/>
      <c r="F20" s="159"/>
      <c r="G20" s="171"/>
      <c r="H20" s="159"/>
      <c r="I20" s="171"/>
      <c r="J20" s="159"/>
      <c r="K20" s="475"/>
    </row>
    <row r="21" spans="1:12">
      <c r="A21" s="165"/>
      <c r="B21" s="159"/>
      <c r="C21" s="171"/>
      <c r="D21" s="159"/>
      <c r="E21" s="171"/>
      <c r="F21" s="159"/>
      <c r="G21" s="171"/>
      <c r="H21" s="159"/>
      <c r="I21" s="171"/>
      <c r="J21" s="159"/>
      <c r="K21" s="475"/>
    </row>
    <row r="22" spans="1:12">
      <c r="A22" s="165"/>
      <c r="B22" s="159"/>
      <c r="C22" s="174"/>
      <c r="D22" s="159"/>
      <c r="E22" s="174"/>
      <c r="F22" s="159"/>
      <c r="G22" s="174"/>
      <c r="H22" s="159"/>
      <c r="I22" s="168"/>
      <c r="J22" s="159"/>
      <c r="K22" s="475"/>
    </row>
    <row r="23" spans="1:12">
      <c r="A23" s="165"/>
      <c r="B23" s="159"/>
      <c r="C23" s="171"/>
      <c r="D23" s="159"/>
      <c r="E23" s="171"/>
      <c r="F23" s="159"/>
      <c r="G23" s="171"/>
      <c r="H23" s="159"/>
      <c r="I23" s="171"/>
      <c r="J23" s="159"/>
      <c r="K23" s="475"/>
    </row>
    <row r="24" spans="1:12">
      <c r="A24" s="165"/>
      <c r="B24" s="159"/>
      <c r="C24" s="174"/>
      <c r="D24" s="159"/>
      <c r="E24" s="174"/>
      <c r="F24" s="159"/>
      <c r="G24" s="174"/>
      <c r="H24" s="159"/>
      <c r="I24" s="168"/>
      <c r="J24" s="159"/>
      <c r="K24" s="475"/>
    </row>
    <row r="25" spans="1:12">
      <c r="A25" s="165"/>
      <c r="B25" s="159"/>
      <c r="C25" s="171"/>
      <c r="D25" s="159"/>
      <c r="E25" s="171"/>
      <c r="F25" s="159"/>
      <c r="G25" s="171"/>
      <c r="H25" s="159"/>
      <c r="I25" s="171"/>
      <c r="J25" s="159"/>
      <c r="K25" s="475"/>
    </row>
    <row r="26" spans="1:12">
      <c r="A26" s="165"/>
      <c r="B26" s="159"/>
      <c r="C26" s="171"/>
      <c r="D26" s="159"/>
      <c r="E26" s="171"/>
      <c r="F26" s="159"/>
      <c r="G26" s="171"/>
      <c r="H26" s="159"/>
      <c r="I26" s="171"/>
      <c r="J26" s="159"/>
      <c r="K26" s="475"/>
    </row>
    <row r="27" spans="1:12">
      <c r="A27" s="165"/>
      <c r="B27" s="159"/>
      <c r="C27" s="165"/>
      <c r="D27" s="159"/>
      <c r="E27" s="165"/>
      <c r="F27" s="159"/>
      <c r="G27" s="171"/>
      <c r="H27" s="159"/>
      <c r="I27" s="171"/>
      <c r="J27" s="159"/>
      <c r="K27" s="475"/>
    </row>
    <row r="28" spans="1:12">
      <c r="A28" s="162" t="s">
        <v>308</v>
      </c>
      <c r="B28" s="161">
        <f>SUM(B20:B27)</f>
        <v>0</v>
      </c>
      <c r="C28" s="162" t="s">
        <v>308</v>
      </c>
      <c r="D28" s="161">
        <f>SUM(D20:D27)</f>
        <v>0</v>
      </c>
      <c r="E28" s="162" t="s">
        <v>308</v>
      </c>
      <c r="F28" s="175">
        <f>SUM(F20:F27)</f>
        <v>0</v>
      </c>
      <c r="G28" s="162" t="s">
        <v>308</v>
      </c>
      <c r="H28" s="175">
        <f>SUM(H20:H27)</f>
        <v>0</v>
      </c>
      <c r="I28" s="162" t="s">
        <v>308</v>
      </c>
      <c r="J28" s="161">
        <f>SUM(J20:J27)</f>
        <v>0</v>
      </c>
      <c r="K28" s="161">
        <f>SUM(B28+D28+F28+H28+J28)</f>
        <v>0</v>
      </c>
    </row>
    <row r="29" spans="1:12">
      <c r="A29" s="162" t="s">
        <v>328</v>
      </c>
      <c r="B29" s="161">
        <f>SUM(B18-B28)</f>
        <v>0</v>
      </c>
      <c r="C29" s="162" t="s">
        <v>328</v>
      </c>
      <c r="D29" s="161">
        <f>SUM(D18-D28)</f>
        <v>0</v>
      </c>
      <c r="E29" s="162" t="s">
        <v>328</v>
      </c>
      <c r="F29" s="161">
        <f>SUM(F18-F28)</f>
        <v>0</v>
      </c>
      <c r="G29" s="162" t="s">
        <v>328</v>
      </c>
      <c r="H29" s="161">
        <f>SUM(H18-H28)</f>
        <v>0</v>
      </c>
      <c r="I29" s="162" t="s">
        <v>328</v>
      </c>
      <c r="J29" s="161">
        <f>SUM(J18-J28)</f>
        <v>0</v>
      </c>
      <c r="K29" s="176">
        <f>SUM(B29+D29+F29+H29+J29)</f>
        <v>0</v>
      </c>
      <c r="L29" s="2" t="s">
        <v>329</v>
      </c>
    </row>
    <row r="30" spans="1:12">
      <c r="A30" s="162"/>
      <c r="B30" s="198" t="str">
        <f>IF(B29&lt;0,"See Tab B","")</f>
        <v/>
      </c>
      <c r="C30" s="162"/>
      <c r="D30" s="198" t="str">
        <f>IF(D29&lt;0,"See Tab B","")</f>
        <v/>
      </c>
      <c r="E30" s="162"/>
      <c r="F30" s="198" t="str">
        <f>IF(F29&lt;0,"See Tab B","")</f>
        <v/>
      </c>
      <c r="G30" s="7"/>
      <c r="H30" s="198" t="str">
        <f>IF(H29&lt;0,"See Tab B","")</f>
        <v/>
      </c>
      <c r="I30" s="7"/>
      <c r="J30" s="198" t="str">
        <f>IF(J29&lt;0,"See Tab B","")</f>
        <v/>
      </c>
      <c r="K30" s="176">
        <f>SUM(K7+K17-K28)</f>
        <v>0</v>
      </c>
      <c r="L30" s="2" t="s">
        <v>329</v>
      </c>
    </row>
    <row r="31" spans="1:12">
      <c r="A31" s="7"/>
      <c r="B31" s="17"/>
      <c r="C31" s="7"/>
      <c r="D31" s="475"/>
      <c r="E31" s="7"/>
      <c r="F31" s="7"/>
      <c r="G31" s="7"/>
      <c r="H31" s="633" t="s">
        <v>330</v>
      </c>
      <c r="I31" s="633"/>
      <c r="J31" s="633"/>
      <c r="K31" s="633"/>
    </row>
    <row r="32" spans="1:12">
      <c r="A32" s="7"/>
      <c r="B32" s="7"/>
      <c r="C32" s="7"/>
      <c r="D32" s="7"/>
      <c r="E32" s="7"/>
      <c r="F32" s="7"/>
      <c r="G32" s="7"/>
      <c r="H32" s="7"/>
      <c r="I32" s="7"/>
      <c r="J32" s="7"/>
      <c r="K32" s="7"/>
    </row>
    <row r="33" spans="1:11">
      <c r="A33" s="372" t="s">
        <v>201</v>
      </c>
      <c r="B33" s="381"/>
      <c r="C33" s="381"/>
      <c r="D33" s="381"/>
      <c r="E33" s="381"/>
      <c r="F33" s="381"/>
      <c r="G33" s="381"/>
      <c r="H33" s="381"/>
      <c r="I33" s="381"/>
      <c r="J33" s="381"/>
      <c r="K33" s="382"/>
    </row>
    <row r="34" spans="1:11">
      <c r="A34" s="383"/>
      <c r="B34" s="384"/>
      <c r="C34" s="384"/>
      <c r="D34" s="384"/>
      <c r="E34" s="384"/>
      <c r="F34" s="384"/>
      <c r="G34" s="384"/>
      <c r="H34" s="384"/>
      <c r="I34" s="384"/>
      <c r="J34" s="384"/>
      <c r="K34" s="385"/>
    </row>
    <row r="35" spans="1:11">
      <c r="A35" s="386"/>
      <c r="B35" s="387"/>
      <c r="C35" s="387"/>
      <c r="D35" s="387"/>
      <c r="E35" s="387"/>
      <c r="F35" s="387"/>
      <c r="G35" s="387"/>
      <c r="H35" s="387"/>
      <c r="I35" s="387"/>
      <c r="J35" s="387"/>
      <c r="K35" s="388"/>
    </row>
    <row r="36" spans="1:11">
      <c r="A36" s="7"/>
      <c r="B36" s="7"/>
      <c r="C36" s="7"/>
      <c r="D36" s="7"/>
      <c r="E36" s="7"/>
      <c r="F36" s="7"/>
      <c r="G36" s="7"/>
      <c r="H36" s="7"/>
      <c r="I36" s="7"/>
      <c r="J36" s="7"/>
      <c r="K36" s="7"/>
    </row>
    <row r="37" spans="1:11">
      <c r="A37" s="7"/>
      <c r="B37" s="17"/>
      <c r="C37" s="7"/>
      <c r="D37" s="7"/>
      <c r="E37" s="484" t="s">
        <v>316</v>
      </c>
      <c r="F37" s="348"/>
      <c r="G37" s="7"/>
      <c r="H37" s="7"/>
      <c r="I37" s="7"/>
      <c r="J37" s="7"/>
      <c r="K37" s="7"/>
    </row>
    <row r="38" spans="1:11">
      <c r="B38" s="177"/>
    </row>
    <row r="39" spans="1:11">
      <c r="B39" s="177"/>
    </row>
    <row r="40" spans="1:11">
      <c r="B40" s="177"/>
    </row>
    <row r="41" spans="1:11">
      <c r="B41" s="177"/>
    </row>
    <row r="42" spans="1:11">
      <c r="B42" s="177"/>
    </row>
    <row r="43" spans="1:11">
      <c r="B43" s="177"/>
    </row>
    <row r="44" spans="1:11">
      <c r="B44" s="177"/>
    </row>
    <row r="45" spans="1:11">
      <c r="B45" s="177"/>
    </row>
  </sheetData>
  <sheetProtection sheet="1" objects="1" scenarios="1"/>
  <mergeCells count="6">
    <mergeCell ref="H31:K31"/>
    <mergeCell ref="I5:J5"/>
    <mergeCell ref="A5:B5"/>
    <mergeCell ref="C5:D5"/>
    <mergeCell ref="E5:F5"/>
    <mergeCell ref="G5:H5"/>
  </mergeCells>
  <phoneticPr fontId="10"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47"/>
  <sheetViews>
    <sheetView workbookViewId="0">
      <selection activeCell="I19" sqref="I19"/>
    </sheetView>
  </sheetViews>
  <sheetFormatPr defaultRowHeight="15"/>
  <cols>
    <col min="1" max="1" width="62.44140625" style="32" customWidth="1"/>
    <col min="2" max="16384" width="8.88671875" style="32"/>
  </cols>
  <sheetData>
    <row r="1" spans="1:1" ht="18.75">
      <c r="A1" s="220" t="s">
        <v>331</v>
      </c>
    </row>
    <row r="2" spans="1:1" ht="15.75">
      <c r="A2" s="2"/>
    </row>
    <row r="3" spans="1:1" ht="15.75">
      <c r="A3" s="2"/>
    </row>
    <row r="4" spans="1:1" ht="56.25" customHeight="1">
      <c r="A4" s="221" t="s">
        <v>332</v>
      </c>
    </row>
    <row r="5" spans="1:1" ht="15.75">
      <c r="A5" s="222"/>
    </row>
    <row r="6" spans="1:1" ht="15.75">
      <c r="A6" s="2"/>
    </row>
    <row r="7" spans="1:1" ht="50.25" customHeight="1">
      <c r="A7" s="221" t="s">
        <v>333</v>
      </c>
    </row>
    <row r="8" spans="1:1" ht="15.75">
      <c r="A8" s="2"/>
    </row>
    <row r="9" spans="1:1" ht="15.75">
      <c r="A9" s="2"/>
    </row>
    <row r="10" spans="1:1" ht="52.5" customHeight="1">
      <c r="A10" s="221" t="s">
        <v>334</v>
      </c>
    </row>
    <row r="11" spans="1:1" ht="15.75">
      <c r="A11" s="2"/>
    </row>
    <row r="12" spans="1:1" ht="15.75">
      <c r="A12" s="2"/>
    </row>
    <row r="13" spans="1:1" ht="52.5" customHeight="1">
      <c r="A13" s="221" t="s">
        <v>335</v>
      </c>
    </row>
    <row r="14" spans="1:1" ht="15.75">
      <c r="A14" s="222"/>
    </row>
    <row r="15" spans="1:1" ht="15.75">
      <c r="A15" s="222"/>
    </row>
    <row r="16" spans="1:1" ht="51" customHeight="1">
      <c r="A16" s="223" t="s">
        <v>336</v>
      </c>
    </row>
    <row r="17" spans="1:1" ht="15.75">
      <c r="A17" s="222"/>
    </row>
    <row r="18" spans="1:1" ht="15.75">
      <c r="A18" s="222"/>
    </row>
    <row r="19" spans="1:1" ht="37.5" customHeight="1">
      <c r="A19" s="221" t="s">
        <v>337</v>
      </c>
    </row>
    <row r="20" spans="1:1" ht="15.75">
      <c r="A20" s="2"/>
    </row>
    <row r="21" spans="1:1" ht="15.75">
      <c r="A21" s="2"/>
    </row>
    <row r="22" spans="1:1" ht="47.25">
      <c r="A22" s="221" t="s">
        <v>338</v>
      </c>
    </row>
    <row r="23" spans="1:1" ht="15.75">
      <c r="A23" s="222"/>
    </row>
    <row r="24" spans="1:1" ht="15.75">
      <c r="A24" s="2"/>
    </row>
    <row r="25" spans="1:1" ht="67.5" customHeight="1">
      <c r="A25" s="221" t="s">
        <v>339</v>
      </c>
    </row>
    <row r="26" spans="1:1" ht="68.25" customHeight="1">
      <c r="A26" s="225" t="s">
        <v>340</v>
      </c>
    </row>
    <row r="27" spans="1:1" ht="15.75">
      <c r="A27" s="2"/>
    </row>
    <row r="28" spans="1:1" ht="15.75">
      <c r="A28" s="2"/>
    </row>
    <row r="29" spans="1:1" ht="51" customHeight="1">
      <c r="A29" s="488" t="s">
        <v>341</v>
      </c>
    </row>
    <row r="30" spans="1:1" ht="15.75">
      <c r="A30" s="2"/>
    </row>
    <row r="31" spans="1:1" ht="15.75">
      <c r="A31" s="222"/>
    </row>
    <row r="32" spans="1:1" ht="69" customHeight="1">
      <c r="A32" s="488" t="s">
        <v>342</v>
      </c>
    </row>
    <row r="33" spans="1:1" ht="15.75">
      <c r="A33" s="222"/>
    </row>
    <row r="34" spans="1:1" ht="15.75">
      <c r="A34" s="222"/>
    </row>
    <row r="35" spans="1:1" ht="52.5" customHeight="1">
      <c r="A35" s="488" t="s">
        <v>343</v>
      </c>
    </row>
    <row r="36" spans="1:1" ht="15.75">
      <c r="A36" s="222"/>
    </row>
    <row r="37" spans="1:1" ht="15.75">
      <c r="A37" s="222"/>
    </row>
    <row r="38" spans="1:1" ht="59.25" customHeight="1">
      <c r="A38" s="221" t="s">
        <v>344</v>
      </c>
    </row>
    <row r="39" spans="1:1" ht="15.75">
      <c r="A39" s="2"/>
    </row>
    <row r="40" spans="1:1" ht="15.75">
      <c r="A40" s="2"/>
    </row>
    <row r="41" spans="1:1" ht="53.25" customHeight="1">
      <c r="A41" s="221" t="s">
        <v>345</v>
      </c>
    </row>
    <row r="42" spans="1:1" ht="15.75">
      <c r="A42" s="222"/>
    </row>
    <row r="43" spans="1:1" ht="15.75">
      <c r="A43" s="222"/>
    </row>
    <row r="44" spans="1:1" ht="38.25" customHeight="1">
      <c r="A44" s="221" t="s">
        <v>346</v>
      </c>
    </row>
    <row r="47" spans="1:1" ht="63">
      <c r="A47" s="223" t="s">
        <v>347</v>
      </c>
    </row>
  </sheetData>
  <sheetProtection sheet="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1:M62"/>
  <sheetViews>
    <sheetView topLeftCell="A4" workbookViewId="0">
      <selection activeCell="I4" sqref="I4"/>
    </sheetView>
  </sheetViews>
  <sheetFormatPr defaultRowHeight="15.75"/>
  <cols>
    <col min="1" max="1" width="24.21875" style="2" bestFit="1" customWidth="1"/>
    <col min="2" max="2" width="12.77734375" style="2" customWidth="1"/>
    <col min="3" max="3" width="8.77734375" style="2" customWidth="1"/>
    <col min="4" max="4" width="12.77734375" style="2" customWidth="1"/>
    <col min="5" max="5" width="9.6640625" style="2" customWidth="1"/>
    <col min="6" max="6" width="12.77734375" style="2" customWidth="1"/>
    <col min="7" max="7" width="10.77734375" style="2" customWidth="1"/>
    <col min="8" max="8" width="8.77734375" style="2" customWidth="1"/>
    <col min="9" max="9" width="8.88671875" style="2"/>
    <col min="10" max="10" width="12.44140625" style="2" customWidth="1"/>
    <col min="11" max="11" width="12.33203125" style="2" customWidth="1"/>
    <col min="12" max="12" width="5.77734375" style="2" customWidth="1"/>
    <col min="13" max="13" width="12.109375" style="2" customWidth="1"/>
    <col min="14" max="16384" width="8.88671875" style="2"/>
  </cols>
  <sheetData>
    <row r="1" spans="1:8">
      <c r="A1" s="7"/>
      <c r="B1" s="7"/>
      <c r="C1" s="7"/>
      <c r="D1" s="7"/>
      <c r="E1" s="7"/>
      <c r="F1" s="7"/>
      <c r="G1" s="7"/>
      <c r="H1" s="49">
        <f>inputPrYr!D22</f>
        <v>2024</v>
      </c>
    </row>
    <row r="2" spans="1:8">
      <c r="A2" s="650" t="s">
        <v>348</v>
      </c>
      <c r="B2" s="650"/>
      <c r="C2" s="650"/>
      <c r="D2" s="650"/>
      <c r="E2" s="650"/>
      <c r="F2" s="650"/>
      <c r="G2" s="650"/>
      <c r="H2" s="556"/>
    </row>
    <row r="3" spans="1:8">
      <c r="A3" s="7"/>
      <c r="B3" s="7"/>
      <c r="C3" s="7"/>
      <c r="D3" s="7"/>
      <c r="E3" s="7"/>
      <c r="F3" s="7"/>
      <c r="G3" s="7"/>
      <c r="H3" s="7"/>
    </row>
    <row r="4" spans="1:8">
      <c r="A4" s="579" t="s">
        <v>349</v>
      </c>
      <c r="B4" s="579"/>
      <c r="C4" s="579"/>
      <c r="D4" s="579"/>
      <c r="E4" s="579"/>
      <c r="F4" s="579"/>
      <c r="G4" s="579"/>
      <c r="H4" s="579"/>
    </row>
    <row r="5" spans="1:8">
      <c r="A5" s="529">
        <f>inputPrYr!D3</f>
        <v>0</v>
      </c>
      <c r="B5" s="529"/>
      <c r="C5" s="529"/>
      <c r="D5" s="529"/>
      <c r="E5" s="529"/>
      <c r="F5" s="529"/>
      <c r="G5" s="529"/>
      <c r="H5" s="529"/>
    </row>
    <row r="6" spans="1:8">
      <c r="A6" s="579">
        <f>inputPrYr!D4</f>
        <v>0</v>
      </c>
      <c r="B6" s="579"/>
      <c r="C6" s="579"/>
      <c r="D6" s="579"/>
      <c r="E6" s="579"/>
      <c r="F6" s="579"/>
      <c r="G6" s="579"/>
      <c r="H6" s="579"/>
    </row>
    <row r="7" spans="1:8">
      <c r="A7" s="647" t="str">
        <f>CONCATENATE("will meet on ",inputHearing!B18," at ",inputHearing!B20," at ",inputHearing!B22," for the purpose of hearing and")</f>
        <v>will meet on  at  at  for the purpose of hearing and</v>
      </c>
      <c r="B7" s="647"/>
      <c r="C7" s="647"/>
      <c r="D7" s="647"/>
      <c r="E7" s="647"/>
      <c r="F7" s="647"/>
      <c r="G7" s="647"/>
      <c r="H7" s="647"/>
    </row>
    <row r="8" spans="1:8">
      <c r="A8" s="597" t="s">
        <v>350</v>
      </c>
      <c r="B8" s="606"/>
      <c r="C8" s="606"/>
      <c r="D8" s="606"/>
      <c r="E8" s="606"/>
      <c r="F8" s="606"/>
      <c r="G8" s="606"/>
      <c r="H8" s="606"/>
    </row>
    <row r="9" spans="1:8">
      <c r="A9" s="647" t="str">
        <f>CONCATENATE("Detailed budget information is available at ",inputHearing!B24," and will be available at this hearing.")</f>
        <v>Detailed budget information is available at  and will be available at this hearing.</v>
      </c>
      <c r="B9" s="606"/>
      <c r="C9" s="606"/>
      <c r="D9" s="606"/>
      <c r="E9" s="606"/>
      <c r="F9" s="606"/>
      <c r="G9" s="606"/>
      <c r="H9" s="606"/>
    </row>
    <row r="10" spans="1:8" ht="12" customHeight="1">
      <c r="A10" s="352"/>
      <c r="B10" s="353"/>
      <c r="C10" s="353"/>
      <c r="D10" s="353"/>
      <c r="E10" s="353"/>
      <c r="F10" s="353"/>
      <c r="G10" s="351"/>
      <c r="H10" s="351"/>
    </row>
    <row r="11" spans="1:8" ht="15" customHeight="1">
      <c r="A11" s="604" t="s">
        <v>351</v>
      </c>
      <c r="B11" s="651"/>
      <c r="C11" s="651"/>
      <c r="D11" s="651"/>
      <c r="E11" s="651"/>
      <c r="F11" s="651"/>
      <c r="G11" s="651"/>
      <c r="H11" s="651"/>
    </row>
    <row r="12" spans="1:8" ht="12" customHeight="1">
      <c r="A12" s="652" t="str">
        <f>CONCATENATE(inputPrYr!D4," (home county) ",inputPrYr!D6,IF(inputPrYr!D7="","",", "),inputPrYr!D7,IF(inputPrYr!D8="","",", "),inputPrYr!D8,IF(inputPrYr!D9="","",", "),inputPrYr!D9,IF(inputPrYr!D10="","",", "),inputPrYr!D10)</f>
        <v xml:space="preserve"> (home county) </v>
      </c>
      <c r="B12" s="606"/>
      <c r="C12" s="606"/>
      <c r="D12" s="606"/>
      <c r="E12" s="606"/>
      <c r="F12" s="606"/>
      <c r="G12" s="606"/>
      <c r="H12" s="606"/>
    </row>
    <row r="13" spans="1:8" ht="12" customHeight="1">
      <c r="A13" s="653" t="str">
        <f>CONCATENATE(inputPrYr!D11,IF(inputPrYr!D12="","",", "),inputPrYr!D12,IF(inputPrYr!D13="","",", "),inputPrYr!D13,IF(inputPrYr!D14="","",", "),inputPrYr!D14,IF(inputPrYr!D15="","",", "),inputPrYr!D15,IF(inputPrYr!D16="","",", "),inputPrYr!D16)</f>
        <v/>
      </c>
      <c r="B13" s="653"/>
      <c r="C13" s="653"/>
      <c r="D13" s="653"/>
      <c r="E13" s="653"/>
      <c r="F13" s="653"/>
      <c r="G13" s="653"/>
      <c r="H13" s="653"/>
    </row>
    <row r="14" spans="1:8" ht="12" customHeight="1">
      <c r="A14" s="653" t="str">
        <f>CONCATENATE(inputPrYr!D17,IF(inputPrYr!D18="","",", "),inputPrYr!D18,IF(inputPrYr!D19="","",", "),inputPrYr!D19,IF(inputPrYr!D20="","",", "),inputPrYr!D20)</f>
        <v/>
      </c>
      <c r="B14" s="653"/>
      <c r="C14" s="653"/>
      <c r="D14" s="653"/>
      <c r="E14" s="653"/>
      <c r="F14" s="653"/>
      <c r="G14" s="653"/>
      <c r="H14" s="653"/>
    </row>
    <row r="15" spans="1:8" ht="12" customHeight="1">
      <c r="A15" s="352"/>
      <c r="B15" s="353"/>
      <c r="C15" s="353"/>
      <c r="D15" s="353"/>
      <c r="E15" s="353"/>
      <c r="F15" s="353"/>
      <c r="G15" s="351"/>
      <c r="H15" s="351"/>
    </row>
    <row r="16" spans="1:8" ht="15" customHeight="1">
      <c r="A16" s="604" t="s">
        <v>352</v>
      </c>
      <c r="B16" s="651"/>
      <c r="C16" s="651"/>
      <c r="D16" s="651"/>
      <c r="E16" s="651"/>
      <c r="F16" s="651"/>
      <c r="G16" s="651"/>
      <c r="H16" s="651"/>
    </row>
    <row r="17" spans="1:13">
      <c r="A17" s="55" t="str">
        <f>CONCATENATE("Proposed Budget ",H1," Expenditures and Amount of Current Year Estimate for ",H1-1," Ad Valorem Tax establish the maximum limits")</f>
        <v>Proposed Budget 2024 Expenditures and Amount of Current Year Estimate for 2023 Ad Valorem Tax establish the maximum limits</v>
      </c>
      <c r="B17" s="11"/>
      <c r="C17" s="11"/>
      <c r="D17" s="11"/>
      <c r="E17" s="11"/>
      <c r="F17" s="11"/>
      <c r="G17" s="11"/>
      <c r="H17" s="11"/>
      <c r="J17" s="654" t="str">
        <f>CONCATENATE("Estimated Value Of One Mill For ",H1,"")</f>
        <v>Estimated Value Of One Mill For 2024</v>
      </c>
      <c r="K17" s="655"/>
      <c r="L17" s="655"/>
      <c r="M17" s="656"/>
    </row>
    <row r="18" spans="1:13">
      <c r="A18" s="55" t="str">
        <f>CONCATENATE("of the ",H1," budget.  Estimated Tax Rate is subject to change depending on the final assessed valuation.")</f>
        <v>of the 2024 budget.  Estimated Tax Rate is subject to change depending on the final assessed valuation.</v>
      </c>
      <c r="B18" s="11"/>
      <c r="C18" s="11"/>
      <c r="D18" s="11"/>
      <c r="E18" s="11"/>
      <c r="F18" s="11"/>
      <c r="G18" s="11"/>
      <c r="H18" s="11"/>
      <c r="J18" s="240"/>
      <c r="K18" s="241"/>
      <c r="L18" s="241"/>
      <c r="M18" s="242"/>
    </row>
    <row r="19" spans="1:13">
      <c r="A19" s="7"/>
      <c r="B19" s="57"/>
      <c r="C19" s="57"/>
      <c r="D19" s="57"/>
      <c r="E19" s="57"/>
      <c r="F19" s="57"/>
      <c r="G19" s="57"/>
      <c r="H19" s="57"/>
      <c r="J19" s="243" t="s">
        <v>353</v>
      </c>
      <c r="K19" s="244"/>
      <c r="L19" s="244"/>
      <c r="M19" s="350">
        <f>ROUND(F35/1000,0)</f>
        <v>0</v>
      </c>
    </row>
    <row r="20" spans="1:13">
      <c r="A20" s="126"/>
      <c r="B20" s="178" t="str">
        <f>CONCATENATE("Prior Year Actual for ",H1-2,"")</f>
        <v>Prior Year Actual for 2022</v>
      </c>
      <c r="C20" s="179"/>
      <c r="D20" s="180" t="str">
        <f>CONCATENATE("Current Year Estimate for ",H1-1,"")</f>
        <v>Current Year Estimate for 2023</v>
      </c>
      <c r="E20" s="179"/>
      <c r="F20" s="178" t="str">
        <f>CONCATENATE("Proposed Budget Year for ",H1,"")</f>
        <v>Proposed Budget Year for 2024</v>
      </c>
      <c r="G20" s="181"/>
      <c r="H20" s="179"/>
      <c r="J20" s="5"/>
      <c r="K20" s="5"/>
      <c r="L20" s="5"/>
      <c r="M20" s="5"/>
    </row>
    <row r="21" spans="1:13" ht="29.25" customHeight="1">
      <c r="A21" s="128"/>
      <c r="B21" s="583" t="s">
        <v>354</v>
      </c>
      <c r="C21" s="583" t="s">
        <v>355</v>
      </c>
      <c r="D21" s="583" t="s">
        <v>354</v>
      </c>
      <c r="E21" s="583" t="s">
        <v>355</v>
      </c>
      <c r="F21" s="583" t="s">
        <v>356</v>
      </c>
      <c r="G21" s="659" t="str">
        <f>CONCATENATE("Amount of ",H1-1," Ad Valorem Tax")</f>
        <v>Amount of 2023 Ad Valorem Tax</v>
      </c>
      <c r="H21" s="583" t="s">
        <v>357</v>
      </c>
      <c r="J21" s="654" t="str">
        <f>CONCATENATE("Want The Mill Rate The Same As For ",H1-1,"?")</f>
        <v>Want The Mill Rate The Same As For 2023?</v>
      </c>
      <c r="K21" s="655"/>
      <c r="L21" s="655"/>
      <c r="M21" s="656"/>
    </row>
    <row r="22" spans="1:13">
      <c r="A22" s="276" t="s">
        <v>358</v>
      </c>
      <c r="B22" s="642"/>
      <c r="C22" s="642"/>
      <c r="D22" s="642"/>
      <c r="E22" s="642"/>
      <c r="F22" s="642"/>
      <c r="G22" s="660"/>
      <c r="H22" s="642"/>
      <c r="J22" s="246"/>
      <c r="K22" s="241"/>
      <c r="L22" s="241"/>
      <c r="M22" s="247"/>
    </row>
    <row r="23" spans="1:13">
      <c r="A23" s="25" t="s">
        <v>109</v>
      </c>
      <c r="B23" s="69" t="str">
        <f>IF(General!$C$63&lt;&gt;0,General!$C$63,"  ")</f>
        <v xml:space="preserve">  </v>
      </c>
      <c r="C23" s="239" t="str">
        <f>IF(inputPrYr!D54&gt;0,inputPrYr!D54,"  ")</f>
        <v xml:space="preserve">  </v>
      </c>
      <c r="D23" s="69" t="str">
        <f>IF(General!$D$63&lt;&gt;0,General!$D$63,"  ")</f>
        <v xml:space="preserve">  </v>
      </c>
      <c r="E23" s="239" t="str">
        <f>IF(inputOth!D33&gt;0,inputOth!D33,"  ")</f>
        <v xml:space="preserve">  </v>
      </c>
      <c r="F23" s="69" t="str">
        <f>IF(General!$E$63&lt;&gt;0,General!$E$63,"  ")</f>
        <v xml:space="preserve">  </v>
      </c>
      <c r="G23" s="69" t="str">
        <f>IF(General!$E$70&lt;&gt;0,General!$E$70,"  ")</f>
        <v xml:space="preserve">  </v>
      </c>
      <c r="H23" s="239" t="str">
        <f>IF(General!E70&gt;0,ROUND(G23/$F$35*1000,3)," ")</f>
        <v xml:space="preserve"> </v>
      </c>
      <c r="J23" s="246" t="str">
        <f>CONCATENATE("",H1-1," Mill Rate Was:")</f>
        <v>2023 Mill Rate Was:</v>
      </c>
      <c r="K23" s="241"/>
      <c r="L23" s="241"/>
      <c r="M23" s="248">
        <f>E30</f>
        <v>0</v>
      </c>
    </row>
    <row r="24" spans="1:13">
      <c r="A24" s="25" t="s">
        <v>110</v>
      </c>
      <c r="B24" s="69" t="str">
        <f>IF('Debt Service'!$C$50&lt;&gt;0,'Debt Service'!$C$50,"  ")</f>
        <v xml:space="preserve">  </v>
      </c>
      <c r="C24" s="239" t="str">
        <f>IF(inputPrYr!D55&gt;0,inputPrYr!D55,"  ")</f>
        <v xml:space="preserve">  </v>
      </c>
      <c r="D24" s="69" t="str">
        <f>IF('Debt Service'!$D$50&lt;&gt;0,'Debt Service'!$D$50,"  ")</f>
        <v xml:space="preserve">  </v>
      </c>
      <c r="E24" s="239" t="str">
        <f>IF(inputOth!D34&gt;0,inputOth!D34,"  ")</f>
        <v xml:space="preserve">  </v>
      </c>
      <c r="F24" s="69" t="str">
        <f>IF('Debt Service'!$E$50&lt;&gt;0,'Debt Service'!$E$50,"  ")</f>
        <v xml:space="preserve">  </v>
      </c>
      <c r="G24" s="69" t="str">
        <f>IF('Debt Service'!$E$57&lt;&gt;0,'Debt Service'!$E$57,"  ")</f>
        <v xml:space="preserve">  </v>
      </c>
      <c r="H24" s="239" t="str">
        <f>IF('Debt Service'!E57&gt;0,ROUND(G24/$F$35*1000,3)," ")</f>
        <v xml:space="preserve"> </v>
      </c>
      <c r="J24" s="249" t="str">
        <f>CONCATENATE("",H1," Tax Levy Fund Expenditures Must Be")</f>
        <v>2024 Tax Levy Fund Expenditures Must Be</v>
      </c>
      <c r="K24" s="250"/>
      <c r="L24" s="250"/>
      <c r="M24" s="247"/>
    </row>
    <row r="25" spans="1:13">
      <c r="A25" s="70" t="str">
        <f>IF(inputPrYr!$B$38&gt;"  ",inputPrYr!$B$38,"  ")</f>
        <v xml:space="preserve">  </v>
      </c>
      <c r="B25" s="69" t="str">
        <f>IF('Levy Page 7'!$C$33&lt;&gt;0,'Levy Page 7'!$C$33,"  ")</f>
        <v xml:space="preserve">  </v>
      </c>
      <c r="C25" s="239" t="str">
        <f>IF(inputPrYr!D56&gt;0,inputPrYr!D56,"  ")</f>
        <v xml:space="preserve">  </v>
      </c>
      <c r="D25" s="69" t="str">
        <f>IF('Levy Page 7'!$D$33&lt;&gt;0,'Levy Page 7'!$D$33,"  ")</f>
        <v xml:space="preserve">  </v>
      </c>
      <c r="E25" s="239" t="str">
        <f>IF(inputOth!D35&gt;0,inputOth!D35,"  ")</f>
        <v xml:space="preserve">  </v>
      </c>
      <c r="F25" s="69" t="str">
        <f>IF('Levy Page 7'!$E$33&lt;&gt;0,'Levy Page 7'!$E$33,"  ")</f>
        <v xml:space="preserve">  </v>
      </c>
      <c r="G25" s="69" t="str">
        <f>IF('Levy Page 7'!$E$40&lt;&gt;0,'Levy Page 7'!$E$40,"  ")</f>
        <v xml:space="preserve">  </v>
      </c>
      <c r="H25" s="239" t="str">
        <f>IF('Levy Page 7'!E40&gt;0,ROUND(G25/$F$35*1000,3)," ")</f>
        <v xml:space="preserve"> </v>
      </c>
      <c r="J25" s="249" t="str">
        <f>IF(M25&gt;0,"Increased By:","")</f>
        <v/>
      </c>
      <c r="K25" s="250"/>
      <c r="L25" s="250"/>
      <c r="M25" s="251">
        <f>IF(M32&lt;0,M32*-1,0)</f>
        <v>0</v>
      </c>
    </row>
    <row r="26" spans="1:13">
      <c r="A26" s="70" t="str">
        <f>IF(inputPrYr!$B$39&gt;"  ",inputPrYr!$B$39,"  ")</f>
        <v xml:space="preserve">  </v>
      </c>
      <c r="B26" s="69" t="str">
        <f>IF('Levy Page 7'!$C$73&lt;&gt;0,'Levy Page 7'!$C$73,"  ")</f>
        <v xml:space="preserve">  </v>
      </c>
      <c r="C26" s="239" t="str">
        <f>IF(inputPrYr!D57&gt;0,inputPrYr!D57,"  ")</f>
        <v xml:space="preserve">  </v>
      </c>
      <c r="D26" s="69" t="str">
        <f>IF('Levy Page 7'!$D$73&lt;&gt;0,'Levy Page 7'!$D$73,"  ")</f>
        <v xml:space="preserve">  </v>
      </c>
      <c r="E26" s="239" t="str">
        <f>IF(inputOth!D36&gt;0,inputOth!D36,"  ")</f>
        <v xml:space="preserve">  </v>
      </c>
      <c r="F26" s="69" t="str">
        <f>IF('Levy Page 7'!$E$73&lt;&gt;0,'Levy Page 7'!$E$73,"  ")</f>
        <v xml:space="preserve">  </v>
      </c>
      <c r="G26" s="69" t="str">
        <f>IF('Levy Page 7'!$E$80&lt;&gt;0,'Levy Page 7'!$E$80,"  ")</f>
        <v xml:space="preserve">  </v>
      </c>
      <c r="H26" s="239" t="str">
        <f>IF('Levy Page 7'!E80&gt;0,ROUND(G26/$F$35*1000,3)," ")</f>
        <v xml:space="preserve"> </v>
      </c>
      <c r="J26" s="252" t="str">
        <f>IF(M26&lt;0,"Reduced By:","")</f>
        <v/>
      </c>
      <c r="K26" s="253"/>
      <c r="L26" s="253"/>
      <c r="M26" s="254">
        <f>IF(M32&gt;0,M32*-1,0)</f>
        <v>0</v>
      </c>
    </row>
    <row r="27" spans="1:13">
      <c r="A27" s="70" t="str">
        <f>IF(inputPrYr!$B$42&gt;"  ",inputPrYr!$B$42,"  ")</f>
        <v xml:space="preserve">  </v>
      </c>
      <c r="B27" s="69" t="str">
        <f>IF('No Levy Page 8'!$C$30&lt;&gt;0,'No Levy Page 8'!$C$30,"  ")</f>
        <v xml:space="preserve">  </v>
      </c>
      <c r="C27" s="239"/>
      <c r="D27" s="69" t="str">
        <f>IF('No Levy Page 8'!$D$30&lt;&gt;0,'No Levy Page 8'!$D$30,"  ")</f>
        <v xml:space="preserve">  </v>
      </c>
      <c r="E27" s="239"/>
      <c r="F27" s="69" t="str">
        <f>IF('No Levy Page 8'!$E$30&lt;&gt;0,'No Levy Page 8'!$E$30,"  ")</f>
        <v xml:space="preserve">  </v>
      </c>
      <c r="G27" s="69"/>
      <c r="H27" s="239"/>
      <c r="J27" s="1"/>
      <c r="K27" s="1"/>
      <c r="L27" s="1"/>
      <c r="M27" s="1"/>
    </row>
    <row r="28" spans="1:13">
      <c r="A28" s="70" t="str">
        <f>IF(inputPrYr!$B$43&gt;"  ",inputPrYr!$B$43,"  ")</f>
        <v xml:space="preserve">  </v>
      </c>
      <c r="B28" s="69" t="str">
        <f>IF('No Levy Page 8'!$C$62&lt;&gt;0,'No Levy Page 8'!$C$62,"  ")</f>
        <v xml:space="preserve">  </v>
      </c>
      <c r="C28" s="239"/>
      <c r="D28" s="69" t="str">
        <f>IF('No Levy Page 8'!$D$62&lt;&gt;0,'No Levy Page 8'!$D$62,"  ")</f>
        <v xml:space="preserve">  </v>
      </c>
      <c r="E28" s="239"/>
      <c r="F28" s="69" t="str">
        <f>IF('No Levy Page 8'!$E$62&lt;&gt;0,'No Levy Page 8'!$E$62,"  ")</f>
        <v xml:space="preserve">  </v>
      </c>
      <c r="G28" s="69"/>
      <c r="H28" s="239"/>
      <c r="J28" s="654" t="str">
        <f>CONCATENATE("Impact On Keeping The Same Mill Rate As For ",H1-1,"")</f>
        <v>Impact On Keeping The Same Mill Rate As For 2023</v>
      </c>
      <c r="K28" s="657"/>
      <c r="L28" s="657"/>
      <c r="M28" s="658"/>
    </row>
    <row r="29" spans="1:13">
      <c r="A29" s="74" t="str">
        <f>IF((inputPrYr!$B$46&gt;" "),('Non-Budgeted Funds'!$A$3),"")</f>
        <v/>
      </c>
      <c r="B29" s="69" t="str">
        <f>IF('Non-Budgeted Funds'!K28&gt;0,'Non-Budgeted Funds'!K28,"")</f>
        <v/>
      </c>
      <c r="C29" s="239"/>
      <c r="D29" s="69"/>
      <c r="E29" s="239"/>
      <c r="F29" s="69"/>
      <c r="G29" s="69"/>
      <c r="H29" s="239"/>
      <c r="J29" s="246"/>
      <c r="K29" s="241"/>
      <c r="L29" s="241"/>
      <c r="M29" s="247"/>
    </row>
    <row r="30" spans="1:13" ht="16.5" thickBot="1">
      <c r="A30" s="436" t="s">
        <v>123</v>
      </c>
      <c r="B30" s="238">
        <f>SUM(B23:B29)</f>
        <v>0</v>
      </c>
      <c r="C30" s="449">
        <f t="shared" ref="C30:H30" si="0">SUM(C23:C28)</f>
        <v>0</v>
      </c>
      <c r="D30" s="238">
        <f t="shared" si="0"/>
        <v>0</v>
      </c>
      <c r="E30" s="449">
        <f t="shared" si="0"/>
        <v>0</v>
      </c>
      <c r="F30" s="238">
        <f t="shared" si="0"/>
        <v>0</v>
      </c>
      <c r="G30" s="238">
        <f t="shared" si="0"/>
        <v>0</v>
      </c>
      <c r="H30" s="449">
        <f t="shared" si="0"/>
        <v>0</v>
      </c>
      <c r="J30" s="246" t="str">
        <f>CONCATENATE("",H1," Ad Valorem Tax Revenue:")</f>
        <v>2024 Ad Valorem Tax Revenue:</v>
      </c>
      <c r="K30" s="241"/>
      <c r="L30" s="241"/>
      <c r="M30" s="242">
        <f>G30</f>
        <v>0</v>
      </c>
    </row>
    <row r="31" spans="1:13" ht="16.5" thickTop="1">
      <c r="A31" s="643" t="s">
        <v>359</v>
      </c>
      <c r="B31" s="644"/>
      <c r="C31" s="644"/>
      <c r="D31" s="644"/>
      <c r="E31" s="644"/>
      <c r="F31" s="644"/>
      <c r="G31" s="645"/>
      <c r="H31" s="448">
        <f>inputOth!D29</f>
        <v>0</v>
      </c>
      <c r="J31" s="246" t="str">
        <f>CONCATENATE("",H1-1," Ad Valorem Tax Revenue:")</f>
        <v>2023 Ad Valorem Tax Revenue:</v>
      </c>
      <c r="K31" s="241"/>
      <c r="L31" s="241"/>
      <c r="M31" s="255">
        <f>ROUND(F35*M23/1000,0)</f>
        <v>0</v>
      </c>
    </row>
    <row r="32" spans="1:13">
      <c r="A32" s="14" t="s">
        <v>360</v>
      </c>
      <c r="B32" s="69">
        <f>Transfers!C26</f>
        <v>0</v>
      </c>
      <c r="C32" s="76"/>
      <c r="D32" s="69">
        <f>Transfers!D26</f>
        <v>0</v>
      </c>
      <c r="E32" s="76"/>
      <c r="F32" s="21">
        <f>Transfers!E26</f>
        <v>0</v>
      </c>
      <c r="G32" s="85"/>
      <c r="H32" s="182"/>
      <c r="J32" s="256" t="s">
        <v>361</v>
      </c>
      <c r="K32" s="257"/>
      <c r="L32" s="257"/>
      <c r="M32" s="245">
        <f>M30-M31</f>
        <v>0</v>
      </c>
    </row>
    <row r="33" spans="1:13" ht="16.5" thickBot="1">
      <c r="A33" s="14" t="s">
        <v>362</v>
      </c>
      <c r="B33" s="238">
        <f>SUM(B30-B32)</f>
        <v>0</v>
      </c>
      <c r="C33" s="183"/>
      <c r="D33" s="238">
        <f>SUM(D30-D32)</f>
        <v>0</v>
      </c>
      <c r="E33" s="183"/>
      <c r="F33" s="238">
        <f>SUM(F30-F32)</f>
        <v>0</v>
      </c>
      <c r="G33" s="85"/>
      <c r="H33" s="182"/>
      <c r="J33" s="1"/>
      <c r="K33" s="1"/>
      <c r="L33" s="1"/>
      <c r="M33" s="1"/>
    </row>
    <row r="34" spans="1:13" ht="16.5" thickTop="1">
      <c r="A34" s="14" t="s">
        <v>363</v>
      </c>
      <c r="B34" s="68">
        <f>inputPrYr!E61</f>
        <v>0</v>
      </c>
      <c r="C34" s="128"/>
      <c r="D34" s="68">
        <f>inputPrYr!E40</f>
        <v>0</v>
      </c>
      <c r="E34" s="128"/>
      <c r="F34" s="328" t="s">
        <v>184</v>
      </c>
      <c r="G34" s="7"/>
      <c r="H34" s="7"/>
      <c r="J34" s="654" t="s">
        <v>364</v>
      </c>
      <c r="K34" s="655"/>
      <c r="L34" s="655"/>
      <c r="M34" s="656"/>
    </row>
    <row r="35" spans="1:13">
      <c r="A35" s="14" t="s">
        <v>365</v>
      </c>
      <c r="B35" s="69">
        <f>inputPrYr!E62</f>
        <v>0</v>
      </c>
      <c r="C35" s="128"/>
      <c r="D35" s="69">
        <f>inputOth!D57</f>
        <v>0</v>
      </c>
      <c r="E35" s="128"/>
      <c r="F35" s="69">
        <f>inputOth!B25</f>
        <v>0</v>
      </c>
      <c r="G35" s="7"/>
      <c r="H35" s="7"/>
      <c r="J35" s="246"/>
      <c r="K35" s="241"/>
      <c r="L35" s="241"/>
      <c r="M35" s="247"/>
    </row>
    <row r="36" spans="1:13">
      <c r="A36" s="6"/>
      <c r="B36" s="85"/>
      <c r="C36" s="7"/>
      <c r="D36" s="85"/>
      <c r="E36" s="7"/>
      <c r="F36" s="85"/>
      <c r="G36" s="7"/>
      <c r="H36" s="7"/>
      <c r="J36" s="445" t="s">
        <v>190</v>
      </c>
      <c r="K36" s="446"/>
      <c r="L36" s="446"/>
      <c r="M36" s="447">
        <f>H31</f>
        <v>0</v>
      </c>
    </row>
    <row r="37" spans="1:13">
      <c r="A37" s="6" t="s">
        <v>366</v>
      </c>
      <c r="B37" s="7"/>
      <c r="C37" s="7"/>
      <c r="D37" s="7"/>
      <c r="E37" s="7"/>
      <c r="F37" s="7"/>
      <c r="G37" s="7"/>
      <c r="H37" s="7"/>
      <c r="J37" s="246" t="str">
        <f>CONCATENATE("Current ",H1," Estimated Mill Rate:")</f>
        <v>Current 2024 Estimated Mill Rate:</v>
      </c>
      <c r="K37" s="241"/>
      <c r="L37" s="241"/>
      <c r="M37" s="248">
        <f>H30</f>
        <v>0</v>
      </c>
    </row>
    <row r="38" spans="1:13">
      <c r="A38" s="6" t="s">
        <v>367</v>
      </c>
      <c r="B38" s="56">
        <f>H1-3</f>
        <v>2021</v>
      </c>
      <c r="C38" s="7"/>
      <c r="D38" s="56">
        <f>H1-2</f>
        <v>2022</v>
      </c>
      <c r="E38" s="7"/>
      <c r="F38" s="56">
        <f>H1-1</f>
        <v>2023</v>
      </c>
      <c r="G38" s="7"/>
      <c r="H38" s="7"/>
      <c r="J38" s="246" t="str">
        <f>CONCATENATE("Desired ",H1," Mill Rate:")</f>
        <v>Desired 2024 Mill Rate:</v>
      </c>
      <c r="K38" s="241"/>
      <c r="L38" s="241"/>
      <c r="M38" s="258">
        <v>0</v>
      </c>
    </row>
    <row r="39" spans="1:13">
      <c r="A39" s="6" t="s">
        <v>368</v>
      </c>
      <c r="B39" s="184">
        <f>inputPrYr!D65</f>
        <v>0</v>
      </c>
      <c r="C39" s="85"/>
      <c r="D39" s="184">
        <f>inputPrYr!E65</f>
        <v>0</v>
      </c>
      <c r="E39" s="7"/>
      <c r="F39" s="184">
        <f>'Debt-LP Form'!F12</f>
        <v>0</v>
      </c>
      <c r="G39" s="7"/>
      <c r="H39" s="7"/>
      <c r="J39" s="246" t="str">
        <f>CONCATENATE("",H1," Ad Valorem Tax:")</f>
        <v>2024 Ad Valorem Tax:</v>
      </c>
      <c r="K39" s="241"/>
      <c r="L39" s="241"/>
      <c r="M39" s="255">
        <f>ROUND(F35*M38/1000,0)</f>
        <v>0</v>
      </c>
    </row>
    <row r="40" spans="1:13">
      <c r="A40" s="7" t="s">
        <v>369</v>
      </c>
      <c r="B40" s="184">
        <f>inputPrYr!D66</f>
        <v>0</v>
      </c>
      <c r="C40" s="7"/>
      <c r="D40" s="184">
        <f>inputPrYr!E66</f>
        <v>0</v>
      </c>
      <c r="E40" s="7"/>
      <c r="F40" s="184">
        <f>'Debt-LP Form'!F16</f>
        <v>0</v>
      </c>
      <c r="G40" s="7"/>
      <c r="H40" s="7"/>
      <c r="J40" s="256" t="str">
        <f>CONCATENATE("",H1," Tax Levy Fund Exp. Changed By:")</f>
        <v>2024 Tax Levy Fund Exp. Changed By:</v>
      </c>
      <c r="K40" s="257"/>
      <c r="L40" s="257"/>
      <c r="M40" s="245">
        <f>IF(M38=0,0,(M39-G30))</f>
        <v>0</v>
      </c>
    </row>
    <row r="41" spans="1:13">
      <c r="A41" s="6" t="s">
        <v>370</v>
      </c>
      <c r="B41" s="184">
        <f>inputPrYr!D67</f>
        <v>0</v>
      </c>
      <c r="C41" s="85"/>
      <c r="D41" s="184">
        <f>inputPrYr!E67</f>
        <v>0</v>
      </c>
      <c r="E41" s="7"/>
      <c r="F41" s="184">
        <f>'Debt-LP Form'!F20</f>
        <v>0</v>
      </c>
      <c r="G41" s="7"/>
      <c r="H41" s="7"/>
    </row>
    <row r="42" spans="1:13">
      <c r="A42" s="6" t="s">
        <v>371</v>
      </c>
      <c r="B42" s="184">
        <f>inputPrYr!D68</f>
        <v>0</v>
      </c>
      <c r="C42" s="7"/>
      <c r="D42" s="184">
        <f>inputPrYr!E68</f>
        <v>0</v>
      </c>
      <c r="E42" s="7"/>
      <c r="F42" s="184">
        <f>'Debt-LP Form'!G41</f>
        <v>0</v>
      </c>
      <c r="G42" s="7"/>
      <c r="H42" s="7"/>
      <c r="J42" s="636" t="s">
        <v>372</v>
      </c>
      <c r="K42" s="637"/>
      <c r="L42" s="637"/>
      <c r="M42" s="640" t="str">
        <f>IF(H30&gt;H31, "Yes", "No")</f>
        <v>No</v>
      </c>
    </row>
    <row r="43" spans="1:13">
      <c r="A43" s="6"/>
      <c r="B43" s="450"/>
      <c r="C43" s="7"/>
      <c r="D43" s="450"/>
      <c r="E43" s="7"/>
      <c r="F43" s="450"/>
      <c r="G43" s="7"/>
      <c r="H43" s="7"/>
      <c r="J43" s="638"/>
      <c r="K43" s="639"/>
      <c r="L43" s="639"/>
      <c r="M43" s="641"/>
    </row>
    <row r="44" spans="1:13" ht="16.5" thickBot="1">
      <c r="A44" s="150" t="s">
        <v>373</v>
      </c>
      <c r="B44" s="191">
        <f>SUM(B39:B42)</f>
        <v>0</v>
      </c>
      <c r="C44" s="7"/>
      <c r="D44" s="191">
        <f>SUM(D39:D42)</f>
        <v>0</v>
      </c>
      <c r="E44" s="7"/>
      <c r="F44" s="191">
        <f>SUM(F39:F42)</f>
        <v>0</v>
      </c>
      <c r="G44" s="185"/>
      <c r="H44" s="49"/>
      <c r="J44" s="629" t="str">
        <f>IF(M42="Yes", "Follow procedure prescirbed by KSA 79-2988 to exceed the Revenue Neutral Rate.", " ")</f>
        <v xml:space="preserve"> </v>
      </c>
      <c r="K44" s="629"/>
      <c r="L44" s="629"/>
      <c r="M44" s="629"/>
    </row>
    <row r="45" spans="1:13" ht="16.5" thickTop="1">
      <c r="A45" s="150"/>
      <c r="B45" s="428"/>
      <c r="C45" s="7"/>
      <c r="D45" s="428"/>
      <c r="E45" s="7"/>
      <c r="F45" s="428"/>
      <c r="G45" s="185"/>
      <c r="H45" s="49"/>
      <c r="J45" s="630"/>
      <c r="K45" s="630"/>
      <c r="L45" s="630"/>
      <c r="M45" s="630"/>
    </row>
    <row r="46" spans="1:13">
      <c r="A46" s="150" t="s">
        <v>374</v>
      </c>
      <c r="B46" s="7"/>
      <c r="C46" s="7"/>
      <c r="D46" s="7"/>
      <c r="E46" s="131"/>
      <c r="F46" s="131"/>
      <c r="G46" s="7"/>
      <c r="H46" s="49"/>
      <c r="J46" s="630"/>
      <c r="K46" s="630"/>
      <c r="L46" s="630"/>
      <c r="M46" s="630"/>
    </row>
    <row r="47" spans="1:13">
      <c r="A47" s="396" t="s">
        <v>375</v>
      </c>
      <c r="B47" s="7"/>
      <c r="C47" s="7"/>
      <c r="D47" s="7"/>
      <c r="E47" s="7"/>
      <c r="F47" s="7"/>
      <c r="G47" s="7"/>
      <c r="H47" s="49"/>
    </row>
    <row r="48" spans="1:13">
      <c r="A48" s="7"/>
      <c r="B48" s="7"/>
      <c r="C48" s="7"/>
      <c r="D48" s="7"/>
      <c r="E48" s="7"/>
      <c r="F48" s="7"/>
      <c r="G48" s="7"/>
      <c r="H48" s="7"/>
    </row>
    <row r="49" spans="1:8">
      <c r="A49" s="648">
        <f>inputHearing!B14</f>
        <v>0</v>
      </c>
      <c r="B49" s="649"/>
      <c r="C49" s="57"/>
      <c r="D49" s="7"/>
      <c r="E49" s="7"/>
      <c r="F49" s="7"/>
      <c r="G49" s="7"/>
      <c r="H49" s="49"/>
    </row>
    <row r="50" spans="1:8">
      <c r="A50" s="646">
        <f>inputHearing!B16</f>
        <v>0</v>
      </c>
      <c r="B50" s="631"/>
      <c r="C50" s="7"/>
      <c r="D50" s="484" t="s">
        <v>316</v>
      </c>
      <c r="E50" s="349"/>
      <c r="F50" s="7"/>
      <c r="G50" s="7"/>
      <c r="H50" s="49"/>
    </row>
    <row r="52" spans="1:8">
      <c r="A52" s="5"/>
      <c r="B52" s="5"/>
      <c r="C52" s="5"/>
      <c r="D52" s="5"/>
      <c r="E52" s="5"/>
      <c r="F52" s="5"/>
      <c r="G52" s="5"/>
      <c r="H52" s="5"/>
    </row>
    <row r="54" spans="1:8">
      <c r="A54" s="5"/>
      <c r="B54" s="5"/>
      <c r="C54" s="5"/>
      <c r="D54" s="5"/>
      <c r="E54" s="5"/>
      <c r="F54" s="5"/>
      <c r="G54" s="5"/>
      <c r="H54" s="5"/>
    </row>
    <row r="55" spans="1:8">
      <c r="A55" s="5"/>
      <c r="B55" s="5"/>
      <c r="C55" s="5"/>
      <c r="D55" s="5"/>
      <c r="E55" s="5"/>
      <c r="F55" s="5"/>
      <c r="G55" s="5"/>
      <c r="H55" s="5"/>
    </row>
    <row r="56" spans="1:8">
      <c r="A56" s="5"/>
      <c r="B56" s="5"/>
      <c r="C56" s="5"/>
      <c r="D56" s="5"/>
      <c r="E56" s="5"/>
      <c r="F56" s="5"/>
      <c r="G56" s="5"/>
      <c r="H56" s="5"/>
    </row>
    <row r="57" spans="1:8">
      <c r="A57" s="5"/>
      <c r="B57" s="5"/>
      <c r="C57" s="5"/>
      <c r="D57" s="5"/>
      <c r="E57" s="5"/>
      <c r="F57" s="5"/>
      <c r="G57" s="5"/>
      <c r="H57" s="5"/>
    </row>
    <row r="58" spans="1:8">
      <c r="A58" s="5"/>
      <c r="B58" s="5"/>
      <c r="C58" s="5"/>
      <c r="D58" s="5"/>
      <c r="E58" s="5"/>
      <c r="F58" s="5"/>
      <c r="G58" s="5"/>
      <c r="H58" s="5"/>
    </row>
    <row r="59" spans="1:8">
      <c r="A59" s="5"/>
      <c r="B59" s="5"/>
      <c r="C59" s="5"/>
      <c r="D59" s="5"/>
      <c r="E59" s="5"/>
      <c r="F59" s="5"/>
      <c r="G59" s="5"/>
      <c r="H59" s="5"/>
    </row>
    <row r="60" spans="1:8">
      <c r="A60" s="5"/>
      <c r="B60" s="5"/>
      <c r="C60" s="5"/>
      <c r="D60" s="5"/>
      <c r="E60" s="5"/>
      <c r="F60" s="5"/>
      <c r="G60" s="5"/>
      <c r="H60" s="5"/>
    </row>
    <row r="61" spans="1:8">
      <c r="A61" s="5"/>
      <c r="B61" s="5"/>
      <c r="C61" s="5"/>
      <c r="D61" s="5"/>
      <c r="E61" s="5"/>
      <c r="F61" s="5"/>
      <c r="G61" s="5"/>
      <c r="H61" s="5"/>
    </row>
    <row r="62" spans="1:8">
      <c r="A62" s="5"/>
      <c r="B62" s="5"/>
      <c r="C62" s="5"/>
      <c r="D62" s="5"/>
      <c r="E62" s="5"/>
      <c r="F62" s="5"/>
      <c r="G62" s="5"/>
      <c r="H62" s="5"/>
    </row>
  </sheetData>
  <sheetProtection sheet="1" objects="1" scenarios="1"/>
  <mergeCells count="29">
    <mergeCell ref="J17:M17"/>
    <mergeCell ref="J21:M21"/>
    <mergeCell ref="J28:M28"/>
    <mergeCell ref="J34:M34"/>
    <mergeCell ref="G21:G22"/>
    <mergeCell ref="A50:B50"/>
    <mergeCell ref="A6:H6"/>
    <mergeCell ref="A7:H7"/>
    <mergeCell ref="A49:B49"/>
    <mergeCell ref="A2:H2"/>
    <mergeCell ref="A11:H11"/>
    <mergeCell ref="A12:H12"/>
    <mergeCell ref="A14:H14"/>
    <mergeCell ref="A13:H13"/>
    <mergeCell ref="A16:H16"/>
    <mergeCell ref="A8:H8"/>
    <mergeCell ref="A9:H9"/>
    <mergeCell ref="A4:H4"/>
    <mergeCell ref="A5:H5"/>
    <mergeCell ref="J42:L43"/>
    <mergeCell ref="M42:M43"/>
    <mergeCell ref="J44:M46"/>
    <mergeCell ref="B21:B22"/>
    <mergeCell ref="C21:C22"/>
    <mergeCell ref="D21:D22"/>
    <mergeCell ref="E21:E22"/>
    <mergeCell ref="F21:F22"/>
    <mergeCell ref="H21:H22"/>
    <mergeCell ref="A31:G31"/>
  </mergeCells>
  <phoneticPr fontId="0" type="noConversion"/>
  <conditionalFormatting sqref="M42:M43">
    <cfRule type="containsText" dxfId="1" priority="1" operator="containsText" text="Yes">
      <formula>NOT(ISERROR(SEARCH("Yes",M42)))</formula>
    </cfRule>
  </conditionalFormatting>
  <pageMargins left="1" right="1" top="0.5" bottom="0.5" header="0.5" footer="0.5"/>
  <pageSetup scale="68" orientation="portrait" blackAndWhite="1" horizontalDpi="120" verticalDpi="144" r:id="rId1"/>
  <headerFooter alignWithMargins="0">
    <oddHeader xml:space="preserve">&amp;RState of Kansas
Special District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8DA9C-6E68-4241-904F-583CACFE526D}">
  <sheetPr>
    <tabColor rgb="FF00B0F0"/>
    <pageSetUpPr fitToPage="1"/>
  </sheetPr>
  <dimension ref="A1:M62"/>
  <sheetViews>
    <sheetView workbookViewId="0">
      <selection activeCell="I1" sqref="I1"/>
    </sheetView>
  </sheetViews>
  <sheetFormatPr defaultRowHeight="15.75"/>
  <cols>
    <col min="1" max="1" width="24.21875" style="2" bestFit="1" customWidth="1"/>
    <col min="2" max="2" width="12.77734375" style="2" customWidth="1"/>
    <col min="3" max="3" width="8.77734375" style="2" customWidth="1"/>
    <col min="4" max="4" width="12.77734375" style="2" customWidth="1"/>
    <col min="5" max="5" width="9.6640625" style="2" customWidth="1"/>
    <col min="6" max="6" width="12.77734375" style="2" customWidth="1"/>
    <col min="7" max="7" width="10.77734375" style="2" customWidth="1"/>
    <col min="8" max="8" width="8.77734375" style="2" customWidth="1"/>
    <col min="9" max="9" width="8.88671875" style="2"/>
    <col min="10" max="10" width="12.44140625" style="2" customWidth="1"/>
    <col min="11" max="11" width="12.33203125" style="2" customWidth="1"/>
    <col min="12" max="12" width="5.77734375" style="2" customWidth="1"/>
    <col min="13" max="13" width="12.109375" style="2" customWidth="1"/>
    <col min="14" max="16384" width="8.88671875" style="2"/>
  </cols>
  <sheetData>
    <row r="1" spans="1:8">
      <c r="A1" s="7"/>
      <c r="B1" s="7"/>
      <c r="C1" s="7"/>
      <c r="D1" s="7"/>
      <c r="E1" s="7"/>
      <c r="F1" s="7"/>
      <c r="G1" s="7"/>
      <c r="H1" s="49">
        <f>inputPrYr!D22</f>
        <v>2024</v>
      </c>
    </row>
    <row r="2" spans="1:8">
      <c r="A2" s="650" t="s">
        <v>376</v>
      </c>
      <c r="B2" s="650"/>
      <c r="C2" s="650"/>
      <c r="D2" s="650"/>
      <c r="E2" s="650"/>
      <c r="F2" s="650"/>
      <c r="G2" s="650"/>
      <c r="H2" s="556"/>
    </row>
    <row r="3" spans="1:8">
      <c r="A3" s="7"/>
      <c r="B3" s="7"/>
      <c r="C3" s="7"/>
      <c r="D3" s="7"/>
      <c r="E3" s="7"/>
      <c r="F3" s="7"/>
      <c r="G3" s="7"/>
      <c r="H3" s="7"/>
    </row>
    <row r="4" spans="1:8">
      <c r="A4" s="579" t="s">
        <v>349</v>
      </c>
      <c r="B4" s="579"/>
      <c r="C4" s="579"/>
      <c r="D4" s="579"/>
      <c r="E4" s="579"/>
      <c r="F4" s="579"/>
      <c r="G4" s="579"/>
      <c r="H4" s="579"/>
    </row>
    <row r="5" spans="1:8">
      <c r="A5" s="529">
        <f>inputPrYr!D3</f>
        <v>0</v>
      </c>
      <c r="B5" s="529"/>
      <c r="C5" s="529"/>
      <c r="D5" s="529"/>
      <c r="E5" s="529"/>
      <c r="F5" s="529"/>
      <c r="G5" s="529"/>
      <c r="H5" s="529"/>
    </row>
    <row r="6" spans="1:8">
      <c r="A6" s="579">
        <f>inputPrYr!D4</f>
        <v>0</v>
      </c>
      <c r="B6" s="579"/>
      <c r="C6" s="579"/>
      <c r="D6" s="579"/>
      <c r="E6" s="579"/>
      <c r="F6" s="579"/>
      <c r="G6" s="579"/>
      <c r="H6" s="579"/>
    </row>
    <row r="7" spans="1:8">
      <c r="A7" s="647" t="str">
        <f>CONCATENATE("will meet on ",inputHearing!B32," at ",inputHearing!B34," at ",inputHearing!B36," for the purpose of hearing and")</f>
        <v>will meet on  at  at  for the purpose of hearing and</v>
      </c>
      <c r="B7" s="647"/>
      <c r="C7" s="647"/>
      <c r="D7" s="647"/>
      <c r="E7" s="647"/>
      <c r="F7" s="647"/>
      <c r="G7" s="647"/>
      <c r="H7" s="647"/>
    </row>
    <row r="8" spans="1:8">
      <c r="A8" s="597" t="s">
        <v>377</v>
      </c>
      <c r="B8" s="606"/>
      <c r="C8" s="606"/>
      <c r="D8" s="606"/>
      <c r="E8" s="606"/>
      <c r="F8" s="606"/>
      <c r="G8" s="606"/>
      <c r="H8" s="606"/>
    </row>
    <row r="9" spans="1:8">
      <c r="A9" s="647" t="str">
        <f>CONCATENATE("Detailed budget information is available at ",inputHearing!B38," and will be available at this hearing.")</f>
        <v>Detailed budget information is available at  and will be available at this hearing.</v>
      </c>
      <c r="B9" s="606"/>
      <c r="C9" s="606"/>
      <c r="D9" s="606"/>
      <c r="E9" s="606"/>
      <c r="F9" s="606"/>
      <c r="G9" s="606"/>
      <c r="H9" s="606"/>
    </row>
    <row r="10" spans="1:8" ht="12" customHeight="1">
      <c r="A10" s="352"/>
      <c r="B10" s="353"/>
      <c r="C10" s="353"/>
      <c r="D10" s="353"/>
      <c r="E10" s="353"/>
      <c r="F10" s="353"/>
      <c r="G10" s="351"/>
      <c r="H10" s="351"/>
    </row>
    <row r="11" spans="1:8" ht="15" customHeight="1">
      <c r="A11" s="604" t="s">
        <v>351</v>
      </c>
      <c r="B11" s="651"/>
      <c r="C11" s="651"/>
      <c r="D11" s="651"/>
      <c r="E11" s="651"/>
      <c r="F11" s="651"/>
      <c r="G11" s="651"/>
      <c r="H11" s="651"/>
    </row>
    <row r="12" spans="1:8" ht="12" customHeight="1">
      <c r="A12" s="652" t="str">
        <f>CONCATENATE(inputPrYr!D4," (home county) ",inputPrYr!D6,IF(inputPrYr!D7="","",", "),inputPrYr!D7,IF(inputPrYr!D8="","",", "),inputPrYr!D8,IF(inputPrYr!D9="","",", "),inputPrYr!D9,IF(inputPrYr!D10="","",", "),inputPrYr!D10)</f>
        <v xml:space="preserve"> (home county) </v>
      </c>
      <c r="B12" s="606"/>
      <c r="C12" s="606"/>
      <c r="D12" s="606"/>
      <c r="E12" s="606"/>
      <c r="F12" s="606"/>
      <c r="G12" s="606"/>
      <c r="H12" s="606"/>
    </row>
    <row r="13" spans="1:8" ht="12" customHeight="1">
      <c r="A13" s="653" t="str">
        <f>CONCATENATE(inputPrYr!D11,IF(inputPrYr!D12="","",", "),inputPrYr!D12,IF(inputPrYr!D13="","",", "),inputPrYr!D13,IF(inputPrYr!D14="","",", "),inputPrYr!D14,IF(inputPrYr!D15="","",", "),inputPrYr!D15,IF(inputPrYr!D16="","",", "),inputPrYr!D16)</f>
        <v/>
      </c>
      <c r="B13" s="653"/>
      <c r="C13" s="653"/>
      <c r="D13" s="653"/>
      <c r="E13" s="653"/>
      <c r="F13" s="653"/>
      <c r="G13" s="653"/>
      <c r="H13" s="653"/>
    </row>
    <row r="14" spans="1:8" ht="12" customHeight="1">
      <c r="A14" s="653" t="str">
        <f>CONCATENATE(inputPrYr!D17,IF(inputPrYr!D18="","",", "),inputPrYr!D18,IF(inputPrYr!D19="","",", "),inputPrYr!D19,IF(inputPrYr!D20="","",", "),inputPrYr!D20)</f>
        <v/>
      </c>
      <c r="B14" s="653"/>
      <c r="C14" s="653"/>
      <c r="D14" s="653"/>
      <c r="E14" s="653"/>
      <c r="F14" s="653"/>
      <c r="G14" s="653"/>
      <c r="H14" s="653"/>
    </row>
    <row r="15" spans="1:8" ht="12" customHeight="1">
      <c r="A15" s="352"/>
      <c r="B15" s="353"/>
      <c r="C15" s="353"/>
      <c r="D15" s="353"/>
      <c r="E15" s="353"/>
      <c r="F15" s="353"/>
      <c r="G15" s="351"/>
      <c r="H15" s="351"/>
    </row>
    <row r="16" spans="1:8" ht="15" customHeight="1">
      <c r="A16" s="604" t="s">
        <v>352</v>
      </c>
      <c r="B16" s="651"/>
      <c r="C16" s="651"/>
      <c r="D16" s="651"/>
      <c r="E16" s="651"/>
      <c r="F16" s="651"/>
      <c r="G16" s="651"/>
      <c r="H16" s="651"/>
    </row>
    <row r="17" spans="1:13">
      <c r="A17" s="55" t="str">
        <f>CONCATENATE("Proposed Budget ",H1," Expenditures and Amount of Current Year Estimate for ",H1-1," Ad Valorem Tax establish the maximum limits")</f>
        <v>Proposed Budget 2024 Expenditures and Amount of Current Year Estimate for 2023 Ad Valorem Tax establish the maximum limits</v>
      </c>
      <c r="B17" s="11"/>
      <c r="C17" s="11"/>
      <c r="D17" s="11"/>
      <c r="E17" s="11"/>
      <c r="F17" s="11"/>
      <c r="G17" s="11"/>
      <c r="H17" s="11"/>
      <c r="J17" s="654" t="str">
        <f>CONCATENATE("Estimated Value Of One Mill For ",H1,"")</f>
        <v>Estimated Value Of One Mill For 2024</v>
      </c>
      <c r="K17" s="655"/>
      <c r="L17" s="655"/>
      <c r="M17" s="656"/>
    </row>
    <row r="18" spans="1:13">
      <c r="A18" s="55" t="str">
        <f>CONCATENATE("of the ",H1," budget.  Estimated Tax Rate is subject to change depending on the final assessed valuation.")</f>
        <v>of the 2024 budget.  Estimated Tax Rate is subject to change depending on the final assessed valuation.</v>
      </c>
      <c r="B18" s="11"/>
      <c r="C18" s="11"/>
      <c r="D18" s="11"/>
      <c r="E18" s="11"/>
      <c r="F18" s="11"/>
      <c r="G18" s="11"/>
      <c r="H18" s="11"/>
      <c r="J18" s="240"/>
      <c r="K18" s="241"/>
      <c r="L18" s="241"/>
      <c r="M18" s="242"/>
    </row>
    <row r="19" spans="1:13">
      <c r="A19" s="7"/>
      <c r="B19" s="57"/>
      <c r="C19" s="57"/>
      <c r="D19" s="57"/>
      <c r="E19" s="57"/>
      <c r="F19" s="57"/>
      <c r="G19" s="57"/>
      <c r="H19" s="57"/>
      <c r="J19" s="243" t="s">
        <v>353</v>
      </c>
      <c r="K19" s="244"/>
      <c r="L19" s="244"/>
      <c r="M19" s="350">
        <f>ROUND(F35/1000,0)</f>
        <v>0</v>
      </c>
    </row>
    <row r="20" spans="1:13">
      <c r="A20" s="126"/>
      <c r="B20" s="178" t="str">
        <f>CONCATENATE("Prior Year Actual for ",H1-2,"")</f>
        <v>Prior Year Actual for 2022</v>
      </c>
      <c r="C20" s="179"/>
      <c r="D20" s="180" t="str">
        <f>CONCATENATE("Current Year Estimate for ",H1-1,"")</f>
        <v>Current Year Estimate for 2023</v>
      </c>
      <c r="E20" s="179"/>
      <c r="F20" s="178" t="str">
        <f>CONCATENATE("Proposed Budget Year for ",H1,"")</f>
        <v>Proposed Budget Year for 2024</v>
      </c>
      <c r="G20" s="181"/>
      <c r="H20" s="179"/>
      <c r="J20" s="5"/>
      <c r="K20" s="5"/>
      <c r="L20" s="5"/>
      <c r="M20" s="5"/>
    </row>
    <row r="21" spans="1:13" ht="29.25" customHeight="1">
      <c r="A21" s="128"/>
      <c r="B21" s="583" t="s">
        <v>354</v>
      </c>
      <c r="C21" s="583" t="s">
        <v>355</v>
      </c>
      <c r="D21" s="583" t="s">
        <v>354</v>
      </c>
      <c r="E21" s="583" t="s">
        <v>355</v>
      </c>
      <c r="F21" s="583" t="s">
        <v>356</v>
      </c>
      <c r="G21" s="659" t="str">
        <f>CONCATENATE("Amount of ",H1-1," Ad Valorem Tax")</f>
        <v>Amount of 2023 Ad Valorem Tax</v>
      </c>
      <c r="H21" s="583" t="s">
        <v>357</v>
      </c>
      <c r="J21" s="654" t="str">
        <f>CONCATENATE("Want The Mill Rate The Same As For ",H1-1,"?")</f>
        <v>Want The Mill Rate The Same As For 2023?</v>
      </c>
      <c r="K21" s="655"/>
      <c r="L21" s="655"/>
      <c r="M21" s="656"/>
    </row>
    <row r="22" spans="1:13">
      <c r="A22" s="276" t="s">
        <v>358</v>
      </c>
      <c r="B22" s="642"/>
      <c r="C22" s="642"/>
      <c r="D22" s="642"/>
      <c r="E22" s="642"/>
      <c r="F22" s="642"/>
      <c r="G22" s="660"/>
      <c r="H22" s="642"/>
      <c r="J22" s="246"/>
      <c r="K22" s="241"/>
      <c r="L22" s="241"/>
      <c r="M22" s="247"/>
    </row>
    <row r="23" spans="1:13">
      <c r="A23" s="25" t="s">
        <v>109</v>
      </c>
      <c r="B23" s="69" t="str">
        <f>IF(General!$C$63&lt;&gt;0,General!$C$63,"  ")</f>
        <v xml:space="preserve">  </v>
      </c>
      <c r="C23" s="239" t="str">
        <f>IF(inputPrYr!D54&gt;0,inputPrYr!D54,"  ")</f>
        <v xml:space="preserve">  </v>
      </c>
      <c r="D23" s="69" t="str">
        <f>IF(General!$D$63&lt;&gt;0,General!$D$63,"  ")</f>
        <v xml:space="preserve">  </v>
      </c>
      <c r="E23" s="239" t="str">
        <f>IF(inputOth!D33&gt;0,inputOth!D33,"  ")</f>
        <v xml:space="preserve">  </v>
      </c>
      <c r="F23" s="69" t="str">
        <f>IF(General!$E$63&lt;&gt;0,General!$E$63,"  ")</f>
        <v xml:space="preserve">  </v>
      </c>
      <c r="G23" s="69" t="str">
        <f>IF(General!$E$70&lt;&gt;0,General!$E$70,"  ")</f>
        <v xml:space="preserve">  </v>
      </c>
      <c r="H23" s="239" t="str">
        <f>IF(General!E70&gt;0,ROUND(G23/$F$35*1000,3)," ")</f>
        <v xml:space="preserve"> </v>
      </c>
      <c r="J23" s="246" t="str">
        <f>CONCATENATE("",H1-1," Mill Rate Was:")</f>
        <v>2023 Mill Rate Was:</v>
      </c>
      <c r="K23" s="241"/>
      <c r="L23" s="241"/>
      <c r="M23" s="248">
        <f>E30</f>
        <v>0</v>
      </c>
    </row>
    <row r="24" spans="1:13">
      <c r="A24" s="25" t="s">
        <v>110</v>
      </c>
      <c r="B24" s="69" t="str">
        <f>IF('Debt Service'!$C$50&lt;&gt;0,'Debt Service'!$C$50,"  ")</f>
        <v xml:space="preserve">  </v>
      </c>
      <c r="C24" s="239" t="str">
        <f>IF(inputPrYr!D55&gt;0,inputPrYr!D55,"  ")</f>
        <v xml:space="preserve">  </v>
      </c>
      <c r="D24" s="69" t="str">
        <f>IF('Debt Service'!$D$50&lt;&gt;0,'Debt Service'!$D$50,"  ")</f>
        <v xml:space="preserve">  </v>
      </c>
      <c r="E24" s="239" t="str">
        <f>IF(inputOth!D34&gt;0,inputOth!D34,"  ")</f>
        <v xml:space="preserve">  </v>
      </c>
      <c r="F24" s="69" t="str">
        <f>IF('Debt Service'!$E$50&lt;&gt;0,'Debt Service'!$E$50,"  ")</f>
        <v xml:space="preserve">  </v>
      </c>
      <c r="G24" s="69" t="str">
        <f>IF('Debt Service'!$E$57&lt;&gt;0,'Debt Service'!$E$57,"  ")</f>
        <v xml:space="preserve">  </v>
      </c>
      <c r="H24" s="239" t="str">
        <f>IF('Debt Service'!E57&gt;0,ROUND(G24/$F$35*1000,3)," ")</f>
        <v xml:space="preserve"> </v>
      </c>
      <c r="J24" s="249" t="str">
        <f>CONCATENATE("",H1," Tax Levy Fund Expenditures Must Be")</f>
        <v>2024 Tax Levy Fund Expenditures Must Be</v>
      </c>
      <c r="K24" s="250"/>
      <c r="L24" s="250"/>
      <c r="M24" s="247"/>
    </row>
    <row r="25" spans="1:13">
      <c r="A25" s="70" t="str">
        <f>IF(inputPrYr!$B$38&gt;"  ",inputPrYr!$B$38,"  ")</f>
        <v xml:space="preserve">  </v>
      </c>
      <c r="B25" s="69" t="str">
        <f>IF('Levy Page 7'!$C$33&lt;&gt;0,'Levy Page 7'!$C$33,"  ")</f>
        <v xml:space="preserve">  </v>
      </c>
      <c r="C25" s="239" t="str">
        <f>IF(inputPrYr!D56&gt;0,inputPrYr!D56,"  ")</f>
        <v xml:space="preserve">  </v>
      </c>
      <c r="D25" s="69" t="str">
        <f>IF('Levy Page 7'!$D$33&lt;&gt;0,'Levy Page 7'!$D$33,"  ")</f>
        <v xml:space="preserve">  </v>
      </c>
      <c r="E25" s="239" t="str">
        <f>IF(inputOth!D35&gt;0,inputOth!D35,"  ")</f>
        <v xml:space="preserve">  </v>
      </c>
      <c r="F25" s="69" t="str">
        <f>IF('Levy Page 7'!$E$33&lt;&gt;0,'Levy Page 7'!$E$33,"  ")</f>
        <v xml:space="preserve">  </v>
      </c>
      <c r="G25" s="69" t="str">
        <f>IF('Levy Page 7'!$E$40&lt;&gt;0,'Levy Page 7'!$E$40,"  ")</f>
        <v xml:space="preserve">  </v>
      </c>
      <c r="H25" s="239" t="str">
        <f>IF('Levy Page 7'!E40&gt;0,ROUND(G25/$F$35*1000,3)," ")</f>
        <v xml:space="preserve"> </v>
      </c>
      <c r="J25" s="249" t="str">
        <f>IF(M25&gt;0,"Increased By:","")</f>
        <v/>
      </c>
      <c r="K25" s="250"/>
      <c r="L25" s="250"/>
      <c r="M25" s="251">
        <f>IF(M32&lt;0,M32*-1,0)</f>
        <v>0</v>
      </c>
    </row>
    <row r="26" spans="1:13">
      <c r="A26" s="70" t="str">
        <f>IF(inputPrYr!$B$39&gt;"  ",inputPrYr!$B$39,"  ")</f>
        <v xml:space="preserve">  </v>
      </c>
      <c r="B26" s="69" t="str">
        <f>IF('Levy Page 7'!$C$73&lt;&gt;0,'Levy Page 7'!$C$73,"  ")</f>
        <v xml:space="preserve">  </v>
      </c>
      <c r="C26" s="239" t="str">
        <f>IF(inputPrYr!D57&gt;0,inputPrYr!D57,"  ")</f>
        <v xml:space="preserve">  </v>
      </c>
      <c r="D26" s="69" t="str">
        <f>IF('Levy Page 7'!$D$73&lt;&gt;0,'Levy Page 7'!$D$73,"  ")</f>
        <v xml:space="preserve">  </v>
      </c>
      <c r="E26" s="239" t="str">
        <f>IF(inputOth!D36&gt;0,inputOth!D36,"  ")</f>
        <v xml:space="preserve">  </v>
      </c>
      <c r="F26" s="69" t="str">
        <f>IF('Levy Page 7'!$E$73&lt;&gt;0,'Levy Page 7'!$E$73,"  ")</f>
        <v xml:space="preserve">  </v>
      </c>
      <c r="G26" s="69" t="str">
        <f>IF('Levy Page 7'!$E$80&lt;&gt;0,'Levy Page 7'!$E$80,"  ")</f>
        <v xml:space="preserve">  </v>
      </c>
      <c r="H26" s="239" t="str">
        <f>IF('Levy Page 7'!E80&gt;0,ROUND(G26/$F$35*1000,3)," ")</f>
        <v xml:space="preserve"> </v>
      </c>
      <c r="J26" s="252" t="str">
        <f>IF(M26&lt;0,"Reduced By:","")</f>
        <v/>
      </c>
      <c r="K26" s="253"/>
      <c r="L26" s="253"/>
      <c r="M26" s="254">
        <f>IF(M32&gt;0,M32*-1,0)</f>
        <v>0</v>
      </c>
    </row>
    <row r="27" spans="1:13">
      <c r="A27" s="70" t="str">
        <f>IF(inputPrYr!$B$42&gt;"  ",inputPrYr!$B$42,"  ")</f>
        <v xml:space="preserve">  </v>
      </c>
      <c r="B27" s="69" t="str">
        <f>IF('No Levy Page 8'!$C$30&lt;&gt;0,'No Levy Page 8'!$C$30,"  ")</f>
        <v xml:space="preserve">  </v>
      </c>
      <c r="C27" s="239"/>
      <c r="D27" s="69" t="str">
        <f>IF('No Levy Page 8'!$D$30&lt;&gt;0,'No Levy Page 8'!$D$30,"  ")</f>
        <v xml:space="preserve">  </v>
      </c>
      <c r="E27" s="239"/>
      <c r="F27" s="69" t="str">
        <f>IF('No Levy Page 8'!$E$30&lt;&gt;0,'No Levy Page 8'!$E$30,"  ")</f>
        <v xml:space="preserve">  </v>
      </c>
      <c r="G27" s="69"/>
      <c r="H27" s="239"/>
      <c r="J27" s="1"/>
      <c r="K27" s="1"/>
      <c r="L27" s="1"/>
      <c r="M27" s="1"/>
    </row>
    <row r="28" spans="1:13">
      <c r="A28" s="70" t="str">
        <f>IF(inputPrYr!$B$43&gt;"  ",inputPrYr!$B$43,"  ")</f>
        <v xml:space="preserve">  </v>
      </c>
      <c r="B28" s="69" t="str">
        <f>IF('No Levy Page 8'!$C$62&lt;&gt;0,'No Levy Page 8'!$C$62,"  ")</f>
        <v xml:space="preserve">  </v>
      </c>
      <c r="C28" s="239"/>
      <c r="D28" s="69" t="str">
        <f>IF('No Levy Page 8'!$D$62&lt;&gt;0,'No Levy Page 8'!$D$62,"  ")</f>
        <v xml:space="preserve">  </v>
      </c>
      <c r="E28" s="239"/>
      <c r="F28" s="69" t="str">
        <f>IF('No Levy Page 8'!$E$62&lt;&gt;0,'No Levy Page 8'!$E$62,"  ")</f>
        <v xml:space="preserve">  </v>
      </c>
      <c r="G28" s="69"/>
      <c r="H28" s="239"/>
      <c r="J28" s="654" t="str">
        <f>CONCATENATE("Impact On Keeping The Same Mill Rate As For ",H1-1,"")</f>
        <v>Impact On Keeping The Same Mill Rate As For 2023</v>
      </c>
      <c r="K28" s="657"/>
      <c r="L28" s="657"/>
      <c r="M28" s="658"/>
    </row>
    <row r="29" spans="1:13">
      <c r="A29" s="74" t="str">
        <f>IF((inputPrYr!$B$46&gt;" "),('Non-Budgeted Funds'!$A$3),"")</f>
        <v/>
      </c>
      <c r="B29" s="69" t="str">
        <f>IF('Non-Budgeted Funds'!K28&gt;0,'Non-Budgeted Funds'!K28,"")</f>
        <v/>
      </c>
      <c r="C29" s="239"/>
      <c r="D29" s="69"/>
      <c r="E29" s="239"/>
      <c r="F29" s="69"/>
      <c r="G29" s="69"/>
      <c r="H29" s="239"/>
      <c r="J29" s="246"/>
      <c r="K29" s="241"/>
      <c r="L29" s="241"/>
      <c r="M29" s="247"/>
    </row>
    <row r="30" spans="1:13" ht="16.5" thickBot="1">
      <c r="A30" s="436" t="s">
        <v>123</v>
      </c>
      <c r="B30" s="238">
        <f>SUM(B23:B29)</f>
        <v>0</v>
      </c>
      <c r="C30" s="449">
        <f t="shared" ref="C30:H30" si="0">SUM(C23:C28)</f>
        <v>0</v>
      </c>
      <c r="D30" s="238">
        <f t="shared" si="0"/>
        <v>0</v>
      </c>
      <c r="E30" s="449">
        <f t="shared" si="0"/>
        <v>0</v>
      </c>
      <c r="F30" s="238">
        <f t="shared" si="0"/>
        <v>0</v>
      </c>
      <c r="G30" s="238">
        <f t="shared" si="0"/>
        <v>0</v>
      </c>
      <c r="H30" s="449">
        <f t="shared" si="0"/>
        <v>0</v>
      </c>
      <c r="J30" s="246" t="str">
        <f>CONCATENATE("",H1," Ad Valorem Tax Revenue:")</f>
        <v>2024 Ad Valorem Tax Revenue:</v>
      </c>
      <c r="K30" s="241"/>
      <c r="L30" s="241"/>
      <c r="M30" s="242">
        <f>G30</f>
        <v>0</v>
      </c>
    </row>
    <row r="31" spans="1:13" ht="16.5" thickTop="1">
      <c r="A31" s="643" t="s">
        <v>359</v>
      </c>
      <c r="B31" s="644"/>
      <c r="C31" s="644"/>
      <c r="D31" s="644"/>
      <c r="E31" s="644"/>
      <c r="F31" s="644"/>
      <c r="G31" s="645"/>
      <c r="H31" s="448">
        <f>inputOth!D29</f>
        <v>0</v>
      </c>
      <c r="J31" s="246" t="str">
        <f>CONCATENATE("",H1-1," Ad Valorem Tax Revenue:")</f>
        <v>2023 Ad Valorem Tax Revenue:</v>
      </c>
      <c r="K31" s="241"/>
      <c r="L31" s="241"/>
      <c r="M31" s="255">
        <f>ROUND(F35*M23/1000,0)</f>
        <v>0</v>
      </c>
    </row>
    <row r="32" spans="1:13">
      <c r="A32" s="14" t="s">
        <v>360</v>
      </c>
      <c r="B32" s="69">
        <f>Transfers!C26</f>
        <v>0</v>
      </c>
      <c r="C32" s="76"/>
      <c r="D32" s="69">
        <f>Transfers!D26</f>
        <v>0</v>
      </c>
      <c r="E32" s="76"/>
      <c r="F32" s="21">
        <f>Transfers!E26</f>
        <v>0</v>
      </c>
      <c r="G32" s="85"/>
      <c r="H32" s="182"/>
      <c r="J32" s="256" t="s">
        <v>361</v>
      </c>
      <c r="K32" s="257"/>
      <c r="L32" s="257"/>
      <c r="M32" s="245">
        <f>M30-M31</f>
        <v>0</v>
      </c>
    </row>
    <row r="33" spans="1:13" ht="16.5" thickBot="1">
      <c r="A33" s="14" t="s">
        <v>362</v>
      </c>
      <c r="B33" s="238">
        <f>SUM(B30-B32)</f>
        <v>0</v>
      </c>
      <c r="C33" s="183"/>
      <c r="D33" s="238">
        <f>SUM(D30-D32)</f>
        <v>0</v>
      </c>
      <c r="E33" s="183"/>
      <c r="F33" s="238">
        <f>SUM(F30-F32)</f>
        <v>0</v>
      </c>
      <c r="G33" s="85"/>
      <c r="H33" s="182"/>
      <c r="J33" s="1"/>
      <c r="K33" s="1"/>
      <c r="L33" s="1"/>
      <c r="M33" s="1"/>
    </row>
    <row r="34" spans="1:13" ht="16.5" thickTop="1">
      <c r="A34" s="14" t="s">
        <v>363</v>
      </c>
      <c r="B34" s="68">
        <f>inputPrYr!E61</f>
        <v>0</v>
      </c>
      <c r="C34" s="128"/>
      <c r="D34" s="68">
        <f>inputPrYr!E40</f>
        <v>0</v>
      </c>
      <c r="E34" s="128"/>
      <c r="F34" s="328" t="s">
        <v>184</v>
      </c>
      <c r="G34" s="7"/>
      <c r="H34" s="7"/>
      <c r="J34" s="654" t="s">
        <v>364</v>
      </c>
      <c r="K34" s="655"/>
      <c r="L34" s="655"/>
      <c r="M34" s="656"/>
    </row>
    <row r="35" spans="1:13">
      <c r="A35" s="14" t="s">
        <v>365</v>
      </c>
      <c r="B35" s="69">
        <f>inputPrYr!E62</f>
        <v>0</v>
      </c>
      <c r="C35" s="128"/>
      <c r="D35" s="69">
        <f>inputOth!D57</f>
        <v>0</v>
      </c>
      <c r="E35" s="128"/>
      <c r="F35" s="69">
        <f>inputOth!B25</f>
        <v>0</v>
      </c>
      <c r="G35" s="7"/>
      <c r="H35" s="7"/>
      <c r="J35" s="246"/>
      <c r="K35" s="241"/>
      <c r="L35" s="241"/>
      <c r="M35" s="247"/>
    </row>
    <row r="36" spans="1:13">
      <c r="A36" s="6"/>
      <c r="B36" s="85"/>
      <c r="C36" s="7"/>
      <c r="D36" s="85"/>
      <c r="E36" s="7"/>
      <c r="F36" s="85"/>
      <c r="G36" s="7"/>
      <c r="H36" s="7"/>
      <c r="J36" s="445" t="s">
        <v>190</v>
      </c>
      <c r="K36" s="446"/>
      <c r="L36" s="446"/>
      <c r="M36" s="447">
        <f>H31</f>
        <v>0</v>
      </c>
    </row>
    <row r="37" spans="1:13">
      <c r="A37" s="6" t="s">
        <v>366</v>
      </c>
      <c r="B37" s="7"/>
      <c r="C37" s="7"/>
      <c r="D37" s="7"/>
      <c r="E37" s="7"/>
      <c r="F37" s="7"/>
      <c r="G37" s="7"/>
      <c r="H37" s="7"/>
      <c r="J37" s="246" t="str">
        <f>CONCATENATE("Current ",H1," Estimated Mill Rate:")</f>
        <v>Current 2024 Estimated Mill Rate:</v>
      </c>
      <c r="K37" s="241"/>
      <c r="L37" s="241"/>
      <c r="M37" s="248">
        <f>H30</f>
        <v>0</v>
      </c>
    </row>
    <row r="38" spans="1:13">
      <c r="A38" s="6" t="s">
        <v>367</v>
      </c>
      <c r="B38" s="56">
        <f>H1-3</f>
        <v>2021</v>
      </c>
      <c r="C38" s="7"/>
      <c r="D38" s="56">
        <f>H1-2</f>
        <v>2022</v>
      </c>
      <c r="E38" s="7"/>
      <c r="F38" s="56">
        <f>H1-1</f>
        <v>2023</v>
      </c>
      <c r="G38" s="7"/>
      <c r="H38" s="7"/>
      <c r="J38" s="246" t="str">
        <f>CONCATENATE("Desired ",H1," Mill Rate:")</f>
        <v>Desired 2024 Mill Rate:</v>
      </c>
      <c r="K38" s="241"/>
      <c r="L38" s="241"/>
      <c r="M38" s="258">
        <v>0</v>
      </c>
    </row>
    <row r="39" spans="1:13">
      <c r="A39" s="6" t="s">
        <v>368</v>
      </c>
      <c r="B39" s="184">
        <f>inputPrYr!D65</f>
        <v>0</v>
      </c>
      <c r="C39" s="85"/>
      <c r="D39" s="184">
        <f>inputPrYr!E65</f>
        <v>0</v>
      </c>
      <c r="E39" s="7"/>
      <c r="F39" s="184">
        <f>'Debt-LP Form'!F12</f>
        <v>0</v>
      </c>
      <c r="G39" s="7"/>
      <c r="H39" s="7"/>
      <c r="J39" s="246" t="str">
        <f>CONCATENATE("",H1," Ad Valorem Tax:")</f>
        <v>2024 Ad Valorem Tax:</v>
      </c>
      <c r="K39" s="241"/>
      <c r="L39" s="241"/>
      <c r="M39" s="255">
        <f>ROUND(F35*M38/1000,0)</f>
        <v>0</v>
      </c>
    </row>
    <row r="40" spans="1:13">
      <c r="A40" s="7" t="s">
        <v>369</v>
      </c>
      <c r="B40" s="184">
        <f>inputPrYr!D66</f>
        <v>0</v>
      </c>
      <c r="C40" s="7"/>
      <c r="D40" s="184">
        <f>inputPrYr!E66</f>
        <v>0</v>
      </c>
      <c r="E40" s="7"/>
      <c r="F40" s="184">
        <f>'Debt-LP Form'!F16</f>
        <v>0</v>
      </c>
      <c r="G40" s="7"/>
      <c r="H40" s="7"/>
      <c r="J40" s="256" t="str">
        <f>CONCATENATE("",H1," Tax Levy Fund Exp. Changed By:")</f>
        <v>2024 Tax Levy Fund Exp. Changed By:</v>
      </c>
      <c r="K40" s="257"/>
      <c r="L40" s="257"/>
      <c r="M40" s="245">
        <f>IF(M38=0,0,(M39-G30))</f>
        <v>0</v>
      </c>
    </row>
    <row r="41" spans="1:13">
      <c r="A41" s="6" t="s">
        <v>370</v>
      </c>
      <c r="B41" s="184">
        <f>inputPrYr!D67</f>
        <v>0</v>
      </c>
      <c r="C41" s="85"/>
      <c r="D41" s="184">
        <f>inputPrYr!E67</f>
        <v>0</v>
      </c>
      <c r="E41" s="7"/>
      <c r="F41" s="184">
        <f>'Debt-LP Form'!F20</f>
        <v>0</v>
      </c>
      <c r="G41" s="7"/>
      <c r="H41" s="7"/>
    </row>
    <row r="42" spans="1:13">
      <c r="A42" s="6" t="s">
        <v>371</v>
      </c>
      <c r="B42" s="184">
        <f>inputPrYr!D68</f>
        <v>0</v>
      </c>
      <c r="C42" s="7"/>
      <c r="D42" s="184">
        <f>inputPrYr!E68</f>
        <v>0</v>
      </c>
      <c r="E42" s="7"/>
      <c r="F42" s="184">
        <f>'Debt-LP Form'!G41</f>
        <v>0</v>
      </c>
      <c r="G42" s="7"/>
      <c r="H42" s="7"/>
      <c r="J42" s="636" t="s">
        <v>372</v>
      </c>
      <c r="K42" s="637"/>
      <c r="L42" s="637"/>
      <c r="M42" s="640" t="str">
        <f>IF(H30&gt;H31, "Yes", "No")</f>
        <v>No</v>
      </c>
    </row>
    <row r="43" spans="1:13">
      <c r="A43" s="6"/>
      <c r="B43" s="450"/>
      <c r="C43" s="7"/>
      <c r="D43" s="450"/>
      <c r="E43" s="7"/>
      <c r="F43" s="450"/>
      <c r="G43" s="7"/>
      <c r="H43" s="7"/>
      <c r="J43" s="638"/>
      <c r="K43" s="639"/>
      <c r="L43" s="639"/>
      <c r="M43" s="641"/>
    </row>
    <row r="44" spans="1:13" ht="16.5" thickBot="1">
      <c r="A44" s="150" t="s">
        <v>373</v>
      </c>
      <c r="B44" s="191">
        <f>SUM(B39:B42)</f>
        <v>0</v>
      </c>
      <c r="C44" s="7"/>
      <c r="D44" s="191">
        <f>SUM(D39:D42)</f>
        <v>0</v>
      </c>
      <c r="E44" s="7"/>
      <c r="F44" s="191">
        <f>SUM(F39:F42)</f>
        <v>0</v>
      </c>
      <c r="G44" s="185"/>
      <c r="H44" s="49"/>
      <c r="J44" s="629" t="str">
        <f>IF(M42="Yes", "Follow procedure prescirbed by KSA 79-2988 to exceed the Revenue Neutral Rate.", " ")</f>
        <v xml:space="preserve"> </v>
      </c>
      <c r="K44" s="629"/>
      <c r="L44" s="629"/>
      <c r="M44" s="629"/>
    </row>
    <row r="45" spans="1:13" ht="16.5" thickTop="1">
      <c r="A45" s="150"/>
      <c r="B45" s="428"/>
      <c r="C45" s="7"/>
      <c r="D45" s="428"/>
      <c r="E45" s="7"/>
      <c r="F45" s="428"/>
      <c r="G45" s="185"/>
      <c r="H45" s="49"/>
      <c r="J45" s="630"/>
      <c r="K45" s="630"/>
      <c r="L45" s="630"/>
      <c r="M45" s="630"/>
    </row>
    <row r="46" spans="1:13">
      <c r="A46" s="150" t="s">
        <v>374</v>
      </c>
      <c r="B46" s="7"/>
      <c r="C46" s="7"/>
      <c r="D46" s="7"/>
      <c r="E46" s="131"/>
      <c r="F46" s="131"/>
      <c r="G46" s="7"/>
      <c r="H46" s="49"/>
      <c r="J46" s="630"/>
      <c r="K46" s="630"/>
      <c r="L46" s="630"/>
      <c r="M46" s="630"/>
    </row>
    <row r="47" spans="1:13">
      <c r="A47" s="396" t="s">
        <v>375</v>
      </c>
      <c r="B47" s="7"/>
      <c r="C47" s="7"/>
      <c r="D47" s="7"/>
      <c r="E47" s="7"/>
      <c r="F47" s="7"/>
      <c r="G47" s="7"/>
      <c r="H47" s="49"/>
    </row>
    <row r="48" spans="1:13">
      <c r="A48" s="7"/>
      <c r="B48" s="7"/>
      <c r="C48" s="7"/>
      <c r="D48" s="7"/>
      <c r="E48" s="7"/>
      <c r="F48" s="7"/>
      <c r="G48" s="7"/>
      <c r="H48" s="7"/>
    </row>
    <row r="49" spans="1:8">
      <c r="A49" s="648">
        <f>inputHearing!B28</f>
        <v>0</v>
      </c>
      <c r="B49" s="649"/>
      <c r="C49" s="57"/>
      <c r="D49" s="7"/>
      <c r="E49" s="7"/>
      <c r="F49" s="7"/>
      <c r="G49" s="7"/>
      <c r="H49" s="49"/>
    </row>
    <row r="50" spans="1:8">
      <c r="A50" s="646">
        <f>inputHearing!B30</f>
        <v>0</v>
      </c>
      <c r="B50" s="631"/>
      <c r="C50" s="7"/>
      <c r="D50" s="484" t="s">
        <v>316</v>
      </c>
      <c r="E50" s="349"/>
      <c r="F50" s="7"/>
      <c r="G50" s="7"/>
      <c r="H50" s="49"/>
    </row>
    <row r="52" spans="1:8">
      <c r="A52" s="5"/>
      <c r="B52" s="5"/>
      <c r="C52" s="5"/>
      <c r="D52" s="5"/>
      <c r="E52" s="5"/>
      <c r="F52" s="5"/>
      <c r="G52" s="5"/>
      <c r="H52" s="5"/>
    </row>
    <row r="54" spans="1:8">
      <c r="A54" s="5"/>
      <c r="B54" s="5"/>
      <c r="C54" s="5"/>
      <c r="D54" s="5"/>
      <c r="E54" s="5"/>
      <c r="F54" s="5"/>
      <c r="G54" s="5"/>
      <c r="H54" s="5"/>
    </row>
    <row r="55" spans="1:8">
      <c r="A55" s="5"/>
      <c r="B55" s="5"/>
      <c r="C55" s="5"/>
      <c r="D55" s="5"/>
      <c r="E55" s="5"/>
      <c r="F55" s="5"/>
      <c r="G55" s="5"/>
      <c r="H55" s="5"/>
    </row>
    <row r="56" spans="1:8">
      <c r="A56" s="5"/>
      <c r="B56" s="5"/>
      <c r="C56" s="5"/>
      <c r="D56" s="5"/>
      <c r="E56" s="5"/>
      <c r="F56" s="5"/>
      <c r="G56" s="5"/>
      <c r="H56" s="5"/>
    </row>
    <row r="57" spans="1:8">
      <c r="A57" s="5"/>
      <c r="B57" s="5"/>
      <c r="C57" s="5"/>
      <c r="D57" s="5"/>
      <c r="E57" s="5"/>
      <c r="F57" s="5"/>
      <c r="G57" s="5"/>
      <c r="H57" s="5"/>
    </row>
    <row r="58" spans="1:8">
      <c r="A58" s="5"/>
      <c r="B58" s="5"/>
      <c r="C58" s="5"/>
      <c r="D58" s="5"/>
      <c r="E58" s="5"/>
      <c r="F58" s="5"/>
      <c r="G58" s="5"/>
      <c r="H58" s="5"/>
    </row>
    <row r="59" spans="1:8">
      <c r="A59" s="5"/>
      <c r="B59" s="5"/>
      <c r="C59" s="5"/>
      <c r="D59" s="5"/>
      <c r="E59" s="5"/>
      <c r="F59" s="5"/>
      <c r="G59" s="5"/>
      <c r="H59" s="5"/>
    </row>
    <row r="60" spans="1:8">
      <c r="A60" s="5"/>
      <c r="B60" s="5"/>
      <c r="C60" s="5"/>
      <c r="D60" s="5"/>
      <c r="E60" s="5"/>
      <c r="F60" s="5"/>
      <c r="G60" s="5"/>
      <c r="H60" s="5"/>
    </row>
    <row r="61" spans="1:8">
      <c r="A61" s="5"/>
      <c r="B61" s="5"/>
      <c r="C61" s="5"/>
      <c r="D61" s="5"/>
      <c r="E61" s="5"/>
      <c r="F61" s="5"/>
      <c r="G61" s="5"/>
      <c r="H61" s="5"/>
    </row>
    <row r="62" spans="1:8">
      <c r="A62" s="5"/>
      <c r="B62" s="5"/>
      <c r="C62" s="5"/>
      <c r="D62" s="5"/>
      <c r="E62" s="5"/>
      <c r="F62" s="5"/>
      <c r="G62" s="5"/>
      <c r="H62" s="5"/>
    </row>
  </sheetData>
  <sheetProtection sheet="1" objects="1" scenarios="1"/>
  <mergeCells count="29">
    <mergeCell ref="A16:H16"/>
    <mergeCell ref="A2:H2"/>
    <mergeCell ref="A4:H4"/>
    <mergeCell ref="A5:H5"/>
    <mergeCell ref="A6:H6"/>
    <mergeCell ref="A7:H7"/>
    <mergeCell ref="A8:H8"/>
    <mergeCell ref="A9:H9"/>
    <mergeCell ref="A11:H11"/>
    <mergeCell ref="A12:H12"/>
    <mergeCell ref="A13:H13"/>
    <mergeCell ref="A14:H14"/>
    <mergeCell ref="J17:M17"/>
    <mergeCell ref="B21:B22"/>
    <mergeCell ref="C21:C22"/>
    <mergeCell ref="D21:D22"/>
    <mergeCell ref="E21:E22"/>
    <mergeCell ref="F21:F22"/>
    <mergeCell ref="G21:G22"/>
    <mergeCell ref="H21:H22"/>
    <mergeCell ref="J21:M21"/>
    <mergeCell ref="A49:B49"/>
    <mergeCell ref="A50:B50"/>
    <mergeCell ref="J28:M28"/>
    <mergeCell ref="A31:G31"/>
    <mergeCell ref="J34:M34"/>
    <mergeCell ref="J42:L43"/>
    <mergeCell ref="M42:M43"/>
    <mergeCell ref="J44:M46"/>
  </mergeCells>
  <conditionalFormatting sqref="M42:M43">
    <cfRule type="containsText" dxfId="0" priority="1" operator="containsText" text="Yes">
      <formula>NOT(ISERROR(SEARCH("Yes",M42)))</formula>
    </cfRule>
  </conditionalFormatting>
  <pageMargins left="1" right="1" top="0.5" bottom="0.5" header="0.5" footer="0.5"/>
  <pageSetup scale="68" orientation="portrait" blackAndWhite="1" horizontalDpi="120" verticalDpi="144" r:id="rId1"/>
  <headerFooter alignWithMargins="0">
    <oddHeader xml:space="preserve">&amp;RState of Kansas
Special District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AD7DA-13C1-4F00-BDD8-9D029AF2BF37}">
  <sheetPr>
    <tabColor rgb="FF00B0F0"/>
    <pageSetUpPr fitToPage="1"/>
  </sheetPr>
  <dimension ref="A1:H39"/>
  <sheetViews>
    <sheetView workbookViewId="0">
      <selection activeCell="I1" sqref="I1"/>
    </sheetView>
  </sheetViews>
  <sheetFormatPr defaultRowHeight="15.75"/>
  <cols>
    <col min="1" max="1" width="14.109375" style="2" customWidth="1"/>
    <col min="2" max="2" width="12.77734375" style="2" customWidth="1"/>
    <col min="3" max="3" width="8.77734375" style="2" customWidth="1"/>
    <col min="4" max="4" width="7.33203125" style="2" customWidth="1"/>
    <col min="5" max="5" width="8.5546875" style="2" customWidth="1"/>
    <col min="6" max="6" width="12.77734375" style="2" customWidth="1"/>
    <col min="7" max="7" width="11.88671875" style="2" customWidth="1"/>
    <col min="8" max="8" width="14.109375" style="2" customWidth="1"/>
    <col min="9" max="252" width="8.88671875" style="2"/>
    <col min="253" max="253" width="15.77734375" style="2" customWidth="1"/>
    <col min="254" max="254" width="12.77734375" style="2" customWidth="1"/>
    <col min="255" max="255" width="8.77734375" style="2" customWidth="1"/>
    <col min="256" max="256" width="13.77734375" style="2" customWidth="1"/>
    <col min="257" max="257" width="8.77734375" style="2" customWidth="1"/>
    <col min="258" max="258" width="12.77734375" style="2" customWidth="1"/>
    <col min="259" max="259" width="10.77734375" style="2" customWidth="1"/>
    <col min="260" max="260" width="8.77734375" style="2" customWidth="1"/>
    <col min="261" max="261" width="8.88671875" style="2"/>
    <col min="262" max="262" width="12.44140625" style="2" customWidth="1"/>
    <col min="263" max="263" width="12.33203125" style="2" customWidth="1"/>
    <col min="264" max="264" width="8.88671875" style="2"/>
    <col min="265" max="265" width="12.109375" style="2" customWidth="1"/>
    <col min="266" max="508" width="8.88671875" style="2"/>
    <col min="509" max="509" width="15.77734375" style="2" customWidth="1"/>
    <col min="510" max="510" width="12.77734375" style="2" customWidth="1"/>
    <col min="511" max="511" width="8.77734375" style="2" customWidth="1"/>
    <col min="512" max="512" width="13.77734375" style="2" customWidth="1"/>
    <col min="513" max="513" width="8.77734375" style="2" customWidth="1"/>
    <col min="514" max="514" width="12.77734375" style="2" customWidth="1"/>
    <col min="515" max="515" width="10.77734375" style="2" customWidth="1"/>
    <col min="516" max="516" width="8.77734375" style="2" customWidth="1"/>
    <col min="517" max="517" width="8.88671875" style="2"/>
    <col min="518" max="518" width="12.44140625" style="2" customWidth="1"/>
    <col min="519" max="519" width="12.33203125" style="2" customWidth="1"/>
    <col min="520" max="520" width="8.88671875" style="2"/>
    <col min="521" max="521" width="12.109375" style="2" customWidth="1"/>
    <col min="522" max="764" width="8.88671875" style="2"/>
    <col min="765" max="765" width="15.77734375" style="2" customWidth="1"/>
    <col min="766" max="766" width="12.77734375" style="2" customWidth="1"/>
    <col min="767" max="767" width="8.77734375" style="2" customWidth="1"/>
    <col min="768" max="768" width="13.77734375" style="2" customWidth="1"/>
    <col min="769" max="769" width="8.77734375" style="2" customWidth="1"/>
    <col min="770" max="770" width="12.77734375" style="2" customWidth="1"/>
    <col min="771" max="771" width="10.77734375" style="2" customWidth="1"/>
    <col min="772" max="772" width="8.77734375" style="2" customWidth="1"/>
    <col min="773" max="773" width="8.88671875" style="2"/>
    <col min="774" max="774" width="12.44140625" style="2" customWidth="1"/>
    <col min="775" max="775" width="12.33203125" style="2" customWidth="1"/>
    <col min="776" max="776" width="8.88671875" style="2"/>
    <col min="777" max="777" width="12.109375" style="2" customWidth="1"/>
    <col min="778" max="1020" width="8.88671875" style="2"/>
    <col min="1021" max="1021" width="15.77734375" style="2" customWidth="1"/>
    <col min="1022" max="1022" width="12.77734375" style="2" customWidth="1"/>
    <col min="1023" max="1023" width="8.77734375" style="2" customWidth="1"/>
    <col min="1024" max="1024" width="13.77734375" style="2" customWidth="1"/>
    <col min="1025" max="1025" width="8.77734375" style="2" customWidth="1"/>
    <col min="1026" max="1026" width="12.77734375" style="2" customWidth="1"/>
    <col min="1027" max="1027" width="10.77734375" style="2" customWidth="1"/>
    <col min="1028" max="1028" width="8.77734375" style="2" customWidth="1"/>
    <col min="1029" max="1029" width="8.88671875" style="2"/>
    <col min="1030" max="1030" width="12.44140625" style="2" customWidth="1"/>
    <col min="1031" max="1031" width="12.33203125" style="2" customWidth="1"/>
    <col min="1032" max="1032" width="8.88671875" style="2"/>
    <col min="1033" max="1033" width="12.109375" style="2" customWidth="1"/>
    <col min="1034" max="1276" width="8.88671875" style="2"/>
    <col min="1277" max="1277" width="15.77734375" style="2" customWidth="1"/>
    <col min="1278" max="1278" width="12.77734375" style="2" customWidth="1"/>
    <col min="1279" max="1279" width="8.77734375" style="2" customWidth="1"/>
    <col min="1280" max="1280" width="13.77734375" style="2" customWidth="1"/>
    <col min="1281" max="1281" width="8.77734375" style="2" customWidth="1"/>
    <col min="1282" max="1282" width="12.77734375" style="2" customWidth="1"/>
    <col min="1283" max="1283" width="10.77734375" style="2" customWidth="1"/>
    <col min="1284" max="1284" width="8.77734375" style="2" customWidth="1"/>
    <col min="1285" max="1285" width="8.88671875" style="2"/>
    <col min="1286" max="1286" width="12.44140625" style="2" customWidth="1"/>
    <col min="1287" max="1287" width="12.33203125" style="2" customWidth="1"/>
    <col min="1288" max="1288" width="8.88671875" style="2"/>
    <col min="1289" max="1289" width="12.109375" style="2" customWidth="1"/>
    <col min="1290" max="1532" width="8.88671875" style="2"/>
    <col min="1533" max="1533" width="15.77734375" style="2" customWidth="1"/>
    <col min="1534" max="1534" width="12.77734375" style="2" customWidth="1"/>
    <col min="1535" max="1535" width="8.77734375" style="2" customWidth="1"/>
    <col min="1536" max="1536" width="13.77734375" style="2" customWidth="1"/>
    <col min="1537" max="1537" width="8.77734375" style="2" customWidth="1"/>
    <col min="1538" max="1538" width="12.77734375" style="2" customWidth="1"/>
    <col min="1539" max="1539" width="10.77734375" style="2" customWidth="1"/>
    <col min="1540" max="1540" width="8.77734375" style="2" customWidth="1"/>
    <col min="1541" max="1541" width="8.88671875" style="2"/>
    <col min="1542" max="1542" width="12.44140625" style="2" customWidth="1"/>
    <col min="1543" max="1543" width="12.33203125" style="2" customWidth="1"/>
    <col min="1544" max="1544" width="8.88671875" style="2"/>
    <col min="1545" max="1545" width="12.109375" style="2" customWidth="1"/>
    <col min="1546" max="1788" width="8.88671875" style="2"/>
    <col min="1789" max="1789" width="15.77734375" style="2" customWidth="1"/>
    <col min="1790" max="1790" width="12.77734375" style="2" customWidth="1"/>
    <col min="1791" max="1791" width="8.77734375" style="2" customWidth="1"/>
    <col min="1792" max="1792" width="13.77734375" style="2" customWidth="1"/>
    <col min="1793" max="1793" width="8.77734375" style="2" customWidth="1"/>
    <col min="1794" max="1794" width="12.77734375" style="2" customWidth="1"/>
    <col min="1795" max="1795" width="10.77734375" style="2" customWidth="1"/>
    <col min="1796" max="1796" width="8.77734375" style="2" customWidth="1"/>
    <col min="1797" max="1797" width="8.88671875" style="2"/>
    <col min="1798" max="1798" width="12.44140625" style="2" customWidth="1"/>
    <col min="1799" max="1799" width="12.33203125" style="2" customWidth="1"/>
    <col min="1800" max="1800" width="8.88671875" style="2"/>
    <col min="1801" max="1801" width="12.109375" style="2" customWidth="1"/>
    <col min="1802" max="2044" width="8.88671875" style="2"/>
    <col min="2045" max="2045" width="15.77734375" style="2" customWidth="1"/>
    <col min="2046" max="2046" width="12.77734375" style="2" customWidth="1"/>
    <col min="2047" max="2047" width="8.77734375" style="2" customWidth="1"/>
    <col min="2048" max="2048" width="13.77734375" style="2" customWidth="1"/>
    <col min="2049" max="2049" width="8.77734375" style="2" customWidth="1"/>
    <col min="2050" max="2050" width="12.77734375" style="2" customWidth="1"/>
    <col min="2051" max="2051" width="10.77734375" style="2" customWidth="1"/>
    <col min="2052" max="2052" width="8.77734375" style="2" customWidth="1"/>
    <col min="2053" max="2053" width="8.88671875" style="2"/>
    <col min="2054" max="2054" width="12.44140625" style="2" customWidth="1"/>
    <col min="2055" max="2055" width="12.33203125" style="2" customWidth="1"/>
    <col min="2056" max="2056" width="8.88671875" style="2"/>
    <col min="2057" max="2057" width="12.109375" style="2" customWidth="1"/>
    <col min="2058" max="2300" width="8.88671875" style="2"/>
    <col min="2301" max="2301" width="15.77734375" style="2" customWidth="1"/>
    <col min="2302" max="2302" width="12.77734375" style="2" customWidth="1"/>
    <col min="2303" max="2303" width="8.77734375" style="2" customWidth="1"/>
    <col min="2304" max="2304" width="13.77734375" style="2" customWidth="1"/>
    <col min="2305" max="2305" width="8.77734375" style="2" customWidth="1"/>
    <col min="2306" max="2306" width="12.77734375" style="2" customWidth="1"/>
    <col min="2307" max="2307" width="10.77734375" style="2" customWidth="1"/>
    <col min="2308" max="2308" width="8.77734375" style="2" customWidth="1"/>
    <col min="2309" max="2309" width="8.88671875" style="2"/>
    <col min="2310" max="2310" width="12.44140625" style="2" customWidth="1"/>
    <col min="2311" max="2311" width="12.33203125" style="2" customWidth="1"/>
    <col min="2312" max="2312" width="8.88671875" style="2"/>
    <col min="2313" max="2313" width="12.109375" style="2" customWidth="1"/>
    <col min="2314" max="2556" width="8.88671875" style="2"/>
    <col min="2557" max="2557" width="15.77734375" style="2" customWidth="1"/>
    <col min="2558" max="2558" width="12.77734375" style="2" customWidth="1"/>
    <col min="2559" max="2559" width="8.77734375" style="2" customWidth="1"/>
    <col min="2560" max="2560" width="13.77734375" style="2" customWidth="1"/>
    <col min="2561" max="2561" width="8.77734375" style="2" customWidth="1"/>
    <col min="2562" max="2562" width="12.77734375" style="2" customWidth="1"/>
    <col min="2563" max="2563" width="10.77734375" style="2" customWidth="1"/>
    <col min="2564" max="2564" width="8.77734375" style="2" customWidth="1"/>
    <col min="2565" max="2565" width="8.88671875" style="2"/>
    <col min="2566" max="2566" width="12.44140625" style="2" customWidth="1"/>
    <col min="2567" max="2567" width="12.33203125" style="2" customWidth="1"/>
    <col min="2568" max="2568" width="8.88671875" style="2"/>
    <col min="2569" max="2569" width="12.109375" style="2" customWidth="1"/>
    <col min="2570" max="2812" width="8.88671875" style="2"/>
    <col min="2813" max="2813" width="15.77734375" style="2" customWidth="1"/>
    <col min="2814" max="2814" width="12.77734375" style="2" customWidth="1"/>
    <col min="2815" max="2815" width="8.77734375" style="2" customWidth="1"/>
    <col min="2816" max="2816" width="13.77734375" style="2" customWidth="1"/>
    <col min="2817" max="2817" width="8.77734375" style="2" customWidth="1"/>
    <col min="2818" max="2818" width="12.77734375" style="2" customWidth="1"/>
    <col min="2819" max="2819" width="10.77734375" style="2" customWidth="1"/>
    <col min="2820" max="2820" width="8.77734375" style="2" customWidth="1"/>
    <col min="2821" max="2821" width="8.88671875" style="2"/>
    <col min="2822" max="2822" width="12.44140625" style="2" customWidth="1"/>
    <col min="2823" max="2823" width="12.33203125" style="2" customWidth="1"/>
    <col min="2824" max="2824" width="8.88671875" style="2"/>
    <col min="2825" max="2825" width="12.109375" style="2" customWidth="1"/>
    <col min="2826" max="3068" width="8.88671875" style="2"/>
    <col min="3069" max="3069" width="15.77734375" style="2" customWidth="1"/>
    <col min="3070" max="3070" width="12.77734375" style="2" customWidth="1"/>
    <col min="3071" max="3071" width="8.77734375" style="2" customWidth="1"/>
    <col min="3072" max="3072" width="13.77734375" style="2" customWidth="1"/>
    <col min="3073" max="3073" width="8.77734375" style="2" customWidth="1"/>
    <col min="3074" max="3074" width="12.77734375" style="2" customWidth="1"/>
    <col min="3075" max="3075" width="10.77734375" style="2" customWidth="1"/>
    <col min="3076" max="3076" width="8.77734375" style="2" customWidth="1"/>
    <col min="3077" max="3077" width="8.88671875" style="2"/>
    <col min="3078" max="3078" width="12.44140625" style="2" customWidth="1"/>
    <col min="3079" max="3079" width="12.33203125" style="2" customWidth="1"/>
    <col min="3080" max="3080" width="8.88671875" style="2"/>
    <col min="3081" max="3081" width="12.109375" style="2" customWidth="1"/>
    <col min="3082" max="3324" width="8.88671875" style="2"/>
    <col min="3325" max="3325" width="15.77734375" style="2" customWidth="1"/>
    <col min="3326" max="3326" width="12.77734375" style="2" customWidth="1"/>
    <col min="3327" max="3327" width="8.77734375" style="2" customWidth="1"/>
    <col min="3328" max="3328" width="13.77734375" style="2" customWidth="1"/>
    <col min="3329" max="3329" width="8.77734375" style="2" customWidth="1"/>
    <col min="3330" max="3330" width="12.77734375" style="2" customWidth="1"/>
    <col min="3331" max="3331" width="10.77734375" style="2" customWidth="1"/>
    <col min="3332" max="3332" width="8.77734375" style="2" customWidth="1"/>
    <col min="3333" max="3333" width="8.88671875" style="2"/>
    <col min="3334" max="3334" width="12.44140625" style="2" customWidth="1"/>
    <col min="3335" max="3335" width="12.33203125" style="2" customWidth="1"/>
    <col min="3336" max="3336" width="8.88671875" style="2"/>
    <col min="3337" max="3337" width="12.109375" style="2" customWidth="1"/>
    <col min="3338" max="3580" width="8.88671875" style="2"/>
    <col min="3581" max="3581" width="15.77734375" style="2" customWidth="1"/>
    <col min="3582" max="3582" width="12.77734375" style="2" customWidth="1"/>
    <col min="3583" max="3583" width="8.77734375" style="2" customWidth="1"/>
    <col min="3584" max="3584" width="13.77734375" style="2" customWidth="1"/>
    <col min="3585" max="3585" width="8.77734375" style="2" customWidth="1"/>
    <col min="3586" max="3586" width="12.77734375" style="2" customWidth="1"/>
    <col min="3587" max="3587" width="10.77734375" style="2" customWidth="1"/>
    <col min="3588" max="3588" width="8.77734375" style="2" customWidth="1"/>
    <col min="3589" max="3589" width="8.88671875" style="2"/>
    <col min="3590" max="3590" width="12.44140625" style="2" customWidth="1"/>
    <col min="3591" max="3591" width="12.33203125" style="2" customWidth="1"/>
    <col min="3592" max="3592" width="8.88671875" style="2"/>
    <col min="3593" max="3593" width="12.109375" style="2" customWidth="1"/>
    <col min="3594" max="3836" width="8.88671875" style="2"/>
    <col min="3837" max="3837" width="15.77734375" style="2" customWidth="1"/>
    <col min="3838" max="3838" width="12.77734375" style="2" customWidth="1"/>
    <col min="3839" max="3839" width="8.77734375" style="2" customWidth="1"/>
    <col min="3840" max="3840" width="13.77734375" style="2" customWidth="1"/>
    <col min="3841" max="3841" width="8.77734375" style="2" customWidth="1"/>
    <col min="3842" max="3842" width="12.77734375" style="2" customWidth="1"/>
    <col min="3843" max="3843" width="10.77734375" style="2" customWidth="1"/>
    <col min="3844" max="3844" width="8.77734375" style="2" customWidth="1"/>
    <col min="3845" max="3845" width="8.88671875" style="2"/>
    <col min="3846" max="3846" width="12.44140625" style="2" customWidth="1"/>
    <col min="3847" max="3847" width="12.33203125" style="2" customWidth="1"/>
    <col min="3848" max="3848" width="8.88671875" style="2"/>
    <col min="3849" max="3849" width="12.109375" style="2" customWidth="1"/>
    <col min="3850" max="4092" width="8.88671875" style="2"/>
    <col min="4093" max="4093" width="15.77734375" style="2" customWidth="1"/>
    <col min="4094" max="4094" width="12.77734375" style="2" customWidth="1"/>
    <col min="4095" max="4095" width="8.77734375" style="2" customWidth="1"/>
    <col min="4096" max="4096" width="13.77734375" style="2" customWidth="1"/>
    <col min="4097" max="4097" width="8.77734375" style="2" customWidth="1"/>
    <col min="4098" max="4098" width="12.77734375" style="2" customWidth="1"/>
    <col min="4099" max="4099" width="10.77734375" style="2" customWidth="1"/>
    <col min="4100" max="4100" width="8.77734375" style="2" customWidth="1"/>
    <col min="4101" max="4101" width="8.88671875" style="2"/>
    <col min="4102" max="4102" width="12.44140625" style="2" customWidth="1"/>
    <col min="4103" max="4103" width="12.33203125" style="2" customWidth="1"/>
    <col min="4104" max="4104" width="8.88671875" style="2"/>
    <col min="4105" max="4105" width="12.109375" style="2" customWidth="1"/>
    <col min="4106" max="4348" width="8.88671875" style="2"/>
    <col min="4349" max="4349" width="15.77734375" style="2" customWidth="1"/>
    <col min="4350" max="4350" width="12.77734375" style="2" customWidth="1"/>
    <col min="4351" max="4351" width="8.77734375" style="2" customWidth="1"/>
    <col min="4352" max="4352" width="13.77734375" style="2" customWidth="1"/>
    <col min="4353" max="4353" width="8.77734375" style="2" customWidth="1"/>
    <col min="4354" max="4354" width="12.77734375" style="2" customWidth="1"/>
    <col min="4355" max="4355" width="10.77734375" style="2" customWidth="1"/>
    <col min="4356" max="4356" width="8.77734375" style="2" customWidth="1"/>
    <col min="4357" max="4357" width="8.88671875" style="2"/>
    <col min="4358" max="4358" width="12.44140625" style="2" customWidth="1"/>
    <col min="4359" max="4359" width="12.33203125" style="2" customWidth="1"/>
    <col min="4360" max="4360" width="8.88671875" style="2"/>
    <col min="4361" max="4361" width="12.109375" style="2" customWidth="1"/>
    <col min="4362" max="4604" width="8.88671875" style="2"/>
    <col min="4605" max="4605" width="15.77734375" style="2" customWidth="1"/>
    <col min="4606" max="4606" width="12.77734375" style="2" customWidth="1"/>
    <col min="4607" max="4607" width="8.77734375" style="2" customWidth="1"/>
    <col min="4608" max="4608" width="13.77734375" style="2" customWidth="1"/>
    <col min="4609" max="4609" width="8.77734375" style="2" customWidth="1"/>
    <col min="4610" max="4610" width="12.77734375" style="2" customWidth="1"/>
    <col min="4611" max="4611" width="10.77734375" style="2" customWidth="1"/>
    <col min="4612" max="4612" width="8.77734375" style="2" customWidth="1"/>
    <col min="4613" max="4613" width="8.88671875" style="2"/>
    <col min="4614" max="4614" width="12.44140625" style="2" customWidth="1"/>
    <col min="4615" max="4615" width="12.33203125" style="2" customWidth="1"/>
    <col min="4616" max="4616" width="8.88671875" style="2"/>
    <col min="4617" max="4617" width="12.109375" style="2" customWidth="1"/>
    <col min="4618" max="4860" width="8.88671875" style="2"/>
    <col min="4861" max="4861" width="15.77734375" style="2" customWidth="1"/>
    <col min="4862" max="4862" width="12.77734375" style="2" customWidth="1"/>
    <col min="4863" max="4863" width="8.77734375" style="2" customWidth="1"/>
    <col min="4864" max="4864" width="13.77734375" style="2" customWidth="1"/>
    <col min="4865" max="4865" width="8.77734375" style="2" customWidth="1"/>
    <col min="4866" max="4866" width="12.77734375" style="2" customWidth="1"/>
    <col min="4867" max="4867" width="10.77734375" style="2" customWidth="1"/>
    <col min="4868" max="4868" width="8.77734375" style="2" customWidth="1"/>
    <col min="4869" max="4869" width="8.88671875" style="2"/>
    <col min="4870" max="4870" width="12.44140625" style="2" customWidth="1"/>
    <col min="4871" max="4871" width="12.33203125" style="2" customWidth="1"/>
    <col min="4872" max="4872" width="8.88671875" style="2"/>
    <col min="4873" max="4873" width="12.109375" style="2" customWidth="1"/>
    <col min="4874" max="5116" width="8.88671875" style="2"/>
    <col min="5117" max="5117" width="15.77734375" style="2" customWidth="1"/>
    <col min="5118" max="5118" width="12.77734375" style="2" customWidth="1"/>
    <col min="5119" max="5119" width="8.77734375" style="2" customWidth="1"/>
    <col min="5120" max="5120" width="13.77734375" style="2" customWidth="1"/>
    <col min="5121" max="5121" width="8.77734375" style="2" customWidth="1"/>
    <col min="5122" max="5122" width="12.77734375" style="2" customWidth="1"/>
    <col min="5123" max="5123" width="10.77734375" style="2" customWidth="1"/>
    <col min="5124" max="5124" width="8.77734375" style="2" customWidth="1"/>
    <col min="5125" max="5125" width="8.88671875" style="2"/>
    <col min="5126" max="5126" width="12.44140625" style="2" customWidth="1"/>
    <col min="5127" max="5127" width="12.33203125" style="2" customWidth="1"/>
    <col min="5128" max="5128" width="8.88671875" style="2"/>
    <col min="5129" max="5129" width="12.109375" style="2" customWidth="1"/>
    <col min="5130" max="5372" width="8.88671875" style="2"/>
    <col min="5373" max="5373" width="15.77734375" style="2" customWidth="1"/>
    <col min="5374" max="5374" width="12.77734375" style="2" customWidth="1"/>
    <col min="5375" max="5375" width="8.77734375" style="2" customWidth="1"/>
    <col min="5376" max="5376" width="13.77734375" style="2" customWidth="1"/>
    <col min="5377" max="5377" width="8.77734375" style="2" customWidth="1"/>
    <col min="5378" max="5378" width="12.77734375" style="2" customWidth="1"/>
    <col min="5379" max="5379" width="10.77734375" style="2" customWidth="1"/>
    <col min="5380" max="5380" width="8.77734375" style="2" customWidth="1"/>
    <col min="5381" max="5381" width="8.88671875" style="2"/>
    <col min="5382" max="5382" width="12.44140625" style="2" customWidth="1"/>
    <col min="5383" max="5383" width="12.33203125" style="2" customWidth="1"/>
    <col min="5384" max="5384" width="8.88671875" style="2"/>
    <col min="5385" max="5385" width="12.109375" style="2" customWidth="1"/>
    <col min="5386" max="5628" width="8.88671875" style="2"/>
    <col min="5629" max="5629" width="15.77734375" style="2" customWidth="1"/>
    <col min="5630" max="5630" width="12.77734375" style="2" customWidth="1"/>
    <col min="5631" max="5631" width="8.77734375" style="2" customWidth="1"/>
    <col min="5632" max="5632" width="13.77734375" style="2" customWidth="1"/>
    <col min="5633" max="5633" width="8.77734375" style="2" customWidth="1"/>
    <col min="5634" max="5634" width="12.77734375" style="2" customWidth="1"/>
    <col min="5635" max="5635" width="10.77734375" style="2" customWidth="1"/>
    <col min="5636" max="5636" width="8.77734375" style="2" customWidth="1"/>
    <col min="5637" max="5637" width="8.88671875" style="2"/>
    <col min="5638" max="5638" width="12.44140625" style="2" customWidth="1"/>
    <col min="5639" max="5639" width="12.33203125" style="2" customWidth="1"/>
    <col min="5640" max="5640" width="8.88671875" style="2"/>
    <col min="5641" max="5641" width="12.109375" style="2" customWidth="1"/>
    <col min="5642" max="5884" width="8.88671875" style="2"/>
    <col min="5885" max="5885" width="15.77734375" style="2" customWidth="1"/>
    <col min="5886" max="5886" width="12.77734375" style="2" customWidth="1"/>
    <col min="5887" max="5887" width="8.77734375" style="2" customWidth="1"/>
    <col min="5888" max="5888" width="13.77734375" style="2" customWidth="1"/>
    <col min="5889" max="5889" width="8.77734375" style="2" customWidth="1"/>
    <col min="5890" max="5890" width="12.77734375" style="2" customWidth="1"/>
    <col min="5891" max="5891" width="10.77734375" style="2" customWidth="1"/>
    <col min="5892" max="5892" width="8.77734375" style="2" customWidth="1"/>
    <col min="5893" max="5893" width="8.88671875" style="2"/>
    <col min="5894" max="5894" width="12.44140625" style="2" customWidth="1"/>
    <col min="5895" max="5895" width="12.33203125" style="2" customWidth="1"/>
    <col min="5896" max="5896" width="8.88671875" style="2"/>
    <col min="5897" max="5897" width="12.109375" style="2" customWidth="1"/>
    <col min="5898" max="6140" width="8.88671875" style="2"/>
    <col min="6141" max="6141" width="15.77734375" style="2" customWidth="1"/>
    <col min="6142" max="6142" width="12.77734375" style="2" customWidth="1"/>
    <col min="6143" max="6143" width="8.77734375" style="2" customWidth="1"/>
    <col min="6144" max="6144" width="13.77734375" style="2" customWidth="1"/>
    <col min="6145" max="6145" width="8.77734375" style="2" customWidth="1"/>
    <col min="6146" max="6146" width="12.77734375" style="2" customWidth="1"/>
    <col min="6147" max="6147" width="10.77734375" style="2" customWidth="1"/>
    <col min="6148" max="6148" width="8.77734375" style="2" customWidth="1"/>
    <col min="6149" max="6149" width="8.88671875" style="2"/>
    <col min="6150" max="6150" width="12.44140625" style="2" customWidth="1"/>
    <col min="6151" max="6151" width="12.33203125" style="2" customWidth="1"/>
    <col min="6152" max="6152" width="8.88671875" style="2"/>
    <col min="6153" max="6153" width="12.109375" style="2" customWidth="1"/>
    <col min="6154" max="6396" width="8.88671875" style="2"/>
    <col min="6397" max="6397" width="15.77734375" style="2" customWidth="1"/>
    <col min="6398" max="6398" width="12.77734375" style="2" customWidth="1"/>
    <col min="6399" max="6399" width="8.77734375" style="2" customWidth="1"/>
    <col min="6400" max="6400" width="13.77734375" style="2" customWidth="1"/>
    <col min="6401" max="6401" width="8.77734375" style="2" customWidth="1"/>
    <col min="6402" max="6402" width="12.77734375" style="2" customWidth="1"/>
    <col min="6403" max="6403" width="10.77734375" style="2" customWidth="1"/>
    <col min="6404" max="6404" width="8.77734375" style="2" customWidth="1"/>
    <col min="6405" max="6405" width="8.88671875" style="2"/>
    <col min="6406" max="6406" width="12.44140625" style="2" customWidth="1"/>
    <col min="6407" max="6407" width="12.33203125" style="2" customWidth="1"/>
    <col min="6408" max="6408" width="8.88671875" style="2"/>
    <col min="6409" max="6409" width="12.109375" style="2" customWidth="1"/>
    <col min="6410" max="6652" width="8.88671875" style="2"/>
    <col min="6653" max="6653" width="15.77734375" style="2" customWidth="1"/>
    <col min="6654" max="6654" width="12.77734375" style="2" customWidth="1"/>
    <col min="6655" max="6655" width="8.77734375" style="2" customWidth="1"/>
    <col min="6656" max="6656" width="13.77734375" style="2" customWidth="1"/>
    <col min="6657" max="6657" width="8.77734375" style="2" customWidth="1"/>
    <col min="6658" max="6658" width="12.77734375" style="2" customWidth="1"/>
    <col min="6659" max="6659" width="10.77734375" style="2" customWidth="1"/>
    <col min="6660" max="6660" width="8.77734375" style="2" customWidth="1"/>
    <col min="6661" max="6661" width="8.88671875" style="2"/>
    <col min="6662" max="6662" width="12.44140625" style="2" customWidth="1"/>
    <col min="6663" max="6663" width="12.33203125" style="2" customWidth="1"/>
    <col min="6664" max="6664" width="8.88671875" style="2"/>
    <col min="6665" max="6665" width="12.109375" style="2" customWidth="1"/>
    <col min="6666" max="6908" width="8.88671875" style="2"/>
    <col min="6909" max="6909" width="15.77734375" style="2" customWidth="1"/>
    <col min="6910" max="6910" width="12.77734375" style="2" customWidth="1"/>
    <col min="6911" max="6911" width="8.77734375" style="2" customWidth="1"/>
    <col min="6912" max="6912" width="13.77734375" style="2" customWidth="1"/>
    <col min="6913" max="6913" width="8.77734375" style="2" customWidth="1"/>
    <col min="6914" max="6914" width="12.77734375" style="2" customWidth="1"/>
    <col min="6915" max="6915" width="10.77734375" style="2" customWidth="1"/>
    <col min="6916" max="6916" width="8.77734375" style="2" customWidth="1"/>
    <col min="6917" max="6917" width="8.88671875" style="2"/>
    <col min="6918" max="6918" width="12.44140625" style="2" customWidth="1"/>
    <col min="6919" max="6919" width="12.33203125" style="2" customWidth="1"/>
    <col min="6920" max="6920" width="8.88671875" style="2"/>
    <col min="6921" max="6921" width="12.109375" style="2" customWidth="1"/>
    <col min="6922" max="7164" width="8.88671875" style="2"/>
    <col min="7165" max="7165" width="15.77734375" style="2" customWidth="1"/>
    <col min="7166" max="7166" width="12.77734375" style="2" customWidth="1"/>
    <col min="7167" max="7167" width="8.77734375" style="2" customWidth="1"/>
    <col min="7168" max="7168" width="13.77734375" style="2" customWidth="1"/>
    <col min="7169" max="7169" width="8.77734375" style="2" customWidth="1"/>
    <col min="7170" max="7170" width="12.77734375" style="2" customWidth="1"/>
    <col min="7171" max="7171" width="10.77734375" style="2" customWidth="1"/>
    <col min="7172" max="7172" width="8.77734375" style="2" customWidth="1"/>
    <col min="7173" max="7173" width="8.88671875" style="2"/>
    <col min="7174" max="7174" width="12.44140625" style="2" customWidth="1"/>
    <col min="7175" max="7175" width="12.33203125" style="2" customWidth="1"/>
    <col min="7176" max="7176" width="8.88671875" style="2"/>
    <col min="7177" max="7177" width="12.109375" style="2" customWidth="1"/>
    <col min="7178" max="7420" width="8.88671875" style="2"/>
    <col min="7421" max="7421" width="15.77734375" style="2" customWidth="1"/>
    <col min="7422" max="7422" width="12.77734375" style="2" customWidth="1"/>
    <col min="7423" max="7423" width="8.77734375" style="2" customWidth="1"/>
    <col min="7424" max="7424" width="13.77734375" style="2" customWidth="1"/>
    <col min="7425" max="7425" width="8.77734375" style="2" customWidth="1"/>
    <col min="7426" max="7426" width="12.77734375" style="2" customWidth="1"/>
    <col min="7427" max="7427" width="10.77734375" style="2" customWidth="1"/>
    <col min="7428" max="7428" width="8.77734375" style="2" customWidth="1"/>
    <col min="7429" max="7429" width="8.88671875" style="2"/>
    <col min="7430" max="7430" width="12.44140625" style="2" customWidth="1"/>
    <col min="7431" max="7431" width="12.33203125" style="2" customWidth="1"/>
    <col min="7432" max="7432" width="8.88671875" style="2"/>
    <col min="7433" max="7433" width="12.109375" style="2" customWidth="1"/>
    <col min="7434" max="7676" width="8.88671875" style="2"/>
    <col min="7677" max="7677" width="15.77734375" style="2" customWidth="1"/>
    <col min="7678" max="7678" width="12.77734375" style="2" customWidth="1"/>
    <col min="7679" max="7679" width="8.77734375" style="2" customWidth="1"/>
    <col min="7680" max="7680" width="13.77734375" style="2" customWidth="1"/>
    <col min="7681" max="7681" width="8.77734375" style="2" customWidth="1"/>
    <col min="7682" max="7682" width="12.77734375" style="2" customWidth="1"/>
    <col min="7683" max="7683" width="10.77734375" style="2" customWidth="1"/>
    <col min="7684" max="7684" width="8.77734375" style="2" customWidth="1"/>
    <col min="7685" max="7685" width="8.88671875" style="2"/>
    <col min="7686" max="7686" width="12.44140625" style="2" customWidth="1"/>
    <col min="7687" max="7687" width="12.33203125" style="2" customWidth="1"/>
    <col min="7688" max="7688" width="8.88671875" style="2"/>
    <col min="7689" max="7689" width="12.109375" style="2" customWidth="1"/>
    <col min="7690" max="7932" width="8.88671875" style="2"/>
    <col min="7933" max="7933" width="15.77734375" style="2" customWidth="1"/>
    <col min="7934" max="7934" width="12.77734375" style="2" customWidth="1"/>
    <col min="7935" max="7935" width="8.77734375" style="2" customWidth="1"/>
    <col min="7936" max="7936" width="13.77734375" style="2" customWidth="1"/>
    <col min="7937" max="7937" width="8.77734375" style="2" customWidth="1"/>
    <col min="7938" max="7938" width="12.77734375" style="2" customWidth="1"/>
    <col min="7939" max="7939" width="10.77734375" style="2" customWidth="1"/>
    <col min="7940" max="7940" width="8.77734375" style="2" customWidth="1"/>
    <col min="7941" max="7941" width="8.88671875" style="2"/>
    <col min="7942" max="7942" width="12.44140625" style="2" customWidth="1"/>
    <col min="7943" max="7943" width="12.33203125" style="2" customWidth="1"/>
    <col min="7944" max="7944" width="8.88671875" style="2"/>
    <col min="7945" max="7945" width="12.109375" style="2" customWidth="1"/>
    <col min="7946" max="8188" width="8.88671875" style="2"/>
    <col min="8189" max="8189" width="15.77734375" style="2" customWidth="1"/>
    <col min="8190" max="8190" width="12.77734375" style="2" customWidth="1"/>
    <col min="8191" max="8191" width="8.77734375" style="2" customWidth="1"/>
    <col min="8192" max="8192" width="13.77734375" style="2" customWidth="1"/>
    <col min="8193" max="8193" width="8.77734375" style="2" customWidth="1"/>
    <col min="8194" max="8194" width="12.77734375" style="2" customWidth="1"/>
    <col min="8195" max="8195" width="10.77734375" style="2" customWidth="1"/>
    <col min="8196" max="8196" width="8.77734375" style="2" customWidth="1"/>
    <col min="8197" max="8197" width="8.88671875" style="2"/>
    <col min="8198" max="8198" width="12.44140625" style="2" customWidth="1"/>
    <col min="8199" max="8199" width="12.33203125" style="2" customWidth="1"/>
    <col min="8200" max="8200" width="8.88671875" style="2"/>
    <col min="8201" max="8201" width="12.109375" style="2" customWidth="1"/>
    <col min="8202" max="8444" width="8.88671875" style="2"/>
    <col min="8445" max="8445" width="15.77734375" style="2" customWidth="1"/>
    <col min="8446" max="8446" width="12.77734375" style="2" customWidth="1"/>
    <col min="8447" max="8447" width="8.77734375" style="2" customWidth="1"/>
    <col min="8448" max="8448" width="13.77734375" style="2" customWidth="1"/>
    <col min="8449" max="8449" width="8.77734375" style="2" customWidth="1"/>
    <col min="8450" max="8450" width="12.77734375" style="2" customWidth="1"/>
    <col min="8451" max="8451" width="10.77734375" style="2" customWidth="1"/>
    <col min="8452" max="8452" width="8.77734375" style="2" customWidth="1"/>
    <col min="8453" max="8453" width="8.88671875" style="2"/>
    <col min="8454" max="8454" width="12.44140625" style="2" customWidth="1"/>
    <col min="8455" max="8455" width="12.33203125" style="2" customWidth="1"/>
    <col min="8456" max="8456" width="8.88671875" style="2"/>
    <col min="8457" max="8457" width="12.109375" style="2" customWidth="1"/>
    <col min="8458" max="8700" width="8.88671875" style="2"/>
    <col min="8701" max="8701" width="15.77734375" style="2" customWidth="1"/>
    <col min="8702" max="8702" width="12.77734375" style="2" customWidth="1"/>
    <col min="8703" max="8703" width="8.77734375" style="2" customWidth="1"/>
    <col min="8704" max="8704" width="13.77734375" style="2" customWidth="1"/>
    <col min="8705" max="8705" width="8.77734375" style="2" customWidth="1"/>
    <col min="8706" max="8706" width="12.77734375" style="2" customWidth="1"/>
    <col min="8707" max="8707" width="10.77734375" style="2" customWidth="1"/>
    <col min="8708" max="8708" width="8.77734375" style="2" customWidth="1"/>
    <col min="8709" max="8709" width="8.88671875" style="2"/>
    <col min="8710" max="8710" width="12.44140625" style="2" customWidth="1"/>
    <col min="8711" max="8711" width="12.33203125" style="2" customWidth="1"/>
    <col min="8712" max="8712" width="8.88671875" style="2"/>
    <col min="8713" max="8713" width="12.109375" style="2" customWidth="1"/>
    <col min="8714" max="8956" width="8.88671875" style="2"/>
    <col min="8957" max="8957" width="15.77734375" style="2" customWidth="1"/>
    <col min="8958" max="8958" width="12.77734375" style="2" customWidth="1"/>
    <col min="8959" max="8959" width="8.77734375" style="2" customWidth="1"/>
    <col min="8960" max="8960" width="13.77734375" style="2" customWidth="1"/>
    <col min="8961" max="8961" width="8.77734375" style="2" customWidth="1"/>
    <col min="8962" max="8962" width="12.77734375" style="2" customWidth="1"/>
    <col min="8963" max="8963" width="10.77734375" style="2" customWidth="1"/>
    <col min="8964" max="8964" width="8.77734375" style="2" customWidth="1"/>
    <col min="8965" max="8965" width="8.88671875" style="2"/>
    <col min="8966" max="8966" width="12.44140625" style="2" customWidth="1"/>
    <col min="8967" max="8967" width="12.33203125" style="2" customWidth="1"/>
    <col min="8968" max="8968" width="8.88671875" style="2"/>
    <col min="8969" max="8969" width="12.109375" style="2" customWidth="1"/>
    <col min="8970" max="9212" width="8.88671875" style="2"/>
    <col min="9213" max="9213" width="15.77734375" style="2" customWidth="1"/>
    <col min="9214" max="9214" width="12.77734375" style="2" customWidth="1"/>
    <col min="9215" max="9215" width="8.77734375" style="2" customWidth="1"/>
    <col min="9216" max="9216" width="13.77734375" style="2" customWidth="1"/>
    <col min="9217" max="9217" width="8.77734375" style="2" customWidth="1"/>
    <col min="9218" max="9218" width="12.77734375" style="2" customWidth="1"/>
    <col min="9219" max="9219" width="10.77734375" style="2" customWidth="1"/>
    <col min="9220" max="9220" width="8.77734375" style="2" customWidth="1"/>
    <col min="9221" max="9221" width="8.88671875" style="2"/>
    <col min="9222" max="9222" width="12.44140625" style="2" customWidth="1"/>
    <col min="9223" max="9223" width="12.33203125" style="2" customWidth="1"/>
    <col min="9224" max="9224" width="8.88671875" style="2"/>
    <col min="9225" max="9225" width="12.109375" style="2" customWidth="1"/>
    <col min="9226" max="9468" width="8.88671875" style="2"/>
    <col min="9469" max="9469" width="15.77734375" style="2" customWidth="1"/>
    <col min="9470" max="9470" width="12.77734375" style="2" customWidth="1"/>
    <col min="9471" max="9471" width="8.77734375" style="2" customWidth="1"/>
    <col min="9472" max="9472" width="13.77734375" style="2" customWidth="1"/>
    <col min="9473" max="9473" width="8.77734375" style="2" customWidth="1"/>
    <col min="9474" max="9474" width="12.77734375" style="2" customWidth="1"/>
    <col min="9475" max="9475" width="10.77734375" style="2" customWidth="1"/>
    <col min="9476" max="9476" width="8.77734375" style="2" customWidth="1"/>
    <col min="9477" max="9477" width="8.88671875" style="2"/>
    <col min="9478" max="9478" width="12.44140625" style="2" customWidth="1"/>
    <col min="9479" max="9479" width="12.33203125" style="2" customWidth="1"/>
    <col min="9480" max="9480" width="8.88671875" style="2"/>
    <col min="9481" max="9481" width="12.109375" style="2" customWidth="1"/>
    <col min="9482" max="9724" width="8.88671875" style="2"/>
    <col min="9725" max="9725" width="15.77734375" style="2" customWidth="1"/>
    <col min="9726" max="9726" width="12.77734375" style="2" customWidth="1"/>
    <col min="9727" max="9727" width="8.77734375" style="2" customWidth="1"/>
    <col min="9728" max="9728" width="13.77734375" style="2" customWidth="1"/>
    <col min="9729" max="9729" width="8.77734375" style="2" customWidth="1"/>
    <col min="9730" max="9730" width="12.77734375" style="2" customWidth="1"/>
    <col min="9731" max="9731" width="10.77734375" style="2" customWidth="1"/>
    <col min="9732" max="9732" width="8.77734375" style="2" customWidth="1"/>
    <col min="9733" max="9733" width="8.88671875" style="2"/>
    <col min="9734" max="9734" width="12.44140625" style="2" customWidth="1"/>
    <col min="9735" max="9735" width="12.33203125" style="2" customWidth="1"/>
    <col min="9736" max="9736" width="8.88671875" style="2"/>
    <col min="9737" max="9737" width="12.109375" style="2" customWidth="1"/>
    <col min="9738" max="9980" width="8.88671875" style="2"/>
    <col min="9981" max="9981" width="15.77734375" style="2" customWidth="1"/>
    <col min="9982" max="9982" width="12.77734375" style="2" customWidth="1"/>
    <col min="9983" max="9983" width="8.77734375" style="2" customWidth="1"/>
    <col min="9984" max="9984" width="13.77734375" style="2" customWidth="1"/>
    <col min="9985" max="9985" width="8.77734375" style="2" customWidth="1"/>
    <col min="9986" max="9986" width="12.77734375" style="2" customWidth="1"/>
    <col min="9987" max="9987" width="10.77734375" style="2" customWidth="1"/>
    <col min="9988" max="9988" width="8.77734375" style="2" customWidth="1"/>
    <col min="9989" max="9989" width="8.88671875" style="2"/>
    <col min="9990" max="9990" width="12.44140625" style="2" customWidth="1"/>
    <col min="9991" max="9991" width="12.33203125" style="2" customWidth="1"/>
    <col min="9992" max="9992" width="8.88671875" style="2"/>
    <col min="9993" max="9993" width="12.109375" style="2" customWidth="1"/>
    <col min="9994" max="10236" width="8.88671875" style="2"/>
    <col min="10237" max="10237" width="15.77734375" style="2" customWidth="1"/>
    <col min="10238" max="10238" width="12.77734375" style="2" customWidth="1"/>
    <col min="10239" max="10239" width="8.77734375" style="2" customWidth="1"/>
    <col min="10240" max="10240" width="13.77734375" style="2" customWidth="1"/>
    <col min="10241" max="10241" width="8.77734375" style="2" customWidth="1"/>
    <col min="10242" max="10242" width="12.77734375" style="2" customWidth="1"/>
    <col min="10243" max="10243" width="10.77734375" style="2" customWidth="1"/>
    <col min="10244" max="10244" width="8.77734375" style="2" customWidth="1"/>
    <col min="10245" max="10245" width="8.88671875" style="2"/>
    <col min="10246" max="10246" width="12.44140625" style="2" customWidth="1"/>
    <col min="10247" max="10247" width="12.33203125" style="2" customWidth="1"/>
    <col min="10248" max="10248" width="8.88671875" style="2"/>
    <col min="10249" max="10249" width="12.109375" style="2" customWidth="1"/>
    <col min="10250" max="10492" width="8.88671875" style="2"/>
    <col min="10493" max="10493" width="15.77734375" style="2" customWidth="1"/>
    <col min="10494" max="10494" width="12.77734375" style="2" customWidth="1"/>
    <col min="10495" max="10495" width="8.77734375" style="2" customWidth="1"/>
    <col min="10496" max="10496" width="13.77734375" style="2" customWidth="1"/>
    <col min="10497" max="10497" width="8.77734375" style="2" customWidth="1"/>
    <col min="10498" max="10498" width="12.77734375" style="2" customWidth="1"/>
    <col min="10499" max="10499" width="10.77734375" style="2" customWidth="1"/>
    <col min="10500" max="10500" width="8.77734375" style="2" customWidth="1"/>
    <col min="10501" max="10501" width="8.88671875" style="2"/>
    <col min="10502" max="10502" width="12.44140625" style="2" customWidth="1"/>
    <col min="10503" max="10503" width="12.33203125" style="2" customWidth="1"/>
    <col min="10504" max="10504" width="8.88671875" style="2"/>
    <col min="10505" max="10505" width="12.109375" style="2" customWidth="1"/>
    <col min="10506" max="10748" width="8.88671875" style="2"/>
    <col min="10749" max="10749" width="15.77734375" style="2" customWidth="1"/>
    <col min="10750" max="10750" width="12.77734375" style="2" customWidth="1"/>
    <col min="10751" max="10751" width="8.77734375" style="2" customWidth="1"/>
    <col min="10752" max="10752" width="13.77734375" style="2" customWidth="1"/>
    <col min="10753" max="10753" width="8.77734375" style="2" customWidth="1"/>
    <col min="10754" max="10754" width="12.77734375" style="2" customWidth="1"/>
    <col min="10755" max="10755" width="10.77734375" style="2" customWidth="1"/>
    <col min="10756" max="10756" width="8.77734375" style="2" customWidth="1"/>
    <col min="10757" max="10757" width="8.88671875" style="2"/>
    <col min="10758" max="10758" width="12.44140625" style="2" customWidth="1"/>
    <col min="10759" max="10759" width="12.33203125" style="2" customWidth="1"/>
    <col min="10760" max="10760" width="8.88671875" style="2"/>
    <col min="10761" max="10761" width="12.109375" style="2" customWidth="1"/>
    <col min="10762" max="11004" width="8.88671875" style="2"/>
    <col min="11005" max="11005" width="15.77734375" style="2" customWidth="1"/>
    <col min="11006" max="11006" width="12.77734375" style="2" customWidth="1"/>
    <col min="11007" max="11007" width="8.77734375" style="2" customWidth="1"/>
    <col min="11008" max="11008" width="13.77734375" style="2" customWidth="1"/>
    <col min="11009" max="11009" width="8.77734375" style="2" customWidth="1"/>
    <col min="11010" max="11010" width="12.77734375" style="2" customWidth="1"/>
    <col min="11011" max="11011" width="10.77734375" style="2" customWidth="1"/>
    <col min="11012" max="11012" width="8.77734375" style="2" customWidth="1"/>
    <col min="11013" max="11013" width="8.88671875" style="2"/>
    <col min="11014" max="11014" width="12.44140625" style="2" customWidth="1"/>
    <col min="11015" max="11015" width="12.33203125" style="2" customWidth="1"/>
    <col min="11016" max="11016" width="8.88671875" style="2"/>
    <col min="11017" max="11017" width="12.109375" style="2" customWidth="1"/>
    <col min="11018" max="11260" width="8.88671875" style="2"/>
    <col min="11261" max="11261" width="15.77734375" style="2" customWidth="1"/>
    <col min="11262" max="11262" width="12.77734375" style="2" customWidth="1"/>
    <col min="11263" max="11263" width="8.77734375" style="2" customWidth="1"/>
    <col min="11264" max="11264" width="13.77734375" style="2" customWidth="1"/>
    <col min="11265" max="11265" width="8.77734375" style="2" customWidth="1"/>
    <col min="11266" max="11266" width="12.77734375" style="2" customWidth="1"/>
    <col min="11267" max="11267" width="10.77734375" style="2" customWidth="1"/>
    <col min="11268" max="11268" width="8.77734375" style="2" customWidth="1"/>
    <col min="11269" max="11269" width="8.88671875" style="2"/>
    <col min="11270" max="11270" width="12.44140625" style="2" customWidth="1"/>
    <col min="11271" max="11271" width="12.33203125" style="2" customWidth="1"/>
    <col min="11272" max="11272" width="8.88671875" style="2"/>
    <col min="11273" max="11273" width="12.109375" style="2" customWidth="1"/>
    <col min="11274" max="11516" width="8.88671875" style="2"/>
    <col min="11517" max="11517" width="15.77734375" style="2" customWidth="1"/>
    <col min="11518" max="11518" width="12.77734375" style="2" customWidth="1"/>
    <col min="11519" max="11519" width="8.77734375" style="2" customWidth="1"/>
    <col min="11520" max="11520" width="13.77734375" style="2" customWidth="1"/>
    <col min="11521" max="11521" width="8.77734375" style="2" customWidth="1"/>
    <col min="11522" max="11522" width="12.77734375" style="2" customWidth="1"/>
    <col min="11523" max="11523" width="10.77734375" style="2" customWidth="1"/>
    <col min="11524" max="11524" width="8.77734375" style="2" customWidth="1"/>
    <col min="11525" max="11525" width="8.88671875" style="2"/>
    <col min="11526" max="11526" width="12.44140625" style="2" customWidth="1"/>
    <col min="11527" max="11527" width="12.33203125" style="2" customWidth="1"/>
    <col min="11528" max="11528" width="8.88671875" style="2"/>
    <col min="11529" max="11529" width="12.109375" style="2" customWidth="1"/>
    <col min="11530" max="11772" width="8.88671875" style="2"/>
    <col min="11773" max="11773" width="15.77734375" style="2" customWidth="1"/>
    <col min="11774" max="11774" width="12.77734375" style="2" customWidth="1"/>
    <col min="11775" max="11775" width="8.77734375" style="2" customWidth="1"/>
    <col min="11776" max="11776" width="13.77734375" style="2" customWidth="1"/>
    <col min="11777" max="11777" width="8.77734375" style="2" customWidth="1"/>
    <col min="11778" max="11778" width="12.77734375" style="2" customWidth="1"/>
    <col min="11779" max="11779" width="10.77734375" style="2" customWidth="1"/>
    <col min="11780" max="11780" width="8.77734375" style="2" customWidth="1"/>
    <col min="11781" max="11781" width="8.88671875" style="2"/>
    <col min="11782" max="11782" width="12.44140625" style="2" customWidth="1"/>
    <col min="11783" max="11783" width="12.33203125" style="2" customWidth="1"/>
    <col min="11784" max="11784" width="8.88671875" style="2"/>
    <col min="11785" max="11785" width="12.109375" style="2" customWidth="1"/>
    <col min="11786" max="12028" width="8.88671875" style="2"/>
    <col min="12029" max="12029" width="15.77734375" style="2" customWidth="1"/>
    <col min="12030" max="12030" width="12.77734375" style="2" customWidth="1"/>
    <col min="12031" max="12031" width="8.77734375" style="2" customWidth="1"/>
    <col min="12032" max="12032" width="13.77734375" style="2" customWidth="1"/>
    <col min="12033" max="12033" width="8.77734375" style="2" customWidth="1"/>
    <col min="12034" max="12034" width="12.77734375" style="2" customWidth="1"/>
    <col min="12035" max="12035" width="10.77734375" style="2" customWidth="1"/>
    <col min="12036" max="12036" width="8.77734375" style="2" customWidth="1"/>
    <col min="12037" max="12037" width="8.88671875" style="2"/>
    <col min="12038" max="12038" width="12.44140625" style="2" customWidth="1"/>
    <col min="12039" max="12039" width="12.33203125" style="2" customWidth="1"/>
    <col min="12040" max="12040" width="8.88671875" style="2"/>
    <col min="12041" max="12041" width="12.109375" style="2" customWidth="1"/>
    <col min="12042" max="12284" width="8.88671875" style="2"/>
    <col min="12285" max="12285" width="15.77734375" style="2" customWidth="1"/>
    <col min="12286" max="12286" width="12.77734375" style="2" customWidth="1"/>
    <col min="12287" max="12287" width="8.77734375" style="2" customWidth="1"/>
    <col min="12288" max="12288" width="13.77734375" style="2" customWidth="1"/>
    <col min="12289" max="12289" width="8.77734375" style="2" customWidth="1"/>
    <col min="12290" max="12290" width="12.77734375" style="2" customWidth="1"/>
    <col min="12291" max="12291" width="10.77734375" style="2" customWidth="1"/>
    <col min="12292" max="12292" width="8.77734375" style="2" customWidth="1"/>
    <col min="12293" max="12293" width="8.88671875" style="2"/>
    <col min="12294" max="12294" width="12.44140625" style="2" customWidth="1"/>
    <col min="12295" max="12295" width="12.33203125" style="2" customWidth="1"/>
    <col min="12296" max="12296" width="8.88671875" style="2"/>
    <col min="12297" max="12297" width="12.109375" style="2" customWidth="1"/>
    <col min="12298" max="12540" width="8.88671875" style="2"/>
    <col min="12541" max="12541" width="15.77734375" style="2" customWidth="1"/>
    <col min="12542" max="12542" width="12.77734375" style="2" customWidth="1"/>
    <col min="12543" max="12543" width="8.77734375" style="2" customWidth="1"/>
    <col min="12544" max="12544" width="13.77734375" style="2" customWidth="1"/>
    <col min="12545" max="12545" width="8.77734375" style="2" customWidth="1"/>
    <col min="12546" max="12546" width="12.77734375" style="2" customWidth="1"/>
    <col min="12547" max="12547" width="10.77734375" style="2" customWidth="1"/>
    <col min="12548" max="12548" width="8.77734375" style="2" customWidth="1"/>
    <col min="12549" max="12549" width="8.88671875" style="2"/>
    <col min="12550" max="12550" width="12.44140625" style="2" customWidth="1"/>
    <col min="12551" max="12551" width="12.33203125" style="2" customWidth="1"/>
    <col min="12552" max="12552" width="8.88671875" style="2"/>
    <col min="12553" max="12553" width="12.109375" style="2" customWidth="1"/>
    <col min="12554" max="12796" width="8.88671875" style="2"/>
    <col min="12797" max="12797" width="15.77734375" style="2" customWidth="1"/>
    <col min="12798" max="12798" width="12.77734375" style="2" customWidth="1"/>
    <col min="12799" max="12799" width="8.77734375" style="2" customWidth="1"/>
    <col min="12800" max="12800" width="13.77734375" style="2" customWidth="1"/>
    <col min="12801" max="12801" width="8.77734375" style="2" customWidth="1"/>
    <col min="12802" max="12802" width="12.77734375" style="2" customWidth="1"/>
    <col min="12803" max="12803" width="10.77734375" style="2" customWidth="1"/>
    <col min="12804" max="12804" width="8.77734375" style="2" customWidth="1"/>
    <col min="12805" max="12805" width="8.88671875" style="2"/>
    <col min="12806" max="12806" width="12.44140625" style="2" customWidth="1"/>
    <col min="12807" max="12807" width="12.33203125" style="2" customWidth="1"/>
    <col min="12808" max="12808" width="8.88671875" style="2"/>
    <col min="12809" max="12809" width="12.109375" style="2" customWidth="1"/>
    <col min="12810" max="13052" width="8.88671875" style="2"/>
    <col min="13053" max="13053" width="15.77734375" style="2" customWidth="1"/>
    <col min="13054" max="13054" width="12.77734375" style="2" customWidth="1"/>
    <col min="13055" max="13055" width="8.77734375" style="2" customWidth="1"/>
    <col min="13056" max="13056" width="13.77734375" style="2" customWidth="1"/>
    <col min="13057" max="13057" width="8.77734375" style="2" customWidth="1"/>
    <col min="13058" max="13058" width="12.77734375" style="2" customWidth="1"/>
    <col min="13059" max="13059" width="10.77734375" style="2" customWidth="1"/>
    <col min="13060" max="13060" width="8.77734375" style="2" customWidth="1"/>
    <col min="13061" max="13061" width="8.88671875" style="2"/>
    <col min="13062" max="13062" width="12.44140625" style="2" customWidth="1"/>
    <col min="13063" max="13063" width="12.33203125" style="2" customWidth="1"/>
    <col min="13064" max="13064" width="8.88671875" style="2"/>
    <col min="13065" max="13065" width="12.109375" style="2" customWidth="1"/>
    <col min="13066" max="13308" width="8.88671875" style="2"/>
    <col min="13309" max="13309" width="15.77734375" style="2" customWidth="1"/>
    <col min="13310" max="13310" width="12.77734375" style="2" customWidth="1"/>
    <col min="13311" max="13311" width="8.77734375" style="2" customWidth="1"/>
    <col min="13312" max="13312" width="13.77734375" style="2" customWidth="1"/>
    <col min="13313" max="13313" width="8.77734375" style="2" customWidth="1"/>
    <col min="13314" max="13314" width="12.77734375" style="2" customWidth="1"/>
    <col min="13315" max="13315" width="10.77734375" style="2" customWidth="1"/>
    <col min="13316" max="13316" width="8.77734375" style="2" customWidth="1"/>
    <col min="13317" max="13317" width="8.88671875" style="2"/>
    <col min="13318" max="13318" width="12.44140625" style="2" customWidth="1"/>
    <col min="13319" max="13319" width="12.33203125" style="2" customWidth="1"/>
    <col min="13320" max="13320" width="8.88671875" style="2"/>
    <col min="13321" max="13321" width="12.109375" style="2" customWidth="1"/>
    <col min="13322" max="13564" width="8.88671875" style="2"/>
    <col min="13565" max="13565" width="15.77734375" style="2" customWidth="1"/>
    <col min="13566" max="13566" width="12.77734375" style="2" customWidth="1"/>
    <col min="13567" max="13567" width="8.77734375" style="2" customWidth="1"/>
    <col min="13568" max="13568" width="13.77734375" style="2" customWidth="1"/>
    <col min="13569" max="13569" width="8.77734375" style="2" customWidth="1"/>
    <col min="13570" max="13570" width="12.77734375" style="2" customWidth="1"/>
    <col min="13571" max="13571" width="10.77734375" style="2" customWidth="1"/>
    <col min="13572" max="13572" width="8.77734375" style="2" customWidth="1"/>
    <col min="13573" max="13573" width="8.88671875" style="2"/>
    <col min="13574" max="13574" width="12.44140625" style="2" customWidth="1"/>
    <col min="13575" max="13575" width="12.33203125" style="2" customWidth="1"/>
    <col min="13576" max="13576" width="8.88671875" style="2"/>
    <col min="13577" max="13577" width="12.109375" style="2" customWidth="1"/>
    <col min="13578" max="13820" width="8.88671875" style="2"/>
    <col min="13821" max="13821" width="15.77734375" style="2" customWidth="1"/>
    <col min="13822" max="13822" width="12.77734375" style="2" customWidth="1"/>
    <col min="13823" max="13823" width="8.77734375" style="2" customWidth="1"/>
    <col min="13824" max="13824" width="13.77734375" style="2" customWidth="1"/>
    <col min="13825" max="13825" width="8.77734375" style="2" customWidth="1"/>
    <col min="13826" max="13826" width="12.77734375" style="2" customWidth="1"/>
    <col min="13827" max="13827" width="10.77734375" style="2" customWidth="1"/>
    <col min="13828" max="13828" width="8.77734375" style="2" customWidth="1"/>
    <col min="13829" max="13829" width="8.88671875" style="2"/>
    <col min="13830" max="13830" width="12.44140625" style="2" customWidth="1"/>
    <col min="13831" max="13831" width="12.33203125" style="2" customWidth="1"/>
    <col min="13832" max="13832" width="8.88671875" style="2"/>
    <col min="13833" max="13833" width="12.109375" style="2" customWidth="1"/>
    <col min="13834" max="14076" width="8.88671875" style="2"/>
    <col min="14077" max="14077" width="15.77734375" style="2" customWidth="1"/>
    <col min="14078" max="14078" width="12.77734375" style="2" customWidth="1"/>
    <col min="14079" max="14079" width="8.77734375" style="2" customWidth="1"/>
    <col min="14080" max="14080" width="13.77734375" style="2" customWidth="1"/>
    <col min="14081" max="14081" width="8.77734375" style="2" customWidth="1"/>
    <col min="14082" max="14082" width="12.77734375" style="2" customWidth="1"/>
    <col min="14083" max="14083" width="10.77734375" style="2" customWidth="1"/>
    <col min="14084" max="14084" width="8.77734375" style="2" customWidth="1"/>
    <col min="14085" max="14085" width="8.88671875" style="2"/>
    <col min="14086" max="14086" width="12.44140625" style="2" customWidth="1"/>
    <col min="14087" max="14087" width="12.33203125" style="2" customWidth="1"/>
    <col min="14088" max="14088" width="8.88671875" style="2"/>
    <col min="14089" max="14089" width="12.109375" style="2" customWidth="1"/>
    <col min="14090" max="14332" width="8.88671875" style="2"/>
    <col min="14333" max="14333" width="15.77734375" style="2" customWidth="1"/>
    <col min="14334" max="14334" width="12.77734375" style="2" customWidth="1"/>
    <col min="14335" max="14335" width="8.77734375" style="2" customWidth="1"/>
    <col min="14336" max="14336" width="13.77734375" style="2" customWidth="1"/>
    <col min="14337" max="14337" width="8.77734375" style="2" customWidth="1"/>
    <col min="14338" max="14338" width="12.77734375" style="2" customWidth="1"/>
    <col min="14339" max="14339" width="10.77734375" style="2" customWidth="1"/>
    <col min="14340" max="14340" width="8.77734375" style="2" customWidth="1"/>
    <col min="14341" max="14341" width="8.88671875" style="2"/>
    <col min="14342" max="14342" width="12.44140625" style="2" customWidth="1"/>
    <col min="14343" max="14343" width="12.33203125" style="2" customWidth="1"/>
    <col min="14344" max="14344" width="8.88671875" style="2"/>
    <col min="14345" max="14345" width="12.109375" style="2" customWidth="1"/>
    <col min="14346" max="14588" width="8.88671875" style="2"/>
    <col min="14589" max="14589" width="15.77734375" style="2" customWidth="1"/>
    <col min="14590" max="14590" width="12.77734375" style="2" customWidth="1"/>
    <col min="14591" max="14591" width="8.77734375" style="2" customWidth="1"/>
    <col min="14592" max="14592" width="13.77734375" style="2" customWidth="1"/>
    <col min="14593" max="14593" width="8.77734375" style="2" customWidth="1"/>
    <col min="14594" max="14594" width="12.77734375" style="2" customWidth="1"/>
    <col min="14595" max="14595" width="10.77734375" style="2" customWidth="1"/>
    <col min="14596" max="14596" width="8.77734375" style="2" customWidth="1"/>
    <col min="14597" max="14597" width="8.88671875" style="2"/>
    <col min="14598" max="14598" width="12.44140625" style="2" customWidth="1"/>
    <col min="14599" max="14599" width="12.33203125" style="2" customWidth="1"/>
    <col min="14600" max="14600" width="8.88671875" style="2"/>
    <col min="14601" max="14601" width="12.109375" style="2" customWidth="1"/>
    <col min="14602" max="14844" width="8.88671875" style="2"/>
    <col min="14845" max="14845" width="15.77734375" style="2" customWidth="1"/>
    <col min="14846" max="14846" width="12.77734375" style="2" customWidth="1"/>
    <col min="14847" max="14847" width="8.77734375" style="2" customWidth="1"/>
    <col min="14848" max="14848" width="13.77734375" style="2" customWidth="1"/>
    <col min="14849" max="14849" width="8.77734375" style="2" customWidth="1"/>
    <col min="14850" max="14850" width="12.77734375" style="2" customWidth="1"/>
    <col min="14851" max="14851" width="10.77734375" style="2" customWidth="1"/>
    <col min="14852" max="14852" width="8.77734375" style="2" customWidth="1"/>
    <col min="14853" max="14853" width="8.88671875" style="2"/>
    <col min="14854" max="14854" width="12.44140625" style="2" customWidth="1"/>
    <col min="14855" max="14855" width="12.33203125" style="2" customWidth="1"/>
    <col min="14856" max="14856" width="8.88671875" style="2"/>
    <col min="14857" max="14857" width="12.109375" style="2" customWidth="1"/>
    <col min="14858" max="15100" width="8.88671875" style="2"/>
    <col min="15101" max="15101" width="15.77734375" style="2" customWidth="1"/>
    <col min="15102" max="15102" width="12.77734375" style="2" customWidth="1"/>
    <col min="15103" max="15103" width="8.77734375" style="2" customWidth="1"/>
    <col min="15104" max="15104" width="13.77734375" style="2" customWidth="1"/>
    <col min="15105" max="15105" width="8.77734375" style="2" customWidth="1"/>
    <col min="15106" max="15106" width="12.77734375" style="2" customWidth="1"/>
    <col min="15107" max="15107" width="10.77734375" style="2" customWidth="1"/>
    <col min="15108" max="15108" width="8.77734375" style="2" customWidth="1"/>
    <col min="15109" max="15109" width="8.88671875" style="2"/>
    <col min="15110" max="15110" width="12.44140625" style="2" customWidth="1"/>
    <col min="15111" max="15111" width="12.33203125" style="2" customWidth="1"/>
    <col min="15112" max="15112" width="8.88671875" style="2"/>
    <col min="15113" max="15113" width="12.109375" style="2" customWidth="1"/>
    <col min="15114" max="15356" width="8.88671875" style="2"/>
    <col min="15357" max="15357" width="15.77734375" style="2" customWidth="1"/>
    <col min="15358" max="15358" width="12.77734375" style="2" customWidth="1"/>
    <col min="15359" max="15359" width="8.77734375" style="2" customWidth="1"/>
    <col min="15360" max="15360" width="13.77734375" style="2" customWidth="1"/>
    <col min="15361" max="15361" width="8.77734375" style="2" customWidth="1"/>
    <col min="15362" max="15362" width="12.77734375" style="2" customWidth="1"/>
    <col min="15363" max="15363" width="10.77734375" style="2" customWidth="1"/>
    <col min="15364" max="15364" width="8.77734375" style="2" customWidth="1"/>
    <col min="15365" max="15365" width="8.88671875" style="2"/>
    <col min="15366" max="15366" width="12.44140625" style="2" customWidth="1"/>
    <col min="15367" max="15367" width="12.33203125" style="2" customWidth="1"/>
    <col min="15368" max="15368" width="8.88671875" style="2"/>
    <col min="15369" max="15369" width="12.109375" style="2" customWidth="1"/>
    <col min="15370" max="15612" width="8.88671875" style="2"/>
    <col min="15613" max="15613" width="15.77734375" style="2" customWidth="1"/>
    <col min="15614" max="15614" width="12.77734375" style="2" customWidth="1"/>
    <col min="15615" max="15615" width="8.77734375" style="2" customWidth="1"/>
    <col min="15616" max="15616" width="13.77734375" style="2" customWidth="1"/>
    <col min="15617" max="15617" width="8.77734375" style="2" customWidth="1"/>
    <col min="15618" max="15618" width="12.77734375" style="2" customWidth="1"/>
    <col min="15619" max="15619" width="10.77734375" style="2" customWidth="1"/>
    <col min="15620" max="15620" width="8.77734375" style="2" customWidth="1"/>
    <col min="15621" max="15621" width="8.88671875" style="2"/>
    <col min="15622" max="15622" width="12.44140625" style="2" customWidth="1"/>
    <col min="15623" max="15623" width="12.33203125" style="2" customWidth="1"/>
    <col min="15624" max="15624" width="8.88671875" style="2"/>
    <col min="15625" max="15625" width="12.109375" style="2" customWidth="1"/>
    <col min="15626" max="15868" width="8.88671875" style="2"/>
    <col min="15869" max="15869" width="15.77734375" style="2" customWidth="1"/>
    <col min="15870" max="15870" width="12.77734375" style="2" customWidth="1"/>
    <col min="15871" max="15871" width="8.77734375" style="2" customWidth="1"/>
    <col min="15872" max="15872" width="13.77734375" style="2" customWidth="1"/>
    <col min="15873" max="15873" width="8.77734375" style="2" customWidth="1"/>
    <col min="15874" max="15874" width="12.77734375" style="2" customWidth="1"/>
    <col min="15875" max="15875" width="10.77734375" style="2" customWidth="1"/>
    <col min="15876" max="15876" width="8.77734375" style="2" customWidth="1"/>
    <col min="15877" max="15877" width="8.88671875" style="2"/>
    <col min="15878" max="15878" width="12.44140625" style="2" customWidth="1"/>
    <col min="15879" max="15879" width="12.33203125" style="2" customWidth="1"/>
    <col min="15880" max="15880" width="8.88671875" style="2"/>
    <col min="15881" max="15881" width="12.109375" style="2" customWidth="1"/>
    <col min="15882" max="16124" width="8.88671875" style="2"/>
    <col min="16125" max="16125" width="15.77734375" style="2" customWidth="1"/>
    <col min="16126" max="16126" width="12.77734375" style="2" customWidth="1"/>
    <col min="16127" max="16127" width="8.77734375" style="2" customWidth="1"/>
    <col min="16128" max="16128" width="13.77734375" style="2" customWidth="1"/>
    <col min="16129" max="16129" width="8.77734375" style="2" customWidth="1"/>
    <col min="16130" max="16130" width="12.77734375" style="2" customWidth="1"/>
    <col min="16131" max="16131" width="10.77734375" style="2" customWidth="1"/>
    <col min="16132" max="16132" width="8.77734375" style="2" customWidth="1"/>
    <col min="16133" max="16133" width="8.88671875" style="2"/>
    <col min="16134" max="16134" width="12.44140625" style="2" customWidth="1"/>
    <col min="16135" max="16135" width="12.33203125" style="2" customWidth="1"/>
    <col min="16136" max="16136" width="8.88671875" style="2"/>
    <col min="16137" max="16137" width="12.109375" style="2" customWidth="1"/>
    <col min="16138" max="16384" width="8.88671875" style="2"/>
  </cols>
  <sheetData>
    <row r="1" spans="1:8">
      <c r="A1" s="7"/>
      <c r="B1" s="7"/>
      <c r="C1" s="7"/>
      <c r="D1" s="7"/>
      <c r="E1" s="7"/>
      <c r="F1" s="7"/>
      <c r="G1" s="7"/>
      <c r="H1" s="49">
        <f>inputPrYr!D22</f>
        <v>2024</v>
      </c>
    </row>
    <row r="2" spans="1:8">
      <c r="A2" s="650" t="s">
        <v>378</v>
      </c>
      <c r="B2" s="556"/>
      <c r="C2" s="556"/>
      <c r="D2" s="556"/>
      <c r="E2" s="556"/>
      <c r="F2" s="556"/>
      <c r="G2" s="556"/>
      <c r="H2" s="556"/>
    </row>
    <row r="3" spans="1:8">
      <c r="A3" s="7"/>
      <c r="B3" s="7"/>
      <c r="C3" s="7"/>
      <c r="D3" s="7"/>
      <c r="E3" s="7"/>
      <c r="F3" s="7"/>
      <c r="G3" s="7"/>
      <c r="H3" s="7"/>
    </row>
    <row r="4" spans="1:8">
      <c r="A4" s="579" t="s">
        <v>349</v>
      </c>
      <c r="B4" s="579"/>
      <c r="C4" s="579"/>
      <c r="D4" s="579"/>
      <c r="E4" s="579"/>
      <c r="F4" s="579"/>
      <c r="G4" s="579"/>
      <c r="H4" s="579"/>
    </row>
    <row r="5" spans="1:8">
      <c r="A5" s="663">
        <f>inputPrYr!D3</f>
        <v>0</v>
      </c>
      <c r="B5" s="529"/>
      <c r="C5" s="529"/>
      <c r="D5" s="529"/>
      <c r="E5" s="529"/>
      <c r="F5" s="529"/>
      <c r="G5" s="529"/>
      <c r="H5" s="529"/>
    </row>
    <row r="6" spans="1:8">
      <c r="A6" s="579" t="str">
        <f>CONCATENATE("will meet on ",inputHearing!B42," at ",inputHearing!B44," at ",inputHearing!B46," for the purpose of hearing and")</f>
        <v>will meet on  at  at  for the purpose of hearing and</v>
      </c>
      <c r="B6" s="579"/>
      <c r="C6" s="579"/>
      <c r="D6" s="579"/>
      <c r="E6" s="579"/>
      <c r="F6" s="579"/>
      <c r="G6" s="579"/>
      <c r="H6" s="579"/>
    </row>
    <row r="7" spans="1:8" ht="14.25" customHeight="1">
      <c r="A7" s="579" t="s">
        <v>379</v>
      </c>
      <c r="B7" s="579"/>
      <c r="C7" s="579"/>
      <c r="D7" s="579"/>
      <c r="E7" s="579"/>
      <c r="F7" s="579"/>
      <c r="G7" s="579"/>
      <c r="H7" s="579"/>
    </row>
    <row r="8" spans="1:8" ht="11.25" customHeight="1">
      <c r="A8" s="7"/>
      <c r="B8" s="7"/>
      <c r="C8" s="7"/>
      <c r="D8" s="7"/>
      <c r="E8" s="7"/>
      <c r="F8" s="7"/>
      <c r="G8" s="7"/>
      <c r="H8" s="7"/>
    </row>
    <row r="9" spans="1:8" ht="15" customHeight="1">
      <c r="A9" s="529" t="s">
        <v>351</v>
      </c>
      <c r="B9" s="529"/>
      <c r="C9" s="529"/>
      <c r="D9" s="529"/>
      <c r="E9" s="529"/>
      <c r="F9" s="529"/>
      <c r="G9" s="529"/>
      <c r="H9" s="529"/>
    </row>
    <row r="10" spans="1:8" ht="12" customHeight="1">
      <c r="A10" s="597" t="str">
        <f>CONCATENATE(inputPrYr!D4," (home county) ",inputPrYr!D6,IF(inputPrYr!D7="","",", "),inputPrYr!D7,IF(inputPrYr!D8="","",", "),inputPrYr!D8,IF(inputPrYr!D9="","",", "),inputPrYr!D9,IF(inputPrYr!D10="","",", "),inputPrYr!D10)</f>
        <v xml:space="preserve"> (home county) </v>
      </c>
      <c r="B10" s="579"/>
      <c r="C10" s="579"/>
      <c r="D10" s="579"/>
      <c r="E10" s="579"/>
      <c r="F10" s="579"/>
      <c r="G10" s="579"/>
      <c r="H10" s="579"/>
    </row>
    <row r="11" spans="1:8">
      <c r="A11" s="597" t="str">
        <f>CONCATENATE(inputPrYr!D11,IF(inputPrYr!D12="","",", "),inputPrYr!D12,IF(inputPrYr!D13="","",", "),inputPrYr!D13,IF(inputPrYr!D14="","",", "),inputPrYr!D14,IF(inputPrYr!D15="","",", "),inputPrYr!D15,IF(inputPrYr!D16="","",", "),inputPrYr!D16)</f>
        <v/>
      </c>
      <c r="B11" s="579"/>
      <c r="C11" s="579"/>
      <c r="D11" s="579"/>
      <c r="E11" s="579"/>
      <c r="F11" s="579"/>
      <c r="G11" s="579"/>
      <c r="H11" s="579"/>
    </row>
    <row r="12" spans="1:8">
      <c r="A12" s="597" t="str">
        <f>CONCATENATE(inputPrYr!D17,IF(inputPrYr!D18="","",", "),inputPrYr!D18,IF(inputPrYr!D19="","",", "),inputPrYr!D19,IF(inputPrYr!D20="","",", "),inputPrYr!D20)</f>
        <v/>
      </c>
      <c r="B12" s="579"/>
      <c r="C12" s="579"/>
      <c r="D12" s="579"/>
      <c r="E12" s="579"/>
      <c r="F12" s="579"/>
      <c r="G12" s="579"/>
      <c r="H12" s="579"/>
    </row>
    <row r="13" spans="1:8">
      <c r="A13" s="55"/>
      <c r="B13" s="11"/>
      <c r="C13" s="11"/>
      <c r="D13" s="11"/>
      <c r="E13" s="11"/>
      <c r="F13" s="11"/>
      <c r="G13" s="11"/>
      <c r="H13" s="11"/>
    </row>
    <row r="14" spans="1:8">
      <c r="A14" s="55"/>
      <c r="B14" s="661" t="s">
        <v>380</v>
      </c>
      <c r="C14" s="661"/>
      <c r="D14" s="400">
        <f>'Budget Hearing Notice'!H31</f>
        <v>0</v>
      </c>
      <c r="E14" s="661" t="s">
        <v>381</v>
      </c>
      <c r="F14" s="661"/>
      <c r="G14" s="401">
        <f>'Budget Hearing Notice'!H30</f>
        <v>0</v>
      </c>
      <c r="H14" s="11"/>
    </row>
    <row r="15" spans="1:8">
      <c r="A15" s="7"/>
      <c r="B15" s="57"/>
      <c r="C15" s="57"/>
      <c r="D15" s="57"/>
      <c r="E15" s="57"/>
      <c r="F15" s="57"/>
      <c r="G15" s="57"/>
      <c r="H15" s="57"/>
    </row>
    <row r="16" spans="1:8">
      <c r="A16" s="7"/>
      <c r="B16" s="662" t="s">
        <v>382</v>
      </c>
      <c r="C16" s="662"/>
      <c r="D16" s="662"/>
      <c r="E16" s="662"/>
      <c r="F16" s="662"/>
      <c r="G16" s="7"/>
      <c r="H16" s="49"/>
    </row>
    <row r="17" spans="1:8">
      <c r="A17" s="7"/>
      <c r="B17" s="662" t="s">
        <v>383</v>
      </c>
      <c r="C17" s="662"/>
      <c r="D17" s="662"/>
      <c r="E17" s="662"/>
      <c r="F17" s="662"/>
      <c r="G17" s="7"/>
      <c r="H17" s="49"/>
    </row>
    <row r="18" spans="1:8">
      <c r="A18" s="7"/>
      <c r="B18" s="483"/>
      <c r="C18" s="483"/>
      <c r="D18" s="483"/>
      <c r="E18" s="483"/>
      <c r="F18" s="483"/>
      <c r="G18" s="7"/>
      <c r="H18" s="49"/>
    </row>
    <row r="19" spans="1:8">
      <c r="A19" s="7"/>
      <c r="B19" s="483"/>
      <c r="C19" s="483"/>
      <c r="D19" s="484" t="s">
        <v>384</v>
      </c>
      <c r="E19" s="348"/>
      <c r="F19" s="483"/>
      <c r="G19" s="7"/>
      <c r="H19" s="49"/>
    </row>
    <row r="21" spans="1:8">
      <c r="A21" s="5"/>
      <c r="B21" s="5"/>
      <c r="C21" s="5"/>
      <c r="D21" s="5"/>
      <c r="E21" s="5"/>
      <c r="F21" s="5"/>
      <c r="G21" s="5"/>
      <c r="H21" s="5"/>
    </row>
    <row r="23" spans="1:8">
      <c r="A23" s="5"/>
      <c r="B23" s="5"/>
      <c r="C23" s="5"/>
      <c r="D23" s="5"/>
      <c r="E23" s="5"/>
      <c r="F23" s="5"/>
      <c r="G23" s="5"/>
      <c r="H23" s="5"/>
    </row>
    <row r="24" spans="1:8">
      <c r="A24" s="5"/>
      <c r="B24" s="5"/>
      <c r="C24" s="5"/>
      <c r="D24" s="5"/>
      <c r="E24" s="5"/>
      <c r="F24" s="5"/>
      <c r="G24" s="5"/>
      <c r="H24" s="5"/>
    </row>
    <row r="25" spans="1:8">
      <c r="A25" s="5"/>
      <c r="B25" s="5"/>
      <c r="C25" s="5"/>
      <c r="D25" s="5"/>
      <c r="E25" s="5"/>
      <c r="F25" s="5"/>
      <c r="G25" s="5"/>
      <c r="H25" s="5"/>
    </row>
    <row r="26" spans="1:8">
      <c r="A26" s="5"/>
      <c r="B26" s="5"/>
      <c r="C26" s="5"/>
      <c r="D26" s="5"/>
      <c r="E26" s="5"/>
      <c r="F26" s="5"/>
      <c r="G26" s="5"/>
      <c r="H26" s="5"/>
    </row>
    <row r="27" spans="1:8">
      <c r="A27" s="5"/>
      <c r="B27" s="5"/>
      <c r="C27" s="5"/>
      <c r="D27" s="5"/>
      <c r="E27" s="5"/>
      <c r="F27" s="5"/>
      <c r="G27" s="5"/>
      <c r="H27" s="5"/>
    </row>
    <row r="28" spans="1:8">
      <c r="A28" s="5"/>
      <c r="B28" s="5"/>
      <c r="C28" s="5"/>
      <c r="D28" s="5"/>
      <c r="E28" s="5"/>
      <c r="F28" s="5"/>
      <c r="G28" s="5"/>
      <c r="H28" s="5"/>
    </row>
    <row r="29" spans="1:8">
      <c r="A29" s="5"/>
      <c r="B29" s="5"/>
      <c r="C29" s="5"/>
      <c r="D29" s="5"/>
      <c r="E29" s="5"/>
      <c r="F29" s="5"/>
      <c r="G29" s="5"/>
      <c r="H29" s="5"/>
    </row>
    <row r="30" spans="1:8">
      <c r="A30" s="5"/>
      <c r="B30" s="5"/>
      <c r="C30" s="5"/>
      <c r="D30" s="5"/>
      <c r="E30" s="5"/>
      <c r="F30" s="5"/>
      <c r="G30" s="5"/>
      <c r="H30" s="5"/>
    </row>
    <row r="31" spans="1:8">
      <c r="A31" s="5"/>
      <c r="B31" s="5"/>
      <c r="C31" s="5"/>
      <c r="D31" s="5"/>
      <c r="E31" s="5"/>
      <c r="F31" s="5"/>
      <c r="G31" s="5"/>
      <c r="H31" s="5"/>
    </row>
    <row r="39" ht="15" customHeight="1"/>
  </sheetData>
  <sheetProtection sheet="1" objects="1" scenarios="1"/>
  <mergeCells count="13">
    <mergeCell ref="A9:H9"/>
    <mergeCell ref="A2:H2"/>
    <mergeCell ref="A4:H4"/>
    <mergeCell ref="A5:H5"/>
    <mergeCell ref="A6:H6"/>
    <mergeCell ref="A7:H7"/>
    <mergeCell ref="A10:H10"/>
    <mergeCell ref="B14:C14"/>
    <mergeCell ref="E14:F14"/>
    <mergeCell ref="B16:F16"/>
    <mergeCell ref="B17:F17"/>
    <mergeCell ref="A11:H11"/>
    <mergeCell ref="A12:H12"/>
  </mergeCells>
  <pageMargins left="1" right="1" top="0.5" bottom="0.5" header="0.5" footer="0.5"/>
  <pageSetup scale="76"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9"/>
  <sheetViews>
    <sheetView workbookViewId="0">
      <selection activeCell="D23" sqref="D23"/>
    </sheetView>
  </sheetViews>
  <sheetFormatPr defaultRowHeight="15.75"/>
  <cols>
    <col min="1" max="1" width="15.77734375" style="5" customWidth="1"/>
    <col min="2" max="2" width="20.77734375" style="5" customWidth="1"/>
    <col min="3" max="3" width="10.77734375" style="5" customWidth="1"/>
    <col min="4" max="4" width="15.6640625" style="5" customWidth="1"/>
    <col min="5" max="5" width="14.21875" style="5" customWidth="1"/>
    <col min="6" max="6" width="1.77734375" style="5" customWidth="1"/>
    <col min="7" max="7" width="18.6640625" style="5" customWidth="1"/>
    <col min="8" max="16384" width="8.88671875" style="5"/>
  </cols>
  <sheetData>
    <row r="1" spans="1:5">
      <c r="A1" s="529" t="s">
        <v>79</v>
      </c>
      <c r="B1" s="528"/>
      <c r="C1" s="528"/>
      <c r="D1" s="528"/>
      <c r="E1" s="528"/>
    </row>
    <row r="2" spans="1:5">
      <c r="A2" s="6"/>
      <c r="B2" s="7"/>
      <c r="C2" s="7"/>
      <c r="D2" s="7"/>
      <c r="E2" s="7"/>
    </row>
    <row r="3" spans="1:5">
      <c r="A3" s="8" t="s">
        <v>80</v>
      </c>
      <c r="B3" s="7"/>
      <c r="C3" s="7"/>
      <c r="D3" s="355"/>
      <c r="E3" s="6"/>
    </row>
    <row r="4" spans="1:5">
      <c r="A4" s="8" t="s">
        <v>81</v>
      </c>
      <c r="B4" s="7"/>
      <c r="C4" s="7"/>
      <c r="D4" s="355"/>
      <c r="E4" s="6"/>
    </row>
    <row r="5" spans="1:5">
      <c r="A5" s="8" t="s">
        <v>82</v>
      </c>
      <c r="B5" s="7"/>
      <c r="C5" s="7"/>
      <c r="D5" s="354"/>
      <c r="E5" s="6"/>
    </row>
    <row r="6" spans="1:5">
      <c r="A6" s="6" t="s">
        <v>83</v>
      </c>
      <c r="B6" s="7"/>
      <c r="C6" s="7"/>
      <c r="D6" s="355"/>
      <c r="E6" s="6"/>
    </row>
    <row r="7" spans="1:5">
      <c r="A7" s="6" t="s">
        <v>84</v>
      </c>
      <c r="B7" s="7"/>
      <c r="C7" s="7"/>
      <c r="D7" s="356"/>
      <c r="E7" s="6"/>
    </row>
    <row r="8" spans="1:5">
      <c r="A8" s="6" t="s">
        <v>85</v>
      </c>
      <c r="B8" s="7"/>
      <c r="C8" s="7"/>
      <c r="D8" s="355"/>
      <c r="E8" s="6"/>
    </row>
    <row r="9" spans="1:5">
      <c r="A9" s="6" t="s">
        <v>86</v>
      </c>
      <c r="B9" s="7"/>
      <c r="C9" s="7"/>
      <c r="D9" s="356"/>
      <c r="E9" s="6"/>
    </row>
    <row r="10" spans="1:5">
      <c r="A10" s="6" t="s">
        <v>87</v>
      </c>
      <c r="B10" s="7"/>
      <c r="C10" s="7"/>
      <c r="D10" s="355"/>
      <c r="E10" s="7"/>
    </row>
    <row r="11" spans="1:5">
      <c r="A11" s="6" t="s">
        <v>88</v>
      </c>
      <c r="B11" s="7"/>
      <c r="C11" s="7"/>
      <c r="D11" s="356"/>
      <c r="E11" s="7"/>
    </row>
    <row r="12" spans="1:5">
      <c r="A12" s="6" t="s">
        <v>89</v>
      </c>
      <c r="B12" s="7"/>
      <c r="C12" s="7"/>
      <c r="D12" s="355"/>
      <c r="E12" s="7"/>
    </row>
    <row r="13" spans="1:5">
      <c r="A13" s="6" t="s">
        <v>90</v>
      </c>
      <c r="B13" s="7"/>
      <c r="C13" s="7"/>
      <c r="D13" s="356"/>
      <c r="E13" s="7"/>
    </row>
    <row r="14" spans="1:5">
      <c r="A14" s="6" t="s">
        <v>91</v>
      </c>
      <c r="B14" s="7"/>
      <c r="C14" s="7"/>
      <c r="D14" s="355"/>
      <c r="E14" s="7"/>
    </row>
    <row r="15" spans="1:5">
      <c r="A15" s="6" t="s">
        <v>92</v>
      </c>
      <c r="B15" s="7"/>
      <c r="C15" s="7"/>
      <c r="D15" s="356"/>
      <c r="E15" s="7"/>
    </row>
    <row r="16" spans="1:5">
      <c r="A16" s="6" t="s">
        <v>93</v>
      </c>
      <c r="B16" s="7"/>
      <c r="C16" s="7"/>
      <c r="D16" s="355"/>
      <c r="E16" s="7"/>
    </row>
    <row r="17" spans="1:8">
      <c r="A17" s="6" t="s">
        <v>94</v>
      </c>
      <c r="B17" s="7"/>
      <c r="C17" s="7"/>
      <c r="D17" s="356"/>
      <c r="E17" s="7"/>
    </row>
    <row r="18" spans="1:8">
      <c r="A18" s="6" t="s">
        <v>95</v>
      </c>
      <c r="B18" s="7"/>
      <c r="C18" s="7"/>
      <c r="D18" s="355"/>
      <c r="E18" s="7"/>
    </row>
    <row r="19" spans="1:8">
      <c r="A19" s="6" t="s">
        <v>96</v>
      </c>
      <c r="B19" s="7"/>
      <c r="C19" s="7"/>
      <c r="D19" s="356"/>
      <c r="E19" s="7"/>
    </row>
    <row r="20" spans="1:8">
      <c r="A20" s="6" t="s">
        <v>97</v>
      </c>
      <c r="B20" s="7"/>
      <c r="C20" s="7"/>
      <c r="D20" s="355"/>
      <c r="E20" s="7"/>
    </row>
    <row r="21" spans="1:8">
      <c r="A21" s="6"/>
      <c r="B21" s="7"/>
      <c r="C21" s="7"/>
      <c r="D21" s="7"/>
      <c r="E21" s="7"/>
    </row>
    <row r="22" spans="1:8">
      <c r="A22" s="8" t="s">
        <v>98</v>
      </c>
      <c r="B22" s="10"/>
      <c r="C22" s="7"/>
      <c r="D22" s="369">
        <v>2024</v>
      </c>
      <c r="E22" s="7"/>
    </row>
    <row r="23" spans="1:8">
      <c r="A23" s="8"/>
      <c r="B23" s="10"/>
      <c r="C23" s="7"/>
      <c r="D23" s="7"/>
      <c r="E23" s="7"/>
    </row>
    <row r="24" spans="1:8" ht="15.75" customHeight="1">
      <c r="A24" s="532" t="s">
        <v>99</v>
      </c>
      <c r="B24" s="532"/>
      <c r="C24" s="532"/>
      <c r="D24" s="532"/>
      <c r="E24" s="532"/>
    </row>
    <row r="25" spans="1:8">
      <c r="A25" s="532"/>
      <c r="B25" s="532"/>
      <c r="C25" s="532"/>
      <c r="D25" s="532"/>
      <c r="E25" s="532"/>
    </row>
    <row r="26" spans="1:8">
      <c r="A26" s="532"/>
      <c r="B26" s="532"/>
      <c r="C26" s="532"/>
      <c r="D26" s="532"/>
      <c r="E26" s="532"/>
      <c r="G26" s="519" t="s">
        <v>100</v>
      </c>
      <c r="H26" s="520"/>
    </row>
    <row r="27" spans="1:8">
      <c r="A27" s="10"/>
      <c r="B27" s="7"/>
      <c r="C27" s="7"/>
      <c r="D27" s="7"/>
      <c r="E27" s="7"/>
      <c r="G27" s="521"/>
      <c r="H27" s="522"/>
    </row>
    <row r="28" spans="1:8">
      <c r="A28" s="527" t="s">
        <v>101</v>
      </c>
      <c r="B28" s="528"/>
      <c r="C28" s="528"/>
      <c r="D28" s="528"/>
      <c r="E28" s="528"/>
      <c r="G28" s="521"/>
      <c r="H28" s="522"/>
    </row>
    <row r="29" spans="1:8">
      <c r="A29" s="465"/>
      <c r="B29" s="465"/>
      <c r="C29" s="465"/>
      <c r="D29" s="465"/>
      <c r="E29" s="465"/>
      <c r="G29" s="521"/>
      <c r="H29" s="522"/>
    </row>
    <row r="30" spans="1:8">
      <c r="A30" s="338" t="s">
        <v>102</v>
      </c>
      <c r="B30" s="339"/>
      <c r="C30" s="7"/>
      <c r="D30" s="7"/>
      <c r="E30" s="7"/>
      <c r="G30" s="521"/>
      <c r="H30" s="522"/>
    </row>
    <row r="31" spans="1:8">
      <c r="A31" s="420" t="str">
        <f>CONCATENATE("the ",D22-1," Budget, Certificate Page:")</f>
        <v>the 2023 Budget, Certificate Page:</v>
      </c>
      <c r="B31" s="421"/>
      <c r="C31" s="7"/>
      <c r="D31" s="7"/>
      <c r="E31" s="7"/>
      <c r="G31" s="521"/>
      <c r="H31" s="522"/>
    </row>
    <row r="32" spans="1:8">
      <c r="A32" s="422" t="s">
        <v>103</v>
      </c>
      <c r="B32" s="423"/>
      <c r="C32" s="7"/>
      <c r="D32" s="7"/>
      <c r="E32" s="7"/>
      <c r="G32" s="523"/>
      <c r="H32" s="524"/>
    </row>
    <row r="33" spans="1:8" ht="15.75" customHeight="1">
      <c r="A33" s="7"/>
      <c r="B33" s="7"/>
      <c r="C33" s="475"/>
      <c r="D33" s="12">
        <f>D22-1</f>
        <v>2023</v>
      </c>
      <c r="E33" s="530" t="str">
        <f>CONCATENATE("Amount of ",D22-2,"     Ad Valorem Tax")</f>
        <v>Amount of 2022     Ad Valorem Tax</v>
      </c>
      <c r="G33" s="60" t="s">
        <v>104</v>
      </c>
      <c r="H33" s="482" t="s">
        <v>105</v>
      </c>
    </row>
    <row r="34" spans="1:8">
      <c r="A34" s="6" t="s">
        <v>106</v>
      </c>
      <c r="B34" s="7"/>
      <c r="C34" s="475" t="s">
        <v>107</v>
      </c>
      <c r="D34" s="13" t="s">
        <v>108</v>
      </c>
      <c r="E34" s="531"/>
      <c r="G34" s="47" t="str">
        <f>CONCATENATE("",D22-2," Ad Valorem Tax")</f>
        <v>2022 Ad Valorem Tax</v>
      </c>
      <c r="H34" s="302">
        <v>0</v>
      </c>
    </row>
    <row r="35" spans="1:8">
      <c r="A35" s="7"/>
      <c r="B35" s="14" t="s">
        <v>109</v>
      </c>
      <c r="C35" s="226"/>
      <c r="D35" s="15"/>
      <c r="E35" s="15"/>
      <c r="G35" s="69">
        <f>IF(H34&gt;0,ROUND(E35-(E35*H34),0),0)</f>
        <v>0</v>
      </c>
    </row>
    <row r="36" spans="1:8">
      <c r="A36" s="7"/>
      <c r="B36" s="14" t="s">
        <v>110</v>
      </c>
      <c r="C36" s="16" t="s">
        <v>111</v>
      </c>
      <c r="D36" s="15"/>
      <c r="E36" s="15"/>
      <c r="G36" s="69">
        <f>IF(H34&gt;0,ROUND(E36-(E36*H34),0),0)</f>
        <v>0</v>
      </c>
    </row>
    <row r="37" spans="1:8">
      <c r="A37" s="6" t="s">
        <v>112</v>
      </c>
      <c r="B37" s="7"/>
      <c r="C37" s="7"/>
      <c r="D37" s="17"/>
      <c r="E37" s="7"/>
    </row>
    <row r="38" spans="1:8">
      <c r="A38" s="7"/>
      <c r="B38" s="18"/>
      <c r="C38" s="226"/>
      <c r="D38" s="15"/>
      <c r="E38" s="15"/>
      <c r="G38" s="69">
        <f>IF(H34&gt;0,ROUND(E38-(E38*H34),0),0)</f>
        <v>0</v>
      </c>
    </row>
    <row r="39" spans="1:8">
      <c r="A39" s="7"/>
      <c r="B39" s="18"/>
      <c r="C39" s="226"/>
      <c r="D39" s="15"/>
      <c r="E39" s="15"/>
      <c r="G39" s="69">
        <f>IF(H34&gt;0,ROUND(E39-(E39*H34),0),0)</f>
        <v>0</v>
      </c>
    </row>
    <row r="40" spans="1:8" ht="16.5" thickBot="1">
      <c r="A40" s="19" t="str">
        <f>CONCATENATE("Total Ad Valorem Tax for ",D22-1," Budgeted Year")</f>
        <v>Total Ad Valorem Tax for 2023 Budgeted Year</v>
      </c>
      <c r="B40" s="20"/>
      <c r="C40" s="20"/>
      <c r="D40" s="21"/>
      <c r="E40" s="419">
        <f>SUM(E35:E39)</f>
        <v>0</v>
      </c>
    </row>
    <row r="41" spans="1:8" ht="16.5" thickTop="1">
      <c r="A41" s="22" t="s">
        <v>113</v>
      </c>
      <c r="B41" s="7"/>
      <c r="C41" s="7"/>
      <c r="D41" s="7"/>
      <c r="E41" s="7"/>
    </row>
    <row r="42" spans="1:8">
      <c r="A42" s="7"/>
      <c r="B42" s="18"/>
      <c r="C42" s="7"/>
      <c r="D42" s="15"/>
      <c r="E42" s="7"/>
    </row>
    <row r="43" spans="1:8">
      <c r="A43" s="7"/>
      <c r="B43" s="18"/>
      <c r="C43" s="7"/>
      <c r="D43" s="15"/>
      <c r="E43" s="7"/>
    </row>
    <row r="44" spans="1:8" ht="16.5" thickBot="1">
      <c r="A44" s="20" t="str">
        <f>CONCATENATE("Total Expenditures for ",D22-1," Budgeted Year")</f>
        <v>Total Expenditures for 2023 Budgeted Year</v>
      </c>
      <c r="B44" s="20"/>
      <c r="C44" s="23"/>
      <c r="D44" s="419">
        <f>SUM(D35:D36,D38:D39,D42:D43)</f>
        <v>0</v>
      </c>
      <c r="E44" s="17"/>
    </row>
    <row r="45" spans="1:8" ht="16.5" thickTop="1">
      <c r="A45" s="7" t="s">
        <v>114</v>
      </c>
      <c r="B45" s="7"/>
      <c r="C45" s="7"/>
      <c r="D45" s="7"/>
      <c r="E45" s="17"/>
    </row>
    <row r="46" spans="1:8">
      <c r="A46" s="7">
        <v>1</v>
      </c>
      <c r="B46" s="24"/>
      <c r="C46" s="7"/>
      <c r="D46" s="7"/>
      <c r="E46" s="17"/>
    </row>
    <row r="47" spans="1:8">
      <c r="A47" s="7">
        <v>2</v>
      </c>
      <c r="B47" s="24"/>
      <c r="C47" s="7"/>
      <c r="D47" s="7"/>
      <c r="E47" s="17"/>
    </row>
    <row r="48" spans="1:8">
      <c r="A48" s="7">
        <v>3</v>
      </c>
      <c r="B48" s="24"/>
      <c r="C48" s="7"/>
      <c r="D48" s="7"/>
      <c r="E48" s="17"/>
    </row>
    <row r="49" spans="1:5">
      <c r="A49" s="7">
        <v>4</v>
      </c>
      <c r="B49" s="24"/>
      <c r="C49" s="7"/>
      <c r="D49" s="7"/>
      <c r="E49" s="17"/>
    </row>
    <row r="50" spans="1:5">
      <c r="A50" s="7">
        <v>5</v>
      </c>
      <c r="B50" s="24"/>
      <c r="C50" s="7"/>
      <c r="D50" s="7"/>
      <c r="E50" s="17"/>
    </row>
    <row r="51" spans="1:5">
      <c r="A51" s="7"/>
      <c r="B51" s="7"/>
      <c r="C51" s="7"/>
      <c r="D51" s="7"/>
      <c r="E51" s="17"/>
    </row>
    <row r="52" spans="1:5" ht="15.75" customHeight="1">
      <c r="A52" s="338" t="s">
        <v>102</v>
      </c>
      <c r="B52" s="339"/>
      <c r="C52" s="7"/>
      <c r="D52" s="525" t="str">
        <f>CONCATENATE("",D22-3," Tax Rate         (",D22-2," Column)")</f>
        <v>2021 Tax Rate         (2022 Column)</v>
      </c>
      <c r="E52" s="17"/>
    </row>
    <row r="53" spans="1:5">
      <c r="A53" s="422" t="str">
        <f>CONCATENATE("the ",D22-1," Budget, Budget Summary Page")</f>
        <v>the 2023 Budget, Budget Summary Page</v>
      </c>
      <c r="B53" s="423"/>
      <c r="C53" s="7"/>
      <c r="D53" s="526"/>
      <c r="E53" s="17"/>
    </row>
    <row r="54" spans="1:5">
      <c r="A54" s="7"/>
      <c r="B54" s="340" t="str">
        <f>B35</f>
        <v>General</v>
      </c>
      <c r="C54" s="7"/>
      <c r="D54" s="26"/>
      <c r="E54" s="17"/>
    </row>
    <row r="55" spans="1:5">
      <c r="A55" s="7"/>
      <c r="B55" s="25" t="str">
        <f>B36</f>
        <v>Debt Service</v>
      </c>
      <c r="C55" s="7"/>
      <c r="D55" s="26"/>
      <c r="E55" s="17"/>
    </row>
    <row r="56" spans="1:5">
      <c r="A56" s="7"/>
      <c r="B56" s="25">
        <f>B38</f>
        <v>0</v>
      </c>
      <c r="C56" s="7"/>
      <c r="D56" s="26"/>
      <c r="E56" s="17"/>
    </row>
    <row r="57" spans="1:5">
      <c r="A57" s="7"/>
      <c r="B57" s="25">
        <f>B39</f>
        <v>0</v>
      </c>
      <c r="C57" s="7"/>
      <c r="D57" s="26"/>
      <c r="E57" s="17"/>
    </row>
    <row r="58" spans="1:5" ht="16.5" thickBot="1">
      <c r="A58" s="6" t="s">
        <v>115</v>
      </c>
      <c r="B58" s="7"/>
      <c r="C58" s="7"/>
      <c r="D58" s="419">
        <f>SUM(D54:D57)</f>
        <v>0</v>
      </c>
      <c r="E58" s="17"/>
    </row>
    <row r="59" spans="1:5" ht="16.5" thickTop="1">
      <c r="A59" s="7"/>
      <c r="B59" s="7"/>
      <c r="C59" s="7"/>
      <c r="D59" s="7"/>
      <c r="E59" s="17"/>
    </row>
    <row r="60" spans="1:5">
      <c r="A60" s="22"/>
      <c r="B60" s="7"/>
      <c r="C60" s="7"/>
      <c r="D60" s="7"/>
      <c r="E60" s="27"/>
    </row>
    <row r="61" spans="1:5">
      <c r="A61" s="341" t="str">
        <f>CONCATENATE("Total Tax Levied (",D22-2," budget column)")</f>
        <v>Total Tax Levied (2022 budget column)</v>
      </c>
      <c r="B61" s="339"/>
      <c r="C61" s="7"/>
      <c r="D61" s="7"/>
      <c r="E61" s="15"/>
    </row>
    <row r="62" spans="1:5">
      <c r="A62" s="342" t="str">
        <f>CONCATENATE("Assessed Valuation (",D22-2," budget column)")</f>
        <v>Assessed Valuation (2022 budget column)</v>
      </c>
      <c r="B62" s="343"/>
      <c r="C62" s="7"/>
      <c r="D62" s="7"/>
      <c r="E62" s="15"/>
    </row>
    <row r="63" spans="1:5">
      <c r="A63" s="7"/>
      <c r="B63" s="7"/>
      <c r="C63" s="7"/>
      <c r="D63" s="7"/>
      <c r="E63" s="17"/>
    </row>
    <row r="64" spans="1:5">
      <c r="A64" s="344" t="s">
        <v>116</v>
      </c>
      <c r="B64" s="339"/>
      <c r="C64" s="7"/>
      <c r="D64" s="28">
        <f>D22-3</f>
        <v>2021</v>
      </c>
      <c r="E64" s="28">
        <f>D22-2</f>
        <v>2022</v>
      </c>
    </row>
    <row r="65" spans="1:5">
      <c r="A65" s="345" t="s">
        <v>117</v>
      </c>
      <c r="B65" s="343"/>
      <c r="C65" s="23"/>
      <c r="D65" s="29"/>
      <c r="E65" s="29"/>
    </row>
    <row r="66" spans="1:5">
      <c r="A66" s="346" t="s">
        <v>118</v>
      </c>
      <c r="B66" s="347"/>
      <c r="C66" s="30"/>
      <c r="D66" s="29"/>
      <c r="E66" s="29"/>
    </row>
    <row r="67" spans="1:5">
      <c r="A67" s="346" t="s">
        <v>119</v>
      </c>
      <c r="B67" s="347"/>
      <c r="C67" s="30"/>
      <c r="D67" s="29"/>
      <c r="E67" s="29"/>
    </row>
    <row r="68" spans="1:5">
      <c r="A68" s="346" t="s">
        <v>120</v>
      </c>
      <c r="B68" s="347"/>
      <c r="C68" s="30"/>
      <c r="D68" s="29"/>
      <c r="E68" s="29"/>
    </row>
    <row r="69" spans="1:5">
      <c r="A69" s="346"/>
      <c r="B69" s="347"/>
      <c r="C69" s="31"/>
      <c r="D69" s="29"/>
      <c r="E69" s="29"/>
    </row>
  </sheetData>
  <sheetProtection sheet="1"/>
  <mergeCells count="6">
    <mergeCell ref="G26:H32"/>
    <mergeCell ref="D52:D53"/>
    <mergeCell ref="A28:E28"/>
    <mergeCell ref="A1:E1"/>
    <mergeCell ref="E33:E34"/>
    <mergeCell ref="A24:E26"/>
  </mergeCells>
  <phoneticPr fontId="0" type="noConversion"/>
  <pageMargins left="0.5" right="0.5" top="0.5" bottom="0.5" header="0.5" footer="0.5"/>
  <pageSetup scale="74"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36"/>
  <sheetViews>
    <sheetView workbookViewId="0">
      <selection activeCell="G1" sqref="G1"/>
    </sheetView>
  </sheetViews>
  <sheetFormatPr defaultRowHeight="15"/>
  <cols>
    <col min="1" max="1" width="10.88671875" style="32" customWidth="1"/>
    <col min="2" max="2" width="22.109375" style="32" customWidth="1"/>
    <col min="3" max="5" width="11.77734375" style="32" customWidth="1"/>
    <col min="6" max="16384" width="8.88671875" style="32"/>
  </cols>
  <sheetData>
    <row r="1" spans="1:6" ht="15.75">
      <c r="A1" s="186">
        <f>inputPrYr!D3</f>
        <v>0</v>
      </c>
      <c r="B1" s="49"/>
      <c r="C1" s="49"/>
      <c r="D1" s="49"/>
      <c r="E1" s="49"/>
      <c r="F1" s="49">
        <f>inputPrYr!D22</f>
        <v>2024</v>
      </c>
    </row>
    <row r="2" spans="1:6" ht="15.75">
      <c r="A2" s="186"/>
      <c r="B2" s="49"/>
      <c r="C2" s="49"/>
      <c r="D2" s="49"/>
      <c r="E2" s="49"/>
      <c r="F2" s="49"/>
    </row>
    <row r="3" spans="1:6" ht="15.75">
      <c r="A3" s="49"/>
      <c r="B3" s="49"/>
      <c r="C3" s="49"/>
      <c r="D3" s="49"/>
      <c r="E3" s="49"/>
      <c r="F3" s="49"/>
    </row>
    <row r="4" spans="1:6" ht="15.75">
      <c r="A4" s="7"/>
      <c r="B4" s="596" t="str">
        <f>CONCATENATE("",F1," Neighborhood Revitalization Rebate")</f>
        <v>2024 Neighborhood Revitalization Rebate</v>
      </c>
      <c r="C4" s="556"/>
      <c r="D4" s="556"/>
      <c r="E4" s="556"/>
      <c r="F4" s="49"/>
    </row>
    <row r="5" spans="1:6" ht="15.75">
      <c r="A5" s="7"/>
      <c r="B5" s="7"/>
      <c r="C5" s="7"/>
      <c r="D5" s="7"/>
      <c r="E5" s="7"/>
      <c r="F5" s="49"/>
    </row>
    <row r="6" spans="1:6" ht="51.75" customHeight="1">
      <c r="A6" s="7"/>
      <c r="B6" s="474" t="str">
        <f>CONCATENATE("Budgeted Funds                         for ",F1,"")</f>
        <v>Budgeted Funds                         for 2024</v>
      </c>
      <c r="C6" s="474" t="str">
        <f>CONCATENATE("",F1-1," Ad Valorem before Rebate**")</f>
        <v>2023 Ad Valorem before Rebate**</v>
      </c>
      <c r="D6" s="187" t="str">
        <f>CONCATENATE("",F1-1," Mil Rate before Rebate")</f>
        <v>2023 Mil Rate before Rebate</v>
      </c>
      <c r="E6" s="467" t="str">
        <f>CONCATENATE("Estimate ",F1," NR Rebate")</f>
        <v>Estimate 2024 NR Rebate</v>
      </c>
      <c r="F6" s="49"/>
    </row>
    <row r="7" spans="1:6" ht="15.75">
      <c r="A7" s="7"/>
      <c r="B7" s="188" t="str">
        <f>inputPrYr!B35</f>
        <v>General</v>
      </c>
      <c r="C7" s="189"/>
      <c r="D7" s="190" t="str">
        <f t="shared" ref="D7:D12" si="0">IF(C7&gt;0,C7/$D$18,"")</f>
        <v/>
      </c>
      <c r="E7" s="67">
        <f t="shared" ref="E7:E12" si="1">IF(C7&gt;0,ROUND(D7*$D$22,0),0)</f>
        <v>0</v>
      </c>
      <c r="F7" s="49"/>
    </row>
    <row r="8" spans="1:6" ht="15.75">
      <c r="A8" s="7"/>
      <c r="B8" s="188" t="str">
        <f>inputPrYr!B36</f>
        <v>Debt Service</v>
      </c>
      <c r="C8" s="189"/>
      <c r="D8" s="190" t="str">
        <f t="shared" si="0"/>
        <v/>
      </c>
      <c r="E8" s="67">
        <f t="shared" si="1"/>
        <v>0</v>
      </c>
      <c r="F8" s="49"/>
    </row>
    <row r="9" spans="1:6" ht="15.75">
      <c r="A9" s="7"/>
      <c r="B9" s="73" t="str">
        <f>IF(inputPrYr!$B38&gt;"  ",(inputPrYr!$B38),"  ")</f>
        <v xml:space="preserve">  </v>
      </c>
      <c r="C9" s="189"/>
      <c r="D9" s="190" t="str">
        <f t="shared" si="0"/>
        <v/>
      </c>
      <c r="E9" s="67">
        <f t="shared" si="1"/>
        <v>0</v>
      </c>
      <c r="F9" s="49"/>
    </row>
    <row r="10" spans="1:6" ht="15.75">
      <c r="A10" s="7"/>
      <c r="B10" s="73" t="str">
        <f>IF(inputPrYr!$B39&gt;"  ",(inputPrYr!$B39),"  ")</f>
        <v xml:space="preserve">  </v>
      </c>
      <c r="C10" s="189"/>
      <c r="D10" s="190" t="str">
        <f t="shared" si="0"/>
        <v/>
      </c>
      <c r="E10" s="67">
        <f t="shared" si="1"/>
        <v>0</v>
      </c>
      <c r="F10" s="49"/>
    </row>
    <row r="11" spans="1:6" ht="15.75">
      <c r="A11" s="7"/>
      <c r="B11" s="73"/>
      <c r="C11" s="189"/>
      <c r="D11" s="190" t="str">
        <f t="shared" si="0"/>
        <v/>
      </c>
      <c r="E11" s="67">
        <f t="shared" si="1"/>
        <v>0</v>
      </c>
      <c r="F11" s="49"/>
    </row>
    <row r="12" spans="1:6" ht="15.75">
      <c r="A12" s="7"/>
      <c r="B12" s="73"/>
      <c r="C12" s="189"/>
      <c r="D12" s="190" t="str">
        <f t="shared" si="0"/>
        <v/>
      </c>
      <c r="E12" s="67">
        <f t="shared" si="1"/>
        <v>0</v>
      </c>
      <c r="F12" s="49"/>
    </row>
    <row r="13" spans="1:6" ht="16.5" thickBot="1">
      <c r="A13" s="7"/>
      <c r="B13" s="25" t="s">
        <v>385</v>
      </c>
      <c r="C13" s="191">
        <f>SUM(C7:C12)</f>
        <v>0</v>
      </c>
      <c r="D13" s="192">
        <f>SUM(D7:D12)</f>
        <v>0</v>
      </c>
      <c r="E13" s="191">
        <f>SUM(E7:E12)</f>
        <v>0</v>
      </c>
      <c r="F13" s="49"/>
    </row>
    <row r="14" spans="1:6" ht="16.5" thickTop="1">
      <c r="A14" s="7"/>
      <c r="B14" s="7"/>
      <c r="C14" s="7"/>
      <c r="D14" s="7"/>
      <c r="E14" s="7"/>
      <c r="F14" s="49"/>
    </row>
    <row r="15" spans="1:6" ht="15.75">
      <c r="A15" s="7"/>
      <c r="B15" s="7"/>
      <c r="C15" s="7"/>
      <c r="D15" s="7"/>
      <c r="E15" s="7"/>
      <c r="F15" s="49"/>
    </row>
    <row r="16" spans="1:6" ht="15.75">
      <c r="A16" s="666" t="str">
        <f>CONCATENATE("",F1-1," July 1 Valuation:")</f>
        <v>2023 July 1 Valuation:</v>
      </c>
      <c r="B16" s="665"/>
      <c r="C16" s="666"/>
      <c r="D16" s="193">
        <f>inputOth!B25</f>
        <v>0</v>
      </c>
      <c r="E16" s="7"/>
      <c r="F16" s="49"/>
    </row>
    <row r="17" spans="1:6" ht="15.75">
      <c r="A17" s="7"/>
      <c r="B17" s="7"/>
      <c r="C17" s="7"/>
      <c r="D17" s="7"/>
      <c r="E17" s="7"/>
      <c r="F17" s="49"/>
    </row>
    <row r="18" spans="1:6" ht="15.75">
      <c r="A18" s="7"/>
      <c r="B18" s="666" t="s">
        <v>386</v>
      </c>
      <c r="C18" s="666"/>
      <c r="D18" s="194" t="str">
        <f>IF(D16&gt;0,(D16*0.001),"")</f>
        <v/>
      </c>
      <c r="E18" s="7"/>
      <c r="F18" s="49"/>
    </row>
    <row r="19" spans="1:6" ht="15.75">
      <c r="A19" s="7"/>
      <c r="B19" s="484"/>
      <c r="C19" s="484"/>
      <c r="D19" s="195"/>
      <c r="E19" s="7"/>
      <c r="F19" s="49"/>
    </row>
    <row r="20" spans="1:6" ht="15.75">
      <c r="A20" s="664" t="s">
        <v>387</v>
      </c>
      <c r="B20" s="556"/>
      <c r="C20" s="556"/>
      <c r="D20" s="193">
        <f>inputOth!E27</f>
        <v>0</v>
      </c>
      <c r="E20" s="33"/>
      <c r="F20" s="33"/>
    </row>
    <row r="21" spans="1:6">
      <c r="A21" s="33"/>
      <c r="B21" s="33"/>
      <c r="C21" s="33"/>
      <c r="D21" s="196"/>
      <c r="E21" s="33"/>
      <c r="F21" s="33"/>
    </row>
    <row r="22" spans="1:6" ht="15.75">
      <c r="A22" s="33"/>
      <c r="B22" s="664" t="s">
        <v>388</v>
      </c>
      <c r="C22" s="665"/>
      <c r="D22" s="28" t="str">
        <f>IF(D20&gt;0,(D20*0.001),"")</f>
        <v/>
      </c>
      <c r="E22" s="33"/>
      <c r="F22" s="33"/>
    </row>
    <row r="23" spans="1:6">
      <c r="A23" s="33"/>
      <c r="B23" s="33"/>
      <c r="C23" s="33"/>
      <c r="D23" s="33"/>
      <c r="E23" s="33"/>
      <c r="F23" s="33"/>
    </row>
    <row r="24" spans="1:6">
      <c r="A24" s="33"/>
      <c r="B24" s="33"/>
      <c r="C24" s="33"/>
      <c r="D24" s="33"/>
      <c r="E24" s="33"/>
      <c r="F24" s="33"/>
    </row>
    <row r="25" spans="1:6">
      <c r="A25" s="33"/>
      <c r="B25" s="33"/>
      <c r="C25" s="33"/>
      <c r="D25" s="33"/>
      <c r="E25" s="33"/>
      <c r="F25" s="33"/>
    </row>
    <row r="26" spans="1:6" ht="15.75">
      <c r="A26" s="206" t="str">
        <f>CONCATENATE("**This information comes from the ",F1," Budget Summary page.  See instructions tab #12 for completing")</f>
        <v>**This information comes from the 2024 Budget Summary page.  See instructions tab #12 for completing</v>
      </c>
      <c r="B26" s="33"/>
      <c r="C26" s="33"/>
      <c r="D26" s="33"/>
      <c r="E26" s="33"/>
      <c r="F26" s="33"/>
    </row>
    <row r="27" spans="1:6" ht="15.75">
      <c r="A27" s="206" t="s">
        <v>389</v>
      </c>
      <c r="B27" s="33"/>
      <c r="C27" s="33"/>
      <c r="D27" s="33"/>
      <c r="E27" s="33"/>
      <c r="F27" s="33"/>
    </row>
    <row r="28" spans="1:6" ht="15.75">
      <c r="A28" s="206"/>
      <c r="B28" s="33"/>
      <c r="C28" s="33"/>
      <c r="D28" s="33"/>
      <c r="E28" s="33"/>
      <c r="F28" s="33"/>
    </row>
    <row r="29" spans="1:6" ht="15.75">
      <c r="A29" s="206"/>
      <c r="B29" s="33"/>
      <c r="C29" s="33"/>
      <c r="D29" s="33"/>
      <c r="E29" s="33"/>
      <c r="F29" s="33"/>
    </row>
    <row r="30" spans="1:6" ht="15.75">
      <c r="A30" s="206"/>
      <c r="B30" s="33"/>
      <c r="C30" s="33"/>
      <c r="D30" s="33"/>
      <c r="E30" s="33"/>
      <c r="F30" s="33"/>
    </row>
    <row r="31" spans="1:6" ht="15.75">
      <c r="A31" s="206"/>
      <c r="B31" s="33"/>
      <c r="C31" s="33"/>
      <c r="D31" s="33"/>
      <c r="E31" s="33"/>
      <c r="F31" s="33"/>
    </row>
    <row r="32" spans="1:6" ht="15.75">
      <c r="A32" s="206"/>
      <c r="B32" s="33"/>
      <c r="C32" s="33"/>
      <c r="D32" s="33"/>
      <c r="E32" s="33"/>
      <c r="F32" s="33"/>
    </row>
    <row r="33" spans="1:6" ht="15.75">
      <c r="A33" s="206"/>
      <c r="B33" s="33"/>
      <c r="C33" s="33"/>
      <c r="D33" s="33"/>
      <c r="E33" s="33"/>
      <c r="F33" s="33"/>
    </row>
    <row r="34" spans="1:6" ht="15.75">
      <c r="A34" s="206"/>
      <c r="B34" s="33"/>
      <c r="C34" s="33"/>
      <c r="D34" s="33"/>
      <c r="E34" s="33"/>
      <c r="F34" s="33"/>
    </row>
    <row r="35" spans="1:6">
      <c r="A35" s="33"/>
      <c r="B35" s="33"/>
      <c r="C35" s="33"/>
      <c r="D35" s="33"/>
      <c r="E35" s="33"/>
      <c r="F35" s="33"/>
    </row>
    <row r="36" spans="1:6" ht="15.75">
      <c r="A36" s="33"/>
      <c r="B36" s="484" t="s">
        <v>316</v>
      </c>
      <c r="C36" s="348"/>
      <c r="D36" s="33"/>
      <c r="E36" s="33"/>
      <c r="F36" s="33"/>
    </row>
  </sheetData>
  <sheetProtection sheet="1"/>
  <mergeCells count="5">
    <mergeCell ref="B22:C22"/>
    <mergeCell ref="B4:E4"/>
    <mergeCell ref="A16:C16"/>
    <mergeCell ref="B18:C18"/>
    <mergeCell ref="A20:C20"/>
  </mergeCells>
  <phoneticPr fontId="10" type="noConversion"/>
  <pageMargins left="0.75" right="0.75" top="1" bottom="1" header="0.5" footer="0.5"/>
  <pageSetup scale="96" orientation="portrait" blackAndWhite="1"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17376-AA7C-4ED5-97AA-3A7805284531}">
  <dimension ref="A1:H14"/>
  <sheetViews>
    <sheetView workbookViewId="0">
      <selection sqref="A1:H1"/>
    </sheetView>
  </sheetViews>
  <sheetFormatPr defaultRowHeight="15"/>
  <sheetData>
    <row r="1" spans="1:8" ht="15.75">
      <c r="A1" s="667" t="s">
        <v>390</v>
      </c>
      <c r="B1" s="667"/>
      <c r="C1" s="667"/>
      <c r="D1" s="667"/>
      <c r="E1" s="667"/>
      <c r="F1" s="667"/>
      <c r="G1" s="667"/>
      <c r="H1" s="667"/>
    </row>
    <row r="2" spans="1:8" ht="15.75">
      <c r="A2" s="1"/>
      <c r="B2" s="1"/>
      <c r="C2" s="1"/>
      <c r="D2" s="1"/>
      <c r="E2" s="1"/>
      <c r="F2" s="1"/>
      <c r="G2" s="1"/>
      <c r="H2" s="1"/>
    </row>
    <row r="3" spans="1:8" ht="52.5" customHeight="1">
      <c r="A3" s="668" t="s">
        <v>391</v>
      </c>
      <c r="B3" s="668"/>
      <c r="C3" s="668"/>
      <c r="D3" s="668"/>
      <c r="E3" s="668"/>
      <c r="F3" s="668"/>
      <c r="G3" s="668"/>
      <c r="H3" s="668"/>
    </row>
    <row r="4" spans="1:8" ht="15.75">
      <c r="A4" s="1"/>
      <c r="B4" s="1"/>
      <c r="C4" s="1"/>
      <c r="D4" s="1"/>
      <c r="E4" s="1"/>
      <c r="F4" s="1"/>
      <c r="G4" s="1"/>
      <c r="H4" s="1"/>
    </row>
    <row r="5" spans="1:8" ht="52.5" customHeight="1">
      <c r="A5" s="399"/>
      <c r="B5" s="669" t="s">
        <v>392</v>
      </c>
      <c r="C5" s="669"/>
      <c r="D5" s="669"/>
      <c r="E5" s="669"/>
      <c r="F5" s="669"/>
      <c r="G5" s="669"/>
      <c r="H5" s="669"/>
    </row>
    <row r="6" spans="1:8" ht="15.75">
      <c r="A6" s="1"/>
      <c r="B6" s="1"/>
      <c r="C6" s="1"/>
      <c r="D6" s="1"/>
      <c r="E6" s="1"/>
      <c r="F6" s="1"/>
      <c r="G6" s="1"/>
      <c r="H6" s="1"/>
    </row>
    <row r="7" spans="1:8" ht="32.25" customHeight="1">
      <c r="A7" s="399"/>
      <c r="B7" s="669" t="s">
        <v>393</v>
      </c>
      <c r="C7" s="669"/>
      <c r="D7" s="669"/>
      <c r="E7" s="669"/>
      <c r="F7" s="669"/>
      <c r="G7" s="669"/>
      <c r="H7" s="669"/>
    </row>
    <row r="8" spans="1:8" ht="15.75">
      <c r="A8" s="1"/>
      <c r="B8" s="1"/>
      <c r="C8" s="1"/>
      <c r="D8" s="1"/>
      <c r="E8" s="1"/>
      <c r="F8" s="1"/>
      <c r="G8" s="1"/>
      <c r="H8" s="1"/>
    </row>
    <row r="9" spans="1:8" ht="15.75">
      <c r="A9" s="670" t="s">
        <v>394</v>
      </c>
      <c r="B9" s="670"/>
      <c r="C9" s="670"/>
      <c r="D9" s="670"/>
      <c r="E9" s="670"/>
      <c r="F9" s="670"/>
      <c r="G9" s="670"/>
      <c r="H9" s="670"/>
    </row>
    <row r="10" spans="1:8" ht="15.75">
      <c r="A10" s="1"/>
      <c r="B10" s="1"/>
      <c r="C10" s="1"/>
      <c r="D10" s="1"/>
      <c r="E10" s="1"/>
      <c r="F10" s="1"/>
      <c r="G10" s="1"/>
      <c r="H10" s="1"/>
    </row>
    <row r="11" spans="1:8" ht="15.75">
      <c r="A11" s="1"/>
      <c r="B11" s="1"/>
      <c r="C11" s="1"/>
      <c r="D11" s="1"/>
      <c r="E11" s="1"/>
      <c r="F11" s="1"/>
      <c r="G11" s="1"/>
      <c r="H11" s="1"/>
    </row>
    <row r="12" spans="1:8" ht="15.75">
      <c r="A12" s="1"/>
      <c r="B12" s="1"/>
      <c r="C12" s="1"/>
      <c r="D12" s="1"/>
      <c r="E12" s="1"/>
      <c r="F12" s="1"/>
      <c r="G12" s="1"/>
      <c r="H12" s="1"/>
    </row>
    <row r="13" spans="1:8" ht="15.75">
      <c r="A13" s="1" t="s">
        <v>395</v>
      </c>
      <c r="B13" s="1"/>
      <c r="C13" s="1"/>
      <c r="D13" s="1"/>
      <c r="E13" s="1"/>
      <c r="F13" s="399"/>
      <c r="G13" s="399"/>
      <c r="H13" s="399"/>
    </row>
    <row r="14" spans="1:8" ht="15.75">
      <c r="A14" s="1"/>
      <c r="B14" s="1"/>
      <c r="C14" s="1"/>
      <c r="D14" s="1"/>
      <c r="E14" s="1"/>
      <c r="F14" s="1" t="s">
        <v>396</v>
      </c>
    </row>
  </sheetData>
  <sheetProtection sheet="1" objects="1" scenarios="1"/>
  <mergeCells count="5">
    <mergeCell ref="A1:H1"/>
    <mergeCell ref="A3:H3"/>
    <mergeCell ref="B5:H5"/>
    <mergeCell ref="B7:H7"/>
    <mergeCell ref="A9:H9"/>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6356-6633-4E96-A5B9-12C6B43AB35F}">
  <dimension ref="A1:G20"/>
  <sheetViews>
    <sheetView workbookViewId="0">
      <selection activeCell="A4" sqref="A4:G4"/>
    </sheetView>
  </sheetViews>
  <sheetFormatPr defaultRowHeight="15.75"/>
  <cols>
    <col min="1" max="4" width="11.5546875" style="494" customWidth="1"/>
    <col min="5" max="7" width="10.5546875" style="494" customWidth="1"/>
    <col min="8" max="256" width="8.88671875" style="494"/>
    <col min="257" max="260" width="11.5546875" style="494" customWidth="1"/>
    <col min="261" max="263" width="10.5546875" style="494" customWidth="1"/>
    <col min="264" max="512" width="8.88671875" style="494"/>
    <col min="513" max="516" width="11.5546875" style="494" customWidth="1"/>
    <col min="517" max="519" width="10.5546875" style="494" customWidth="1"/>
    <col min="520" max="768" width="8.88671875" style="494"/>
    <col min="769" max="772" width="11.5546875" style="494" customWidth="1"/>
    <col min="773" max="775" width="10.5546875" style="494" customWidth="1"/>
    <col min="776" max="1024" width="8.88671875" style="494"/>
    <col min="1025" max="1028" width="11.5546875" style="494" customWidth="1"/>
    <col min="1029" max="1031" width="10.5546875" style="494" customWidth="1"/>
    <col min="1032" max="1280" width="8.88671875" style="494"/>
    <col min="1281" max="1284" width="11.5546875" style="494" customWidth="1"/>
    <col min="1285" max="1287" width="10.5546875" style="494" customWidth="1"/>
    <col min="1288" max="1536" width="8.88671875" style="494"/>
    <col min="1537" max="1540" width="11.5546875" style="494" customWidth="1"/>
    <col min="1541" max="1543" width="10.5546875" style="494" customWidth="1"/>
    <col min="1544" max="1792" width="8.88671875" style="494"/>
    <col min="1793" max="1796" width="11.5546875" style="494" customWidth="1"/>
    <col min="1797" max="1799" width="10.5546875" style="494" customWidth="1"/>
    <col min="1800" max="2048" width="8.88671875" style="494"/>
    <col min="2049" max="2052" width="11.5546875" style="494" customWidth="1"/>
    <col min="2053" max="2055" width="10.5546875" style="494" customWidth="1"/>
    <col min="2056" max="2304" width="8.88671875" style="494"/>
    <col min="2305" max="2308" width="11.5546875" style="494" customWidth="1"/>
    <col min="2309" max="2311" width="10.5546875" style="494" customWidth="1"/>
    <col min="2312" max="2560" width="8.88671875" style="494"/>
    <col min="2561" max="2564" width="11.5546875" style="494" customWidth="1"/>
    <col min="2565" max="2567" width="10.5546875" style="494" customWidth="1"/>
    <col min="2568" max="2816" width="8.88671875" style="494"/>
    <col min="2817" max="2820" width="11.5546875" style="494" customWidth="1"/>
    <col min="2821" max="2823" width="10.5546875" style="494" customWidth="1"/>
    <col min="2824" max="3072" width="8.88671875" style="494"/>
    <col min="3073" max="3076" width="11.5546875" style="494" customWidth="1"/>
    <col min="3077" max="3079" width="10.5546875" style="494" customWidth="1"/>
    <col min="3080" max="3328" width="8.88671875" style="494"/>
    <col min="3329" max="3332" width="11.5546875" style="494" customWidth="1"/>
    <col min="3333" max="3335" width="10.5546875" style="494" customWidth="1"/>
    <col min="3336" max="3584" width="8.88671875" style="494"/>
    <col min="3585" max="3588" width="11.5546875" style="494" customWidth="1"/>
    <col min="3589" max="3591" width="10.5546875" style="494" customWidth="1"/>
    <col min="3592" max="3840" width="8.88671875" style="494"/>
    <col min="3841" max="3844" width="11.5546875" style="494" customWidth="1"/>
    <col min="3845" max="3847" width="10.5546875" style="494" customWidth="1"/>
    <col min="3848" max="4096" width="8.88671875" style="494"/>
    <col min="4097" max="4100" width="11.5546875" style="494" customWidth="1"/>
    <col min="4101" max="4103" width="10.5546875" style="494" customWidth="1"/>
    <col min="4104" max="4352" width="8.88671875" style="494"/>
    <col min="4353" max="4356" width="11.5546875" style="494" customWidth="1"/>
    <col min="4357" max="4359" width="10.5546875" style="494" customWidth="1"/>
    <col min="4360" max="4608" width="8.88671875" style="494"/>
    <col min="4609" max="4612" width="11.5546875" style="494" customWidth="1"/>
    <col min="4613" max="4615" width="10.5546875" style="494" customWidth="1"/>
    <col min="4616" max="4864" width="8.88671875" style="494"/>
    <col min="4865" max="4868" width="11.5546875" style="494" customWidth="1"/>
    <col min="4869" max="4871" width="10.5546875" style="494" customWidth="1"/>
    <col min="4872" max="5120" width="8.88671875" style="494"/>
    <col min="5121" max="5124" width="11.5546875" style="494" customWidth="1"/>
    <col min="5125" max="5127" width="10.5546875" style="494" customWidth="1"/>
    <col min="5128" max="5376" width="8.88671875" style="494"/>
    <col min="5377" max="5380" width="11.5546875" style="494" customWidth="1"/>
    <col min="5381" max="5383" width="10.5546875" style="494" customWidth="1"/>
    <col min="5384" max="5632" width="8.88671875" style="494"/>
    <col min="5633" max="5636" width="11.5546875" style="494" customWidth="1"/>
    <col min="5637" max="5639" width="10.5546875" style="494" customWidth="1"/>
    <col min="5640" max="5888" width="8.88671875" style="494"/>
    <col min="5889" max="5892" width="11.5546875" style="494" customWidth="1"/>
    <col min="5893" max="5895" width="10.5546875" style="494" customWidth="1"/>
    <col min="5896" max="6144" width="8.88671875" style="494"/>
    <col min="6145" max="6148" width="11.5546875" style="494" customWidth="1"/>
    <col min="6149" max="6151" width="10.5546875" style="494" customWidth="1"/>
    <col min="6152" max="6400" width="8.88671875" style="494"/>
    <col min="6401" max="6404" width="11.5546875" style="494" customWidth="1"/>
    <col min="6405" max="6407" width="10.5546875" style="494" customWidth="1"/>
    <col min="6408" max="6656" width="8.88671875" style="494"/>
    <col min="6657" max="6660" width="11.5546875" style="494" customWidth="1"/>
    <col min="6661" max="6663" width="10.5546875" style="494" customWidth="1"/>
    <col min="6664" max="6912" width="8.88671875" style="494"/>
    <col min="6913" max="6916" width="11.5546875" style="494" customWidth="1"/>
    <col min="6917" max="6919" width="10.5546875" style="494" customWidth="1"/>
    <col min="6920" max="7168" width="8.88671875" style="494"/>
    <col min="7169" max="7172" width="11.5546875" style="494" customWidth="1"/>
    <col min="7173" max="7175" width="10.5546875" style="494" customWidth="1"/>
    <col min="7176" max="7424" width="8.88671875" style="494"/>
    <col min="7425" max="7428" width="11.5546875" style="494" customWidth="1"/>
    <col min="7429" max="7431" width="10.5546875" style="494" customWidth="1"/>
    <col min="7432" max="7680" width="8.88671875" style="494"/>
    <col min="7681" max="7684" width="11.5546875" style="494" customWidth="1"/>
    <col min="7685" max="7687" width="10.5546875" style="494" customWidth="1"/>
    <col min="7688" max="7936" width="8.88671875" style="494"/>
    <col min="7937" max="7940" width="11.5546875" style="494" customWidth="1"/>
    <col min="7941" max="7943" width="10.5546875" style="494" customWidth="1"/>
    <col min="7944" max="8192" width="8.88671875" style="494"/>
    <col min="8193" max="8196" width="11.5546875" style="494" customWidth="1"/>
    <col min="8197" max="8199" width="10.5546875" style="494" customWidth="1"/>
    <col min="8200" max="8448" width="8.88671875" style="494"/>
    <col min="8449" max="8452" width="11.5546875" style="494" customWidth="1"/>
    <col min="8453" max="8455" width="10.5546875" style="494" customWidth="1"/>
    <col min="8456" max="8704" width="8.88671875" style="494"/>
    <col min="8705" max="8708" width="11.5546875" style="494" customWidth="1"/>
    <col min="8709" max="8711" width="10.5546875" style="494" customWidth="1"/>
    <col min="8712" max="8960" width="8.88671875" style="494"/>
    <col min="8961" max="8964" width="11.5546875" style="494" customWidth="1"/>
    <col min="8965" max="8967" width="10.5546875" style="494" customWidth="1"/>
    <col min="8968" max="9216" width="8.88671875" style="494"/>
    <col min="9217" max="9220" width="11.5546875" style="494" customWidth="1"/>
    <col min="9221" max="9223" width="10.5546875" style="494" customWidth="1"/>
    <col min="9224" max="9472" width="8.88671875" style="494"/>
    <col min="9473" max="9476" width="11.5546875" style="494" customWidth="1"/>
    <col min="9477" max="9479" width="10.5546875" style="494" customWidth="1"/>
    <col min="9480" max="9728" width="8.88671875" style="494"/>
    <col min="9729" max="9732" width="11.5546875" style="494" customWidth="1"/>
    <col min="9733" max="9735" width="10.5546875" style="494" customWidth="1"/>
    <col min="9736" max="9984" width="8.88671875" style="494"/>
    <col min="9985" max="9988" width="11.5546875" style="494" customWidth="1"/>
    <col min="9989" max="9991" width="10.5546875" style="494" customWidth="1"/>
    <col min="9992" max="10240" width="8.88671875" style="494"/>
    <col min="10241" max="10244" width="11.5546875" style="494" customWidth="1"/>
    <col min="10245" max="10247" width="10.5546875" style="494" customWidth="1"/>
    <col min="10248" max="10496" width="8.88671875" style="494"/>
    <col min="10497" max="10500" width="11.5546875" style="494" customWidth="1"/>
    <col min="10501" max="10503" width="10.5546875" style="494" customWidth="1"/>
    <col min="10504" max="10752" width="8.88671875" style="494"/>
    <col min="10753" max="10756" width="11.5546875" style="494" customWidth="1"/>
    <col min="10757" max="10759" width="10.5546875" style="494" customWidth="1"/>
    <col min="10760" max="11008" width="8.88671875" style="494"/>
    <col min="11009" max="11012" width="11.5546875" style="494" customWidth="1"/>
    <col min="11013" max="11015" width="10.5546875" style="494" customWidth="1"/>
    <col min="11016" max="11264" width="8.88671875" style="494"/>
    <col min="11265" max="11268" width="11.5546875" style="494" customWidth="1"/>
    <col min="11269" max="11271" width="10.5546875" style="494" customWidth="1"/>
    <col min="11272" max="11520" width="8.88671875" style="494"/>
    <col min="11521" max="11524" width="11.5546875" style="494" customWidth="1"/>
    <col min="11525" max="11527" width="10.5546875" style="494" customWidth="1"/>
    <col min="11528" max="11776" width="8.88671875" style="494"/>
    <col min="11777" max="11780" width="11.5546875" style="494" customWidth="1"/>
    <col min="11781" max="11783" width="10.5546875" style="494" customWidth="1"/>
    <col min="11784" max="12032" width="8.88671875" style="494"/>
    <col min="12033" max="12036" width="11.5546875" style="494" customWidth="1"/>
    <col min="12037" max="12039" width="10.5546875" style="494" customWidth="1"/>
    <col min="12040" max="12288" width="8.88671875" style="494"/>
    <col min="12289" max="12292" width="11.5546875" style="494" customWidth="1"/>
    <col min="12293" max="12295" width="10.5546875" style="494" customWidth="1"/>
    <col min="12296" max="12544" width="8.88671875" style="494"/>
    <col min="12545" max="12548" width="11.5546875" style="494" customWidth="1"/>
    <col min="12549" max="12551" width="10.5546875" style="494" customWidth="1"/>
    <col min="12552" max="12800" width="8.88671875" style="494"/>
    <col min="12801" max="12804" width="11.5546875" style="494" customWidth="1"/>
    <col min="12805" max="12807" width="10.5546875" style="494" customWidth="1"/>
    <col min="12808" max="13056" width="8.88671875" style="494"/>
    <col min="13057" max="13060" width="11.5546875" style="494" customWidth="1"/>
    <col min="13061" max="13063" width="10.5546875" style="494" customWidth="1"/>
    <col min="13064" max="13312" width="8.88671875" style="494"/>
    <col min="13313" max="13316" width="11.5546875" style="494" customWidth="1"/>
    <col min="13317" max="13319" width="10.5546875" style="494" customWidth="1"/>
    <col min="13320" max="13568" width="8.88671875" style="494"/>
    <col min="13569" max="13572" width="11.5546875" style="494" customWidth="1"/>
    <col min="13573" max="13575" width="10.5546875" style="494" customWidth="1"/>
    <col min="13576" max="13824" width="8.88671875" style="494"/>
    <col min="13825" max="13828" width="11.5546875" style="494" customWidth="1"/>
    <col min="13829" max="13831" width="10.5546875" style="494" customWidth="1"/>
    <col min="13832" max="14080" width="8.88671875" style="494"/>
    <col min="14081" max="14084" width="11.5546875" style="494" customWidth="1"/>
    <col min="14085" max="14087" width="10.5546875" style="494" customWidth="1"/>
    <col min="14088" max="14336" width="8.88671875" style="494"/>
    <col min="14337" max="14340" width="11.5546875" style="494" customWidth="1"/>
    <col min="14341" max="14343" width="10.5546875" style="494" customWidth="1"/>
    <col min="14344" max="14592" width="8.88671875" style="494"/>
    <col min="14593" max="14596" width="11.5546875" style="494" customWidth="1"/>
    <col min="14597" max="14599" width="10.5546875" style="494" customWidth="1"/>
    <col min="14600" max="14848" width="8.88671875" style="494"/>
    <col min="14849" max="14852" width="11.5546875" style="494" customWidth="1"/>
    <col min="14853" max="14855" width="10.5546875" style="494" customWidth="1"/>
    <col min="14856" max="15104" width="8.88671875" style="494"/>
    <col min="15105" max="15108" width="11.5546875" style="494" customWidth="1"/>
    <col min="15109" max="15111" width="10.5546875" style="494" customWidth="1"/>
    <col min="15112" max="15360" width="8.88671875" style="494"/>
    <col min="15361" max="15364" width="11.5546875" style="494" customWidth="1"/>
    <col min="15365" max="15367" width="10.5546875" style="494" customWidth="1"/>
    <col min="15368" max="15616" width="8.88671875" style="494"/>
    <col min="15617" max="15620" width="11.5546875" style="494" customWidth="1"/>
    <col min="15621" max="15623" width="10.5546875" style="494" customWidth="1"/>
    <col min="15624" max="15872" width="8.88671875" style="494"/>
    <col min="15873" max="15876" width="11.5546875" style="494" customWidth="1"/>
    <col min="15877" max="15879" width="10.5546875" style="494" customWidth="1"/>
    <col min="15880" max="16128" width="8.88671875" style="494"/>
    <col min="16129" max="16132" width="11.5546875" style="494" customWidth="1"/>
    <col min="16133" max="16135" width="10.5546875" style="494" customWidth="1"/>
    <col min="16136" max="16384" width="8.88671875" style="494"/>
  </cols>
  <sheetData>
    <row r="1" spans="1:7" ht="18.75">
      <c r="A1" s="678" t="s">
        <v>397</v>
      </c>
      <c r="B1" s="678"/>
      <c r="C1" s="678"/>
      <c r="D1" s="678"/>
      <c r="E1" s="678"/>
      <c r="F1" s="678"/>
      <c r="G1" s="678"/>
    </row>
    <row r="2" spans="1:7">
      <c r="A2" s="495"/>
      <c r="B2" s="495"/>
      <c r="C2" s="495"/>
      <c r="D2" s="495"/>
      <c r="E2" s="495"/>
      <c r="F2" s="495"/>
      <c r="G2" s="495"/>
    </row>
    <row r="3" spans="1:7" ht="32.25" customHeight="1">
      <c r="A3" s="679" t="s">
        <v>398</v>
      </c>
      <c r="B3" s="679"/>
      <c r="C3" s="679"/>
      <c r="D3" s="679"/>
      <c r="E3" s="679"/>
      <c r="F3" s="679"/>
      <c r="G3" s="679"/>
    </row>
    <row r="4" spans="1:7">
      <c r="A4" s="680" t="s">
        <v>399</v>
      </c>
      <c r="B4" s="680"/>
      <c r="C4" s="680"/>
      <c r="D4" s="680"/>
      <c r="E4" s="680"/>
      <c r="F4" s="680"/>
      <c r="G4" s="680"/>
    </row>
    <row r="5" spans="1:7">
      <c r="A5" s="680" t="s">
        <v>400</v>
      </c>
      <c r="B5" s="680"/>
      <c r="C5" s="680"/>
      <c r="D5" s="680"/>
      <c r="E5" s="680"/>
      <c r="F5" s="680"/>
      <c r="G5" s="680"/>
    </row>
    <row r="6" spans="1:7">
      <c r="A6" s="496"/>
      <c r="B6" s="496"/>
      <c r="C6" s="496"/>
      <c r="D6" s="496"/>
      <c r="E6" s="496"/>
      <c r="F6" s="496"/>
      <c r="G6" s="496"/>
    </row>
    <row r="7" spans="1:7" ht="22.5" customHeight="1">
      <c r="A7" s="681" t="s">
        <v>401</v>
      </c>
      <c r="B7" s="682"/>
      <c r="C7" s="682"/>
      <c r="D7" s="683"/>
      <c r="E7" s="497" t="s">
        <v>402</v>
      </c>
      <c r="F7" s="497" t="s">
        <v>403</v>
      </c>
      <c r="G7" s="497" t="s">
        <v>404</v>
      </c>
    </row>
    <row r="8" spans="1:7" ht="22.5" customHeight="1">
      <c r="A8" s="675"/>
      <c r="B8" s="676"/>
      <c r="C8" s="676"/>
      <c r="D8" s="677"/>
      <c r="E8" s="498"/>
      <c r="F8" s="498"/>
      <c r="G8" s="498"/>
    </row>
    <row r="9" spans="1:7" ht="22.5" customHeight="1">
      <c r="A9" s="675"/>
      <c r="B9" s="676"/>
      <c r="C9" s="676"/>
      <c r="D9" s="677"/>
      <c r="E9" s="498"/>
      <c r="F9" s="498"/>
      <c r="G9" s="498"/>
    </row>
    <row r="10" spans="1:7" ht="22.5" customHeight="1">
      <c r="A10" s="671"/>
      <c r="B10" s="671"/>
      <c r="C10" s="671"/>
      <c r="D10" s="671"/>
      <c r="E10" s="498"/>
      <c r="F10" s="498"/>
      <c r="G10" s="498"/>
    </row>
    <row r="11" spans="1:7" ht="22.5" customHeight="1">
      <c r="A11" s="671"/>
      <c r="B11" s="671"/>
      <c r="C11" s="671"/>
      <c r="D11" s="671"/>
      <c r="E11" s="498"/>
      <c r="F11" s="498"/>
      <c r="G11" s="498"/>
    </row>
    <row r="12" spans="1:7" ht="22.5" customHeight="1">
      <c r="A12" s="671"/>
      <c r="B12" s="671"/>
      <c r="C12" s="671"/>
      <c r="D12" s="671"/>
      <c r="E12" s="498"/>
      <c r="F12" s="498"/>
      <c r="G12" s="498"/>
    </row>
    <row r="13" spans="1:7" ht="22.5" customHeight="1">
      <c r="A13" s="671"/>
      <c r="B13" s="671"/>
      <c r="C13" s="671"/>
      <c r="D13" s="671"/>
      <c r="E13" s="498"/>
      <c r="F13" s="498"/>
      <c r="G13" s="498"/>
    </row>
    <row r="14" spans="1:7" ht="22.5" customHeight="1">
      <c r="A14" s="671"/>
      <c r="B14" s="671"/>
      <c r="C14" s="671"/>
      <c r="D14" s="671"/>
      <c r="E14" s="498"/>
      <c r="F14" s="498"/>
      <c r="G14" s="498"/>
    </row>
    <row r="15" spans="1:7" ht="22.5" customHeight="1">
      <c r="A15" s="671"/>
      <c r="B15" s="671"/>
      <c r="C15" s="671"/>
      <c r="D15" s="671"/>
      <c r="E15" s="498"/>
      <c r="F15" s="498"/>
      <c r="G15" s="498"/>
    </row>
    <row r="16" spans="1:7" ht="22.5" customHeight="1" thickBot="1">
      <c r="A16" s="672"/>
      <c r="B16" s="672"/>
      <c r="C16" s="672"/>
      <c r="D16" s="672"/>
      <c r="E16" s="499"/>
      <c r="F16" s="499"/>
      <c r="G16" s="499"/>
    </row>
    <row r="17" spans="1:7" ht="22.5" customHeight="1" thickTop="1">
      <c r="A17" s="673" t="s">
        <v>385</v>
      </c>
      <c r="B17" s="673"/>
      <c r="C17" s="673"/>
      <c r="D17" s="673"/>
      <c r="E17" s="500"/>
      <c r="F17" s="500"/>
      <c r="G17" s="500"/>
    </row>
    <row r="19" spans="1:7">
      <c r="A19" s="501" t="s">
        <v>405</v>
      </c>
      <c r="B19" s="502"/>
    </row>
    <row r="20" spans="1:7">
      <c r="A20" s="674"/>
      <c r="B20" s="674"/>
    </row>
  </sheetData>
  <sheetProtection sheet="1" objects="1" scenarios="1"/>
  <mergeCells count="16">
    <mergeCell ref="A8:D8"/>
    <mergeCell ref="A1:G1"/>
    <mergeCell ref="A3:G3"/>
    <mergeCell ref="A4:G4"/>
    <mergeCell ref="A5:G5"/>
    <mergeCell ref="A7:D7"/>
    <mergeCell ref="A15:D15"/>
    <mergeCell ref="A16:D16"/>
    <mergeCell ref="A17:D17"/>
    <mergeCell ref="A20:B20"/>
    <mergeCell ref="A9:D9"/>
    <mergeCell ref="A10:D10"/>
    <mergeCell ref="A11:D11"/>
    <mergeCell ref="A12:D12"/>
    <mergeCell ref="A13:D13"/>
    <mergeCell ref="A14:D1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13C45-99EC-4E24-93EA-974C2BA98198}">
  <dimension ref="A1:G24"/>
  <sheetViews>
    <sheetView workbookViewId="0">
      <selection sqref="A1:G1"/>
    </sheetView>
  </sheetViews>
  <sheetFormatPr defaultRowHeight="15.75"/>
  <cols>
    <col min="1" max="1" width="8.88671875" style="1"/>
    <col min="4" max="4" width="18" customWidth="1"/>
    <col min="7" max="7" width="12.77734375" customWidth="1"/>
  </cols>
  <sheetData>
    <row r="1" spans="1:7">
      <c r="A1" s="670" t="s">
        <v>406</v>
      </c>
      <c r="B1" s="670"/>
      <c r="C1" s="670"/>
      <c r="D1" s="670"/>
      <c r="E1" s="670"/>
      <c r="F1" s="670"/>
      <c r="G1" s="670"/>
    </row>
    <row r="3" spans="1:7" ht="55.5" customHeight="1">
      <c r="A3" s="684" t="s">
        <v>407</v>
      </c>
      <c r="B3" s="684"/>
      <c r="C3" s="684"/>
      <c r="D3" s="684"/>
      <c r="E3" s="684"/>
      <c r="F3" s="684"/>
      <c r="G3" s="684"/>
    </row>
    <row r="4" spans="1:7" ht="55.5" customHeight="1">
      <c r="A4" s="685" t="s">
        <v>408</v>
      </c>
      <c r="B4" s="685"/>
      <c r="C4" s="685"/>
      <c r="D4" s="685"/>
      <c r="E4" s="685"/>
      <c r="F4" s="685"/>
      <c r="G4" s="685"/>
    </row>
    <row r="5" spans="1:7" ht="55.5" customHeight="1">
      <c r="A5" s="685" t="s">
        <v>409</v>
      </c>
      <c r="B5" s="685"/>
      <c r="C5" s="685"/>
      <c r="D5" s="685"/>
      <c r="E5" s="685"/>
      <c r="F5" s="685"/>
      <c r="G5" s="685"/>
    </row>
    <row r="6" spans="1:7" ht="55.5" customHeight="1">
      <c r="A6" s="685" t="s">
        <v>410</v>
      </c>
      <c r="B6" s="685"/>
      <c r="C6" s="685"/>
      <c r="D6" s="685"/>
      <c r="E6" s="685"/>
      <c r="F6" s="685"/>
      <c r="G6" s="685"/>
    </row>
    <row r="7" spans="1:7" ht="55.5" customHeight="1">
      <c r="A7" s="685" t="s">
        <v>411</v>
      </c>
      <c r="B7" s="685"/>
      <c r="C7" s="685"/>
      <c r="D7" s="685"/>
      <c r="E7" s="685"/>
      <c r="F7" s="685"/>
      <c r="G7" s="685"/>
    </row>
    <row r="8" spans="1:7" ht="55.5" customHeight="1">
      <c r="A8" s="684" t="s">
        <v>412</v>
      </c>
      <c r="B8" s="684"/>
      <c r="C8" s="684"/>
      <c r="D8" s="684"/>
      <c r="E8" s="684"/>
      <c r="F8" s="684"/>
      <c r="G8" s="684"/>
    </row>
    <row r="9" spans="1:7" ht="55.5" customHeight="1">
      <c r="A9" s="685" t="s">
        <v>413</v>
      </c>
      <c r="B9" s="685"/>
      <c r="C9" s="685"/>
      <c r="D9" s="685"/>
      <c r="E9" s="685"/>
      <c r="F9" s="685"/>
      <c r="G9" s="685"/>
    </row>
    <row r="10" spans="1:7" ht="55.5" customHeight="1">
      <c r="A10" s="685" t="s">
        <v>414</v>
      </c>
      <c r="B10" s="685"/>
      <c r="C10" s="685"/>
      <c r="D10" s="685"/>
      <c r="E10" s="685"/>
      <c r="F10" s="685"/>
      <c r="G10" s="685"/>
    </row>
    <row r="11" spans="1:7" ht="55.5" customHeight="1">
      <c r="A11" s="685" t="s">
        <v>415</v>
      </c>
      <c r="B11" s="685"/>
      <c r="C11" s="685"/>
      <c r="D11" s="685"/>
      <c r="E11" s="685"/>
      <c r="F11" s="685"/>
      <c r="G11" s="685"/>
    </row>
    <row r="12" spans="1:7" ht="15.75" customHeight="1">
      <c r="A12" s="669" t="s">
        <v>416</v>
      </c>
      <c r="B12" s="669"/>
      <c r="C12" s="669"/>
      <c r="D12" s="669"/>
      <c r="E12" s="669"/>
      <c r="F12" s="669"/>
      <c r="G12" s="669"/>
    </row>
    <row r="13" spans="1:7" ht="15.75" customHeight="1">
      <c r="A13" s="669" t="s">
        <v>416</v>
      </c>
      <c r="B13" s="669"/>
      <c r="C13" s="669"/>
      <c r="D13" s="669"/>
      <c r="E13" s="669"/>
      <c r="F13" s="669"/>
      <c r="G13" s="669"/>
    </row>
    <row r="14" spans="1:7" ht="15.75" customHeight="1">
      <c r="A14" s="669" t="s">
        <v>416</v>
      </c>
      <c r="B14" s="669"/>
      <c r="C14" s="669"/>
      <c r="D14" s="669"/>
      <c r="E14" s="669"/>
      <c r="F14" s="669"/>
      <c r="G14" s="669"/>
    </row>
    <row r="15" spans="1:7" ht="15.75" customHeight="1">
      <c r="A15" s="669" t="s">
        <v>416</v>
      </c>
      <c r="B15" s="669"/>
      <c r="C15" s="669"/>
      <c r="D15" s="669"/>
      <c r="E15" s="669"/>
      <c r="F15" s="669"/>
      <c r="G15" s="669"/>
    </row>
    <row r="16" spans="1:7">
      <c r="A16" s="669" t="s">
        <v>416</v>
      </c>
      <c r="B16" s="669"/>
      <c r="C16" s="669"/>
      <c r="D16" s="669"/>
      <c r="E16" s="669"/>
      <c r="F16" s="669"/>
      <c r="G16" s="669"/>
    </row>
    <row r="17" spans="1:7">
      <c r="A17" s="669" t="s">
        <v>416</v>
      </c>
      <c r="B17" s="669"/>
      <c r="C17" s="669"/>
      <c r="D17" s="669"/>
      <c r="E17" s="669"/>
      <c r="F17" s="669"/>
      <c r="G17" s="669"/>
    </row>
    <row r="18" spans="1:7">
      <c r="A18" s="669" t="s">
        <v>416</v>
      </c>
      <c r="B18" s="669"/>
      <c r="C18" s="669"/>
      <c r="D18" s="669"/>
      <c r="E18" s="669"/>
      <c r="F18" s="669"/>
      <c r="G18" s="669"/>
    </row>
    <row r="19" spans="1:7">
      <c r="A19" s="669" t="s">
        <v>416</v>
      </c>
      <c r="B19" s="669"/>
      <c r="C19" s="669"/>
      <c r="D19" s="669"/>
      <c r="E19" s="669"/>
      <c r="F19" s="669"/>
      <c r="G19" s="669"/>
    </row>
    <row r="20" spans="1:7">
      <c r="A20" s="669"/>
      <c r="B20" s="669"/>
      <c r="C20" s="669"/>
      <c r="D20" s="669"/>
      <c r="E20" s="669"/>
      <c r="F20" s="669"/>
      <c r="G20" s="669"/>
    </row>
    <row r="21" spans="1:7">
      <c r="A21" s="487"/>
      <c r="B21" s="487"/>
      <c r="C21" s="487"/>
      <c r="D21" s="487"/>
      <c r="E21" s="487"/>
      <c r="F21" s="487"/>
      <c r="G21" s="487"/>
    </row>
    <row r="22" spans="1:7">
      <c r="A22" s="669" t="s">
        <v>417</v>
      </c>
      <c r="B22" s="669"/>
      <c r="C22" s="669"/>
      <c r="D22" s="669"/>
      <c r="E22" s="669"/>
      <c r="F22" s="669"/>
      <c r="G22" s="669"/>
    </row>
    <row r="23" spans="1:7">
      <c r="A23" s="669" t="s">
        <v>418</v>
      </c>
      <c r="B23" s="669"/>
      <c r="C23" s="669"/>
      <c r="D23" s="669"/>
      <c r="E23" s="669"/>
      <c r="F23" s="669"/>
      <c r="G23" s="669"/>
    </row>
    <row r="24" spans="1:7">
      <c r="A24" s="669"/>
      <c r="B24" s="669"/>
      <c r="C24" s="669"/>
      <c r="D24" s="669"/>
      <c r="E24" s="669"/>
      <c r="F24" s="669"/>
      <c r="G24" s="669"/>
    </row>
  </sheetData>
  <sheetProtection sheet="1" objects="1" scenarios="1"/>
  <mergeCells count="22">
    <mergeCell ref="A13:G13"/>
    <mergeCell ref="A1:G1"/>
    <mergeCell ref="A3:G3"/>
    <mergeCell ref="A4:G4"/>
    <mergeCell ref="A5:G5"/>
    <mergeCell ref="A6:G6"/>
    <mergeCell ref="A7:G7"/>
    <mergeCell ref="A8:G8"/>
    <mergeCell ref="A9:G9"/>
    <mergeCell ref="A10:G10"/>
    <mergeCell ref="A11:G11"/>
    <mergeCell ref="A12:G12"/>
    <mergeCell ref="A20:G20"/>
    <mergeCell ref="A22:G22"/>
    <mergeCell ref="A23:G23"/>
    <mergeCell ref="A24:G24"/>
    <mergeCell ref="A14:G14"/>
    <mergeCell ref="A15:G15"/>
    <mergeCell ref="A16:G16"/>
    <mergeCell ref="A17:G17"/>
    <mergeCell ref="A18:G18"/>
    <mergeCell ref="A19:G19"/>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72"/>
  <sheetViews>
    <sheetView workbookViewId="0"/>
  </sheetViews>
  <sheetFormatPr defaultRowHeight="15.75"/>
  <cols>
    <col min="1" max="1" width="71.33203125" style="1" customWidth="1"/>
  </cols>
  <sheetData>
    <row r="1" spans="1:12" ht="20.25">
      <c r="A1" s="454" t="s">
        <v>419</v>
      </c>
    </row>
    <row r="3" spans="1:12">
      <c r="A3" s="486" t="s">
        <v>420</v>
      </c>
      <c r="B3" s="200"/>
      <c r="C3" s="200"/>
      <c r="D3" s="200"/>
      <c r="E3" s="200"/>
      <c r="F3" s="200"/>
      <c r="G3" s="200"/>
      <c r="H3" s="200"/>
      <c r="I3" s="200"/>
      <c r="J3" s="200"/>
      <c r="K3" s="200"/>
      <c r="L3" s="200"/>
    </row>
    <row r="5" spans="1:12">
      <c r="A5" s="1" t="s">
        <v>421</v>
      </c>
    </row>
    <row r="6" spans="1:12">
      <c r="A6" s="1" t="str">
        <f>CONCATENATE(inputPrYr!D22-2," 'total expenditures' exceed your ",inputPrYr!D22-2," 'budget authority.'")</f>
        <v>2022 'total expenditures' exceed your 2022 'budget authority.'</v>
      </c>
    </row>
    <row r="8" spans="1:12">
      <c r="A8" s="1" t="s">
        <v>422</v>
      </c>
    </row>
    <row r="9" spans="1:12">
      <c r="A9" s="1" t="s">
        <v>423</v>
      </c>
    </row>
    <row r="10" spans="1:12">
      <c r="A10" s="1" t="s">
        <v>424</v>
      </c>
    </row>
    <row r="13" spans="1:12">
      <c r="A13" s="451" t="s">
        <v>425</v>
      </c>
    </row>
    <row r="15" spans="1:12">
      <c r="A15" s="1" t="s">
        <v>426</v>
      </c>
    </row>
    <row r="16" spans="1:12">
      <c r="A16" s="1" t="str">
        <f>CONCATENATE("(i.e. an audit has not been completed, or the ",inputPrYr!D22," adopted")</f>
        <v>(i.e. an audit has not been completed, or the 2024 adopted</v>
      </c>
    </row>
    <row r="17" spans="1:1">
      <c r="A17" s="1" t="s">
        <v>427</v>
      </c>
    </row>
    <row r="18" spans="1:1">
      <c r="A18" s="1" t="s">
        <v>428</v>
      </c>
    </row>
    <row r="19" spans="1:1">
      <c r="A19" s="1" t="s">
        <v>429</v>
      </c>
    </row>
    <row r="21" spans="1:1">
      <c r="A21" s="451" t="s">
        <v>430</v>
      </c>
    </row>
    <row r="22" spans="1:1">
      <c r="A22" s="451"/>
    </row>
    <row r="23" spans="1:1">
      <c r="A23" s="1" t="s">
        <v>431</v>
      </c>
    </row>
    <row r="24" spans="1:1">
      <c r="A24" s="1" t="s">
        <v>432</v>
      </c>
    </row>
    <row r="25" spans="1:1">
      <c r="A25" s="1" t="str">
        <f>CONCATENATE("particular fund.  If your ",inputPrYr!D22-2," budget was amended, did you")</f>
        <v>particular fund.  If your 2022 budget was amended, did you</v>
      </c>
    </row>
    <row r="26" spans="1:1">
      <c r="A26" s="1" t="s">
        <v>433</v>
      </c>
    </row>
    <row r="28" spans="1:1">
      <c r="A28" s="1" t="str">
        <f>CONCATENATE("Next, look to see if any of your ",inputPrYr!D22-2," expenditures can be")</f>
        <v>Next, look to see if any of your 2022 expenditures can be</v>
      </c>
    </row>
    <row r="29" spans="1:1">
      <c r="A29" s="1" t="s">
        <v>434</v>
      </c>
    </row>
    <row r="30" spans="1:1">
      <c r="A30" s="1" t="s">
        <v>435</v>
      </c>
    </row>
    <row r="31" spans="1:1">
      <c r="A31" s="1" t="s">
        <v>436</v>
      </c>
    </row>
    <row r="33" spans="1:1">
      <c r="A33" s="1" t="str">
        <f>CONCATENATE("Additionally, do your ",inputPrYr!D22-2," receipts contain a reimbursement")</f>
        <v>Additionally, do your 2022 receipts contain a reimbursement</v>
      </c>
    </row>
    <row r="34" spans="1:1">
      <c r="A34" s="1" t="s">
        <v>437</v>
      </c>
    </row>
    <row r="35" spans="1:1">
      <c r="A35" s="1" t="s">
        <v>438</v>
      </c>
    </row>
    <row r="37" spans="1:1">
      <c r="A37" s="1" t="s">
        <v>439</v>
      </c>
    </row>
    <row r="38" spans="1:1">
      <c r="A38" s="1" t="s">
        <v>440</v>
      </c>
    </row>
    <row r="39" spans="1:1">
      <c r="A39" s="1" t="s">
        <v>441</v>
      </c>
    </row>
    <row r="41" spans="1:1">
      <c r="A41" s="451" t="s">
        <v>442</v>
      </c>
    </row>
    <row r="43" spans="1:1">
      <c r="A43" s="1" t="s">
        <v>443</v>
      </c>
    </row>
    <row r="44" spans="1:1">
      <c r="A44" s="1" t="s">
        <v>444</v>
      </c>
    </row>
    <row r="45" spans="1:1">
      <c r="A45" s="1" t="s">
        <v>445</v>
      </c>
    </row>
    <row r="46" spans="1:1">
      <c r="A46" s="1" t="s">
        <v>446</v>
      </c>
    </row>
    <row r="47" spans="1:1">
      <c r="A47" s="1" t="s">
        <v>447</v>
      </c>
    </row>
    <row r="48" spans="1:1">
      <c r="A48" s="1" t="s">
        <v>448</v>
      </c>
    </row>
    <row r="49" spans="1:1">
      <c r="A49" s="1" t="s">
        <v>449</v>
      </c>
    </row>
    <row r="50" spans="1:1">
      <c r="A50" s="1" t="s">
        <v>450</v>
      </c>
    </row>
    <row r="51" spans="1:1">
      <c r="A51" s="1" t="s">
        <v>451</v>
      </c>
    </row>
    <row r="52" spans="1:1">
      <c r="A52" s="1" t="s">
        <v>452</v>
      </c>
    </row>
    <row r="53" spans="1:1">
      <c r="A53" s="1" t="s">
        <v>453</v>
      </c>
    </row>
    <row r="54" spans="1:1">
      <c r="A54" s="1" t="s">
        <v>454</v>
      </c>
    </row>
    <row r="55" spans="1:1">
      <c r="A55" s="1" t="s">
        <v>455</v>
      </c>
    </row>
    <row r="57" spans="1:1">
      <c r="A57" s="1" t="s">
        <v>456</v>
      </c>
    </row>
    <row r="58" spans="1:1">
      <c r="A58" s="1" t="s">
        <v>457</v>
      </c>
    </row>
    <row r="59" spans="1:1">
      <c r="A59" s="1" t="s">
        <v>458</v>
      </c>
    </row>
    <row r="61" spans="1:1">
      <c r="A61" s="451" t="str">
        <f>CONCATENATE("What if the ",inputPrYr!D22-2," financial records have been closed?")</f>
        <v>What if the 2022 financial records have been closed?</v>
      </c>
    </row>
    <row r="63" spans="1:1">
      <c r="A63" s="1" t="s">
        <v>459</v>
      </c>
    </row>
    <row r="64" spans="1:1">
      <c r="A64" s="1" t="str">
        <f>CONCATENATE("(i.e. an audit for ",inputPrYr!D22-2," has been completed, or the ",inputPrYr!D22)</f>
        <v>(i.e. an audit for 2022 has been completed, or the 2024</v>
      </c>
    </row>
    <row r="65" spans="1:1">
      <c r="A65" s="1" t="s">
        <v>460</v>
      </c>
    </row>
    <row r="66" spans="1:1">
      <c r="A66" s="1" t="s">
        <v>461</v>
      </c>
    </row>
    <row r="68" spans="1:1">
      <c r="A68" s="1" t="s">
        <v>462</v>
      </c>
    </row>
    <row r="69" spans="1:1">
      <c r="A69" s="1" t="s">
        <v>463</v>
      </c>
    </row>
    <row r="70" spans="1:1">
      <c r="A70" s="1" t="s">
        <v>464</v>
      </c>
    </row>
    <row r="72" spans="1:1">
      <c r="A72" s="1" t="s">
        <v>465</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J109"/>
  <sheetViews>
    <sheetView workbookViewId="0"/>
  </sheetViews>
  <sheetFormatPr defaultRowHeight="15.75"/>
  <cols>
    <col min="1" max="1" width="71.33203125" style="1" customWidth="1"/>
  </cols>
  <sheetData>
    <row r="1" spans="1:10" ht="20.25">
      <c r="A1" s="454" t="s">
        <v>466</v>
      </c>
    </row>
    <row r="3" spans="1:10">
      <c r="A3" s="486" t="s">
        <v>467</v>
      </c>
      <c r="B3" s="200"/>
      <c r="C3" s="200"/>
      <c r="D3" s="200"/>
      <c r="E3" s="200"/>
      <c r="F3" s="200"/>
      <c r="G3" s="200"/>
      <c r="H3" s="202"/>
      <c r="I3" s="202"/>
      <c r="J3" s="202"/>
    </row>
    <row r="5" spans="1:10">
      <c r="A5" s="1" t="s">
        <v>468</v>
      </c>
    </row>
    <row r="6" spans="1:10">
      <c r="A6" s="1" t="str">
        <f>CONCATENATE(inputPrYr!D22-2," expenditures show that you finished the year with a ")</f>
        <v xml:space="preserve">2022 expenditures show that you finished the year with a </v>
      </c>
    </row>
    <row r="7" spans="1:10">
      <c r="A7" s="1" t="s">
        <v>469</v>
      </c>
    </row>
    <row r="9" spans="1:10">
      <c r="A9" s="1" t="s">
        <v>470</v>
      </c>
    </row>
    <row r="10" spans="1:10">
      <c r="A10" s="1" t="s">
        <v>471</v>
      </c>
    </row>
    <row r="11" spans="1:10">
      <c r="A11" s="1" t="s">
        <v>472</v>
      </c>
    </row>
    <row r="13" spans="1:10">
      <c r="A13" s="451" t="s">
        <v>473</v>
      </c>
    </row>
    <row r="14" spans="1:10">
      <c r="A14" s="451"/>
    </row>
    <row r="15" spans="1:10">
      <c r="A15" s="1" t="s">
        <v>474</v>
      </c>
    </row>
    <row r="16" spans="1:10">
      <c r="A16" s="1" t="s">
        <v>475</v>
      </c>
    </row>
    <row r="17" spans="1:1">
      <c r="A17" s="1" t="s">
        <v>476</v>
      </c>
    </row>
    <row r="19" spans="1:1">
      <c r="A19" s="451" t="s">
        <v>477</v>
      </c>
    </row>
    <row r="20" spans="1:1">
      <c r="A20" s="451"/>
    </row>
    <row r="21" spans="1:1">
      <c r="A21" s="1" t="s">
        <v>478</v>
      </c>
    </row>
    <row r="22" spans="1:1">
      <c r="A22" s="1" t="s">
        <v>479</v>
      </c>
    </row>
    <row r="23" spans="1:1">
      <c r="A23" s="1" t="s">
        <v>480</v>
      </c>
    </row>
    <row r="25" spans="1:1">
      <c r="A25" s="451" t="s">
        <v>481</v>
      </c>
    </row>
    <row r="26" spans="1:1">
      <c r="A26" s="451"/>
    </row>
    <row r="27" spans="1:1">
      <c r="A27" s="1" t="s">
        <v>482</v>
      </c>
    </row>
    <row r="28" spans="1:1">
      <c r="A28" s="1" t="s">
        <v>483</v>
      </c>
    </row>
    <row r="29" spans="1:1">
      <c r="A29" s="1" t="s">
        <v>484</v>
      </c>
    </row>
    <row r="31" spans="1:1">
      <c r="A31" s="451" t="s">
        <v>485</v>
      </c>
    </row>
    <row r="32" spans="1:1">
      <c r="A32" s="451"/>
    </row>
    <row r="33" spans="1:8">
      <c r="A33" s="1" t="str">
        <f>CONCATENATE("If your financial records for ",inputPrYr!D22-2," are not closed")</f>
        <v>If your financial records for 2022 are not closed</v>
      </c>
      <c r="B33" s="201"/>
      <c r="C33" s="201"/>
      <c r="D33" s="201"/>
      <c r="E33" s="201"/>
      <c r="F33" s="201"/>
      <c r="G33" s="201"/>
      <c r="H33" s="201"/>
    </row>
    <row r="34" spans="1:8">
      <c r="A34" s="1" t="str">
        <f>CONCATENATE("(i.e. an audit has not been completed, or the ",inputPrYr!D22," adopted ")</f>
        <v xml:space="preserve">(i.e. an audit has not been completed, or the 2024 adopted </v>
      </c>
      <c r="B34" s="201"/>
      <c r="C34" s="201"/>
      <c r="D34" s="201"/>
      <c r="E34" s="201"/>
      <c r="F34" s="201"/>
      <c r="G34" s="201"/>
      <c r="H34" s="201"/>
    </row>
    <row r="35" spans="1:8">
      <c r="A35" s="1" t="s">
        <v>486</v>
      </c>
      <c r="B35" s="201"/>
      <c r="C35" s="201"/>
      <c r="D35" s="201"/>
      <c r="E35" s="201"/>
      <c r="F35" s="201"/>
      <c r="G35" s="201"/>
      <c r="H35" s="201"/>
    </row>
    <row r="36" spans="1:8">
      <c r="A36" s="1" t="s">
        <v>487</v>
      </c>
      <c r="B36" s="201"/>
      <c r="C36" s="201"/>
      <c r="D36" s="201"/>
      <c r="E36" s="201"/>
      <c r="F36" s="201"/>
      <c r="G36" s="201"/>
      <c r="H36" s="201"/>
    </row>
    <row r="37" spans="1:8">
      <c r="A37" s="1" t="s">
        <v>488</v>
      </c>
      <c r="B37" s="201"/>
      <c r="C37" s="201"/>
      <c r="D37" s="201"/>
      <c r="E37" s="201"/>
      <c r="F37" s="201"/>
      <c r="G37" s="201"/>
      <c r="H37" s="201"/>
    </row>
    <row r="38" spans="1:8">
      <c r="A38" s="1" t="s">
        <v>489</v>
      </c>
      <c r="B38" s="201"/>
      <c r="C38" s="201"/>
      <c r="D38" s="201"/>
      <c r="E38" s="201"/>
      <c r="F38" s="201"/>
      <c r="G38" s="201"/>
      <c r="H38" s="201"/>
    </row>
    <row r="39" spans="1:8">
      <c r="A39" s="1" t="s">
        <v>490</v>
      </c>
      <c r="B39" s="201"/>
      <c r="C39" s="201"/>
      <c r="D39" s="201"/>
      <c r="E39" s="201"/>
      <c r="F39" s="201"/>
      <c r="G39" s="201"/>
      <c r="H39" s="201"/>
    </row>
    <row r="40" spans="1:8">
      <c r="B40" s="201"/>
      <c r="C40" s="201"/>
      <c r="D40" s="201"/>
      <c r="E40" s="201"/>
      <c r="F40" s="201"/>
      <c r="G40" s="201"/>
      <c r="H40" s="201"/>
    </row>
    <row r="41" spans="1:8">
      <c r="A41" s="1" t="s">
        <v>491</v>
      </c>
      <c r="B41" s="201"/>
      <c r="C41" s="201"/>
      <c r="D41" s="201"/>
      <c r="E41" s="201"/>
      <c r="F41" s="201"/>
      <c r="G41" s="201"/>
      <c r="H41" s="201"/>
    </row>
    <row r="42" spans="1:8">
      <c r="A42" s="1" t="s">
        <v>492</v>
      </c>
      <c r="B42" s="201"/>
      <c r="C42" s="201"/>
      <c r="D42" s="201"/>
      <c r="E42" s="201"/>
      <c r="F42" s="201"/>
      <c r="G42" s="201"/>
      <c r="H42" s="201"/>
    </row>
    <row r="43" spans="1:8">
      <c r="A43" s="1" t="s">
        <v>493</v>
      </c>
      <c r="B43" s="201"/>
      <c r="C43" s="201"/>
      <c r="D43" s="201"/>
      <c r="E43" s="201"/>
      <c r="F43" s="201"/>
      <c r="G43" s="201"/>
      <c r="H43" s="201"/>
    </row>
    <row r="44" spans="1:8">
      <c r="A44" s="1" t="s">
        <v>494</v>
      </c>
      <c r="B44" s="201"/>
      <c r="C44" s="201"/>
      <c r="D44" s="201"/>
      <c r="E44" s="201"/>
      <c r="F44" s="201"/>
      <c r="G44" s="201"/>
      <c r="H44" s="201"/>
    </row>
    <row r="45" spans="1:8">
      <c r="B45" s="201"/>
      <c r="C45" s="201"/>
      <c r="D45" s="201"/>
      <c r="E45" s="201"/>
      <c r="F45" s="201"/>
      <c r="G45" s="201"/>
      <c r="H45" s="201"/>
    </row>
    <row r="46" spans="1:8">
      <c r="A46" s="1" t="s">
        <v>495</v>
      </c>
      <c r="B46" s="201"/>
      <c r="C46" s="201"/>
      <c r="D46" s="201"/>
      <c r="E46" s="201"/>
      <c r="F46" s="201"/>
      <c r="G46" s="201"/>
      <c r="H46" s="201"/>
    </row>
    <row r="47" spans="1:8">
      <c r="A47" s="1" t="s">
        <v>496</v>
      </c>
      <c r="B47" s="201"/>
      <c r="C47" s="201"/>
      <c r="D47" s="201"/>
      <c r="E47" s="201"/>
      <c r="F47" s="201"/>
      <c r="G47" s="201"/>
      <c r="H47" s="201"/>
    </row>
    <row r="48" spans="1:8">
      <c r="A48" s="1" t="s">
        <v>497</v>
      </c>
      <c r="B48" s="201"/>
      <c r="C48" s="201"/>
      <c r="D48" s="201"/>
      <c r="E48" s="201"/>
      <c r="F48" s="201"/>
      <c r="G48" s="201"/>
      <c r="H48" s="201"/>
    </row>
    <row r="49" spans="1:8">
      <c r="A49" s="1" t="s">
        <v>498</v>
      </c>
      <c r="B49" s="201"/>
      <c r="C49" s="201"/>
      <c r="D49" s="201"/>
      <c r="E49" s="201"/>
      <c r="F49" s="201"/>
      <c r="G49" s="201"/>
      <c r="H49" s="201"/>
    </row>
    <row r="50" spans="1:8">
      <c r="A50" s="1" t="s">
        <v>499</v>
      </c>
      <c r="B50" s="201"/>
      <c r="C50" s="201"/>
      <c r="D50" s="201"/>
      <c r="E50" s="201"/>
      <c r="F50" s="201"/>
      <c r="G50" s="201"/>
      <c r="H50" s="201"/>
    </row>
    <row r="51" spans="1:8">
      <c r="B51" s="201"/>
      <c r="C51" s="201"/>
      <c r="D51" s="201"/>
      <c r="E51" s="201"/>
      <c r="F51" s="201"/>
      <c r="G51" s="201"/>
      <c r="H51" s="201"/>
    </row>
    <row r="52" spans="1:8">
      <c r="A52" s="451" t="s">
        <v>500</v>
      </c>
      <c r="B52" s="202"/>
      <c r="C52" s="202"/>
      <c r="D52" s="202"/>
      <c r="E52" s="202"/>
      <c r="F52" s="202"/>
      <c r="G52" s="202"/>
      <c r="H52" s="201"/>
    </row>
    <row r="53" spans="1:8">
      <c r="A53" s="451" t="s">
        <v>501</v>
      </c>
      <c r="B53" s="202"/>
      <c r="C53" s="202"/>
      <c r="D53" s="202"/>
      <c r="E53" s="202"/>
      <c r="F53" s="202"/>
      <c r="G53" s="202"/>
      <c r="H53" s="201"/>
    </row>
    <row r="54" spans="1:8">
      <c r="B54" s="201"/>
      <c r="C54" s="201"/>
      <c r="D54" s="201"/>
      <c r="E54" s="201"/>
      <c r="F54" s="201"/>
      <c r="G54" s="201"/>
      <c r="H54" s="201"/>
    </row>
    <row r="55" spans="1:8">
      <c r="A55" s="1" t="s">
        <v>502</v>
      </c>
      <c r="B55" s="201"/>
      <c r="C55" s="201"/>
      <c r="D55" s="201"/>
      <c r="E55" s="201"/>
      <c r="F55" s="201"/>
      <c r="G55" s="201"/>
      <c r="H55" s="201"/>
    </row>
    <row r="56" spans="1:8">
      <c r="A56" s="1" t="s">
        <v>503</v>
      </c>
      <c r="B56" s="201"/>
      <c r="C56" s="201"/>
      <c r="D56" s="201"/>
      <c r="E56" s="201"/>
      <c r="F56" s="201"/>
      <c r="G56" s="201"/>
      <c r="H56" s="201"/>
    </row>
    <row r="57" spans="1:8">
      <c r="A57" s="1" t="s">
        <v>504</v>
      </c>
      <c r="B57" s="201"/>
      <c r="C57" s="201"/>
      <c r="D57" s="201"/>
      <c r="E57" s="201"/>
      <c r="F57" s="201"/>
      <c r="G57" s="201"/>
      <c r="H57" s="201"/>
    </row>
    <row r="58" spans="1:8">
      <c r="A58" s="1" t="s">
        <v>505</v>
      </c>
      <c r="B58" s="201"/>
      <c r="C58" s="201"/>
      <c r="D58" s="201"/>
      <c r="E58" s="201"/>
      <c r="F58" s="201"/>
      <c r="G58" s="201"/>
      <c r="H58" s="201"/>
    </row>
    <row r="59" spans="1:8">
      <c r="B59" s="201"/>
      <c r="C59" s="201"/>
      <c r="D59" s="201"/>
      <c r="E59" s="201"/>
      <c r="F59" s="201"/>
      <c r="G59" s="201"/>
      <c r="H59" s="201"/>
    </row>
    <row r="60" spans="1:8">
      <c r="A60" s="1" t="s">
        <v>506</v>
      </c>
      <c r="B60" s="201"/>
      <c r="C60" s="201"/>
      <c r="D60" s="201"/>
      <c r="E60" s="201"/>
      <c r="F60" s="201"/>
      <c r="G60" s="201"/>
      <c r="H60" s="201"/>
    </row>
    <row r="61" spans="1:8">
      <c r="A61" s="1" t="s">
        <v>507</v>
      </c>
      <c r="B61" s="201"/>
      <c r="C61" s="201"/>
      <c r="D61" s="201"/>
      <c r="E61" s="201"/>
      <c r="F61" s="201"/>
      <c r="G61" s="201"/>
      <c r="H61" s="201"/>
    </row>
    <row r="62" spans="1:8">
      <c r="A62" s="1" t="s">
        <v>508</v>
      </c>
      <c r="B62" s="201"/>
      <c r="C62" s="201"/>
      <c r="D62" s="201"/>
      <c r="E62" s="201"/>
      <c r="F62" s="201"/>
      <c r="G62" s="201"/>
      <c r="H62" s="201"/>
    </row>
    <row r="63" spans="1:8">
      <c r="A63" s="1" t="s">
        <v>509</v>
      </c>
      <c r="B63" s="201"/>
      <c r="C63" s="201"/>
      <c r="D63" s="201"/>
      <c r="E63" s="201"/>
      <c r="F63" s="201"/>
      <c r="G63" s="201"/>
      <c r="H63" s="201"/>
    </row>
    <row r="64" spans="1:8">
      <c r="A64" s="1" t="s">
        <v>510</v>
      </c>
      <c r="B64" s="201"/>
      <c r="C64" s="201"/>
      <c r="D64" s="201"/>
      <c r="E64" s="201"/>
      <c r="F64" s="201"/>
      <c r="G64" s="201"/>
      <c r="H64" s="201"/>
    </row>
    <row r="65" spans="1:8">
      <c r="A65" s="1" t="s">
        <v>511</v>
      </c>
      <c r="B65" s="201"/>
      <c r="C65" s="201"/>
      <c r="D65" s="201"/>
      <c r="E65" s="201"/>
      <c r="F65" s="201"/>
      <c r="G65" s="201"/>
      <c r="H65" s="201"/>
    </row>
    <row r="66" spans="1:8">
      <c r="B66" s="201"/>
      <c r="C66" s="201"/>
      <c r="D66" s="201"/>
      <c r="E66" s="201"/>
      <c r="F66" s="201"/>
      <c r="G66" s="201"/>
      <c r="H66" s="201"/>
    </row>
    <row r="67" spans="1:8">
      <c r="A67" s="1" t="s">
        <v>512</v>
      </c>
      <c r="B67" s="201"/>
      <c r="C67" s="201"/>
      <c r="D67" s="201"/>
      <c r="E67" s="201"/>
      <c r="F67" s="201"/>
      <c r="G67" s="201"/>
      <c r="H67" s="201"/>
    </row>
    <row r="68" spans="1:8">
      <c r="A68" s="1" t="s">
        <v>513</v>
      </c>
      <c r="B68" s="201"/>
      <c r="C68" s="201"/>
      <c r="D68" s="201"/>
      <c r="E68" s="201"/>
      <c r="F68" s="201"/>
      <c r="G68" s="201"/>
      <c r="H68" s="201"/>
    </row>
    <row r="69" spans="1:8">
      <c r="A69" s="1" t="s">
        <v>514</v>
      </c>
      <c r="B69" s="201"/>
      <c r="C69" s="201"/>
      <c r="D69" s="201"/>
      <c r="E69" s="201"/>
      <c r="F69" s="201"/>
      <c r="G69" s="201"/>
      <c r="H69" s="201"/>
    </row>
    <row r="70" spans="1:8">
      <c r="A70" s="1" t="s">
        <v>515</v>
      </c>
      <c r="B70" s="201"/>
      <c r="C70" s="201"/>
      <c r="D70" s="201"/>
      <c r="E70" s="201"/>
      <c r="F70" s="201"/>
      <c r="G70" s="201"/>
      <c r="H70" s="201"/>
    </row>
    <row r="71" spans="1:8">
      <c r="A71" s="1" t="s">
        <v>516</v>
      </c>
      <c r="B71" s="201"/>
      <c r="C71" s="201"/>
      <c r="D71" s="201"/>
      <c r="E71" s="201"/>
      <c r="F71" s="201"/>
      <c r="G71" s="201"/>
      <c r="H71" s="201"/>
    </row>
    <row r="72" spans="1:8">
      <c r="A72" s="1" t="s">
        <v>517</v>
      </c>
      <c r="B72" s="201"/>
      <c r="C72" s="201"/>
      <c r="D72" s="201"/>
      <c r="E72" s="201"/>
      <c r="F72" s="201"/>
      <c r="G72" s="201"/>
      <c r="H72" s="201"/>
    </row>
    <row r="73" spans="1:8">
      <c r="A73" s="1" t="s">
        <v>518</v>
      </c>
      <c r="B73" s="201"/>
      <c r="C73" s="201"/>
      <c r="D73" s="201"/>
      <c r="E73" s="201"/>
      <c r="F73" s="201"/>
      <c r="G73" s="201"/>
      <c r="H73" s="201"/>
    </row>
    <row r="74" spans="1:8">
      <c r="B74" s="201"/>
      <c r="C74" s="201"/>
      <c r="D74" s="201"/>
      <c r="E74" s="201"/>
      <c r="F74" s="201"/>
      <c r="G74" s="201"/>
      <c r="H74" s="201"/>
    </row>
    <row r="75" spans="1:8">
      <c r="A75" s="1" t="s">
        <v>519</v>
      </c>
      <c r="B75" s="201"/>
      <c r="C75" s="201"/>
      <c r="D75" s="201"/>
      <c r="E75" s="201"/>
      <c r="F75" s="201"/>
      <c r="G75" s="201"/>
      <c r="H75" s="201"/>
    </row>
    <row r="76" spans="1:8">
      <c r="A76" s="1" t="s">
        <v>520</v>
      </c>
      <c r="B76" s="201"/>
      <c r="C76" s="201"/>
      <c r="D76" s="201"/>
      <c r="E76" s="201"/>
      <c r="F76" s="201"/>
      <c r="G76" s="201"/>
      <c r="H76" s="201"/>
    </row>
    <row r="77" spans="1:8">
      <c r="A77" s="1" t="s">
        <v>521</v>
      </c>
      <c r="B77" s="201"/>
      <c r="C77" s="201"/>
      <c r="D77" s="201"/>
      <c r="E77" s="201"/>
      <c r="F77" s="201"/>
      <c r="G77" s="201"/>
      <c r="H77" s="201"/>
    </row>
    <row r="78" spans="1:8">
      <c r="B78" s="201"/>
      <c r="C78" s="201"/>
      <c r="D78" s="201"/>
      <c r="E78" s="201"/>
      <c r="F78" s="201"/>
      <c r="G78" s="201"/>
      <c r="H78" s="201"/>
    </row>
    <row r="79" spans="1:8">
      <c r="A79" s="1" t="s">
        <v>465</v>
      </c>
    </row>
    <row r="80" spans="1:8">
      <c r="A80" s="451"/>
    </row>
    <row r="107" spans="1:1">
      <c r="A107" s="451"/>
    </row>
    <row r="108" spans="1:1">
      <c r="A108" s="451"/>
    </row>
    <row r="109" spans="1:1">
      <c r="A109" s="4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L62"/>
  <sheetViews>
    <sheetView workbookViewId="0"/>
  </sheetViews>
  <sheetFormatPr defaultRowHeight="15.75"/>
  <cols>
    <col min="1" max="1" width="71.33203125" style="1" customWidth="1"/>
  </cols>
  <sheetData>
    <row r="1" spans="1:12" ht="20.25">
      <c r="A1" s="454" t="s">
        <v>522</v>
      </c>
    </row>
    <row r="3" spans="1:12">
      <c r="A3" s="486" t="s">
        <v>523</v>
      </c>
      <c r="B3" s="200"/>
      <c r="C3" s="200"/>
      <c r="D3" s="200"/>
      <c r="E3" s="200"/>
      <c r="F3" s="200"/>
      <c r="G3" s="200"/>
      <c r="H3" s="200"/>
      <c r="I3" s="200"/>
      <c r="J3" s="200"/>
      <c r="K3" s="200"/>
      <c r="L3" s="200"/>
    </row>
    <row r="4" spans="1:12">
      <c r="A4" s="486"/>
      <c r="B4" s="200"/>
      <c r="C4" s="200"/>
      <c r="D4" s="200"/>
      <c r="E4" s="200"/>
      <c r="F4" s="200"/>
      <c r="G4" s="200"/>
      <c r="H4" s="200"/>
      <c r="I4" s="200"/>
      <c r="J4" s="200"/>
      <c r="K4" s="200"/>
      <c r="L4" s="200"/>
    </row>
    <row r="5" spans="1:12">
      <c r="A5" s="1" t="s">
        <v>421</v>
      </c>
      <c r="I5" s="200"/>
      <c r="J5" s="200"/>
      <c r="K5" s="200"/>
      <c r="L5" s="200"/>
    </row>
    <row r="6" spans="1:12">
      <c r="A6" s="1" t="str">
        <f>CONCATENATE("estimated ",inputPrYr!D22-1," 'total expenditures' exceed your ",inputPrYr!D22-1,"")</f>
        <v>estimated 2023 'total expenditures' exceed your 2023</v>
      </c>
      <c r="I6" s="200"/>
      <c r="J6" s="200"/>
      <c r="K6" s="200"/>
      <c r="L6" s="200"/>
    </row>
    <row r="7" spans="1:12">
      <c r="A7" s="452" t="s">
        <v>524</v>
      </c>
      <c r="I7" s="200"/>
      <c r="J7" s="200"/>
      <c r="K7" s="200"/>
      <c r="L7" s="200"/>
    </row>
    <row r="8" spans="1:12">
      <c r="I8" s="200"/>
      <c r="J8" s="200"/>
      <c r="K8" s="200"/>
      <c r="L8" s="200"/>
    </row>
    <row r="9" spans="1:12">
      <c r="A9" s="1" t="s">
        <v>525</v>
      </c>
      <c r="I9" s="200"/>
      <c r="J9" s="200"/>
      <c r="K9" s="200"/>
      <c r="L9" s="200"/>
    </row>
    <row r="10" spans="1:12">
      <c r="A10" s="1" t="s">
        <v>526</v>
      </c>
      <c r="I10" s="200"/>
      <c r="J10" s="200"/>
      <c r="K10" s="200"/>
      <c r="L10" s="200"/>
    </row>
    <row r="11" spans="1:12">
      <c r="A11" s="1" t="s">
        <v>527</v>
      </c>
      <c r="I11" s="200"/>
      <c r="J11" s="200"/>
      <c r="K11" s="200"/>
      <c r="L11" s="200"/>
    </row>
    <row r="12" spans="1:12">
      <c r="A12" s="1" t="s">
        <v>528</v>
      </c>
      <c r="I12" s="200"/>
      <c r="J12" s="200"/>
      <c r="K12" s="200"/>
      <c r="L12" s="200"/>
    </row>
    <row r="13" spans="1:12">
      <c r="A13" s="1" t="s">
        <v>529</v>
      </c>
      <c r="I13" s="200"/>
      <c r="J13" s="200"/>
      <c r="K13" s="200"/>
      <c r="L13" s="200"/>
    </row>
    <row r="14" spans="1:12">
      <c r="A14" s="486"/>
      <c r="B14" s="200"/>
      <c r="C14" s="200"/>
      <c r="D14" s="200"/>
      <c r="E14" s="200"/>
      <c r="F14" s="200"/>
      <c r="G14" s="200"/>
      <c r="H14" s="200"/>
      <c r="I14" s="200"/>
      <c r="J14" s="200"/>
      <c r="K14" s="200"/>
      <c r="L14" s="200"/>
    </row>
    <row r="15" spans="1:12">
      <c r="A15" s="451" t="s">
        <v>530</v>
      </c>
    </row>
    <row r="16" spans="1:12">
      <c r="A16" s="451" t="s">
        <v>531</v>
      </c>
    </row>
    <row r="17" spans="1:7">
      <c r="A17" s="451"/>
    </row>
    <row r="18" spans="1:7">
      <c r="A18" s="1" t="s">
        <v>532</v>
      </c>
      <c r="B18" s="201"/>
      <c r="C18" s="201"/>
      <c r="D18" s="201"/>
      <c r="E18" s="201"/>
      <c r="F18" s="201"/>
      <c r="G18" s="201"/>
    </row>
    <row r="19" spans="1:7">
      <c r="A19" s="1" t="str">
        <f>CONCATENATE("your ",inputPrYr!D22-1," numbers to see what steps might be necessary to")</f>
        <v>your 2023 numbers to see what steps might be necessary to</v>
      </c>
      <c r="B19" s="201"/>
      <c r="C19" s="201"/>
      <c r="D19" s="201"/>
      <c r="E19" s="201"/>
      <c r="F19" s="201"/>
      <c r="G19" s="201"/>
    </row>
    <row r="20" spans="1:7">
      <c r="A20" s="1" t="s">
        <v>533</v>
      </c>
      <c r="B20" s="201"/>
      <c r="C20" s="201"/>
      <c r="D20" s="201"/>
      <c r="E20" s="201"/>
      <c r="F20" s="201"/>
      <c r="G20" s="201"/>
    </row>
    <row r="21" spans="1:7">
      <c r="A21" s="1" t="s">
        <v>534</v>
      </c>
      <c r="B21" s="201"/>
      <c r="C21" s="201"/>
      <c r="D21" s="201"/>
      <c r="E21" s="201"/>
      <c r="F21" s="201"/>
      <c r="G21" s="201"/>
    </row>
    <row r="23" spans="1:7">
      <c r="A23" s="451" t="s">
        <v>535</v>
      </c>
    </row>
    <row r="24" spans="1:7">
      <c r="A24" s="451"/>
    </row>
    <row r="25" spans="1:7">
      <c r="A25" s="1" t="s">
        <v>536</v>
      </c>
    </row>
    <row r="26" spans="1:7">
      <c r="A26" s="1" t="s">
        <v>537</v>
      </c>
      <c r="B26" s="201"/>
      <c r="C26" s="201"/>
      <c r="D26" s="201"/>
      <c r="E26" s="201"/>
      <c r="F26" s="201"/>
    </row>
    <row r="27" spans="1:7">
      <c r="A27" s="1" t="s">
        <v>538</v>
      </c>
      <c r="B27" s="201"/>
      <c r="C27" s="201"/>
      <c r="D27" s="201"/>
      <c r="E27" s="201"/>
      <c r="F27" s="201"/>
    </row>
    <row r="28" spans="1:7">
      <c r="A28" s="1" t="s">
        <v>539</v>
      </c>
      <c r="B28" s="201"/>
      <c r="C28" s="201"/>
      <c r="D28" s="201"/>
      <c r="E28" s="201"/>
      <c r="F28" s="201"/>
    </row>
    <row r="29" spans="1:7">
      <c r="B29" s="201"/>
      <c r="C29" s="201"/>
      <c r="D29" s="201"/>
      <c r="E29" s="201"/>
      <c r="F29" s="201"/>
    </row>
    <row r="30" spans="1:7">
      <c r="A30" s="451" t="s">
        <v>540</v>
      </c>
      <c r="B30" s="202"/>
      <c r="C30" s="202"/>
      <c r="D30" s="202"/>
      <c r="E30" s="202"/>
      <c r="F30" s="202"/>
      <c r="G30" s="202"/>
    </row>
    <row r="31" spans="1:7">
      <c r="A31" s="451" t="s">
        <v>541</v>
      </c>
      <c r="B31" s="202"/>
      <c r="C31" s="202"/>
      <c r="D31" s="202"/>
      <c r="E31" s="202"/>
      <c r="F31" s="202"/>
      <c r="G31" s="202"/>
    </row>
    <row r="32" spans="1:7">
      <c r="B32" s="201"/>
      <c r="C32" s="201"/>
      <c r="D32" s="201"/>
      <c r="E32" s="201"/>
      <c r="F32" s="201"/>
    </row>
    <row r="33" spans="1:6">
      <c r="A33" s="453" t="str">
        <f>CONCATENATE("Well, let's look to see if any of your ",inputPrYr!D22-1," expenditures can")</f>
        <v>Well, let's look to see if any of your 2023 expenditures can</v>
      </c>
      <c r="B33" s="201"/>
      <c r="C33" s="201"/>
      <c r="D33" s="201"/>
      <c r="E33" s="201"/>
      <c r="F33" s="201"/>
    </row>
    <row r="34" spans="1:6">
      <c r="A34" s="453" t="s">
        <v>542</v>
      </c>
      <c r="B34" s="201"/>
      <c r="C34" s="201"/>
      <c r="D34" s="201"/>
      <c r="E34" s="201"/>
      <c r="F34" s="201"/>
    </row>
    <row r="35" spans="1:6">
      <c r="A35" s="453" t="s">
        <v>435</v>
      </c>
      <c r="B35" s="201"/>
      <c r="C35" s="201"/>
      <c r="D35" s="201"/>
      <c r="E35" s="201"/>
      <c r="F35" s="201"/>
    </row>
    <row r="36" spans="1:6">
      <c r="A36" s="453" t="s">
        <v>436</v>
      </c>
      <c r="B36" s="201"/>
      <c r="C36" s="201"/>
      <c r="D36" s="201"/>
      <c r="E36" s="201"/>
      <c r="F36" s="201"/>
    </row>
    <row r="37" spans="1:6">
      <c r="A37" s="453"/>
      <c r="B37" s="201"/>
      <c r="C37" s="201"/>
      <c r="D37" s="201"/>
      <c r="E37" s="201"/>
      <c r="F37" s="201"/>
    </row>
    <row r="38" spans="1:6">
      <c r="A38" s="453" t="str">
        <f>CONCATENATE("Additionally, do your ",inputPrYr!D22-1," receipts contain a reimbursement")</f>
        <v>Additionally, do your 2023 receipts contain a reimbursement</v>
      </c>
      <c r="B38" s="201"/>
      <c r="C38" s="201"/>
      <c r="D38" s="201"/>
      <c r="E38" s="201"/>
      <c r="F38" s="201"/>
    </row>
    <row r="39" spans="1:6">
      <c r="A39" s="453" t="s">
        <v>437</v>
      </c>
      <c r="B39" s="201"/>
      <c r="C39" s="201"/>
      <c r="D39" s="201"/>
      <c r="E39" s="201"/>
      <c r="F39" s="201"/>
    </row>
    <row r="40" spans="1:6">
      <c r="A40" s="453" t="s">
        <v>438</v>
      </c>
      <c r="B40" s="201"/>
      <c r="C40" s="201"/>
      <c r="D40" s="201"/>
      <c r="E40" s="201"/>
      <c r="F40" s="201"/>
    </row>
    <row r="41" spans="1:6">
      <c r="A41" s="453"/>
      <c r="B41" s="201"/>
      <c r="C41" s="201"/>
      <c r="D41" s="201"/>
      <c r="E41" s="201"/>
      <c r="F41" s="201"/>
    </row>
    <row r="42" spans="1:6">
      <c r="A42" s="453" t="s">
        <v>543</v>
      </c>
      <c r="B42" s="201"/>
      <c r="C42" s="201"/>
      <c r="D42" s="201"/>
      <c r="E42" s="201"/>
      <c r="F42" s="201"/>
    </row>
    <row r="43" spans="1:6">
      <c r="A43" s="453" t="s">
        <v>544</v>
      </c>
      <c r="B43" s="201"/>
      <c r="C43" s="201"/>
      <c r="D43" s="201"/>
      <c r="E43" s="201"/>
      <c r="F43" s="201"/>
    </row>
    <row r="44" spans="1:6">
      <c r="A44" s="453" t="s">
        <v>545</v>
      </c>
      <c r="B44" s="201"/>
      <c r="C44" s="201"/>
      <c r="D44" s="201"/>
      <c r="E44" s="201"/>
      <c r="F44" s="201"/>
    </row>
    <row r="45" spans="1:6">
      <c r="A45" s="453" t="s">
        <v>546</v>
      </c>
      <c r="B45" s="201"/>
      <c r="C45" s="201"/>
      <c r="D45" s="201"/>
      <c r="E45" s="201"/>
      <c r="F45" s="201"/>
    </row>
    <row r="46" spans="1:6">
      <c r="A46" s="453" t="s">
        <v>547</v>
      </c>
      <c r="B46" s="201"/>
      <c r="C46" s="201"/>
      <c r="D46" s="201"/>
      <c r="E46" s="201"/>
      <c r="F46" s="201"/>
    </row>
    <row r="47" spans="1:6">
      <c r="A47" s="453"/>
      <c r="B47" s="201"/>
      <c r="C47" s="201"/>
      <c r="D47" s="201"/>
      <c r="E47" s="201"/>
      <c r="F47" s="201"/>
    </row>
    <row r="48" spans="1:6">
      <c r="A48" s="453" t="s">
        <v>548</v>
      </c>
      <c r="B48" s="201"/>
      <c r="C48" s="201"/>
      <c r="D48" s="201"/>
      <c r="E48" s="201"/>
      <c r="F48" s="201"/>
    </row>
    <row r="49" spans="1:6">
      <c r="A49" s="453" t="s">
        <v>549</v>
      </c>
      <c r="B49" s="201"/>
      <c r="C49" s="201"/>
      <c r="D49" s="201"/>
      <c r="E49" s="201"/>
      <c r="F49" s="201"/>
    </row>
    <row r="50" spans="1:6">
      <c r="A50" s="453" t="s">
        <v>550</v>
      </c>
      <c r="B50" s="201"/>
      <c r="C50" s="201"/>
      <c r="D50" s="201"/>
      <c r="E50" s="201"/>
      <c r="F50" s="201"/>
    </row>
    <row r="51" spans="1:6">
      <c r="A51" s="453" t="s">
        <v>551</v>
      </c>
    </row>
    <row r="52" spans="1:6">
      <c r="A52" s="453" t="s">
        <v>552</v>
      </c>
    </row>
    <row r="53" spans="1:6">
      <c r="A53" s="453" t="s">
        <v>553</v>
      </c>
    </row>
    <row r="55" spans="1:6">
      <c r="A55" s="1" t="s">
        <v>554</v>
      </c>
    </row>
    <row r="56" spans="1:6">
      <c r="A56" s="1" t="s">
        <v>555</v>
      </c>
    </row>
    <row r="57" spans="1:6">
      <c r="A57" s="1" t="s">
        <v>556</v>
      </c>
    </row>
    <row r="58" spans="1:6">
      <c r="A58" s="1" t="s">
        <v>557</v>
      </c>
    </row>
    <row r="59" spans="1:6">
      <c r="A59" s="1" t="s">
        <v>558</v>
      </c>
    </row>
    <row r="60" spans="1:6">
      <c r="A60" s="1" t="s">
        <v>559</v>
      </c>
    </row>
    <row r="62" spans="1:6">
      <c r="A62" s="1" t="s">
        <v>465</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G78"/>
  <sheetViews>
    <sheetView topLeftCell="A48" workbookViewId="0">
      <selection activeCell="A58" sqref="A58"/>
    </sheetView>
  </sheetViews>
  <sheetFormatPr defaultRowHeight="15.75"/>
  <cols>
    <col min="1" max="1" width="71.33203125" style="1" customWidth="1"/>
  </cols>
  <sheetData>
    <row r="1" spans="1:7" ht="20.25">
      <c r="A1" s="454" t="s">
        <v>560</v>
      </c>
    </row>
    <row r="3" spans="1:7">
      <c r="A3" s="486" t="s">
        <v>561</v>
      </c>
      <c r="B3" s="200"/>
      <c r="C3" s="200"/>
      <c r="D3" s="200"/>
      <c r="E3" s="200"/>
      <c r="F3" s="200"/>
      <c r="G3" s="200"/>
    </row>
    <row r="4" spans="1:7">
      <c r="A4" s="486"/>
      <c r="B4" s="200"/>
      <c r="C4" s="200"/>
      <c r="D4" s="200"/>
      <c r="E4" s="200"/>
      <c r="F4" s="200"/>
      <c r="G4" s="200"/>
    </row>
    <row r="5" spans="1:7">
      <c r="A5" s="1" t="s">
        <v>468</v>
      </c>
    </row>
    <row r="6" spans="1:7">
      <c r="A6" s="1" t="str">
        <f>CONCATENATE(inputPrYr!D22-1," estimated expenditures show that at the end of this year")</f>
        <v>2023 estimated expenditures show that at the end of this year</v>
      </c>
    </row>
    <row r="7" spans="1:7">
      <c r="A7" s="1" t="s">
        <v>562</v>
      </c>
    </row>
    <row r="8" spans="1:7">
      <c r="A8" s="1" t="s">
        <v>563</v>
      </c>
    </row>
    <row r="10" spans="1:7">
      <c r="A10" s="1" t="s">
        <v>470</v>
      </c>
    </row>
    <row r="11" spans="1:7">
      <c r="A11" s="1" t="s">
        <v>471</v>
      </c>
    </row>
    <row r="12" spans="1:7">
      <c r="A12" s="1" t="s">
        <v>472</v>
      </c>
    </row>
    <row r="13" spans="1:7">
      <c r="A13" s="486"/>
      <c r="B13" s="200"/>
      <c r="C13" s="200"/>
      <c r="D13" s="200"/>
      <c r="E13" s="200"/>
      <c r="F13" s="200"/>
      <c r="G13" s="200"/>
    </row>
    <row r="14" spans="1:7">
      <c r="A14" s="451" t="s">
        <v>564</v>
      </c>
    </row>
    <row r="16" spans="1:7">
      <c r="A16" s="1" t="s">
        <v>565</v>
      </c>
    </row>
    <row r="17" spans="1:7">
      <c r="A17" s="1" t="s">
        <v>566</v>
      </c>
    </row>
    <row r="18" spans="1:7">
      <c r="A18" s="1" t="s">
        <v>567</v>
      </c>
    </row>
    <row r="20" spans="1:7">
      <c r="A20" s="1" t="s">
        <v>568</v>
      </c>
    </row>
    <row r="21" spans="1:7">
      <c r="A21" s="1" t="s">
        <v>569</v>
      </c>
    </row>
    <row r="22" spans="1:7">
      <c r="A22" s="1" t="s">
        <v>570</v>
      </c>
    </row>
    <row r="23" spans="1:7">
      <c r="A23" s="1" t="s">
        <v>571</v>
      </c>
    </row>
    <row r="25" spans="1:7">
      <c r="A25" s="451" t="s">
        <v>535</v>
      </c>
    </row>
    <row r="26" spans="1:7">
      <c r="A26" s="451"/>
    </row>
    <row r="27" spans="1:7">
      <c r="A27" s="1" t="s">
        <v>536</v>
      </c>
    </row>
    <row r="28" spans="1:7">
      <c r="A28" s="1" t="s">
        <v>537</v>
      </c>
      <c r="B28" s="201"/>
      <c r="C28" s="201"/>
      <c r="D28" s="201"/>
      <c r="E28" s="201"/>
      <c r="F28" s="201"/>
    </row>
    <row r="29" spans="1:7">
      <c r="A29" s="1" t="s">
        <v>538</v>
      </c>
      <c r="B29" s="201"/>
      <c r="C29" s="201"/>
      <c r="D29" s="201"/>
      <c r="E29" s="201"/>
      <c r="F29" s="201"/>
    </row>
    <row r="30" spans="1:7">
      <c r="A30" s="1" t="s">
        <v>539</v>
      </c>
      <c r="B30" s="201"/>
      <c r="C30" s="201"/>
      <c r="D30" s="201"/>
      <c r="E30" s="201"/>
      <c r="F30" s="201"/>
    </row>
    <row r="32" spans="1:7">
      <c r="A32" s="451" t="s">
        <v>540</v>
      </c>
      <c r="B32" s="202"/>
      <c r="C32" s="202"/>
      <c r="D32" s="202"/>
      <c r="E32" s="202"/>
      <c r="F32" s="202"/>
      <c r="G32" s="202"/>
    </row>
    <row r="33" spans="1:7">
      <c r="A33" s="451" t="s">
        <v>541</v>
      </c>
      <c r="B33" s="202"/>
      <c r="C33" s="202"/>
      <c r="D33" s="202"/>
      <c r="E33" s="202"/>
      <c r="F33" s="202"/>
      <c r="G33" s="202"/>
    </row>
    <row r="34" spans="1:7">
      <c r="A34" s="451"/>
      <c r="B34" s="202"/>
      <c r="C34" s="202"/>
      <c r="D34" s="202"/>
      <c r="E34" s="202"/>
      <c r="F34" s="202"/>
      <c r="G34" s="202"/>
    </row>
    <row r="35" spans="1:7">
      <c r="A35" s="1" t="s">
        <v>572</v>
      </c>
      <c r="B35" s="201"/>
      <c r="C35" s="201"/>
      <c r="D35" s="201"/>
      <c r="E35" s="201"/>
      <c r="F35" s="201"/>
      <c r="G35" s="201"/>
    </row>
    <row r="36" spans="1:7">
      <c r="A36" s="1" t="s">
        <v>573</v>
      </c>
      <c r="B36" s="201"/>
      <c r="C36" s="201"/>
      <c r="D36" s="201"/>
      <c r="E36" s="201"/>
      <c r="F36" s="201"/>
      <c r="G36" s="201"/>
    </row>
    <row r="37" spans="1:7">
      <c r="A37" s="1" t="s">
        <v>574</v>
      </c>
      <c r="B37" s="201"/>
      <c r="C37" s="201"/>
      <c r="D37" s="201"/>
      <c r="E37" s="201"/>
      <c r="F37" s="201"/>
      <c r="G37" s="201"/>
    </row>
    <row r="38" spans="1:7">
      <c r="A38" s="1" t="s">
        <v>575</v>
      </c>
      <c r="B38" s="201"/>
      <c r="C38" s="201"/>
      <c r="D38" s="201"/>
      <c r="E38" s="201"/>
      <c r="F38" s="201"/>
      <c r="G38" s="201"/>
    </row>
    <row r="39" spans="1:7">
      <c r="A39" s="1" t="s">
        <v>576</v>
      </c>
      <c r="B39" s="201"/>
      <c r="C39" s="201"/>
      <c r="D39" s="201"/>
      <c r="E39" s="201"/>
      <c r="F39" s="201"/>
      <c r="G39" s="201"/>
    </row>
    <row r="40" spans="1:7">
      <c r="A40" s="451"/>
      <c r="B40" s="202"/>
      <c r="C40" s="202"/>
      <c r="D40" s="202"/>
      <c r="E40" s="202"/>
      <c r="F40" s="202"/>
      <c r="G40" s="202"/>
    </row>
    <row r="41" spans="1:7">
      <c r="A41" s="453" t="str">
        <f>CONCATENATE("So, let's look to see if any of your ",inputPrYr!D22-1," expenditures can")</f>
        <v>So, let's look to see if any of your 2023 expenditures can</v>
      </c>
      <c r="B41" s="201"/>
      <c r="C41" s="201"/>
      <c r="D41" s="201"/>
      <c r="E41" s="201"/>
      <c r="F41" s="201"/>
    </row>
    <row r="42" spans="1:7">
      <c r="A42" s="453" t="s">
        <v>542</v>
      </c>
      <c r="B42" s="201"/>
      <c r="C42" s="201"/>
      <c r="D42" s="201"/>
      <c r="E42" s="201"/>
      <c r="F42" s="201"/>
    </row>
    <row r="43" spans="1:7">
      <c r="A43" s="453" t="s">
        <v>435</v>
      </c>
      <c r="B43" s="201"/>
      <c r="C43" s="201"/>
      <c r="D43" s="201"/>
      <c r="E43" s="201"/>
      <c r="F43" s="201"/>
    </row>
    <row r="44" spans="1:7">
      <c r="A44" s="453" t="s">
        <v>436</v>
      </c>
      <c r="B44" s="201"/>
      <c r="C44" s="201"/>
      <c r="D44" s="201"/>
      <c r="E44" s="201"/>
      <c r="F44" s="201"/>
    </row>
    <row r="46" spans="1:7">
      <c r="A46" s="453" t="str">
        <f>CONCATENATE("Additionally, do your ",inputPrYr!D22-1," receipts contain a reimbursement")</f>
        <v>Additionally, do your 2023 receipts contain a reimbursement</v>
      </c>
      <c r="B46" s="201"/>
      <c r="C46" s="201"/>
      <c r="D46" s="201"/>
      <c r="E46" s="201"/>
      <c r="F46" s="201"/>
    </row>
    <row r="47" spans="1:7">
      <c r="A47" s="453" t="s">
        <v>437</v>
      </c>
      <c r="B47" s="201"/>
      <c r="C47" s="201"/>
      <c r="D47" s="201"/>
      <c r="E47" s="201"/>
      <c r="F47" s="201"/>
    </row>
    <row r="48" spans="1:7">
      <c r="A48" s="453" t="s">
        <v>438</v>
      </c>
      <c r="B48" s="201"/>
      <c r="C48" s="201"/>
      <c r="D48" s="201"/>
      <c r="E48" s="201"/>
      <c r="F48" s="201"/>
    </row>
    <row r="49" spans="1:7">
      <c r="B49" s="201"/>
      <c r="C49" s="201"/>
      <c r="D49" s="201"/>
      <c r="E49" s="201"/>
      <c r="F49" s="201"/>
      <c r="G49" s="201"/>
    </row>
    <row r="50" spans="1:7">
      <c r="A50" s="1" t="s">
        <v>495</v>
      </c>
      <c r="B50" s="201"/>
      <c r="C50" s="201"/>
      <c r="D50" s="201"/>
      <c r="E50" s="201"/>
      <c r="F50" s="201"/>
      <c r="G50" s="201"/>
    </row>
    <row r="51" spans="1:7">
      <c r="A51" s="1" t="s">
        <v>496</v>
      </c>
      <c r="B51" s="201"/>
      <c r="C51" s="201"/>
      <c r="D51" s="201"/>
      <c r="E51" s="201"/>
      <c r="F51" s="201"/>
      <c r="G51" s="201"/>
    </row>
    <row r="52" spans="1:7">
      <c r="A52" s="1" t="s">
        <v>497</v>
      </c>
      <c r="B52" s="201"/>
      <c r="C52" s="201"/>
      <c r="D52" s="201"/>
      <c r="E52" s="201"/>
      <c r="F52" s="201"/>
      <c r="G52" s="201"/>
    </row>
    <row r="53" spans="1:7">
      <c r="A53" s="1" t="s">
        <v>498</v>
      </c>
      <c r="B53" s="201"/>
      <c r="C53" s="201"/>
      <c r="D53" s="201"/>
      <c r="E53" s="201"/>
      <c r="F53" s="201"/>
      <c r="G53" s="201"/>
    </row>
    <row r="54" spans="1:7">
      <c r="A54" s="1" t="s">
        <v>499</v>
      </c>
      <c r="B54" s="201"/>
      <c r="C54" s="201"/>
      <c r="D54" s="201"/>
      <c r="E54" s="201"/>
      <c r="F54" s="201"/>
      <c r="G54" s="201"/>
    </row>
    <row r="55" spans="1:7">
      <c r="B55" s="201"/>
      <c r="C55" s="201"/>
      <c r="D55" s="201"/>
      <c r="E55" s="201"/>
      <c r="F55" s="201"/>
      <c r="G55" s="201"/>
    </row>
    <row r="56" spans="1:7">
      <c r="A56" s="453" t="s">
        <v>577</v>
      </c>
      <c r="B56" s="201"/>
      <c r="C56" s="201"/>
      <c r="D56" s="201"/>
      <c r="E56" s="201"/>
      <c r="F56" s="201"/>
    </row>
    <row r="57" spans="1:7">
      <c r="A57" s="453" t="s">
        <v>578</v>
      </c>
      <c r="B57" s="201"/>
      <c r="C57" s="201"/>
      <c r="D57" s="201"/>
      <c r="E57" s="201"/>
      <c r="F57" s="201"/>
    </row>
    <row r="58" spans="1:7">
      <c r="A58" s="453" t="s">
        <v>579</v>
      </c>
      <c r="B58" s="201"/>
      <c r="C58" s="201"/>
      <c r="D58" s="201"/>
      <c r="E58" s="201"/>
      <c r="F58" s="201"/>
    </row>
    <row r="59" spans="1:7">
      <c r="A59" s="453"/>
      <c r="B59" s="201"/>
      <c r="C59" s="201"/>
      <c r="D59" s="201"/>
      <c r="E59" s="201"/>
      <c r="F59" s="201"/>
    </row>
    <row r="60" spans="1:7">
      <c r="A60" s="1" t="s">
        <v>580</v>
      </c>
      <c r="B60" s="201"/>
      <c r="C60" s="201"/>
      <c r="D60" s="201"/>
      <c r="E60" s="201"/>
      <c r="F60" s="201"/>
      <c r="G60" s="201"/>
    </row>
    <row r="61" spans="1:7">
      <c r="A61" s="1" t="s">
        <v>581</v>
      </c>
      <c r="B61" s="201"/>
      <c r="C61" s="201"/>
      <c r="D61" s="201"/>
      <c r="E61" s="201"/>
      <c r="F61" s="201"/>
      <c r="G61" s="201"/>
    </row>
    <row r="62" spans="1:7">
      <c r="A62" s="1" t="s">
        <v>582</v>
      </c>
      <c r="B62" s="201"/>
      <c r="C62" s="201"/>
      <c r="D62" s="201"/>
      <c r="E62" s="201"/>
      <c r="F62" s="201"/>
      <c r="G62" s="201"/>
    </row>
    <row r="63" spans="1:7">
      <c r="A63" s="1" t="s">
        <v>583</v>
      </c>
      <c r="B63" s="201"/>
      <c r="C63" s="201"/>
      <c r="D63" s="201"/>
      <c r="E63" s="201"/>
      <c r="F63" s="201"/>
      <c r="G63" s="201"/>
    </row>
    <row r="64" spans="1:7">
      <c r="A64" s="1" t="s">
        <v>584</v>
      </c>
      <c r="B64" s="201"/>
      <c r="C64" s="201"/>
      <c r="D64" s="201"/>
      <c r="E64" s="201"/>
      <c r="F64" s="201"/>
      <c r="G64" s="201"/>
    </row>
    <row r="66" spans="1:6">
      <c r="A66" s="453" t="s">
        <v>543</v>
      </c>
      <c r="B66" s="201"/>
      <c r="C66" s="201"/>
      <c r="D66" s="201"/>
      <c r="E66" s="201"/>
      <c r="F66" s="201"/>
    </row>
    <row r="67" spans="1:6">
      <c r="A67" s="453" t="s">
        <v>544</v>
      </c>
      <c r="B67" s="201"/>
      <c r="C67" s="201"/>
      <c r="D67" s="201"/>
      <c r="E67" s="201"/>
      <c r="F67" s="201"/>
    </row>
    <row r="68" spans="1:6">
      <c r="A68" s="453" t="s">
        <v>545</v>
      </c>
      <c r="B68" s="201"/>
      <c r="C68" s="201"/>
      <c r="D68" s="201"/>
      <c r="E68" s="201"/>
      <c r="F68" s="201"/>
    </row>
    <row r="69" spans="1:6">
      <c r="A69" s="453" t="s">
        <v>546</v>
      </c>
      <c r="B69" s="201"/>
      <c r="C69" s="201"/>
      <c r="D69" s="201"/>
      <c r="E69" s="201"/>
      <c r="F69" s="201"/>
    </row>
    <row r="70" spans="1:6">
      <c r="A70" s="453" t="s">
        <v>547</v>
      </c>
      <c r="B70" s="201"/>
      <c r="C70" s="201"/>
      <c r="D70" s="201"/>
      <c r="E70" s="201"/>
      <c r="F70" s="201"/>
    </row>
    <row r="72" spans="1:6">
      <c r="A72" s="1" t="s">
        <v>465</v>
      </c>
    </row>
    <row r="78" spans="1:6">
      <c r="A78" s="451"/>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G52"/>
  <sheetViews>
    <sheetView workbookViewId="0"/>
  </sheetViews>
  <sheetFormatPr defaultRowHeight="15.75"/>
  <cols>
    <col min="1" max="1" width="71.33203125" style="1" customWidth="1"/>
  </cols>
  <sheetData>
    <row r="1" spans="1:7" ht="20.25">
      <c r="A1" s="454" t="s">
        <v>585</v>
      </c>
    </row>
    <row r="3" spans="1:7">
      <c r="A3" s="486" t="s">
        <v>586</v>
      </c>
      <c r="B3" s="200"/>
      <c r="C3" s="200"/>
      <c r="D3" s="200"/>
      <c r="E3" s="200"/>
      <c r="F3" s="200"/>
      <c r="G3" s="200"/>
    </row>
    <row r="4" spans="1:7">
      <c r="A4" s="486" t="s">
        <v>587</v>
      </c>
      <c r="B4" s="200"/>
      <c r="C4" s="200"/>
      <c r="D4" s="200"/>
      <c r="E4" s="200"/>
      <c r="F4" s="200"/>
      <c r="G4" s="200"/>
    </row>
    <row r="5" spans="1:7">
      <c r="A5" s="486"/>
      <c r="B5" s="200"/>
      <c r="C5" s="200"/>
      <c r="D5" s="200"/>
      <c r="E5" s="200"/>
      <c r="F5" s="200"/>
      <c r="G5" s="200"/>
    </row>
    <row r="6" spans="1:7">
      <c r="A6" s="486"/>
      <c r="B6" s="200"/>
      <c r="C6" s="200"/>
      <c r="D6" s="200"/>
      <c r="E6" s="200"/>
      <c r="F6" s="200"/>
      <c r="G6" s="200"/>
    </row>
    <row r="7" spans="1:7">
      <c r="A7" s="1" t="s">
        <v>421</v>
      </c>
    </row>
    <row r="8" spans="1:7">
      <c r="A8" s="1" t="str">
        <f>CONCATENATE("estimated ",inputPrYr!D22," 'total expenditures' exceed your ",inputPrYr!D22,"")</f>
        <v>estimated 2024 'total expenditures' exceed your 2024</v>
      </c>
    </row>
    <row r="9" spans="1:7">
      <c r="A9" s="452" t="s">
        <v>588</v>
      </c>
    </row>
    <row r="11" spans="1:7">
      <c r="A11" s="1" t="s">
        <v>589</v>
      </c>
    </row>
    <row r="12" spans="1:7">
      <c r="A12" s="1" t="s">
        <v>590</v>
      </c>
    </row>
    <row r="13" spans="1:7">
      <c r="A13" s="1" t="s">
        <v>591</v>
      </c>
    </row>
    <row r="15" spans="1:7">
      <c r="A15" s="451" t="s">
        <v>592</v>
      </c>
    </row>
    <row r="16" spans="1:7">
      <c r="A16" s="486"/>
      <c r="B16" s="200"/>
      <c r="C16" s="200"/>
      <c r="D16" s="200"/>
      <c r="E16" s="200"/>
      <c r="F16" s="200"/>
      <c r="G16" s="200"/>
    </row>
    <row r="17" spans="1:7">
      <c r="A17" s="1" t="s">
        <v>593</v>
      </c>
    </row>
    <row r="18" spans="1:7">
      <c r="A18" s="1" t="s">
        <v>594</v>
      </c>
      <c r="B18" s="203"/>
      <c r="C18" s="203"/>
      <c r="D18" s="203"/>
      <c r="E18" s="203"/>
      <c r="F18" s="203"/>
      <c r="G18" s="203"/>
    </row>
    <row r="19" spans="1:7">
      <c r="A19" s="1" t="s">
        <v>595</v>
      </c>
    </row>
    <row r="20" spans="1:7">
      <c r="A20" s="1" t="s">
        <v>596</v>
      </c>
    </row>
    <row r="22" spans="1:7">
      <c r="A22" s="451" t="s">
        <v>597</v>
      </c>
    </row>
    <row r="24" spans="1:7">
      <c r="A24" s="1" t="s">
        <v>598</v>
      </c>
    </row>
    <row r="25" spans="1:7">
      <c r="A25" s="1" t="s">
        <v>599</v>
      </c>
    </row>
    <row r="26" spans="1:7">
      <c r="A26" s="1" t="s">
        <v>600</v>
      </c>
    </row>
    <row r="28" spans="1:7">
      <c r="A28" s="451" t="s">
        <v>601</v>
      </c>
    </row>
    <row r="30" spans="1:7">
      <c r="A30" s="1" t="s">
        <v>602</v>
      </c>
    </row>
    <row r="31" spans="1:7">
      <c r="A31" s="1" t="s">
        <v>603</v>
      </c>
    </row>
    <row r="32" spans="1:7">
      <c r="A32" s="1" t="s">
        <v>604</v>
      </c>
    </row>
    <row r="33" spans="1:1">
      <c r="A33" s="1" t="s">
        <v>605</v>
      </c>
    </row>
    <row r="35" spans="1:1">
      <c r="A35" s="1" t="s">
        <v>606</v>
      </c>
    </row>
    <row r="36" spans="1:1">
      <c r="A36" s="1" t="s">
        <v>607</v>
      </c>
    </row>
    <row r="37" spans="1:1">
      <c r="A37" s="1" t="s">
        <v>608</v>
      </c>
    </row>
    <row r="38" spans="1:1">
      <c r="A38" s="1" t="s">
        <v>609</v>
      </c>
    </row>
    <row r="40" spans="1:1">
      <c r="A40" s="1" t="s">
        <v>610</v>
      </c>
    </row>
    <row r="41" spans="1:1">
      <c r="A41" s="1" t="s">
        <v>611</v>
      </c>
    </row>
    <row r="42" spans="1:1">
      <c r="A42" s="1" t="s">
        <v>612</v>
      </c>
    </row>
    <row r="43" spans="1:1">
      <c r="A43" s="1" t="s">
        <v>613</v>
      </c>
    </row>
    <row r="44" spans="1:1">
      <c r="A44" s="1" t="s">
        <v>614</v>
      </c>
    </row>
    <row r="45" spans="1:1">
      <c r="A45" s="1" t="s">
        <v>615</v>
      </c>
    </row>
    <row r="47" spans="1:1">
      <c r="A47" s="1" t="s">
        <v>616</v>
      </c>
    </row>
    <row r="48" spans="1:1">
      <c r="A48" s="1" t="s">
        <v>617</v>
      </c>
    </row>
    <row r="49" spans="1:1">
      <c r="A49" s="1" t="s">
        <v>618</v>
      </c>
    </row>
    <row r="50" spans="1:1">
      <c r="A50" s="1" t="s">
        <v>619</v>
      </c>
    </row>
    <row r="52" spans="1:1">
      <c r="A52" s="1" t="s">
        <v>465</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5BAC5-6AF2-4835-9FB3-FF4F0CA25E99}">
  <dimension ref="A1:N245"/>
  <sheetViews>
    <sheetView workbookViewId="0">
      <selection activeCell="E41" sqref="E41"/>
    </sheetView>
  </sheetViews>
  <sheetFormatPr defaultRowHeight="15"/>
  <cols>
    <col min="1" max="1" width="3.44140625" style="503" customWidth="1"/>
    <col min="2" max="2" width="8" style="503" customWidth="1"/>
    <col min="3" max="16384" width="8.88671875" style="503"/>
  </cols>
  <sheetData>
    <row r="1" spans="1:14" ht="15.75" customHeight="1">
      <c r="A1" s="686" t="s">
        <v>620</v>
      </c>
      <c r="B1" s="686"/>
      <c r="C1" s="686"/>
      <c r="D1" s="686"/>
      <c r="E1" s="686"/>
      <c r="F1" s="686"/>
      <c r="G1" s="686"/>
      <c r="H1" s="686"/>
      <c r="I1" s="686"/>
      <c r="J1" s="686"/>
      <c r="K1" s="686"/>
      <c r="L1" s="686"/>
      <c r="M1" s="686"/>
      <c r="N1" s="686"/>
    </row>
    <row r="2" spans="1:14" ht="9.75" customHeight="1">
      <c r="A2" s="686"/>
      <c r="B2" s="686"/>
      <c r="C2" s="686"/>
      <c r="D2" s="686"/>
      <c r="E2" s="686"/>
      <c r="F2" s="686"/>
      <c r="G2" s="686"/>
      <c r="H2" s="686"/>
      <c r="I2" s="686"/>
      <c r="J2" s="686"/>
      <c r="K2" s="686"/>
      <c r="L2" s="686"/>
      <c r="M2" s="686"/>
      <c r="N2" s="686"/>
    </row>
    <row r="3" spans="1:14" ht="18">
      <c r="A3" s="504" t="s">
        <v>190</v>
      </c>
    </row>
    <row r="4" spans="1:14" ht="9.75" customHeight="1">
      <c r="B4" s="505"/>
    </row>
    <row r="5" spans="1:14" ht="15.75">
      <c r="B5" s="506" t="s">
        <v>621</v>
      </c>
    </row>
    <row r="6" spans="1:14" ht="8.1" customHeight="1">
      <c r="B6" s="506"/>
    </row>
    <row r="7" spans="1:14" ht="15.75">
      <c r="B7" s="506" t="s">
        <v>622</v>
      </c>
    </row>
    <row r="8" spans="1:14" ht="15.75">
      <c r="B8" s="507" t="s">
        <v>623</v>
      </c>
    </row>
    <row r="9" spans="1:14" ht="8.1" customHeight="1">
      <c r="B9" s="507"/>
    </row>
    <row r="10" spans="1:14" ht="15.75">
      <c r="C10" s="508" t="s">
        <v>624</v>
      </c>
      <c r="D10" s="506" t="s">
        <v>625</v>
      </c>
    </row>
    <row r="11" spans="1:14" ht="15.75" customHeight="1">
      <c r="B11" s="506"/>
      <c r="D11" s="506" t="s">
        <v>626</v>
      </c>
    </row>
    <row r="12" spans="1:14" ht="15.75" customHeight="1">
      <c r="B12" s="506"/>
      <c r="D12" s="506"/>
    </row>
    <row r="13" spans="1:14" ht="15.75" customHeight="1">
      <c r="B13" s="506" t="s">
        <v>627</v>
      </c>
      <c r="E13" s="506" t="s">
        <v>628</v>
      </c>
    </row>
    <row r="14" spans="1:14" ht="15.75" customHeight="1">
      <c r="B14" s="506"/>
      <c r="E14" s="506" t="s">
        <v>629</v>
      </c>
    </row>
    <row r="15" spans="1:14" ht="15.75" customHeight="1">
      <c r="B15" s="506"/>
      <c r="E15" s="506" t="s">
        <v>630</v>
      </c>
    </row>
    <row r="16" spans="1:14" ht="15.75" customHeight="1">
      <c r="B16" s="506"/>
      <c r="E16" s="506" t="s">
        <v>631</v>
      </c>
    </row>
    <row r="17" spans="2:5" ht="15.75" customHeight="1">
      <c r="B17" s="506"/>
      <c r="E17" s="506"/>
    </row>
    <row r="18" spans="2:5" ht="15.75" customHeight="1">
      <c r="B18" s="506"/>
      <c r="E18" s="506"/>
    </row>
    <row r="19" spans="2:5" ht="15.75" customHeight="1">
      <c r="B19" s="506"/>
      <c r="E19" s="506"/>
    </row>
    <row r="20" spans="2:5" ht="15.75" customHeight="1">
      <c r="B20" s="506"/>
      <c r="E20" s="506"/>
    </row>
    <row r="21" spans="2:5" ht="15.75" customHeight="1">
      <c r="B21" s="506"/>
      <c r="E21" s="506"/>
    </row>
    <row r="22" spans="2:5" ht="15.75" customHeight="1">
      <c r="B22" s="506"/>
      <c r="E22" s="506"/>
    </row>
    <row r="23" spans="2:5" ht="15.75" customHeight="1">
      <c r="B23" s="506"/>
      <c r="E23" s="506"/>
    </row>
    <row r="24" spans="2:5" ht="15.75" customHeight="1">
      <c r="B24" s="506"/>
      <c r="E24" s="506"/>
    </row>
    <row r="25" spans="2:5" ht="15.75" customHeight="1">
      <c r="B25" s="506"/>
      <c r="E25" s="506"/>
    </row>
    <row r="26" spans="2:5" ht="15.75" customHeight="1">
      <c r="B26" s="506"/>
      <c r="E26" s="506"/>
    </row>
    <row r="27" spans="2:5" ht="15.75" customHeight="1">
      <c r="B27" s="506"/>
      <c r="E27" s="506"/>
    </row>
    <row r="28" spans="2:5" ht="15.75" customHeight="1">
      <c r="B28" s="506"/>
      <c r="E28" s="506"/>
    </row>
    <row r="29" spans="2:5" ht="15.75" customHeight="1">
      <c r="B29" s="506"/>
      <c r="E29" s="506"/>
    </row>
    <row r="30" spans="2:5" ht="15.75" customHeight="1">
      <c r="B30" s="506"/>
      <c r="E30" s="506"/>
    </row>
    <row r="31" spans="2:5" ht="15.75" customHeight="1">
      <c r="B31" s="506"/>
      <c r="E31" s="506"/>
    </row>
    <row r="32" spans="2:5" ht="15.75" customHeight="1">
      <c r="B32" s="506"/>
      <c r="E32" s="506"/>
    </row>
    <row r="33" spans="2:5" ht="15.75" customHeight="1">
      <c r="B33" s="506"/>
      <c r="E33" s="506"/>
    </row>
    <row r="34" spans="2:5" ht="15.75" customHeight="1">
      <c r="B34" s="506"/>
      <c r="E34" s="506"/>
    </row>
    <row r="35" spans="2:5" ht="15.75" customHeight="1">
      <c r="B35" s="506"/>
      <c r="E35" s="506"/>
    </row>
    <row r="36" spans="2:5" ht="15.75" customHeight="1">
      <c r="B36" s="506" t="s">
        <v>632</v>
      </c>
      <c r="D36" s="506"/>
      <c r="E36" s="506" t="s">
        <v>633</v>
      </c>
    </row>
    <row r="37" spans="2:5" ht="15.75" customHeight="1">
      <c r="B37" s="506"/>
      <c r="D37" s="506"/>
      <c r="E37" s="506" t="s">
        <v>634</v>
      </c>
    </row>
    <row r="38" spans="2:5" ht="15.75" customHeight="1">
      <c r="B38" s="506"/>
      <c r="D38" s="506"/>
      <c r="E38" s="506" t="s">
        <v>635</v>
      </c>
    </row>
    <row r="39" spans="2:5" ht="15.75" customHeight="1">
      <c r="B39" s="506"/>
      <c r="D39" s="506"/>
      <c r="E39" s="506" t="s">
        <v>636</v>
      </c>
    </row>
    <row r="40" spans="2:5" ht="15.75" customHeight="1"/>
    <row r="41" spans="2:5" ht="15.75" customHeight="1">
      <c r="B41" s="506" t="s">
        <v>190</v>
      </c>
      <c r="E41" s="509" t="s">
        <v>637</v>
      </c>
    </row>
    <row r="42" spans="2:5" ht="15.75" customHeight="1">
      <c r="B42" s="506"/>
      <c r="E42" s="509"/>
    </row>
    <row r="43" spans="2:5" ht="15.75" customHeight="1">
      <c r="E43" s="509"/>
    </row>
    <row r="44" spans="2:5" ht="15.75" customHeight="1">
      <c r="B44" s="506" t="s">
        <v>638</v>
      </c>
      <c r="D44" s="506"/>
      <c r="E44" s="509" t="s">
        <v>639</v>
      </c>
    </row>
    <row r="45" spans="2:5" ht="15.75" customHeight="1">
      <c r="B45" s="506"/>
      <c r="D45" s="506"/>
      <c r="E45" s="506"/>
    </row>
    <row r="46" spans="2:5" ht="15.75" customHeight="1">
      <c r="B46" s="506"/>
      <c r="D46" s="506"/>
    </row>
    <row r="47" spans="2:5" ht="15.75" customHeight="1">
      <c r="B47" s="506"/>
      <c r="D47" s="506"/>
    </row>
    <row r="48" spans="2:5" ht="15.75" customHeight="1">
      <c r="B48" s="506"/>
      <c r="D48" s="506"/>
    </row>
    <row r="49" spans="1:14" ht="15.75" customHeight="1">
      <c r="B49" s="506"/>
      <c r="D49" s="506"/>
    </row>
    <row r="50" spans="1:14" ht="15.75" customHeight="1">
      <c r="B50" s="506"/>
      <c r="D50" s="506"/>
    </row>
    <row r="51" spans="1:14" ht="15.75" customHeight="1">
      <c r="B51" s="506"/>
      <c r="D51" s="506"/>
    </row>
    <row r="52" spans="1:14" ht="15.75" customHeight="1">
      <c r="B52" s="506"/>
      <c r="D52" s="506"/>
    </row>
    <row r="53" spans="1:14" ht="15.75" customHeight="1">
      <c r="B53" s="506"/>
      <c r="D53" s="506"/>
    </row>
    <row r="54" spans="1:14" ht="15.75" customHeight="1">
      <c r="B54" s="506"/>
      <c r="D54" s="506"/>
    </row>
    <row r="55" spans="1:14" ht="15.75" customHeight="1">
      <c r="B55" s="506"/>
    </row>
    <row r="56" spans="1:14" ht="15.75" customHeight="1">
      <c r="B56" s="506"/>
    </row>
    <row r="57" spans="1:14" ht="15.75" customHeight="1">
      <c r="B57" s="506"/>
    </row>
    <row r="58" spans="1:14" ht="15.75" customHeight="1">
      <c r="B58" s="506"/>
    </row>
    <row r="59" spans="1:14" ht="3" customHeight="1">
      <c r="A59" s="510"/>
      <c r="B59" s="511"/>
      <c r="C59" s="510"/>
      <c r="D59" s="510"/>
      <c r="E59" s="510"/>
      <c r="F59" s="510"/>
      <c r="G59" s="510"/>
      <c r="H59" s="510"/>
      <c r="I59" s="510"/>
      <c r="J59" s="510"/>
      <c r="K59" s="510"/>
      <c r="L59" s="510"/>
      <c r="M59" s="510"/>
      <c r="N59" s="510"/>
    </row>
    <row r="60" spans="1:14" ht="15.75" customHeight="1">
      <c r="B60" s="506"/>
    </row>
    <row r="61" spans="1:14" ht="15.75" customHeight="1">
      <c r="A61" s="687" t="s">
        <v>640</v>
      </c>
      <c r="B61" s="687"/>
      <c r="C61" s="687"/>
      <c r="D61" s="687"/>
      <c r="E61" s="687"/>
      <c r="F61" s="687"/>
      <c r="G61" s="687"/>
      <c r="H61" s="687"/>
      <c r="I61" s="687"/>
      <c r="J61" s="687"/>
      <c r="K61" s="512"/>
    </row>
    <row r="62" spans="1:14" ht="21.75" customHeight="1">
      <c r="A62" s="687"/>
      <c r="B62" s="687"/>
      <c r="C62" s="687"/>
      <c r="D62" s="687"/>
      <c r="E62" s="687"/>
      <c r="F62" s="687"/>
      <c r="G62" s="687"/>
      <c r="H62" s="687"/>
      <c r="I62" s="687"/>
      <c r="J62" s="687"/>
      <c r="K62" s="512"/>
    </row>
    <row r="63" spans="1:14" ht="15.75" customHeight="1">
      <c r="B63" s="506"/>
    </row>
    <row r="64" spans="1:14" ht="15.75">
      <c r="B64" s="506"/>
    </row>
    <row r="65" spans="2:2" ht="18.75" customHeight="1">
      <c r="B65" s="506"/>
    </row>
    <row r="66" spans="2:2" ht="13.5" customHeight="1">
      <c r="B66" s="506"/>
    </row>
    <row r="67" spans="2:2" ht="15.75">
      <c r="B67" s="506"/>
    </row>
    <row r="82" spans="12:12">
      <c r="L82" s="513"/>
    </row>
    <row r="214" spans="1:14" ht="3" customHeight="1">
      <c r="A214" s="510"/>
      <c r="B214" s="511"/>
      <c r="C214" s="510"/>
      <c r="D214" s="510"/>
      <c r="E214" s="510"/>
      <c r="F214" s="510"/>
      <c r="G214" s="510"/>
      <c r="H214" s="510"/>
      <c r="I214" s="510"/>
      <c r="J214" s="510"/>
      <c r="K214" s="510"/>
      <c r="L214" s="510"/>
      <c r="M214" s="510"/>
      <c r="N214" s="510"/>
    </row>
    <row r="217" spans="1:14" ht="18">
      <c r="A217" s="514" t="s">
        <v>641</v>
      </c>
      <c r="B217" s="515"/>
    </row>
    <row r="218" spans="1:14" ht="15.75">
      <c r="B218" s="516"/>
    </row>
    <row r="219" spans="1:14" ht="30" customHeight="1">
      <c r="B219" s="688" t="s">
        <v>642</v>
      </c>
      <c r="C219" s="688"/>
      <c r="D219" s="688"/>
      <c r="E219" s="688"/>
      <c r="F219" s="688"/>
      <c r="G219" s="688"/>
      <c r="H219" s="688"/>
      <c r="I219" s="688"/>
      <c r="J219" s="517"/>
    </row>
    <row r="220" spans="1:14" ht="15.75">
      <c r="B220" s="518" t="s">
        <v>643</v>
      </c>
    </row>
    <row r="221" spans="1:14" ht="15.75">
      <c r="B221" s="516"/>
    </row>
    <row r="222" spans="1:14" ht="45.75" customHeight="1">
      <c r="B222" s="688" t="s">
        <v>644</v>
      </c>
      <c r="C222" s="688"/>
      <c r="D222" s="688"/>
      <c r="E222" s="688"/>
      <c r="F222" s="688"/>
      <c r="G222" s="688"/>
      <c r="H222" s="688"/>
    </row>
    <row r="223" spans="1:14" ht="15.75">
      <c r="B223" s="518" t="s">
        <v>645</v>
      </c>
    </row>
    <row r="224" spans="1:14" ht="15.75">
      <c r="B224" s="516"/>
    </row>
    <row r="225" spans="2:2" ht="15.75">
      <c r="B225" s="516" t="s">
        <v>646</v>
      </c>
    </row>
    <row r="226" spans="2:2" ht="15.75">
      <c r="B226" s="518" t="s">
        <v>647</v>
      </c>
    </row>
    <row r="227" spans="2:2" ht="15.75">
      <c r="B227" s="516"/>
    </row>
    <row r="228" spans="2:2" ht="15.75">
      <c r="B228" s="516" t="s">
        <v>648</v>
      </c>
    </row>
    <row r="229" spans="2:2" ht="15.75">
      <c r="B229" s="518" t="s">
        <v>649</v>
      </c>
    </row>
    <row r="230" spans="2:2" ht="15.75">
      <c r="B230" s="516"/>
    </row>
    <row r="231" spans="2:2" ht="15.75">
      <c r="B231" s="516" t="s">
        <v>650</v>
      </c>
    </row>
    <row r="232" spans="2:2" ht="15.75">
      <c r="B232" s="518" t="s">
        <v>651</v>
      </c>
    </row>
    <row r="233" spans="2:2" ht="15.75">
      <c r="B233" s="516"/>
    </row>
    <row r="234" spans="2:2" ht="15.75">
      <c r="B234" s="516" t="s">
        <v>652</v>
      </c>
    </row>
    <row r="235" spans="2:2" ht="15.75">
      <c r="B235" s="518" t="s">
        <v>653</v>
      </c>
    </row>
    <row r="236" spans="2:2" ht="15.75">
      <c r="B236" s="516"/>
    </row>
    <row r="237" spans="2:2" ht="15.75">
      <c r="B237" s="516" t="s">
        <v>654</v>
      </c>
    </row>
    <row r="238" spans="2:2" ht="15.75">
      <c r="B238" s="518" t="s">
        <v>655</v>
      </c>
    </row>
    <row r="239" spans="2:2" ht="15.75">
      <c r="B239" s="516"/>
    </row>
    <row r="240" spans="2:2" ht="15.75">
      <c r="B240" s="516" t="s">
        <v>656</v>
      </c>
    </row>
    <row r="241" spans="2:2" ht="15.75">
      <c r="B241" s="518" t="s">
        <v>657</v>
      </c>
    </row>
    <row r="242" spans="2:2" ht="15.75">
      <c r="B242" s="516"/>
    </row>
    <row r="243" spans="2:2" ht="15.75">
      <c r="B243" s="516" t="s">
        <v>658</v>
      </c>
    </row>
    <row r="244" spans="2:2" ht="15.75">
      <c r="B244" s="518" t="s">
        <v>659</v>
      </c>
    </row>
    <row r="245" spans="2:2" ht="15.75">
      <c r="B245" s="516"/>
    </row>
  </sheetData>
  <sheetProtection sheet="1" objects="1" scenarios="1"/>
  <mergeCells count="4">
    <mergeCell ref="A1:N2"/>
    <mergeCell ref="A61:J62"/>
    <mergeCell ref="B219:I219"/>
    <mergeCell ref="B222:H222"/>
  </mergeCells>
  <hyperlinks>
    <hyperlink ref="B244" r:id="rId1" xr:uid="{8217C737-3969-4B27-BC61-DE0AD6B77C3A}"/>
  </hyperlinks>
  <pageMargins left="0.7" right="0.7" top="0.75" bottom="0.75"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14"/>
  <sheetViews>
    <sheetView workbookViewId="0">
      <selection activeCell="H1" sqref="H1"/>
    </sheetView>
  </sheetViews>
  <sheetFormatPr defaultRowHeight="15"/>
  <cols>
    <col min="1" max="1" width="26" style="32" customWidth="1"/>
    <col min="2" max="6" width="15.5546875" style="32" customWidth="1"/>
    <col min="7" max="7" width="19.5546875" style="32" customWidth="1"/>
    <col min="8" max="16384" width="8.88671875" style="32"/>
  </cols>
  <sheetData>
    <row r="1" spans="1:7" ht="15.75">
      <c r="A1" s="7">
        <f>inputPrYr!D3</f>
        <v>0</v>
      </c>
      <c r="B1" s="7"/>
      <c r="C1" s="7"/>
      <c r="D1" s="7"/>
      <c r="E1" s="7"/>
      <c r="F1" s="7">
        <f>inputPrYr!D22</f>
        <v>2024</v>
      </c>
      <c r="G1" s="33"/>
    </row>
    <row r="2" spans="1:7">
      <c r="A2" s="33"/>
      <c r="B2" s="33"/>
      <c r="C2" s="33"/>
      <c r="D2" s="33"/>
      <c r="E2" s="33"/>
      <c r="F2" s="33"/>
      <c r="G2" s="33"/>
    </row>
    <row r="3" spans="1:7" ht="15.75">
      <c r="A3" s="527" t="s">
        <v>101</v>
      </c>
      <c r="B3" s="528"/>
      <c r="C3" s="528"/>
      <c r="D3" s="528"/>
      <c r="E3" s="556"/>
      <c r="F3" s="556"/>
      <c r="G3" s="33"/>
    </row>
    <row r="4" spans="1:7" ht="15.75">
      <c r="A4" s="33"/>
      <c r="B4" s="34"/>
      <c r="C4" s="34"/>
      <c r="D4" s="34"/>
      <c r="E4" s="33"/>
      <c r="F4" s="465"/>
      <c r="G4" s="33"/>
    </row>
    <row r="5" spans="1:7" ht="16.5" customHeight="1">
      <c r="A5" s="536" t="str">
        <f>CONCATENATE("From the County Clerk's ",F1," Budget Information:")</f>
        <v>From the County Clerk's 2024 Budget Information:</v>
      </c>
      <c r="B5" s="560"/>
      <c r="C5" s="560"/>
      <c r="D5" s="560"/>
      <c r="E5" s="560"/>
      <c r="F5" s="561"/>
      <c r="G5" s="33"/>
    </row>
    <row r="6" spans="1:7" ht="15" customHeight="1">
      <c r="A6" s="541" t="s">
        <v>121</v>
      </c>
      <c r="B6" s="557" t="str">
        <f>CONCATENATE("Assessed Valuation or ",F1-1," (Required)")</f>
        <v>Assessed Valuation or 2023 (Required)</v>
      </c>
      <c r="C6" s="558" t="str">
        <f>CONCATENATE("New Improvements, Remodeling and Renovations for ",F1-1,"  (Optional)")</f>
        <v>New Improvements, Remodeling and Renovations for 2023  (Optional)</v>
      </c>
      <c r="D6" s="558" t="str">
        <f>CONCATENATE("Personal Property ",F1-1," (Optional)")</f>
        <v>Personal Property 2023 (Optional)</v>
      </c>
      <c r="E6" s="559" t="str">
        <f>CONCATENATE("Property that has changed in use for ",F1-1," (Optional)")</f>
        <v>Property that has changed in use for 2023 (Optional)</v>
      </c>
      <c r="F6" s="558" t="str">
        <f>CONCATENATE("Personal Property     ",F1-2," (Optional)")</f>
        <v>Personal Property     2022 (Optional)</v>
      </c>
      <c r="G6" s="424"/>
    </row>
    <row r="7" spans="1:7" ht="15" customHeight="1">
      <c r="A7" s="542"/>
      <c r="B7" s="558"/>
      <c r="C7" s="558"/>
      <c r="D7" s="558"/>
      <c r="E7" s="559"/>
      <c r="F7" s="558"/>
      <c r="G7" s="424"/>
    </row>
    <row r="8" spans="1:7" ht="39.75" customHeight="1">
      <c r="A8" s="543"/>
      <c r="B8" s="558"/>
      <c r="C8" s="558"/>
      <c r="D8" s="558"/>
      <c r="E8" s="559"/>
      <c r="F8" s="558"/>
      <c r="G8" s="535" t="s">
        <v>122</v>
      </c>
    </row>
    <row r="9" spans="1:7" ht="15.75" customHeight="1">
      <c r="A9" s="35">
        <f>inputPrYr!$D$4</f>
        <v>0</v>
      </c>
      <c r="B9" s="36"/>
      <c r="C9" s="37"/>
      <c r="D9" s="36"/>
      <c r="E9" s="36"/>
      <c r="F9" s="36"/>
      <c r="G9" s="535"/>
    </row>
    <row r="10" spans="1:7" ht="15.75">
      <c r="A10" s="471">
        <f>inputPrYr!$D$6</f>
        <v>0</v>
      </c>
      <c r="B10" s="36"/>
      <c r="C10" s="37"/>
      <c r="D10" s="36"/>
      <c r="E10" s="36"/>
      <c r="F10" s="36"/>
      <c r="G10" s="535"/>
    </row>
    <row r="11" spans="1:7" ht="15.75">
      <c r="A11" s="471">
        <f>inputPrYr!$D$7</f>
        <v>0</v>
      </c>
      <c r="B11" s="36"/>
      <c r="C11" s="37"/>
      <c r="D11" s="36"/>
      <c r="E11" s="36"/>
      <c r="F11" s="36"/>
      <c r="G11" s="535"/>
    </row>
    <row r="12" spans="1:7" ht="15.75">
      <c r="A12" s="471">
        <f>inputPrYr!$D$8</f>
        <v>0</v>
      </c>
      <c r="B12" s="36"/>
      <c r="C12" s="37"/>
      <c r="D12" s="36"/>
      <c r="E12" s="36"/>
      <c r="F12" s="36"/>
      <c r="G12" s="535"/>
    </row>
    <row r="13" spans="1:7" ht="15.75">
      <c r="A13" s="471">
        <f>inputPrYr!D9</f>
        <v>0</v>
      </c>
      <c r="B13" s="36"/>
      <c r="C13" s="37"/>
      <c r="D13" s="36"/>
      <c r="E13" s="36"/>
      <c r="F13" s="36"/>
      <c r="G13" s="535"/>
    </row>
    <row r="14" spans="1:7" ht="15.75">
      <c r="A14" s="471">
        <f>inputPrYr!D10</f>
        <v>0</v>
      </c>
      <c r="B14" s="36"/>
      <c r="C14" s="38"/>
      <c r="D14" s="15"/>
      <c r="E14" s="15"/>
      <c r="F14" s="15"/>
      <c r="G14" s="535"/>
    </row>
    <row r="15" spans="1:7" ht="15.75">
      <c r="A15" s="471">
        <f>inputPrYr!D11</f>
        <v>0</v>
      </c>
      <c r="B15" s="36"/>
      <c r="C15" s="38"/>
      <c r="D15" s="15"/>
      <c r="E15" s="15"/>
      <c r="F15" s="15"/>
      <c r="G15" s="535"/>
    </row>
    <row r="16" spans="1:7" ht="15.75">
      <c r="A16" s="471">
        <f>inputPrYr!D12</f>
        <v>0</v>
      </c>
      <c r="B16" s="36"/>
      <c r="C16" s="38"/>
      <c r="D16" s="15"/>
      <c r="E16" s="15"/>
      <c r="F16" s="15"/>
      <c r="G16" s="535"/>
    </row>
    <row r="17" spans="1:7" ht="15.75">
      <c r="A17" s="471">
        <f>inputPrYr!D13</f>
        <v>0</v>
      </c>
      <c r="B17" s="36"/>
      <c r="C17" s="38"/>
      <c r="D17" s="15"/>
      <c r="E17" s="15"/>
      <c r="F17" s="15"/>
      <c r="G17" s="535"/>
    </row>
    <row r="18" spans="1:7" ht="15.75">
      <c r="A18" s="471">
        <f>inputPrYr!D14</f>
        <v>0</v>
      </c>
      <c r="B18" s="36"/>
      <c r="C18" s="38"/>
      <c r="D18" s="15"/>
      <c r="E18" s="15"/>
      <c r="F18" s="15"/>
      <c r="G18" s="535"/>
    </row>
    <row r="19" spans="1:7" ht="15.75">
      <c r="A19" s="471">
        <f>inputPrYr!D15</f>
        <v>0</v>
      </c>
      <c r="B19" s="36"/>
      <c r="C19" s="38"/>
      <c r="D19" s="15"/>
      <c r="E19" s="15"/>
      <c r="F19" s="15"/>
      <c r="G19" s="535"/>
    </row>
    <row r="20" spans="1:7" ht="15.75">
      <c r="A20" s="471">
        <f>inputPrYr!D16</f>
        <v>0</v>
      </c>
      <c r="B20" s="36"/>
      <c r="C20" s="38"/>
      <c r="D20" s="15"/>
      <c r="E20" s="15"/>
      <c r="F20" s="15"/>
      <c r="G20" s="535"/>
    </row>
    <row r="21" spans="1:7" ht="15.75">
      <c r="A21" s="471">
        <f>inputPrYr!D17</f>
        <v>0</v>
      </c>
      <c r="B21" s="36"/>
      <c r="C21" s="38"/>
      <c r="D21" s="15"/>
      <c r="E21" s="15"/>
      <c r="F21" s="15"/>
      <c r="G21" s="535"/>
    </row>
    <row r="22" spans="1:7" ht="15.75">
      <c r="A22" s="471">
        <f>inputPrYr!D18</f>
        <v>0</v>
      </c>
      <c r="B22" s="36"/>
      <c r="C22" s="38"/>
      <c r="D22" s="15"/>
      <c r="E22" s="15"/>
      <c r="F22" s="15"/>
      <c r="G22" s="535"/>
    </row>
    <row r="23" spans="1:7" ht="15.75">
      <c r="A23" s="471">
        <f>inputPrYr!D19</f>
        <v>0</v>
      </c>
      <c r="B23" s="36"/>
      <c r="C23" s="40"/>
      <c r="D23" s="39"/>
      <c r="E23" s="39"/>
      <c r="F23" s="39"/>
      <c r="G23" s="535"/>
    </row>
    <row r="24" spans="1:7" ht="15.75">
      <c r="A24" s="471">
        <f>inputPrYr!D20</f>
        <v>0</v>
      </c>
      <c r="B24" s="36"/>
      <c r="C24" s="40"/>
      <c r="D24" s="39"/>
      <c r="E24" s="39"/>
      <c r="F24" s="39"/>
      <c r="G24" s="535"/>
    </row>
    <row r="25" spans="1:7" ht="16.5" thickBot="1">
      <c r="A25" s="471" t="s">
        <v>123</v>
      </c>
      <c r="B25" s="425">
        <f t="shared" ref="B25:F25" si="0">SUM(B9:B24)</f>
        <v>0</v>
      </c>
      <c r="C25" s="425">
        <f t="shared" si="0"/>
        <v>0</v>
      </c>
      <c r="D25" s="425">
        <f t="shared" si="0"/>
        <v>0</v>
      </c>
      <c r="E25" s="425">
        <f t="shared" si="0"/>
        <v>0</v>
      </c>
      <c r="F25" s="425">
        <f t="shared" si="0"/>
        <v>0</v>
      </c>
      <c r="G25" s="33"/>
    </row>
    <row r="26" spans="1:7" ht="16.5" thickTop="1">
      <c r="A26" s="42"/>
      <c r="B26" s="7"/>
      <c r="C26" s="7"/>
      <c r="D26" s="17"/>
      <c r="E26" s="33"/>
      <c r="F26" s="33"/>
      <c r="G26" s="33"/>
    </row>
    <row r="27" spans="1:7" ht="15.75">
      <c r="A27" s="35" t="str">
        <f>CONCATENATE("Neighborhood Revitalization - ",F1,":")</f>
        <v>Neighborhood Revitalization - 2024:</v>
      </c>
      <c r="B27" s="20"/>
      <c r="C27" s="20"/>
      <c r="D27" s="23"/>
      <c r="E27" s="29"/>
      <c r="F27" s="33"/>
      <c r="G27" s="33"/>
    </row>
    <row r="28" spans="1:7" ht="15.75">
      <c r="A28" s="42"/>
      <c r="B28" s="7"/>
      <c r="C28" s="7"/>
      <c r="D28" s="17"/>
      <c r="E28" s="33"/>
      <c r="F28" s="33"/>
      <c r="G28" s="33"/>
    </row>
    <row r="29" spans="1:7" ht="15.75">
      <c r="A29" s="395" t="s">
        <v>124</v>
      </c>
      <c r="B29" s="427"/>
      <c r="C29" s="7"/>
      <c r="D29" s="426"/>
      <c r="E29" s="17"/>
      <c r="F29" s="33"/>
      <c r="G29" s="33"/>
    </row>
    <row r="30" spans="1:7" ht="15.75">
      <c r="A30" s="42"/>
      <c r="B30" s="7"/>
      <c r="C30" s="7"/>
      <c r="D30" s="17"/>
      <c r="E30" s="33"/>
      <c r="F30" s="33"/>
      <c r="G30" s="33"/>
    </row>
    <row r="31" spans="1:7" ht="16.5" thickBot="1">
      <c r="A31" s="533" t="str">
        <f>CONCATENATE("Actual Tax Rates for the ",F1-1," Budget:")</f>
        <v>Actual Tax Rates for the 2023 Budget:</v>
      </c>
      <c r="B31" s="534"/>
      <c r="C31" s="534"/>
      <c r="D31" s="534"/>
      <c r="E31" s="33"/>
      <c r="F31" s="33"/>
      <c r="G31" s="33"/>
    </row>
    <row r="32" spans="1:7" ht="15.75">
      <c r="A32" s="429" t="s">
        <v>125</v>
      </c>
      <c r="B32" s="430"/>
      <c r="C32" s="430"/>
      <c r="D32" s="473" t="s">
        <v>126</v>
      </c>
      <c r="E32" s="33"/>
      <c r="F32" s="33"/>
      <c r="G32" s="33"/>
    </row>
    <row r="33" spans="1:7" ht="15.75">
      <c r="A33" s="544" t="s">
        <v>109</v>
      </c>
      <c r="B33" s="545"/>
      <c r="C33" s="7"/>
      <c r="D33" s="329"/>
      <c r="E33" s="27"/>
      <c r="F33" s="33"/>
      <c r="G33" s="33"/>
    </row>
    <row r="34" spans="1:7" ht="15.75">
      <c r="A34" s="544" t="s">
        <v>110</v>
      </c>
      <c r="B34" s="545"/>
      <c r="C34" s="7"/>
      <c r="D34" s="329"/>
      <c r="E34" s="27"/>
      <c r="F34" s="33"/>
      <c r="G34" s="33"/>
    </row>
    <row r="35" spans="1:7" ht="15.75">
      <c r="A35" s="544">
        <f>inputPrYr!B38</f>
        <v>0</v>
      </c>
      <c r="B35" s="545"/>
      <c r="C35" s="7"/>
      <c r="D35" s="329"/>
      <c r="E35" s="27"/>
      <c r="F35" s="33"/>
      <c r="G35" s="33"/>
    </row>
    <row r="36" spans="1:7" ht="15.75">
      <c r="A36" s="544">
        <f>inputPrYr!B39</f>
        <v>0</v>
      </c>
      <c r="B36" s="545"/>
      <c r="C36" s="7"/>
      <c r="D36" s="329"/>
      <c r="E36" s="27"/>
      <c r="F36" s="33"/>
      <c r="G36" s="33"/>
    </row>
    <row r="37" spans="1:7" ht="15.75">
      <c r="A37" s="43"/>
      <c r="B37" s="25" t="s">
        <v>115</v>
      </c>
      <c r="C37" s="309"/>
      <c r="D37" s="431">
        <f>SUM(D33:D36)</f>
        <v>0</v>
      </c>
      <c r="E37" s="33"/>
      <c r="F37" s="33"/>
      <c r="G37" s="33"/>
    </row>
    <row r="38" spans="1:7">
      <c r="A38" s="43"/>
      <c r="B38" s="33"/>
      <c r="C38" s="33"/>
      <c r="D38" s="33"/>
      <c r="E38" s="33"/>
      <c r="F38" s="33"/>
      <c r="G38" s="33"/>
    </row>
    <row r="39" spans="1:7" ht="16.5" thickBot="1">
      <c r="A39" s="533" t="str">
        <f>CONCATENATE("Final Assessed Valuation from the November 1, ",F1-2," Abstract:")</f>
        <v>Final Assessed Valuation from the November 1, 2022 Abstract:</v>
      </c>
      <c r="B39" s="534"/>
      <c r="C39" s="534"/>
      <c r="D39" s="534"/>
      <c r="E39" s="33"/>
      <c r="F39" s="33"/>
      <c r="G39" s="33"/>
    </row>
    <row r="40" spans="1:7" ht="15.75">
      <c r="A40" s="429" t="s">
        <v>121</v>
      </c>
      <c r="B40" s="430"/>
      <c r="C40" s="435"/>
      <c r="D40" s="473" t="s">
        <v>127</v>
      </c>
      <c r="E40" s="33"/>
      <c r="F40" s="33"/>
      <c r="G40" s="33"/>
    </row>
    <row r="41" spans="1:7" ht="15.75">
      <c r="A41" s="434">
        <f>inputPrYr!D4</f>
        <v>0</v>
      </c>
      <c r="B41" s="33"/>
      <c r="C41" s="33"/>
      <c r="D41" s="329"/>
      <c r="E41" s="33"/>
      <c r="F41" s="33"/>
      <c r="G41" s="33"/>
    </row>
    <row r="42" spans="1:7" ht="15.75">
      <c r="A42" s="188">
        <f>inputPrYr!D6</f>
        <v>0</v>
      </c>
      <c r="B42" s="33"/>
      <c r="C42" s="33"/>
      <c r="D42" s="329"/>
      <c r="E42" s="33"/>
      <c r="F42" s="33"/>
      <c r="G42" s="33"/>
    </row>
    <row r="43" spans="1:7" ht="15.75">
      <c r="A43" s="188">
        <f>inputPrYr!D7</f>
        <v>0</v>
      </c>
      <c r="B43" s="33"/>
      <c r="C43" s="33"/>
      <c r="D43" s="329"/>
      <c r="E43" s="33"/>
      <c r="F43" s="33"/>
      <c r="G43" s="33"/>
    </row>
    <row r="44" spans="1:7" ht="15.75">
      <c r="A44" s="188">
        <f>inputPrYr!D8</f>
        <v>0</v>
      </c>
      <c r="B44" s="33"/>
      <c r="C44" s="33"/>
      <c r="D44" s="329"/>
      <c r="E44" s="33"/>
      <c r="F44" s="33"/>
      <c r="G44" s="33"/>
    </row>
    <row r="45" spans="1:7" ht="15.75">
      <c r="A45" s="188">
        <f>inputPrYr!D9</f>
        <v>0</v>
      </c>
      <c r="B45" s="33"/>
      <c r="C45" s="33"/>
      <c r="D45" s="329"/>
      <c r="E45" s="33"/>
      <c r="F45" s="33"/>
      <c r="G45" s="33"/>
    </row>
    <row r="46" spans="1:7" ht="15.75">
      <c r="A46" s="188">
        <f>inputPrYr!D10</f>
        <v>0</v>
      </c>
      <c r="B46" s="33"/>
      <c r="C46" s="33"/>
      <c r="D46" s="329"/>
      <c r="E46" s="33"/>
      <c r="F46" s="33"/>
      <c r="G46" s="33"/>
    </row>
    <row r="47" spans="1:7" ht="15.75">
      <c r="A47" s="188">
        <f>inputPrYr!D11</f>
        <v>0</v>
      </c>
      <c r="B47" s="33"/>
      <c r="C47" s="33"/>
      <c r="D47" s="329"/>
      <c r="E47" s="33"/>
      <c r="F47" s="33"/>
      <c r="G47" s="33"/>
    </row>
    <row r="48" spans="1:7" ht="15.75">
      <c r="A48" s="188">
        <f>inputPrYr!D12</f>
        <v>0</v>
      </c>
      <c r="B48" s="33"/>
      <c r="C48" s="33"/>
      <c r="D48" s="329"/>
      <c r="E48" s="33"/>
      <c r="F48" s="33"/>
      <c r="G48" s="33"/>
    </row>
    <row r="49" spans="1:7" ht="15.75">
      <c r="A49" s="188">
        <f>inputPrYr!D13</f>
        <v>0</v>
      </c>
      <c r="B49" s="33"/>
      <c r="C49" s="33"/>
      <c r="D49" s="329"/>
      <c r="E49" s="33"/>
      <c r="F49" s="33"/>
      <c r="G49" s="33"/>
    </row>
    <row r="50" spans="1:7" ht="15.75">
      <c r="A50" s="188">
        <f>inputPrYr!D14</f>
        <v>0</v>
      </c>
      <c r="B50" s="33"/>
      <c r="C50" s="33"/>
      <c r="D50" s="329"/>
      <c r="E50" s="33"/>
      <c r="F50" s="33"/>
      <c r="G50" s="33"/>
    </row>
    <row r="51" spans="1:7" ht="15.75">
      <c r="A51" s="188">
        <f>inputPrYr!D15</f>
        <v>0</v>
      </c>
      <c r="B51" s="33"/>
      <c r="C51" s="33"/>
      <c r="D51" s="329"/>
      <c r="E51" s="33"/>
      <c r="F51" s="33"/>
      <c r="G51" s="33"/>
    </row>
    <row r="52" spans="1:7" ht="15.75">
      <c r="A52" s="188">
        <f>inputPrYr!D16</f>
        <v>0</v>
      </c>
      <c r="B52" s="33"/>
      <c r="C52" s="33"/>
      <c r="D52" s="329"/>
      <c r="E52" s="33"/>
      <c r="F52" s="33"/>
      <c r="G52" s="33"/>
    </row>
    <row r="53" spans="1:7" ht="15.75">
      <c r="A53" s="188">
        <f>inputPrYr!D17</f>
        <v>0</v>
      </c>
      <c r="B53" s="33"/>
      <c r="C53" s="33"/>
      <c r="D53" s="329"/>
      <c r="E53" s="33"/>
      <c r="F53" s="33"/>
      <c r="G53" s="33"/>
    </row>
    <row r="54" spans="1:7" ht="15.75">
      <c r="A54" s="188">
        <f>inputPrYr!D18</f>
        <v>0</v>
      </c>
      <c r="B54" s="33"/>
      <c r="C54" s="33"/>
      <c r="D54" s="329"/>
      <c r="E54" s="33"/>
      <c r="F54" s="33"/>
      <c r="G54" s="33"/>
    </row>
    <row r="55" spans="1:7" ht="15.75">
      <c r="A55" s="188">
        <f>inputPrYr!D19</f>
        <v>0</v>
      </c>
      <c r="B55" s="33"/>
      <c r="C55" s="33"/>
      <c r="D55" s="329"/>
      <c r="E55" s="33"/>
      <c r="F55" s="33"/>
      <c r="G55" s="33"/>
    </row>
    <row r="56" spans="1:7" ht="15.75">
      <c r="A56" s="188">
        <f>inputPrYr!D20</f>
        <v>0</v>
      </c>
      <c r="B56" s="33"/>
      <c r="C56" s="33"/>
      <c r="D56" s="329"/>
      <c r="E56" s="33"/>
      <c r="F56" s="33"/>
      <c r="G56" s="33"/>
    </row>
    <row r="57" spans="1:7" ht="15.75">
      <c r="A57" s="188" t="s">
        <v>128</v>
      </c>
      <c r="B57" s="33"/>
      <c r="C57" s="33"/>
      <c r="D57" s="431">
        <f>SUM(D41:D56)</f>
        <v>0</v>
      </c>
      <c r="E57" s="33"/>
      <c r="F57" s="33"/>
      <c r="G57" s="33"/>
    </row>
    <row r="58" spans="1:7">
      <c r="A58" s="43"/>
      <c r="B58" s="33"/>
      <c r="C58" s="33"/>
      <c r="D58" s="33"/>
      <c r="E58" s="33"/>
      <c r="F58" s="33"/>
      <c r="G58" s="33"/>
    </row>
    <row r="59" spans="1:7" ht="15.75">
      <c r="A59" s="546" t="str">
        <f>CONCATENATE("From the County Treasurer's Budget Information - Budget Year Estimates ",F1,":")</f>
        <v>From the County Treasurer's Budget Information - Budget Year Estimates 2024:</v>
      </c>
      <c r="B59" s="547"/>
      <c r="C59" s="547"/>
      <c r="D59" s="547"/>
      <c r="E59" s="547"/>
      <c r="F59" s="548"/>
      <c r="G59" s="33"/>
    </row>
    <row r="60" spans="1:7" ht="33" customHeight="1">
      <c r="A60" s="28" t="s">
        <v>121</v>
      </c>
      <c r="B60" s="467" t="s">
        <v>129</v>
      </c>
      <c r="C60" s="467" t="s">
        <v>130</v>
      </c>
      <c r="D60" s="467" t="s">
        <v>131</v>
      </c>
      <c r="E60" s="467" t="s">
        <v>132</v>
      </c>
      <c r="F60" s="467" t="s">
        <v>133</v>
      </c>
      <c r="G60" s="33"/>
    </row>
    <row r="61" spans="1:7" ht="15.75">
      <c r="A61" s="472">
        <f>inputPrYr!D4</f>
        <v>0</v>
      </c>
      <c r="B61" s="15"/>
      <c r="C61" s="15"/>
      <c r="D61" s="15"/>
      <c r="E61" s="15"/>
      <c r="F61" s="15"/>
      <c r="G61" s="33"/>
    </row>
    <row r="62" spans="1:7" ht="15.75">
      <c r="A62" s="472">
        <f>inputPrYr!D6</f>
        <v>0</v>
      </c>
      <c r="B62" s="36"/>
      <c r="C62" s="36"/>
      <c r="D62" s="36"/>
      <c r="E62" s="36"/>
      <c r="F62" s="36"/>
      <c r="G62" s="33"/>
    </row>
    <row r="63" spans="1:7" ht="15.75">
      <c r="A63" s="472">
        <f>inputPrYr!D7</f>
        <v>0</v>
      </c>
      <c r="B63" s="36"/>
      <c r="C63" s="36"/>
      <c r="D63" s="36"/>
      <c r="E63" s="36"/>
      <c r="F63" s="36"/>
      <c r="G63" s="33"/>
    </row>
    <row r="64" spans="1:7" ht="15.75">
      <c r="A64" s="472">
        <f>inputPrYr!D8</f>
        <v>0</v>
      </c>
      <c r="B64" s="36"/>
      <c r="C64" s="36"/>
      <c r="D64" s="36"/>
      <c r="E64" s="36"/>
      <c r="F64" s="36"/>
      <c r="G64" s="33"/>
    </row>
    <row r="65" spans="1:7" ht="15.75">
      <c r="A65" s="472">
        <f>inputPrYr!D9</f>
        <v>0</v>
      </c>
      <c r="B65" s="36"/>
      <c r="C65" s="36"/>
      <c r="D65" s="36"/>
      <c r="E65" s="36"/>
      <c r="F65" s="36"/>
      <c r="G65" s="33"/>
    </row>
    <row r="66" spans="1:7" ht="15.75">
      <c r="A66" s="472">
        <f>inputPrYr!D10</f>
        <v>0</v>
      </c>
      <c r="B66" s="15"/>
      <c r="C66" s="15"/>
      <c r="D66" s="15"/>
      <c r="E66" s="15"/>
      <c r="F66" s="15"/>
      <c r="G66" s="33"/>
    </row>
    <row r="67" spans="1:7" ht="15.75">
      <c r="A67" s="472">
        <f>inputPrYr!D11</f>
        <v>0</v>
      </c>
      <c r="B67" s="15"/>
      <c r="C67" s="15"/>
      <c r="D67" s="15"/>
      <c r="E67" s="15"/>
      <c r="F67" s="15"/>
      <c r="G67" s="33"/>
    </row>
    <row r="68" spans="1:7" ht="15.75">
      <c r="A68" s="472">
        <f>inputPrYr!D12</f>
        <v>0</v>
      </c>
      <c r="B68" s="15"/>
      <c r="C68" s="15"/>
      <c r="D68" s="15"/>
      <c r="E68" s="15"/>
      <c r="F68" s="15"/>
      <c r="G68" s="33"/>
    </row>
    <row r="69" spans="1:7" ht="15.75">
      <c r="A69" s="472">
        <f>inputPrYr!D13</f>
        <v>0</v>
      </c>
      <c r="B69" s="15"/>
      <c r="C69" s="15"/>
      <c r="D69" s="15"/>
      <c r="E69" s="15"/>
      <c r="F69" s="15"/>
      <c r="G69" s="33"/>
    </row>
    <row r="70" spans="1:7" ht="15.75">
      <c r="A70" s="472">
        <f>inputPrYr!D14</f>
        <v>0</v>
      </c>
      <c r="B70" s="15"/>
      <c r="C70" s="15"/>
      <c r="D70" s="15"/>
      <c r="E70" s="15"/>
      <c r="F70" s="15"/>
      <c r="G70" s="33"/>
    </row>
    <row r="71" spans="1:7" ht="15.75">
      <c r="A71" s="472">
        <f>inputPrYr!D15</f>
        <v>0</v>
      </c>
      <c r="B71" s="15"/>
      <c r="C71" s="15"/>
      <c r="D71" s="15"/>
      <c r="E71" s="15"/>
      <c r="F71" s="15"/>
      <c r="G71" s="33"/>
    </row>
    <row r="72" spans="1:7" ht="15.75">
      <c r="A72" s="472">
        <f>inputPrYr!D16</f>
        <v>0</v>
      </c>
      <c r="B72" s="15"/>
      <c r="C72" s="15"/>
      <c r="D72" s="15"/>
      <c r="E72" s="15"/>
      <c r="F72" s="15"/>
      <c r="G72" s="33"/>
    </row>
    <row r="73" spans="1:7" ht="15.75">
      <c r="A73" s="472">
        <f>inputPrYr!D17</f>
        <v>0</v>
      </c>
      <c r="B73" s="15"/>
      <c r="C73" s="15"/>
      <c r="D73" s="15"/>
      <c r="E73" s="15"/>
      <c r="F73" s="15"/>
      <c r="G73" s="33"/>
    </row>
    <row r="74" spans="1:7" ht="15.75">
      <c r="A74" s="472">
        <f>inputPrYr!D18</f>
        <v>0</v>
      </c>
      <c r="B74" s="15"/>
      <c r="C74" s="15"/>
      <c r="D74" s="15"/>
      <c r="E74" s="15"/>
      <c r="F74" s="15"/>
      <c r="G74" s="33"/>
    </row>
    <row r="75" spans="1:7" ht="15.75">
      <c r="A75" s="472">
        <f>inputPrYr!D19</f>
        <v>0</v>
      </c>
      <c r="B75" s="39"/>
      <c r="C75" s="39"/>
      <c r="D75" s="39"/>
      <c r="E75" s="39"/>
      <c r="F75" s="39"/>
      <c r="G75" s="33"/>
    </row>
    <row r="76" spans="1:7" ht="15.75">
      <c r="A76" s="472">
        <f>inputPrYr!D20</f>
        <v>0</v>
      </c>
      <c r="B76" s="39"/>
      <c r="C76" s="39"/>
      <c r="D76" s="39"/>
      <c r="E76" s="39"/>
      <c r="F76" s="39"/>
      <c r="G76" s="33"/>
    </row>
    <row r="77" spans="1:7" ht="16.5" thickBot="1">
      <c r="A77" s="477" t="s">
        <v>134</v>
      </c>
      <c r="B77" s="425">
        <f>SUM(B61:B76)</f>
        <v>0</v>
      </c>
      <c r="C77" s="425">
        <f>SUM(C61:C76)</f>
        <v>0</v>
      </c>
      <c r="D77" s="425">
        <f>SUM(D61:D76)</f>
        <v>0</v>
      </c>
      <c r="E77" s="425">
        <f>SUM(E61:E76)</f>
        <v>0</v>
      </c>
      <c r="F77" s="425">
        <f>SUM(F61:F76)</f>
        <v>0</v>
      </c>
      <c r="G77" s="33"/>
    </row>
    <row r="78" spans="1:7" ht="16.5" thickTop="1">
      <c r="A78" s="6"/>
      <c r="B78" s="7"/>
      <c r="C78" s="17"/>
      <c r="D78" s="27"/>
      <c r="E78" s="44"/>
      <c r="F78" s="33"/>
      <c r="G78" s="33"/>
    </row>
    <row r="79" spans="1:7" ht="15.75">
      <c r="A79" s="19" t="s">
        <v>135</v>
      </c>
      <c r="B79" s="19"/>
      <c r="C79" s="20"/>
      <c r="D79" s="29"/>
      <c r="E79" s="27"/>
      <c r="F79" s="44"/>
      <c r="G79" s="33"/>
    </row>
    <row r="80" spans="1:7" ht="15.75">
      <c r="A80" s="7"/>
      <c r="B80" s="7"/>
      <c r="C80" s="7"/>
      <c r="D80" s="7"/>
      <c r="E80" s="33"/>
      <c r="F80" s="33"/>
      <c r="G80" s="33"/>
    </row>
    <row r="81" spans="1:7" ht="15.75">
      <c r="A81" s="552" t="s">
        <v>136</v>
      </c>
      <c r="B81" s="553"/>
      <c r="C81" s="554"/>
      <c r="D81" s="7"/>
      <c r="E81" s="33"/>
      <c r="F81" s="33"/>
      <c r="G81" s="33"/>
    </row>
    <row r="82" spans="1:7" ht="15.75">
      <c r="A82" s="549" t="str">
        <f>CONCATENATE("",F1-3," Tax Uncollected and ",F1-2," Ad Valorem Levied")</f>
        <v>2021 Tax Uncollected and 2022 Ad Valorem Levied</v>
      </c>
      <c r="B82" s="550"/>
      <c r="C82" s="551"/>
      <c r="D82" s="7"/>
      <c r="E82" s="33"/>
      <c r="F82" s="33"/>
      <c r="G82" s="33"/>
    </row>
    <row r="83" spans="1:7" ht="15.75">
      <c r="A83" s="22" t="s">
        <v>137</v>
      </c>
      <c r="B83" s="45" t="s">
        <v>127</v>
      </c>
      <c r="C83" s="45" t="s">
        <v>127</v>
      </c>
      <c r="D83" s="46"/>
      <c r="E83" s="33"/>
      <c r="F83" s="33"/>
      <c r="G83" s="33"/>
    </row>
    <row r="84" spans="1:7" ht="15.75">
      <c r="A84" s="20" t="s">
        <v>138</v>
      </c>
      <c r="B84" s="47" t="s">
        <v>139</v>
      </c>
      <c r="C84" s="47" t="s">
        <v>140</v>
      </c>
      <c r="D84" s="46"/>
      <c r="E84" s="33"/>
      <c r="F84" s="33"/>
      <c r="G84" s="33"/>
    </row>
    <row r="85" spans="1:7" ht="15.75">
      <c r="A85" s="22">
        <f>inputPrYr!$D$4</f>
        <v>0</v>
      </c>
      <c r="B85" s="29"/>
      <c r="C85" s="29"/>
      <c r="D85" s="46"/>
      <c r="E85" s="33"/>
      <c r="F85" s="33"/>
      <c r="G85" s="33"/>
    </row>
    <row r="86" spans="1:7" ht="15.75">
      <c r="A86" s="22">
        <f>inputPrYr!$D$6</f>
        <v>0</v>
      </c>
      <c r="B86" s="48"/>
      <c r="C86" s="48"/>
      <c r="D86" s="49"/>
      <c r="E86" s="33"/>
      <c r="F86" s="33"/>
      <c r="G86" s="33"/>
    </row>
    <row r="87" spans="1:7" ht="15.75">
      <c r="A87" s="22">
        <f>inputPrYr!$D$7</f>
        <v>0</v>
      </c>
      <c r="B87" s="48"/>
      <c r="C87" s="48"/>
      <c r="D87" s="49"/>
      <c r="E87" s="33"/>
      <c r="F87" s="33"/>
      <c r="G87" s="33"/>
    </row>
    <row r="88" spans="1:7" ht="15.75">
      <c r="A88" s="22">
        <f>inputPrYr!$D$8</f>
        <v>0</v>
      </c>
      <c r="B88" s="48"/>
      <c r="C88" s="48"/>
      <c r="D88" s="49"/>
      <c r="E88" s="33"/>
      <c r="F88" s="33"/>
      <c r="G88" s="33"/>
    </row>
    <row r="89" spans="1:7" ht="15.75">
      <c r="A89" s="22">
        <f>inputPrYr!D9</f>
        <v>0</v>
      </c>
      <c r="B89" s="48"/>
      <c r="C89" s="48"/>
      <c r="D89" s="49"/>
      <c r="E89" s="33"/>
      <c r="F89" s="33"/>
      <c r="G89" s="33"/>
    </row>
    <row r="90" spans="1:7" ht="15.75">
      <c r="A90" s="22">
        <f>inputPrYr!D10</f>
        <v>0</v>
      </c>
      <c r="B90" s="29"/>
      <c r="C90" s="29"/>
      <c r="D90" s="49"/>
      <c r="E90" s="33"/>
      <c r="F90" s="33"/>
      <c r="G90" s="33"/>
    </row>
    <row r="91" spans="1:7" ht="15.75">
      <c r="A91" s="22">
        <f>inputPrYr!D11</f>
        <v>0</v>
      </c>
      <c r="B91" s="29"/>
      <c r="C91" s="29"/>
      <c r="D91" s="49"/>
      <c r="E91" s="33"/>
      <c r="F91" s="33"/>
      <c r="G91" s="33"/>
    </row>
    <row r="92" spans="1:7" ht="15.75">
      <c r="A92" s="22">
        <f>inputPrYr!D12</f>
        <v>0</v>
      </c>
      <c r="B92" s="29"/>
      <c r="C92" s="29"/>
      <c r="D92" s="49"/>
      <c r="E92" s="33"/>
      <c r="F92" s="33"/>
      <c r="G92" s="33"/>
    </row>
    <row r="93" spans="1:7" ht="15.75">
      <c r="A93" s="22">
        <f>inputPrYr!D13</f>
        <v>0</v>
      </c>
      <c r="B93" s="29"/>
      <c r="C93" s="29"/>
      <c r="D93" s="49"/>
      <c r="E93" s="33"/>
      <c r="F93" s="33"/>
      <c r="G93" s="33"/>
    </row>
    <row r="94" spans="1:7" ht="15.75">
      <c r="A94" s="22">
        <f>inputPrYr!D14</f>
        <v>0</v>
      </c>
      <c r="B94" s="29"/>
      <c r="C94" s="29"/>
      <c r="D94" s="49"/>
      <c r="E94" s="33"/>
      <c r="F94" s="33"/>
      <c r="G94" s="33"/>
    </row>
    <row r="95" spans="1:7" ht="15.75">
      <c r="A95" s="22">
        <f>inputPrYr!D15</f>
        <v>0</v>
      </c>
      <c r="B95" s="29"/>
      <c r="C95" s="29"/>
      <c r="D95" s="49"/>
      <c r="E95" s="33"/>
      <c r="F95" s="33"/>
      <c r="G95" s="33"/>
    </row>
    <row r="96" spans="1:7" ht="15.75">
      <c r="A96" s="22">
        <f>inputPrYr!D16</f>
        <v>0</v>
      </c>
      <c r="B96" s="29"/>
      <c r="C96" s="29"/>
      <c r="D96" s="49"/>
      <c r="E96" s="33"/>
      <c r="F96" s="33"/>
      <c r="G96" s="33"/>
    </row>
    <row r="97" spans="1:8" ht="15.75">
      <c r="A97" s="22">
        <f>inputPrYr!D17</f>
        <v>0</v>
      </c>
      <c r="B97" s="29"/>
      <c r="C97" s="29"/>
      <c r="D97" s="49"/>
      <c r="E97" s="33"/>
      <c r="F97" s="33"/>
      <c r="G97" s="33"/>
      <c r="H97" s="466"/>
    </row>
    <row r="98" spans="1:8" ht="15.75">
      <c r="A98" s="22">
        <f>inputPrYr!D18</f>
        <v>0</v>
      </c>
      <c r="B98" s="29"/>
      <c r="C98" s="29"/>
      <c r="D98" s="49"/>
      <c r="E98" s="33"/>
      <c r="F98" s="33"/>
      <c r="G98" s="33"/>
      <c r="H98" s="466"/>
    </row>
    <row r="99" spans="1:8" ht="15.75">
      <c r="A99" s="22">
        <f>inputPrYr!D19</f>
        <v>0</v>
      </c>
      <c r="B99" s="41"/>
      <c r="C99" s="29"/>
      <c r="D99" s="49"/>
      <c r="E99" s="33"/>
      <c r="F99" s="33"/>
      <c r="G99" s="33"/>
      <c r="H99" s="466"/>
    </row>
    <row r="100" spans="1:8" ht="15.75">
      <c r="A100" s="22">
        <f>inputPrYr!D20</f>
        <v>0</v>
      </c>
      <c r="B100" s="41"/>
      <c r="C100" s="50"/>
      <c r="D100" s="49"/>
      <c r="E100" s="33"/>
      <c r="F100" s="33"/>
      <c r="G100" s="33"/>
      <c r="H100" s="466"/>
    </row>
    <row r="101" spans="1:8" ht="16.5" thickBot="1">
      <c r="A101" s="22" t="s">
        <v>115</v>
      </c>
      <c r="B101" s="425">
        <f>SUM(B85:B100)</f>
        <v>0</v>
      </c>
      <c r="C101" s="425">
        <f>SUM(C85:C100)</f>
        <v>0</v>
      </c>
      <c r="D101" s="7"/>
      <c r="E101" s="33"/>
      <c r="F101" s="33"/>
      <c r="G101" s="33"/>
      <c r="H101" s="466"/>
    </row>
    <row r="102" spans="1:8" ht="17.25" thickTop="1" thickBot="1">
      <c r="A102" s="22" t="s">
        <v>141</v>
      </c>
      <c r="B102" s="20"/>
      <c r="C102" s="20"/>
      <c r="D102" s="433">
        <f>IF(B101=0,0,B101/C101)</f>
        <v>0</v>
      </c>
      <c r="E102" s="33"/>
      <c r="F102" s="33"/>
      <c r="G102" s="33"/>
      <c r="H102" s="466"/>
    </row>
    <row r="103" spans="1:8" ht="16.5" thickTop="1">
      <c r="A103" s="326" t="s">
        <v>142</v>
      </c>
      <c r="B103" s="7"/>
      <c r="C103" s="7"/>
      <c r="D103" s="432">
        <v>0</v>
      </c>
      <c r="E103" s="33"/>
      <c r="F103" s="33"/>
      <c r="G103" s="33"/>
      <c r="H103" s="466"/>
    </row>
    <row r="104" spans="1:8" ht="15.75">
      <c r="A104" s="51" t="s">
        <v>143</v>
      </c>
      <c r="B104" s="52"/>
      <c r="C104" s="52"/>
      <c r="D104" s="52"/>
      <c r="E104" s="53"/>
      <c r="F104" s="53"/>
      <c r="G104" s="33"/>
      <c r="H104" s="466"/>
    </row>
    <row r="105" spans="1:8">
      <c r="A105" s="33"/>
      <c r="B105" s="33"/>
      <c r="C105" s="33"/>
      <c r="D105" s="33"/>
      <c r="E105" s="33"/>
      <c r="F105" s="33"/>
      <c r="G105" s="33"/>
      <c r="H105" s="466"/>
    </row>
    <row r="106" spans="1:8" ht="15.75">
      <c r="A106" s="536" t="str">
        <f>CONCATENATE("From the ",F1-2," Budget Certificate Page")</f>
        <v>From the 2022 Budget Certificate Page</v>
      </c>
      <c r="B106" s="537"/>
      <c r="C106" s="538"/>
      <c r="D106" s="33"/>
      <c r="E106" s="33"/>
      <c r="F106" s="33"/>
      <c r="G106" s="33"/>
      <c r="H106" s="466"/>
    </row>
    <row r="107" spans="1:8" ht="15.75">
      <c r="A107" s="564" t="s">
        <v>144</v>
      </c>
      <c r="B107" s="555" t="str">
        <f>CONCATENATE("",F1-2," Expenditure Amounts Budget Authority")</f>
        <v>2022 Expenditure Amounts Budget Authority</v>
      </c>
      <c r="C107" s="522"/>
      <c r="D107" s="539" t="str">
        <f>CONCATENATE("Note: If the ",F1-2," budget was amended, then the")</f>
        <v>Note: If the 2022 budget was amended, then the</v>
      </c>
      <c r="E107" s="540"/>
      <c r="F107" s="540"/>
      <c r="G107" s="33"/>
      <c r="H107" s="469"/>
    </row>
    <row r="108" spans="1:8" ht="15.75">
      <c r="A108" s="565"/>
      <c r="B108" s="523"/>
      <c r="C108" s="524"/>
      <c r="D108" s="468" t="s">
        <v>145</v>
      </c>
      <c r="E108" s="33"/>
      <c r="F108" s="33"/>
      <c r="G108" s="33"/>
      <c r="H108" s="466"/>
    </row>
    <row r="109" spans="1:8" ht="15.75">
      <c r="A109" s="133" t="str">
        <f>inputPrYr!B35</f>
        <v>General</v>
      </c>
      <c r="B109" s="562"/>
      <c r="C109" s="563"/>
      <c r="D109" s="468" t="s">
        <v>146</v>
      </c>
      <c r="E109" s="33"/>
      <c r="F109" s="33"/>
      <c r="G109" s="33"/>
      <c r="H109" s="466"/>
    </row>
    <row r="110" spans="1:8" ht="15.75">
      <c r="A110" s="133" t="str">
        <f>inputPrYr!B36</f>
        <v>Debt Service</v>
      </c>
      <c r="B110" s="562"/>
      <c r="C110" s="563"/>
      <c r="D110" s="54"/>
      <c r="E110" s="33"/>
      <c r="F110" s="33"/>
      <c r="G110" s="33"/>
      <c r="H110" s="466"/>
    </row>
    <row r="111" spans="1:8" ht="15.75">
      <c r="A111" s="133">
        <f>inputPrYr!B38</f>
        <v>0</v>
      </c>
      <c r="B111" s="562"/>
      <c r="C111" s="563"/>
      <c r="D111" s="33"/>
      <c r="E111" s="33"/>
      <c r="F111" s="33"/>
      <c r="G111" s="33"/>
      <c r="H111" s="466"/>
    </row>
    <row r="112" spans="1:8" ht="15.75">
      <c r="A112" s="133">
        <f>inputPrYr!B39</f>
        <v>0</v>
      </c>
      <c r="B112" s="562"/>
      <c r="C112" s="563"/>
      <c r="D112" s="33"/>
      <c r="E112" s="33"/>
      <c r="F112" s="33"/>
      <c r="G112" s="33"/>
      <c r="H112" s="466"/>
    </row>
    <row r="113" spans="1:7" ht="15.75">
      <c r="A113" s="133">
        <f>inputPrYr!B42</f>
        <v>0</v>
      </c>
      <c r="B113" s="562"/>
      <c r="C113" s="563"/>
      <c r="D113" s="33"/>
      <c r="E113" s="33"/>
      <c r="F113" s="33"/>
      <c r="G113" s="33"/>
    </row>
    <row r="114" spans="1:7" ht="15.75">
      <c r="A114" s="133">
        <f>inputPrYr!B43</f>
        <v>0</v>
      </c>
      <c r="B114" s="562"/>
      <c r="C114" s="563"/>
      <c r="D114" s="33"/>
      <c r="E114" s="33"/>
      <c r="F114" s="33"/>
      <c r="G114" s="33"/>
    </row>
  </sheetData>
  <sheetProtection sheet="1" objects="1" scenarios="1"/>
  <mergeCells count="28">
    <mergeCell ref="B109:C109"/>
    <mergeCell ref="B110:C110"/>
    <mergeCell ref="A107:A108"/>
    <mergeCell ref="B114:C114"/>
    <mergeCell ref="B111:C111"/>
    <mergeCell ref="B112:C112"/>
    <mergeCell ref="B113:C113"/>
    <mergeCell ref="A3:F3"/>
    <mergeCell ref="B6:B8"/>
    <mergeCell ref="C6:C8"/>
    <mergeCell ref="D6:D8"/>
    <mergeCell ref="E6:E8"/>
    <mergeCell ref="F6:F8"/>
    <mergeCell ref="A5:F5"/>
    <mergeCell ref="A39:D39"/>
    <mergeCell ref="G8:G24"/>
    <mergeCell ref="A31:D31"/>
    <mergeCell ref="A106:C106"/>
    <mergeCell ref="D107:F107"/>
    <mergeCell ref="A6:A8"/>
    <mergeCell ref="A33:B33"/>
    <mergeCell ref="A34:B34"/>
    <mergeCell ref="A35:B35"/>
    <mergeCell ref="A36:B36"/>
    <mergeCell ref="A59:F59"/>
    <mergeCell ref="A82:C82"/>
    <mergeCell ref="A81:C81"/>
    <mergeCell ref="B107:C108"/>
  </mergeCells>
  <phoneticPr fontId="10" type="noConversion"/>
  <pageMargins left="0.75" right="0.75" top="1" bottom="1" header="0.5" footer="0.5"/>
  <pageSetup scale="85" fitToHeight="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8E417-FD78-4A2F-811D-8DD25F519F6C}">
  <dimension ref="A1:A232"/>
  <sheetViews>
    <sheetView workbookViewId="0">
      <selection activeCell="A6" sqref="A6:XFD6"/>
    </sheetView>
  </sheetViews>
  <sheetFormatPr defaultRowHeight="15"/>
  <cols>
    <col min="1" max="1" width="92" style="398" customWidth="1"/>
  </cols>
  <sheetData>
    <row r="1" spans="1:1" ht="15.75">
      <c r="A1" s="197" t="s">
        <v>660</v>
      </c>
    </row>
    <row r="2" spans="1:1" ht="15.75">
      <c r="A2" s="1" t="s">
        <v>661</v>
      </c>
    </row>
    <row r="3" spans="1:1" ht="15.75">
      <c r="A3" s="1" t="s">
        <v>662</v>
      </c>
    </row>
    <row r="4" spans="1:1" ht="15.75">
      <c r="A4" s="1" t="s">
        <v>663</v>
      </c>
    </row>
    <row r="5" spans="1:1" ht="15.75" customHeight="1">
      <c r="A5" s="1" t="s">
        <v>664</v>
      </c>
    </row>
    <row r="6" spans="1:1" ht="15.75" customHeight="1">
      <c r="A6" s="1"/>
    </row>
    <row r="7" spans="1:1" ht="15.75">
      <c r="A7" s="397" t="s">
        <v>665</v>
      </c>
    </row>
    <row r="8" spans="1:1" ht="15.75">
      <c r="A8" s="4" t="s">
        <v>666</v>
      </c>
    </row>
    <row r="9" spans="1:1" ht="15.75">
      <c r="A9" s="4" t="s">
        <v>667</v>
      </c>
    </row>
    <row r="10" spans="1:1" ht="31.5">
      <c r="A10" s="4" t="s">
        <v>668</v>
      </c>
    </row>
    <row r="11" spans="1:1" ht="31.5">
      <c r="A11" s="4" t="s">
        <v>669</v>
      </c>
    </row>
    <row r="12" spans="1:1" ht="15.75">
      <c r="A12" s="4" t="s">
        <v>670</v>
      </c>
    </row>
    <row r="13" spans="1:1" ht="31.5">
      <c r="A13" s="4" t="s">
        <v>671</v>
      </c>
    </row>
    <row r="14" spans="1:1" ht="15.75">
      <c r="A14" s="4" t="s">
        <v>672</v>
      </c>
    </row>
    <row r="15" spans="1:1" ht="15.75">
      <c r="A15" s="4" t="s">
        <v>673</v>
      </c>
    </row>
    <row r="16" spans="1:1" ht="15.75">
      <c r="A16" s="4" t="s">
        <v>674</v>
      </c>
    </row>
    <row r="17" spans="1:1" ht="15.75">
      <c r="A17" s="489" t="s">
        <v>675</v>
      </c>
    </row>
    <row r="19" spans="1:1" ht="15.75">
      <c r="A19" s="394" t="s">
        <v>676</v>
      </c>
    </row>
    <row r="20" spans="1:1" ht="15.75">
      <c r="A20" s="2" t="s">
        <v>677</v>
      </c>
    </row>
    <row r="21" spans="1:1" ht="15.75">
      <c r="A21" s="2" t="s">
        <v>678</v>
      </c>
    </row>
    <row r="22" spans="1:1" ht="15.75">
      <c r="A22" s="2" t="s">
        <v>679</v>
      </c>
    </row>
    <row r="23" spans="1:1" ht="15.75">
      <c r="A23" s="2" t="s">
        <v>680</v>
      </c>
    </row>
    <row r="24" spans="1:1" ht="15.75">
      <c r="A24" s="2" t="s">
        <v>681</v>
      </c>
    </row>
    <row r="25" spans="1:1" ht="15.75">
      <c r="A25" s="1"/>
    </row>
    <row r="26" spans="1:1" ht="15.75">
      <c r="A26" s="358" t="s">
        <v>682</v>
      </c>
    </row>
    <row r="27" spans="1:1" ht="15.75">
      <c r="A27" s="1" t="s">
        <v>683</v>
      </c>
    </row>
    <row r="28" spans="1:1" ht="15.75">
      <c r="A28" s="1" t="s">
        <v>684</v>
      </c>
    </row>
    <row r="29" spans="1:1" ht="15.75">
      <c r="A29" s="1"/>
    </row>
    <row r="30" spans="1:1" ht="15.75">
      <c r="A30" s="394" t="s">
        <v>685</v>
      </c>
    </row>
    <row r="31" spans="1:1" ht="15.75">
      <c r="A31" s="1" t="s">
        <v>686</v>
      </c>
    </row>
    <row r="32" spans="1:1" ht="15.75">
      <c r="A32" s="1" t="s">
        <v>687</v>
      </c>
    </row>
    <row r="33" spans="1:1" ht="15.75">
      <c r="A33" s="1" t="s">
        <v>688</v>
      </c>
    </row>
    <row r="34" spans="1:1" ht="15.75">
      <c r="A34" s="1"/>
    </row>
    <row r="35" spans="1:1" ht="15.75">
      <c r="A35" s="394" t="s">
        <v>685</v>
      </c>
    </row>
    <row r="36" spans="1:1" ht="15.75">
      <c r="A36" s="2" t="s">
        <v>689</v>
      </c>
    </row>
    <row r="37" spans="1:1" ht="15.75">
      <c r="A37" s="2" t="s">
        <v>690</v>
      </c>
    </row>
    <row r="38" spans="1:1" ht="15.75">
      <c r="A38" s="2" t="s">
        <v>691</v>
      </c>
    </row>
    <row r="39" spans="1:1" ht="15.75">
      <c r="A39" s="2" t="s">
        <v>692</v>
      </c>
    </row>
    <row r="40" spans="1:1" ht="15.75">
      <c r="A40" s="1"/>
    </row>
    <row r="41" spans="1:1" ht="15.75">
      <c r="A41" s="358" t="s">
        <v>693</v>
      </c>
    </row>
    <row r="42" spans="1:1" ht="15.75">
      <c r="A42" s="1" t="s">
        <v>694</v>
      </c>
    </row>
    <row r="43" spans="1:1" ht="15.75">
      <c r="A43" s="1"/>
    </row>
    <row r="44" spans="1:1" ht="15.75">
      <c r="A44" s="358" t="s">
        <v>695</v>
      </c>
    </row>
    <row r="45" spans="1:1" ht="15.75">
      <c r="A45" s="357" t="s">
        <v>696</v>
      </c>
    </row>
    <row r="46" spans="1:1" ht="15.75">
      <c r="A46" s="1"/>
    </row>
    <row r="47" spans="1:1" ht="15.75">
      <c r="A47" s="204" t="s">
        <v>697</v>
      </c>
    </row>
    <row r="48" spans="1:1" ht="15.75">
      <c r="A48" s="1" t="s">
        <v>698</v>
      </c>
    </row>
    <row r="49" spans="1:1" ht="15.75">
      <c r="A49" s="1"/>
    </row>
    <row r="50" spans="1:1" ht="15.75">
      <c r="A50" s="204" t="s">
        <v>699</v>
      </c>
    </row>
    <row r="51" spans="1:1" ht="15.75">
      <c r="A51" s="357" t="s">
        <v>700</v>
      </c>
    </row>
    <row r="52" spans="1:1" ht="15.75">
      <c r="A52" s="357"/>
    </row>
    <row r="53" spans="1:1" ht="15.75">
      <c r="A53" s="197" t="s">
        <v>701</v>
      </c>
    </row>
    <row r="54" spans="1:1" ht="15.75">
      <c r="A54" s="1" t="s">
        <v>702</v>
      </c>
    </row>
    <row r="55" spans="1:1" ht="15.75">
      <c r="A55" s="1" t="s">
        <v>703</v>
      </c>
    </row>
    <row r="56" spans="1:1" ht="15.75">
      <c r="A56" s="1" t="s">
        <v>704</v>
      </c>
    </row>
    <row r="57" spans="1:1" ht="15.75">
      <c r="A57" s="1" t="s">
        <v>705</v>
      </c>
    </row>
    <row r="58" spans="1:1" ht="15.75">
      <c r="A58" s="1" t="s">
        <v>706</v>
      </c>
    </row>
    <row r="59" spans="1:1" ht="15.75">
      <c r="A59" s="357"/>
    </row>
    <row r="60" spans="1:1" ht="15.75">
      <c r="A60" s="204" t="s">
        <v>707</v>
      </c>
    </row>
    <row r="61" spans="1:1" ht="15.75">
      <c r="A61" s="337" t="s">
        <v>708</v>
      </c>
    </row>
    <row r="62" spans="1:1" ht="15.75">
      <c r="A62" s="1"/>
    </row>
    <row r="63" spans="1:1" ht="15.75">
      <c r="A63" s="204" t="s">
        <v>709</v>
      </c>
    </row>
    <row r="64" spans="1:1" ht="15.75">
      <c r="A64" s="337" t="s">
        <v>710</v>
      </c>
    </row>
    <row r="65" spans="1:1" ht="15.75">
      <c r="A65" s="1"/>
    </row>
    <row r="66" spans="1:1" ht="15.75">
      <c r="A66" s="358" t="s">
        <v>711</v>
      </c>
    </row>
    <row r="67" spans="1:1" ht="15.75">
      <c r="A67" s="357" t="s">
        <v>712</v>
      </c>
    </row>
    <row r="68" spans="1:1" ht="15.75">
      <c r="A68" s="1"/>
    </row>
    <row r="69" spans="1:1" ht="15.75">
      <c r="A69" s="1" t="s">
        <v>713</v>
      </c>
    </row>
    <row r="70" spans="1:1" ht="15.75">
      <c r="A70" s="1" t="s">
        <v>714</v>
      </c>
    </row>
    <row r="71" spans="1:1" ht="15.75">
      <c r="A71" s="1"/>
    </row>
    <row r="72" spans="1:1" ht="15.75">
      <c r="A72" s="204" t="s">
        <v>715</v>
      </c>
    </row>
    <row r="73" spans="1:1" ht="15.75">
      <c r="A73" s="337" t="s">
        <v>716</v>
      </c>
    </row>
    <row r="74" spans="1:1" ht="15.75">
      <c r="A74" s="1"/>
    </row>
    <row r="75" spans="1:1" ht="15.75">
      <c r="A75" s="204" t="s">
        <v>717</v>
      </c>
    </row>
    <row r="76" spans="1:1" ht="15.75">
      <c r="A76" s="337" t="s">
        <v>718</v>
      </c>
    </row>
    <row r="77" spans="1:1" ht="15.75">
      <c r="A77" s="1"/>
    </row>
    <row r="78" spans="1:1" ht="15.75">
      <c r="A78" s="204" t="s">
        <v>719</v>
      </c>
    </row>
    <row r="79" spans="1:1" ht="15.75">
      <c r="A79" s="333" t="s">
        <v>720</v>
      </c>
    </row>
    <row r="80" spans="1:1" ht="15.75">
      <c r="A80" s="1"/>
    </row>
    <row r="81" spans="1:1" ht="15.75">
      <c r="A81" s="204" t="s">
        <v>721</v>
      </c>
    </row>
    <row r="82" spans="1:1" ht="15.75">
      <c r="A82" s="2" t="s">
        <v>722</v>
      </c>
    </row>
    <row r="83" spans="1:1" ht="15.75">
      <c r="A83" s="1"/>
    </row>
    <row r="84" spans="1:1" ht="15.75">
      <c r="A84" s="204" t="s">
        <v>723</v>
      </c>
    </row>
    <row r="85" spans="1:1" ht="15.75">
      <c r="A85" s="279" t="s">
        <v>724</v>
      </c>
    </row>
    <row r="86" spans="1:1" ht="15.75">
      <c r="A86" s="1"/>
    </row>
    <row r="87" spans="1:1" ht="15.75">
      <c r="A87" s="204" t="s">
        <v>725</v>
      </c>
    </row>
    <row r="88" spans="1:1" ht="15.75">
      <c r="A88" s="1" t="s">
        <v>726</v>
      </c>
    </row>
    <row r="89" spans="1:1" ht="15.75">
      <c r="A89" s="1"/>
    </row>
    <row r="90" spans="1:1" ht="15.75">
      <c r="A90" s="204" t="s">
        <v>727</v>
      </c>
    </row>
    <row r="91" spans="1:1" ht="15.75">
      <c r="A91" s="279" t="s">
        <v>728</v>
      </c>
    </row>
    <row r="92" spans="1:1" ht="15.75">
      <c r="A92" s="279" t="s">
        <v>729</v>
      </c>
    </row>
    <row r="93" spans="1:1" ht="15.75">
      <c r="A93" s="2" t="s">
        <v>730</v>
      </c>
    </row>
    <row r="94" spans="1:1" ht="15.75">
      <c r="A94" s="2" t="s">
        <v>731</v>
      </c>
    </row>
    <row r="95" spans="1:1" ht="15.75">
      <c r="A95" s="2" t="s">
        <v>732</v>
      </c>
    </row>
    <row r="96" spans="1:1" ht="15.75">
      <c r="A96" s="2" t="s">
        <v>733</v>
      </c>
    </row>
    <row r="97" spans="1:1" ht="15.75">
      <c r="A97" s="2" t="s">
        <v>734</v>
      </c>
    </row>
    <row r="98" spans="1:1" ht="15.75">
      <c r="A98" s="2" t="s">
        <v>735</v>
      </c>
    </row>
    <row r="99" spans="1:1" ht="15.75">
      <c r="A99" s="2" t="s">
        <v>736</v>
      </c>
    </row>
    <row r="100" spans="1:1" ht="15.75">
      <c r="A100" s="2" t="s">
        <v>737</v>
      </c>
    </row>
    <row r="101" spans="1:1" ht="47.25">
      <c r="A101" s="4" t="s">
        <v>738</v>
      </c>
    </row>
    <row r="102" spans="1:1" ht="31.5">
      <c r="A102" s="4" t="s">
        <v>739</v>
      </c>
    </row>
    <row r="103" spans="1:1" ht="15.75">
      <c r="A103" s="2" t="s">
        <v>740</v>
      </c>
    </row>
    <row r="104" spans="1:1" ht="15.75">
      <c r="A104" s="2" t="s">
        <v>741</v>
      </c>
    </row>
    <row r="105" spans="1:1" ht="15.75">
      <c r="A105" s="2" t="s">
        <v>742</v>
      </c>
    </row>
    <row r="106" spans="1:1" ht="15.75">
      <c r="A106" s="2" t="s">
        <v>743</v>
      </c>
    </row>
    <row r="107" spans="1:1" ht="15.75">
      <c r="A107" s="2" t="s">
        <v>744</v>
      </c>
    </row>
    <row r="108" spans="1:1" ht="15.75">
      <c r="A108" s="2" t="s">
        <v>745</v>
      </c>
    </row>
    <row r="109" spans="1:1" ht="15.75">
      <c r="A109" s="2" t="s">
        <v>746</v>
      </c>
    </row>
    <row r="110" spans="1:1" ht="15.75">
      <c r="A110" s="2" t="s">
        <v>747</v>
      </c>
    </row>
    <row r="111" spans="1:1" ht="15.75">
      <c r="A111" s="2" t="s">
        <v>748</v>
      </c>
    </row>
    <row r="112" spans="1:1" ht="15.75">
      <c r="A112" s="2" t="s">
        <v>749</v>
      </c>
    </row>
    <row r="113" spans="1:1" ht="15.75">
      <c r="A113" s="1"/>
    </row>
    <row r="114" spans="1:1" ht="15.75">
      <c r="A114" s="204" t="s">
        <v>750</v>
      </c>
    </row>
    <row r="115" spans="1:1" ht="15.75">
      <c r="A115" s="1" t="s">
        <v>751</v>
      </c>
    </row>
    <row r="116" spans="1:1" ht="15.75">
      <c r="A116" s="1"/>
    </row>
    <row r="117" spans="1:1" ht="15.75">
      <c r="A117" s="204" t="s">
        <v>752</v>
      </c>
    </row>
    <row r="118" spans="1:1" ht="15.75">
      <c r="A118" s="277" t="s">
        <v>753</v>
      </c>
    </row>
    <row r="119" spans="1:1" ht="15.75">
      <c r="A119" s="277" t="s">
        <v>754</v>
      </c>
    </row>
    <row r="120" spans="1:1" ht="15.75">
      <c r="A120" s="1"/>
    </row>
    <row r="121" spans="1:1" ht="15.75">
      <c r="A121" s="204" t="s">
        <v>755</v>
      </c>
    </row>
    <row r="122" spans="1:1" ht="15.75">
      <c r="A122" s="277" t="s">
        <v>756</v>
      </c>
    </row>
    <row r="123" spans="1:1" ht="15.75">
      <c r="A123" s="277" t="s">
        <v>757</v>
      </c>
    </row>
    <row r="124" spans="1:1" ht="31.5">
      <c r="A124" s="278" t="s">
        <v>758</v>
      </c>
    </row>
    <row r="125" spans="1:1" ht="15.75">
      <c r="A125" s="277" t="s">
        <v>759</v>
      </c>
    </row>
    <row r="126" spans="1:1" ht="15.75">
      <c r="A126" s="277" t="s">
        <v>760</v>
      </c>
    </row>
    <row r="127" spans="1:1" ht="15.75">
      <c r="A127" s="277" t="s">
        <v>761</v>
      </c>
    </row>
    <row r="128" spans="1:1" ht="15.75">
      <c r="A128" s="277" t="s">
        <v>762</v>
      </c>
    </row>
    <row r="129" spans="1:1" ht="15.75">
      <c r="A129" s="277" t="s">
        <v>763</v>
      </c>
    </row>
    <row r="130" spans="1:1" ht="15.75">
      <c r="A130" s="277" t="s">
        <v>764</v>
      </c>
    </row>
    <row r="131" spans="1:1" ht="15.75">
      <c r="A131" s="277" t="s">
        <v>765</v>
      </c>
    </row>
    <row r="132" spans="1:1" ht="15.75">
      <c r="A132" s="277" t="s">
        <v>766</v>
      </c>
    </row>
    <row r="133" spans="1:1" ht="15.75">
      <c r="A133" s="277" t="s">
        <v>767</v>
      </c>
    </row>
    <row r="134" spans="1:1" ht="15.75">
      <c r="A134" s="277" t="s">
        <v>768</v>
      </c>
    </row>
    <row r="135" spans="1:1" ht="15.75">
      <c r="A135" s="277" t="s">
        <v>769</v>
      </c>
    </row>
    <row r="136" spans="1:1" ht="15.75">
      <c r="A136" s="277" t="s">
        <v>770</v>
      </c>
    </row>
    <row r="137" spans="1:1" ht="15.75">
      <c r="A137" s="277" t="s">
        <v>771</v>
      </c>
    </row>
    <row r="138" spans="1:1" ht="15.75">
      <c r="A138" s="277" t="s">
        <v>772</v>
      </c>
    </row>
    <row r="139" spans="1:1" ht="15.75">
      <c r="A139" s="277" t="s">
        <v>773</v>
      </c>
    </row>
    <row r="140" spans="1:1" ht="15.75">
      <c r="A140" s="277" t="s">
        <v>774</v>
      </c>
    </row>
    <row r="141" spans="1:1" ht="15.75">
      <c r="A141" s="277" t="s">
        <v>775</v>
      </c>
    </row>
    <row r="142" spans="1:1" ht="15.75">
      <c r="A142" s="277" t="s">
        <v>776</v>
      </c>
    </row>
    <row r="143" spans="1:1" ht="15.75">
      <c r="A143" s="277" t="s">
        <v>777</v>
      </c>
    </row>
    <row r="144" spans="1:1" ht="15.75">
      <c r="A144" s="277" t="s">
        <v>778</v>
      </c>
    </row>
    <row r="145" spans="1:1" ht="15.75">
      <c r="A145" s="277"/>
    </row>
    <row r="146" spans="1:1" ht="15.75">
      <c r="A146" s="204" t="s">
        <v>779</v>
      </c>
    </row>
    <row r="147" spans="1:1" ht="15.75">
      <c r="A147" s="2" t="s">
        <v>780</v>
      </c>
    </row>
    <row r="148" spans="1:1" ht="15.75">
      <c r="A148" s="2" t="s">
        <v>781</v>
      </c>
    </row>
    <row r="149" spans="1:1" ht="15.75">
      <c r="A149" s="2" t="s">
        <v>782</v>
      </c>
    </row>
    <row r="150" spans="1:1" ht="15.75">
      <c r="A150" s="1"/>
    </row>
    <row r="151" spans="1:1" ht="15.75">
      <c r="A151" s="204" t="s">
        <v>783</v>
      </c>
    </row>
    <row r="152" spans="1:1" ht="15.75">
      <c r="A152" s="2" t="s">
        <v>784</v>
      </c>
    </row>
    <row r="153" spans="1:1" ht="15.75">
      <c r="A153" s="1"/>
    </row>
    <row r="154" spans="1:1" ht="15.75">
      <c r="A154" s="204" t="s">
        <v>785</v>
      </c>
    </row>
    <row r="155" spans="1:1" ht="15.75">
      <c r="A155" s="205" t="s">
        <v>786</v>
      </c>
    </row>
    <row r="156" spans="1:1" ht="15.75">
      <c r="A156" s="205" t="s">
        <v>787</v>
      </c>
    </row>
    <row r="157" spans="1:1" ht="15.75">
      <c r="A157" s="205" t="s">
        <v>788</v>
      </c>
    </row>
    <row r="158" spans="1:1" ht="15.75">
      <c r="A158" s="2" t="s">
        <v>789</v>
      </c>
    </row>
    <row r="159" spans="1:1" ht="15.75">
      <c r="A159" s="1"/>
    </row>
    <row r="160" spans="1:1" ht="15.75">
      <c r="A160" s="197" t="s">
        <v>790</v>
      </c>
    </row>
    <row r="161" spans="1:1" ht="15.75">
      <c r="A161" s="199" t="s">
        <v>791</v>
      </c>
    </row>
    <row r="162" spans="1:1" ht="15.75">
      <c r="A162" s="199" t="s">
        <v>792</v>
      </c>
    </row>
    <row r="163" spans="1:1" ht="15.75">
      <c r="A163" s="199" t="s">
        <v>793</v>
      </c>
    </row>
    <row r="164" spans="1:1" ht="15.75">
      <c r="A164" s="199" t="s">
        <v>794</v>
      </c>
    </row>
    <row r="165" spans="1:1" ht="15.75">
      <c r="A165" s="199" t="s">
        <v>795</v>
      </c>
    </row>
    <row r="166" spans="1:1" ht="15.75">
      <c r="A166" s="199" t="s">
        <v>796</v>
      </c>
    </row>
    <row r="167" spans="1:1" ht="15.75">
      <c r="A167" s="337" t="s">
        <v>797</v>
      </c>
    </row>
    <row r="168" spans="1:1" ht="15.75">
      <c r="A168" s="1"/>
    </row>
    <row r="169" spans="1:1" ht="15.75">
      <c r="A169" s="197" t="s">
        <v>798</v>
      </c>
    </row>
    <row r="170" spans="1:1" ht="15.75">
      <c r="A170" s="1" t="s">
        <v>799</v>
      </c>
    </row>
    <row r="171" spans="1:1" ht="15.75">
      <c r="A171" s="1" t="s">
        <v>800</v>
      </c>
    </row>
    <row r="172" spans="1:1" ht="15.75">
      <c r="A172" s="1" t="s">
        <v>801</v>
      </c>
    </row>
    <row r="173" spans="1:1" ht="15.75">
      <c r="A173" s="1" t="s">
        <v>802</v>
      </c>
    </row>
    <row r="174" spans="1:1" ht="15.75">
      <c r="A174" s="1"/>
    </row>
    <row r="175" spans="1:1" ht="15.75">
      <c r="A175" s="197" t="s">
        <v>803</v>
      </c>
    </row>
    <row r="176" spans="1:1" ht="15.75">
      <c r="A176" s="1" t="s">
        <v>804</v>
      </c>
    </row>
    <row r="177" spans="1:1" ht="15.75">
      <c r="A177" s="1"/>
    </row>
    <row r="178" spans="1:1" ht="15.75">
      <c r="A178" s="197" t="s">
        <v>805</v>
      </c>
    </row>
    <row r="179" spans="1:1" ht="15.75">
      <c r="A179" s="1" t="s">
        <v>806</v>
      </c>
    </row>
    <row r="180" spans="1:1" ht="15.75">
      <c r="A180" s="1" t="s">
        <v>807</v>
      </c>
    </row>
    <row r="181" spans="1:1" ht="15.75">
      <c r="A181" s="1" t="s">
        <v>808</v>
      </c>
    </row>
    <row r="182" spans="1:1" ht="15.75">
      <c r="A182" s="1"/>
    </row>
    <row r="183" spans="1:1" ht="15.75">
      <c r="A183" s="197" t="s">
        <v>809</v>
      </c>
    </row>
    <row r="184" spans="1:1" ht="15.75">
      <c r="A184" s="1" t="s">
        <v>810</v>
      </c>
    </row>
    <row r="185" spans="1:1" ht="15.75">
      <c r="A185" s="1" t="s">
        <v>811</v>
      </c>
    </row>
    <row r="186" spans="1:1" ht="15.75">
      <c r="A186" s="1"/>
    </row>
    <row r="187" spans="1:1" ht="15.75">
      <c r="A187" s="197" t="s">
        <v>812</v>
      </c>
    </row>
    <row r="188" spans="1:1" ht="15.75">
      <c r="A188" s="1" t="s">
        <v>813</v>
      </c>
    </row>
    <row r="189" spans="1:1" ht="31.5">
      <c r="A189" s="489" t="s">
        <v>814</v>
      </c>
    </row>
    <row r="190" spans="1:1" ht="15.75">
      <c r="A190" s="1" t="s">
        <v>815</v>
      </c>
    </row>
    <row r="191" spans="1:1" ht="15.75">
      <c r="A191" s="1" t="s">
        <v>816</v>
      </c>
    </row>
    <row r="192" spans="1:1" ht="15.75">
      <c r="A192" s="1" t="s">
        <v>817</v>
      </c>
    </row>
    <row r="193" spans="1:1" ht="15.75">
      <c r="A193" s="1" t="s">
        <v>818</v>
      </c>
    </row>
    <row r="194" spans="1:1" ht="15.75">
      <c r="A194" s="489" t="s">
        <v>819</v>
      </c>
    </row>
    <row r="195" spans="1:1" ht="31.5">
      <c r="A195" s="489" t="s">
        <v>820</v>
      </c>
    </row>
    <row r="196" spans="1:1" ht="31.5">
      <c r="A196" s="489" t="s">
        <v>821</v>
      </c>
    </row>
    <row r="197" spans="1:1" ht="15.75">
      <c r="A197" s="489" t="s">
        <v>822</v>
      </c>
    </row>
    <row r="198" spans="1:1" ht="15.75">
      <c r="A198" s="489" t="s">
        <v>823</v>
      </c>
    </row>
    <row r="199" spans="1:1" ht="15.75">
      <c r="A199" s="1" t="s">
        <v>824</v>
      </c>
    </row>
    <row r="200" spans="1:1" ht="15.75">
      <c r="A200" s="1" t="s">
        <v>825</v>
      </c>
    </row>
    <row r="201" spans="1:1" ht="15.75">
      <c r="A201" s="1" t="s">
        <v>826</v>
      </c>
    </row>
    <row r="202" spans="1:1" ht="15.75">
      <c r="A202" s="1" t="s">
        <v>827</v>
      </c>
    </row>
    <row r="203" spans="1:1" ht="15.75">
      <c r="A203" s="1" t="s">
        <v>828</v>
      </c>
    </row>
    <row r="204" spans="1:1" ht="15.75">
      <c r="A204" s="1"/>
    </row>
    <row r="205" spans="1:1" ht="15.75">
      <c r="A205" s="197" t="s">
        <v>829</v>
      </c>
    </row>
    <row r="206" spans="1:1" ht="15.75">
      <c r="A206" s="1" t="s">
        <v>830</v>
      </c>
    </row>
    <row r="207" spans="1:1" ht="15.75">
      <c r="A207" s="1" t="s">
        <v>831</v>
      </c>
    </row>
    <row r="208" spans="1:1" ht="15.75">
      <c r="A208" s="1" t="s">
        <v>832</v>
      </c>
    </row>
    <row r="209" spans="1:1" ht="15.75">
      <c r="A209" s="1" t="s">
        <v>833</v>
      </c>
    </row>
    <row r="210" spans="1:1" ht="15.75">
      <c r="A210" s="1" t="s">
        <v>834</v>
      </c>
    </row>
    <row r="211" spans="1:1" ht="15.75">
      <c r="A211" s="1" t="s">
        <v>835</v>
      </c>
    </row>
    <row r="212" spans="1:1" ht="15.75">
      <c r="A212" s="1" t="s">
        <v>836</v>
      </c>
    </row>
    <row r="213" spans="1:1" ht="15.75">
      <c r="A213" s="1" t="s">
        <v>837</v>
      </c>
    </row>
    <row r="214" spans="1:1" ht="15.75">
      <c r="A214" s="1" t="s">
        <v>838</v>
      </c>
    </row>
    <row r="215" spans="1:1" ht="15.75">
      <c r="A215" s="1" t="s">
        <v>839</v>
      </c>
    </row>
    <row r="216" spans="1:1" ht="15.75">
      <c r="A216" s="1" t="s">
        <v>840</v>
      </c>
    </row>
    <row r="217" spans="1:1" ht="15.75">
      <c r="A217" s="1" t="s">
        <v>841</v>
      </c>
    </row>
    <row r="218" spans="1:1" ht="15.75">
      <c r="A218" s="1" t="s">
        <v>842</v>
      </c>
    </row>
    <row r="219" spans="1:1" ht="15.75">
      <c r="A219" s="1" t="s">
        <v>843</v>
      </c>
    </row>
    <row r="220" spans="1:1" ht="15.75">
      <c r="A220" s="1" t="s">
        <v>844</v>
      </c>
    </row>
    <row r="221" spans="1:1" ht="15.75">
      <c r="A221" s="1" t="s">
        <v>845</v>
      </c>
    </row>
    <row r="222" spans="1:1" ht="15.75">
      <c r="A222" s="1" t="s">
        <v>846</v>
      </c>
    </row>
    <row r="223" spans="1:1" ht="15.75">
      <c r="A223" s="1" t="s">
        <v>847</v>
      </c>
    </row>
    <row r="224" spans="1:1" ht="15.75">
      <c r="A224" s="1" t="s">
        <v>848</v>
      </c>
    </row>
    <row r="225" spans="1:1" ht="15.75">
      <c r="A225" s="1" t="s">
        <v>849</v>
      </c>
    </row>
    <row r="226" spans="1:1" ht="15.75">
      <c r="A226" s="1" t="s">
        <v>850</v>
      </c>
    </row>
    <row r="227" spans="1:1" ht="15.75">
      <c r="A227" s="1" t="s">
        <v>851</v>
      </c>
    </row>
    <row r="228" spans="1:1" ht="15.75">
      <c r="A228" s="1" t="s">
        <v>852</v>
      </c>
    </row>
    <row r="229" spans="1:1" ht="15.75">
      <c r="A229" s="1" t="s">
        <v>853</v>
      </c>
    </row>
    <row r="230" spans="1:1" ht="15.75">
      <c r="A230" s="1" t="s">
        <v>854</v>
      </c>
    </row>
    <row r="231" spans="1:1" ht="15.75">
      <c r="A231" s="1" t="s">
        <v>855</v>
      </c>
    </row>
    <row r="232" spans="1:1" ht="15.75">
      <c r="A232" s="1" t="s">
        <v>856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F535B-236B-4F85-B3B0-02C6C3E77996}">
  <dimension ref="A1:K49"/>
  <sheetViews>
    <sheetView zoomScale="80" zoomScaleNormal="80" workbookViewId="0">
      <selection activeCell="B45" sqref="B45"/>
    </sheetView>
  </sheetViews>
  <sheetFormatPr defaultRowHeight="15.75"/>
  <cols>
    <col min="1" max="1" width="17.21875" style="411" customWidth="1"/>
    <col min="2" max="2" width="16.109375" style="411" customWidth="1"/>
    <col min="3" max="7" width="8.88671875" style="411"/>
    <col min="8" max="8" width="12.6640625" style="412" customWidth="1"/>
    <col min="9" max="9" width="12.44140625" style="412" customWidth="1"/>
    <col min="10" max="11" width="8.88671875" style="412"/>
    <col min="12" max="16384" width="8.88671875" style="411"/>
  </cols>
  <sheetData>
    <row r="1" spans="1:11">
      <c r="A1" s="574" t="s">
        <v>147</v>
      </c>
      <c r="B1" s="574"/>
      <c r="C1" s="574"/>
      <c r="D1" s="574"/>
      <c r="E1" s="574"/>
      <c r="F1" s="574"/>
      <c r="H1" s="566" t="s">
        <v>148</v>
      </c>
      <c r="I1" s="566"/>
      <c r="J1" s="566"/>
      <c r="K1" s="566"/>
    </row>
    <row r="2" spans="1:11">
      <c r="A2" s="574"/>
      <c r="B2" s="574"/>
      <c r="C2" s="574"/>
      <c r="D2" s="574"/>
      <c r="E2" s="574"/>
      <c r="F2" s="574"/>
      <c r="H2" s="566"/>
      <c r="I2" s="566"/>
      <c r="J2" s="566"/>
      <c r="K2" s="566"/>
    </row>
    <row r="3" spans="1:11" ht="18" customHeight="1">
      <c r="A3" s="575" t="s">
        <v>149</v>
      </c>
      <c r="B3" s="575"/>
      <c r="C3" s="575"/>
      <c r="D3" s="575"/>
      <c r="E3" s="575"/>
      <c r="F3" s="575"/>
      <c r="H3" s="327" t="s">
        <v>150</v>
      </c>
      <c r="I3" s="567" t="s">
        <v>151</v>
      </c>
      <c r="J3" s="568"/>
      <c r="K3" s="569"/>
    </row>
    <row r="4" spans="1:11" ht="18" customHeight="1">
      <c r="A4" s="575"/>
      <c r="B4" s="575"/>
      <c r="C4" s="575"/>
      <c r="D4" s="575"/>
      <c r="E4" s="575"/>
      <c r="F4" s="575"/>
      <c r="H4" s="327"/>
      <c r="I4" s="327"/>
    </row>
    <row r="5" spans="1:11" ht="18" customHeight="1">
      <c r="A5" s="575"/>
      <c r="B5" s="575"/>
      <c r="C5" s="575"/>
      <c r="D5" s="575"/>
      <c r="E5" s="575"/>
      <c r="F5" s="575"/>
      <c r="H5" s="327" t="s">
        <v>152</v>
      </c>
      <c r="I5" s="567" t="s">
        <v>153</v>
      </c>
      <c r="J5" s="568"/>
      <c r="K5" s="569"/>
    </row>
    <row r="6" spans="1:11" ht="18" customHeight="1">
      <c r="A6" s="575"/>
      <c r="B6" s="575"/>
      <c r="C6" s="575"/>
      <c r="D6" s="575"/>
      <c r="E6" s="575"/>
      <c r="F6" s="575"/>
      <c r="H6" s="327"/>
      <c r="I6" s="327"/>
    </row>
    <row r="7" spans="1:11" ht="18" customHeight="1">
      <c r="A7" s="575"/>
      <c r="B7" s="575"/>
      <c r="C7" s="575"/>
      <c r="D7" s="575"/>
      <c r="E7" s="575"/>
      <c r="F7" s="575"/>
      <c r="H7" s="327" t="s">
        <v>154</v>
      </c>
      <c r="I7" s="567" t="s">
        <v>155</v>
      </c>
      <c r="J7" s="568"/>
      <c r="K7" s="569"/>
    </row>
    <row r="8" spans="1:11" ht="18" customHeight="1">
      <c r="A8" s="575"/>
      <c r="B8" s="575"/>
      <c r="C8" s="575"/>
      <c r="D8" s="575"/>
      <c r="E8" s="575"/>
      <c r="F8" s="575"/>
      <c r="H8" s="327"/>
      <c r="I8" s="327"/>
    </row>
    <row r="9" spans="1:11" ht="18" customHeight="1">
      <c r="A9" s="575"/>
      <c r="B9" s="575"/>
      <c r="C9" s="575"/>
      <c r="D9" s="575"/>
      <c r="E9" s="575"/>
      <c r="F9" s="575"/>
      <c r="H9" s="327" t="s">
        <v>156</v>
      </c>
      <c r="I9" s="567" t="s">
        <v>157</v>
      </c>
      <c r="J9" s="568"/>
      <c r="K9" s="569"/>
    </row>
    <row r="10" spans="1:11" ht="18" customHeight="1">
      <c r="A10" s="575"/>
      <c r="B10" s="575"/>
      <c r="C10" s="575"/>
      <c r="D10" s="575"/>
      <c r="E10" s="575"/>
      <c r="F10" s="575"/>
      <c r="H10" s="327"/>
      <c r="I10" s="327"/>
    </row>
    <row r="11" spans="1:11" ht="18" customHeight="1">
      <c r="A11" s="575"/>
      <c r="B11" s="575"/>
      <c r="C11" s="575"/>
      <c r="D11" s="575"/>
      <c r="E11" s="575"/>
      <c r="F11" s="575"/>
      <c r="H11" s="327" t="s">
        <v>158</v>
      </c>
      <c r="I11" s="567" t="s">
        <v>157</v>
      </c>
      <c r="J11" s="568"/>
      <c r="K11" s="569"/>
    </row>
    <row r="12" spans="1:11" ht="18" customHeight="1">
      <c r="A12" s="575"/>
      <c r="B12" s="575"/>
      <c r="C12" s="575"/>
      <c r="D12" s="575"/>
      <c r="E12" s="575"/>
      <c r="F12" s="575"/>
    </row>
    <row r="13" spans="1:11" ht="20.25">
      <c r="A13" s="566" t="s">
        <v>159</v>
      </c>
      <c r="B13" s="566"/>
      <c r="C13" s="566"/>
      <c r="D13" s="566"/>
      <c r="E13" s="566"/>
      <c r="F13" s="566"/>
      <c r="G13" s="566"/>
      <c r="H13" s="566"/>
      <c r="I13" s="566"/>
      <c r="J13" s="566"/>
      <c r="K13" s="566"/>
    </row>
    <row r="14" spans="1:11">
      <c r="A14" s="413" t="s">
        <v>160</v>
      </c>
      <c r="B14" s="567"/>
      <c r="C14" s="568"/>
      <c r="D14" s="568"/>
      <c r="E14" s="569"/>
      <c r="H14" s="570" t="s">
        <v>161</v>
      </c>
      <c r="I14" s="570"/>
      <c r="J14" s="570"/>
      <c r="K14" s="570"/>
    </row>
    <row r="15" spans="1:11">
      <c r="A15" s="413"/>
      <c r="B15" s="414"/>
      <c r="C15" s="415"/>
      <c r="D15" s="415"/>
      <c r="E15" s="415"/>
      <c r="H15" s="570"/>
      <c r="I15" s="570"/>
      <c r="J15" s="570"/>
      <c r="K15" s="570"/>
    </row>
    <row r="16" spans="1:11">
      <c r="A16" s="413" t="s">
        <v>150</v>
      </c>
      <c r="B16" s="567"/>
      <c r="C16" s="568"/>
      <c r="D16" s="568"/>
      <c r="E16" s="569"/>
      <c r="H16" s="570"/>
      <c r="I16" s="570"/>
      <c r="J16" s="570"/>
      <c r="K16" s="570"/>
    </row>
    <row r="17" spans="1:11">
      <c r="A17" s="416"/>
      <c r="B17" s="415"/>
      <c r="C17" s="415"/>
      <c r="D17" s="415"/>
      <c r="E17" s="415"/>
      <c r="H17" s="570"/>
      <c r="I17" s="570"/>
      <c r="J17" s="570"/>
      <c r="K17" s="570"/>
    </row>
    <row r="18" spans="1:11">
      <c r="A18" s="417" t="s">
        <v>152</v>
      </c>
      <c r="B18" s="567"/>
      <c r="C18" s="568"/>
      <c r="D18" s="568"/>
      <c r="E18" s="569"/>
      <c r="H18" s="570"/>
      <c r="I18" s="570"/>
      <c r="J18" s="570"/>
      <c r="K18" s="570"/>
    </row>
    <row r="19" spans="1:11">
      <c r="A19" s="418" t="s">
        <v>162</v>
      </c>
      <c r="B19" s="415"/>
      <c r="C19" s="415"/>
      <c r="D19" s="327"/>
      <c r="E19" s="415"/>
      <c r="H19" s="570"/>
      <c r="I19" s="570"/>
      <c r="J19" s="570"/>
      <c r="K19" s="570"/>
    </row>
    <row r="20" spans="1:11">
      <c r="A20" s="417" t="s">
        <v>154</v>
      </c>
      <c r="B20" s="567"/>
      <c r="C20" s="568"/>
      <c r="D20" s="568"/>
      <c r="E20" s="569"/>
      <c r="H20" s="570"/>
      <c r="I20" s="570"/>
      <c r="J20" s="570"/>
      <c r="K20" s="570"/>
    </row>
    <row r="21" spans="1:11">
      <c r="A21" s="417"/>
      <c r="B21" s="327"/>
      <c r="C21" s="327"/>
      <c r="D21" s="327"/>
      <c r="E21" s="415"/>
      <c r="H21" s="570"/>
      <c r="I21" s="570"/>
      <c r="J21" s="570"/>
      <c r="K21" s="570"/>
    </row>
    <row r="22" spans="1:11">
      <c r="A22" s="417" t="s">
        <v>156</v>
      </c>
      <c r="B22" s="571"/>
      <c r="C22" s="572"/>
      <c r="D22" s="572"/>
      <c r="E22" s="573"/>
      <c r="H22" s="570"/>
      <c r="I22" s="570"/>
      <c r="J22" s="570"/>
      <c r="K22" s="570"/>
    </row>
    <row r="23" spans="1:11">
      <c r="A23" s="417"/>
      <c r="B23" s="327"/>
      <c r="C23" s="327"/>
      <c r="D23" s="327"/>
      <c r="E23" s="415"/>
      <c r="H23" s="570"/>
      <c r="I23" s="570"/>
      <c r="J23" s="570"/>
      <c r="K23" s="570"/>
    </row>
    <row r="24" spans="1:11">
      <c r="A24" s="417" t="s">
        <v>163</v>
      </c>
      <c r="B24" s="571"/>
      <c r="C24" s="572"/>
      <c r="D24" s="572"/>
      <c r="E24" s="573"/>
      <c r="H24" s="570"/>
      <c r="I24" s="570"/>
      <c r="J24" s="570"/>
      <c r="K24" s="570"/>
    </row>
    <row r="27" spans="1:11" ht="20.25">
      <c r="A27" s="566" t="s">
        <v>164</v>
      </c>
      <c r="B27" s="566"/>
      <c r="C27" s="566"/>
      <c r="D27" s="566"/>
      <c r="E27" s="566"/>
      <c r="F27" s="566"/>
      <c r="G27" s="566"/>
      <c r="H27" s="566"/>
      <c r="I27" s="566"/>
      <c r="J27" s="566"/>
      <c r="K27" s="566"/>
    </row>
    <row r="28" spans="1:11">
      <c r="A28" s="413" t="s">
        <v>160</v>
      </c>
      <c r="B28" s="567"/>
      <c r="C28" s="568"/>
      <c r="D28" s="568"/>
      <c r="E28" s="569"/>
      <c r="H28" s="570" t="s">
        <v>165</v>
      </c>
      <c r="I28" s="570"/>
      <c r="J28" s="570"/>
      <c r="K28" s="570"/>
    </row>
    <row r="29" spans="1:11">
      <c r="A29" s="413"/>
      <c r="B29" s="414"/>
      <c r="H29" s="570"/>
      <c r="I29" s="570"/>
      <c r="J29" s="570"/>
      <c r="K29" s="570"/>
    </row>
    <row r="30" spans="1:11">
      <c r="A30" s="413" t="s">
        <v>150</v>
      </c>
      <c r="B30" s="567"/>
      <c r="C30" s="568"/>
      <c r="D30" s="568"/>
      <c r="E30" s="569"/>
      <c r="H30" s="570"/>
      <c r="I30" s="570"/>
      <c r="J30" s="570"/>
      <c r="K30" s="570"/>
    </row>
    <row r="31" spans="1:11">
      <c r="A31" s="416"/>
      <c r="H31" s="570"/>
      <c r="I31" s="570"/>
      <c r="J31" s="570"/>
      <c r="K31" s="570"/>
    </row>
    <row r="32" spans="1:11">
      <c r="A32" s="417" t="s">
        <v>152</v>
      </c>
      <c r="B32" s="567"/>
      <c r="C32" s="568"/>
      <c r="D32" s="568"/>
      <c r="E32" s="569"/>
      <c r="H32" s="570"/>
      <c r="I32" s="570"/>
      <c r="J32" s="570"/>
      <c r="K32" s="570"/>
    </row>
    <row r="33" spans="1:11">
      <c r="A33" s="418" t="s">
        <v>162</v>
      </c>
      <c r="D33" s="327"/>
      <c r="H33" s="570"/>
      <c r="I33" s="570"/>
      <c r="J33" s="570"/>
      <c r="K33" s="570"/>
    </row>
    <row r="34" spans="1:11">
      <c r="A34" s="417" t="s">
        <v>154</v>
      </c>
      <c r="B34" s="567"/>
      <c r="C34" s="568"/>
      <c r="D34" s="568"/>
      <c r="E34" s="569"/>
      <c r="H34" s="570"/>
      <c r="I34" s="570"/>
      <c r="J34" s="570"/>
      <c r="K34" s="570"/>
    </row>
    <row r="35" spans="1:11">
      <c r="A35" s="417"/>
      <c r="B35" s="327"/>
      <c r="C35" s="327"/>
      <c r="D35" s="327"/>
      <c r="H35" s="570"/>
      <c r="I35" s="570"/>
      <c r="J35" s="570"/>
      <c r="K35" s="570"/>
    </row>
    <row r="36" spans="1:11">
      <c r="A36" s="417" t="s">
        <v>156</v>
      </c>
      <c r="B36" s="571"/>
      <c r="C36" s="572"/>
      <c r="D36" s="572"/>
      <c r="E36" s="573"/>
      <c r="H36" s="570"/>
      <c r="I36" s="570"/>
      <c r="J36" s="570"/>
      <c r="K36" s="570"/>
    </row>
    <row r="37" spans="1:11">
      <c r="A37" s="417"/>
      <c r="B37" s="327"/>
      <c r="C37" s="327"/>
      <c r="D37" s="327"/>
      <c r="H37" s="570"/>
      <c r="I37" s="570"/>
      <c r="J37" s="570"/>
      <c r="K37" s="570"/>
    </row>
    <row r="38" spans="1:11">
      <c r="A38" s="417" t="s">
        <v>163</v>
      </c>
      <c r="B38" s="571"/>
      <c r="C38" s="572"/>
      <c r="D38" s="572"/>
      <c r="E38" s="573"/>
      <c r="H38" s="570"/>
      <c r="I38" s="570"/>
      <c r="J38" s="570"/>
      <c r="K38" s="570"/>
    </row>
    <row r="39" spans="1:11">
      <c r="H39" s="570"/>
      <c r="I39" s="570"/>
      <c r="J39" s="570"/>
      <c r="K39" s="570"/>
    </row>
    <row r="41" spans="1:11" ht="20.25">
      <c r="A41" s="566" t="s">
        <v>166</v>
      </c>
      <c r="B41" s="566"/>
      <c r="C41" s="566"/>
      <c r="D41" s="566"/>
      <c r="E41" s="566"/>
      <c r="F41" s="566"/>
      <c r="G41" s="566"/>
      <c r="H41" s="566"/>
      <c r="I41" s="566"/>
      <c r="J41" s="566"/>
      <c r="K41" s="566"/>
    </row>
    <row r="42" spans="1:11">
      <c r="A42" s="417" t="s">
        <v>152</v>
      </c>
      <c r="B42" s="567"/>
      <c r="C42" s="568"/>
      <c r="D42" s="568"/>
      <c r="E42" s="569"/>
      <c r="H42" s="570" t="s">
        <v>167</v>
      </c>
      <c r="I42" s="570"/>
      <c r="J42" s="570"/>
      <c r="K42" s="570"/>
    </row>
    <row r="43" spans="1:11">
      <c r="A43" s="418" t="s">
        <v>162</v>
      </c>
      <c r="B43" s="415"/>
      <c r="C43" s="415"/>
      <c r="D43" s="327"/>
      <c r="E43" s="415"/>
      <c r="H43" s="570"/>
      <c r="I43" s="570"/>
      <c r="J43" s="570"/>
      <c r="K43" s="570"/>
    </row>
    <row r="44" spans="1:11">
      <c r="A44" s="417" t="s">
        <v>154</v>
      </c>
      <c r="B44" s="567"/>
      <c r="C44" s="568"/>
      <c r="D44" s="568"/>
      <c r="E44" s="569"/>
      <c r="H44" s="570"/>
      <c r="I44" s="570"/>
      <c r="J44" s="570"/>
      <c r="K44" s="570"/>
    </row>
    <row r="45" spans="1:11">
      <c r="A45" s="417"/>
      <c r="B45" s="327"/>
      <c r="C45" s="327"/>
      <c r="D45" s="327"/>
      <c r="E45" s="415"/>
      <c r="H45" s="570"/>
      <c r="I45" s="570"/>
      <c r="J45" s="570"/>
      <c r="K45" s="570"/>
    </row>
    <row r="46" spans="1:11">
      <c r="A46" s="417" t="s">
        <v>156</v>
      </c>
      <c r="B46" s="571"/>
      <c r="C46" s="572"/>
      <c r="D46" s="572"/>
      <c r="E46" s="573"/>
      <c r="H46" s="570"/>
      <c r="I46" s="570"/>
      <c r="J46" s="570"/>
      <c r="K46" s="570"/>
    </row>
    <row r="47" spans="1:11">
      <c r="H47" s="570"/>
      <c r="I47" s="570"/>
      <c r="J47" s="570"/>
      <c r="K47" s="570"/>
    </row>
    <row r="48" spans="1:11">
      <c r="H48" s="570"/>
      <c r="I48" s="570"/>
      <c r="J48" s="570"/>
      <c r="K48" s="570"/>
    </row>
    <row r="49" spans="8:11">
      <c r="H49" s="570"/>
      <c r="I49" s="570"/>
      <c r="J49" s="570"/>
      <c r="K49" s="570"/>
    </row>
  </sheetData>
  <sheetProtection sheet="1"/>
  <mergeCells count="29">
    <mergeCell ref="A1:F2"/>
    <mergeCell ref="H1:K2"/>
    <mergeCell ref="A3:F12"/>
    <mergeCell ref="I3:K3"/>
    <mergeCell ref="I5:K5"/>
    <mergeCell ref="I7:K7"/>
    <mergeCell ref="I9:K9"/>
    <mergeCell ref="I11:K11"/>
    <mergeCell ref="A13:K13"/>
    <mergeCell ref="B14:E14"/>
    <mergeCell ref="H14:K24"/>
    <mergeCell ref="B16:E16"/>
    <mergeCell ref="B18:E18"/>
    <mergeCell ref="B20:E20"/>
    <mergeCell ref="B22:E22"/>
    <mergeCell ref="B24:E24"/>
    <mergeCell ref="A27:K27"/>
    <mergeCell ref="B28:E28"/>
    <mergeCell ref="H28:K39"/>
    <mergeCell ref="B30:E30"/>
    <mergeCell ref="B32:E32"/>
    <mergeCell ref="B34:E34"/>
    <mergeCell ref="B36:E36"/>
    <mergeCell ref="B38:E38"/>
    <mergeCell ref="A41:K41"/>
    <mergeCell ref="B42:E42"/>
    <mergeCell ref="H42:K49"/>
    <mergeCell ref="B44:E44"/>
    <mergeCell ref="B46:E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C70F4-8FDD-49C9-B02E-C7F0C63627A6}">
  <sheetPr>
    <tabColor rgb="FF00B0F0"/>
  </sheetPr>
  <dimension ref="A1:A46"/>
  <sheetViews>
    <sheetView workbookViewId="0">
      <selection sqref="A1:A30"/>
    </sheetView>
  </sheetViews>
  <sheetFormatPr defaultRowHeight="15"/>
  <cols>
    <col min="1" max="1" width="97.6640625" customWidth="1"/>
  </cols>
  <sheetData>
    <row r="1" spans="1:1" ht="15" customHeight="1">
      <c r="A1" s="576" t="s">
        <v>168</v>
      </c>
    </row>
    <row r="2" spans="1:1" ht="15" customHeight="1">
      <c r="A2" s="576"/>
    </row>
    <row r="3" spans="1:1" ht="15" customHeight="1">
      <c r="A3" s="576"/>
    </row>
    <row r="4" spans="1:1" ht="15" customHeight="1">
      <c r="A4" s="576"/>
    </row>
    <row r="5" spans="1:1" ht="15" customHeight="1">
      <c r="A5" s="576"/>
    </row>
    <row r="6" spans="1:1" ht="15" customHeight="1">
      <c r="A6" s="576"/>
    </row>
    <row r="7" spans="1:1" ht="15" customHeight="1">
      <c r="A7" s="576"/>
    </row>
    <row r="8" spans="1:1" ht="15" customHeight="1">
      <c r="A8" s="576"/>
    </row>
    <row r="9" spans="1:1" ht="15" customHeight="1">
      <c r="A9" s="576"/>
    </row>
    <row r="10" spans="1:1" ht="15" customHeight="1">
      <c r="A10" s="576"/>
    </row>
    <row r="11" spans="1:1" ht="15" customHeight="1">
      <c r="A11" s="576"/>
    </row>
    <row r="12" spans="1:1" ht="15" customHeight="1">
      <c r="A12" s="576"/>
    </row>
    <row r="13" spans="1:1" ht="15" customHeight="1">
      <c r="A13" s="576"/>
    </row>
    <row r="14" spans="1:1" ht="15" customHeight="1">
      <c r="A14" s="576"/>
    </row>
    <row r="15" spans="1:1" ht="15" customHeight="1">
      <c r="A15" s="576"/>
    </row>
    <row r="16" spans="1:1" ht="15" customHeight="1">
      <c r="A16" s="576"/>
    </row>
    <row r="17" spans="1:1" ht="15" customHeight="1">
      <c r="A17" s="576"/>
    </row>
    <row r="18" spans="1:1" ht="15" customHeight="1">
      <c r="A18" s="576"/>
    </row>
    <row r="19" spans="1:1" ht="15" customHeight="1">
      <c r="A19" s="576"/>
    </row>
    <row r="20" spans="1:1" ht="15" customHeight="1">
      <c r="A20" s="576"/>
    </row>
    <row r="21" spans="1:1" ht="15" customHeight="1">
      <c r="A21" s="576"/>
    </row>
    <row r="22" spans="1:1" ht="15" customHeight="1">
      <c r="A22" s="576"/>
    </row>
    <row r="23" spans="1:1" ht="15" customHeight="1">
      <c r="A23" s="576"/>
    </row>
    <row r="24" spans="1:1" ht="15" customHeight="1">
      <c r="A24" s="576"/>
    </row>
    <row r="25" spans="1:1" ht="15" customHeight="1">
      <c r="A25" s="576"/>
    </row>
    <row r="26" spans="1:1" ht="15" customHeight="1">
      <c r="A26" s="576"/>
    </row>
    <row r="27" spans="1:1" ht="15" customHeight="1">
      <c r="A27" s="576"/>
    </row>
    <row r="28" spans="1:1" ht="15" customHeight="1">
      <c r="A28" s="576"/>
    </row>
    <row r="29" spans="1:1" ht="15" customHeight="1">
      <c r="A29" s="576"/>
    </row>
    <row r="30" spans="1:1" ht="15" customHeight="1">
      <c r="A30" s="576"/>
    </row>
    <row r="31" spans="1:1" ht="15.75">
      <c r="A31" s="4"/>
    </row>
    <row r="32" spans="1:1" ht="15.75">
      <c r="A32" s="4"/>
    </row>
    <row r="33" spans="1:1" ht="15.75">
      <c r="A33" s="4"/>
    </row>
    <row r="34" spans="1:1" ht="15.75">
      <c r="A34" s="4"/>
    </row>
    <row r="35" spans="1:1" ht="15.75">
      <c r="A35" s="4"/>
    </row>
    <row r="36" spans="1:1" ht="15.75">
      <c r="A36" s="4"/>
    </row>
    <row r="37" spans="1:1" ht="15.75">
      <c r="A37" s="4"/>
    </row>
    <row r="38" spans="1:1" ht="15.75">
      <c r="A38" s="4"/>
    </row>
    <row r="39" spans="1:1" ht="15.75">
      <c r="A39" s="4"/>
    </row>
    <row r="40" spans="1:1" ht="15.75">
      <c r="A40" s="4"/>
    </row>
    <row r="41" spans="1:1" ht="15.75">
      <c r="A41" s="4"/>
    </row>
    <row r="42" spans="1:1" ht="15.75">
      <c r="A42" s="4"/>
    </row>
    <row r="43" spans="1:1" ht="15.75">
      <c r="A43" s="4"/>
    </row>
    <row r="44" spans="1:1" ht="15.75">
      <c r="A44" s="4"/>
    </row>
    <row r="45" spans="1:1" ht="15.75">
      <c r="A45" s="4"/>
    </row>
    <row r="46" spans="1:1" ht="15.75">
      <c r="A46" s="4"/>
    </row>
  </sheetData>
  <sheetProtection sheet="1" objects="1" scenarios="1"/>
  <mergeCells count="1">
    <mergeCell ref="A1:A3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H75"/>
  <sheetViews>
    <sheetView workbookViewId="0">
      <selection activeCell="G43" sqref="G43"/>
    </sheetView>
  </sheetViews>
  <sheetFormatPr defaultRowHeight="15.75"/>
  <cols>
    <col min="1" max="1" width="10.77734375" style="2" customWidth="1"/>
    <col min="2" max="2" width="10.5546875" style="2" customWidth="1"/>
    <col min="3" max="3" width="9.77734375" style="2" customWidth="1"/>
    <col min="4" max="4" width="4.33203125" style="2" customWidth="1"/>
    <col min="5" max="5" width="13.44140625" style="2" customWidth="1"/>
    <col min="6" max="6" width="15.21875" style="2" customWidth="1"/>
    <col min="7" max="7" width="14.109375" style="2" customWidth="1"/>
    <col min="8" max="8" width="2.6640625" style="2" customWidth="1"/>
    <col min="9" max="9" width="3.21875" style="2" customWidth="1"/>
    <col min="10" max="16384" width="8.88671875" style="2"/>
  </cols>
  <sheetData>
    <row r="1" spans="1:8">
      <c r="A1" s="260" t="s">
        <v>169</v>
      </c>
      <c r="B1" s="11"/>
      <c r="C1" s="11"/>
      <c r="D1" s="11"/>
      <c r="E1" s="11"/>
      <c r="F1" s="260"/>
      <c r="G1" s="484">
        <f>inputPrYr!D22</f>
        <v>2024</v>
      </c>
    </row>
    <row r="2" spans="1:8">
      <c r="A2" s="260" t="s">
        <v>170</v>
      </c>
      <c r="B2" s="7"/>
      <c r="C2" s="11"/>
      <c r="D2" s="11"/>
      <c r="E2" s="11"/>
      <c r="F2" s="260"/>
      <c r="G2" s="260"/>
    </row>
    <row r="3" spans="1:8">
      <c r="A3" s="7"/>
      <c r="B3" s="7"/>
      <c r="C3" s="7"/>
      <c r="D3" s="7"/>
      <c r="E3" s="7"/>
      <c r="F3" s="7"/>
      <c r="G3" s="260"/>
    </row>
    <row r="4" spans="1:8">
      <c r="A4" s="596" t="s">
        <v>171</v>
      </c>
      <c r="B4" s="596"/>
      <c r="C4" s="596"/>
      <c r="D4" s="596"/>
      <c r="E4" s="596"/>
      <c r="F4" s="596"/>
      <c r="G4" s="596"/>
    </row>
    <row r="5" spans="1:8">
      <c r="A5" s="7"/>
      <c r="B5" s="7"/>
      <c r="C5" s="7"/>
      <c r="D5" s="7"/>
      <c r="E5" s="7"/>
      <c r="F5" s="7"/>
      <c r="G5" s="11"/>
    </row>
    <row r="6" spans="1:8">
      <c r="A6" s="597" t="str">
        <f>CONCATENATE("To the Clerk of ",inputPrYr!D4,", State of Kansas")</f>
        <v>To the Clerk of , State of Kansas</v>
      </c>
      <c r="B6" s="597"/>
      <c r="C6" s="597"/>
      <c r="D6" s="597"/>
      <c r="E6" s="597"/>
      <c r="F6" s="597"/>
      <c r="G6" s="597"/>
    </row>
    <row r="7" spans="1:8">
      <c r="A7" s="55" t="s">
        <v>172</v>
      </c>
      <c r="B7" s="11"/>
      <c r="C7" s="11"/>
      <c r="D7" s="11"/>
      <c r="E7" s="11"/>
      <c r="F7" s="11"/>
      <c r="G7" s="11"/>
    </row>
    <row r="8" spans="1:8">
      <c r="A8" s="529">
        <f>inputPrYr!D3</f>
        <v>0</v>
      </c>
      <c r="B8" s="529"/>
      <c r="C8" s="529"/>
      <c r="D8" s="529"/>
      <c r="E8" s="529"/>
      <c r="F8" s="529"/>
      <c r="G8" s="529"/>
    </row>
    <row r="9" spans="1:8">
      <c r="A9" s="55" t="s">
        <v>173</v>
      </c>
      <c r="B9" s="11"/>
      <c r="C9" s="11"/>
      <c r="D9" s="11"/>
      <c r="E9" s="11"/>
      <c r="F9" s="11"/>
      <c r="G9" s="11"/>
    </row>
    <row r="10" spans="1:8">
      <c r="A10" s="55" t="s">
        <v>174</v>
      </c>
      <c r="B10" s="11"/>
      <c r="C10" s="11"/>
      <c r="D10" s="11"/>
      <c r="E10" s="11"/>
      <c r="F10" s="11"/>
      <c r="G10" s="11"/>
    </row>
    <row r="11" spans="1:8">
      <c r="A11" s="55" t="str">
        <f>CONCATENATE("as the maximum expenditures for the various funds for the year ",G1,"; and")</f>
        <v>as the maximum expenditures for the various funds for the year 2024; and</v>
      </c>
      <c r="B11" s="11"/>
      <c r="C11" s="11"/>
      <c r="D11" s="11"/>
      <c r="E11" s="11"/>
      <c r="F11" s="11"/>
      <c r="G11" s="11"/>
    </row>
    <row r="12" spans="1:8">
      <c r="A12" s="55" t="str">
        <f>CONCATENATE("(3) the Amount(s) of  ",G1-1," Ad Valorem Tax are within statutory limitations for the ",G1," Budget.")</f>
        <v>(3) the Amount(s) of  2023 Ad Valorem Tax are within statutory limitations for the 2024 Budget.</v>
      </c>
      <c r="B12" s="11"/>
      <c r="C12" s="11"/>
      <c r="D12" s="11"/>
      <c r="E12" s="11"/>
      <c r="F12" s="11"/>
      <c r="G12" s="11"/>
    </row>
    <row r="13" spans="1:8">
      <c r="A13" s="6"/>
      <c r="B13" s="7"/>
      <c r="C13" s="7"/>
      <c r="D13" s="57"/>
      <c r="E13" s="58"/>
      <c r="F13" s="58"/>
      <c r="G13" s="58"/>
    </row>
    <row r="14" spans="1:8">
      <c r="A14" s="7"/>
      <c r="B14" s="7"/>
      <c r="C14" s="7"/>
      <c r="D14" s="7"/>
      <c r="E14" s="598" t="str">
        <f>CONCATENATE("",G1," Adopted Budget")</f>
        <v>2024 Adopted Budget</v>
      </c>
      <c r="F14" s="599"/>
      <c r="G14" s="600"/>
    </row>
    <row r="15" spans="1:8">
      <c r="A15" s="6"/>
      <c r="B15" s="7"/>
      <c r="C15" s="7"/>
      <c r="D15" s="20"/>
      <c r="E15" s="583" t="s">
        <v>175</v>
      </c>
      <c r="F15" s="583" t="str">
        <f>CONCATENATE("Amount of  ",G1-1," Ad Valorem Tax")</f>
        <v>Amount of  2023 Ad Valorem Tax</v>
      </c>
      <c r="G15" s="583" t="s">
        <v>176</v>
      </c>
      <c r="H15" s="59"/>
    </row>
    <row r="16" spans="1:8">
      <c r="A16" s="7"/>
      <c r="B16" s="7"/>
      <c r="C16" s="7"/>
      <c r="D16" s="60" t="s">
        <v>177</v>
      </c>
      <c r="E16" s="584"/>
      <c r="F16" s="584"/>
      <c r="G16" s="584"/>
    </row>
    <row r="17" spans="1:7">
      <c r="A17" s="8" t="s">
        <v>178</v>
      </c>
      <c r="B17" s="7"/>
      <c r="C17" s="7"/>
      <c r="D17" s="45" t="s">
        <v>179</v>
      </c>
      <c r="E17" s="584"/>
      <c r="F17" s="584"/>
      <c r="G17" s="584"/>
    </row>
    <row r="18" spans="1:7" ht="4.5" customHeight="1">
      <c r="A18" s="58"/>
      <c r="B18" s="58"/>
      <c r="C18" s="58"/>
      <c r="D18" s="62"/>
      <c r="E18" s="62"/>
      <c r="F18" s="63"/>
      <c r="G18" s="63"/>
    </row>
    <row r="19" spans="1:7">
      <c r="A19" s="471" t="s">
        <v>180</v>
      </c>
      <c r="B19" s="58"/>
      <c r="C19" s="58"/>
      <c r="D19" s="47">
        <v>2</v>
      </c>
      <c r="E19" s="57"/>
      <c r="F19" s="57"/>
      <c r="G19" s="65"/>
    </row>
    <row r="20" spans="1:7">
      <c r="A20" s="471" t="s">
        <v>181</v>
      </c>
      <c r="B20" s="58"/>
      <c r="C20" s="58"/>
      <c r="D20" s="47">
        <v>3</v>
      </c>
      <c r="E20" s="57"/>
      <c r="F20" s="57"/>
      <c r="G20" s="65"/>
    </row>
    <row r="21" spans="1:7">
      <c r="A21" s="64" t="s">
        <v>182</v>
      </c>
      <c r="B21" s="58"/>
      <c r="C21" s="58"/>
      <c r="D21" s="47">
        <v>4</v>
      </c>
      <c r="E21" s="57"/>
      <c r="F21" s="57"/>
      <c r="G21" s="65"/>
    </row>
    <row r="22" spans="1:7">
      <c r="A22" s="227" t="s">
        <v>125</v>
      </c>
      <c r="B22" s="30"/>
      <c r="C22" s="228" t="s">
        <v>183</v>
      </c>
      <c r="D22" s="482"/>
      <c r="E22" s="66"/>
      <c r="F22" s="20"/>
      <c r="G22" s="23"/>
    </row>
    <row r="23" spans="1:7">
      <c r="A23" s="476" t="s">
        <v>109</v>
      </c>
      <c r="B23" s="30"/>
      <c r="C23" s="482">
        <f>inputPrYr!C35</f>
        <v>0</v>
      </c>
      <c r="D23" s="67">
        <v>5</v>
      </c>
      <c r="E23" s="280" t="str">
        <f>IF(General!$E$63&lt;&gt;0,General!$E$63,"  ")</f>
        <v xml:space="preserve">  </v>
      </c>
      <c r="F23" s="280" t="str">
        <f>IF(General!$E$70&lt;&gt;0,General!$E$70,"  ")</f>
        <v xml:space="preserve">  </v>
      </c>
      <c r="G23" s="281" t="str">
        <f>IF(AND(General!E70=0,$G$47&gt;=0)," ",IF(AND(F23&gt;0,$G$47=0)," ",IF(AND(F23&gt;0,$G$47&gt;0),ROUND(F23/$G$47*1000,3))))</f>
        <v xml:space="preserve"> </v>
      </c>
    </row>
    <row r="24" spans="1:7">
      <c r="A24" s="476" t="s">
        <v>110</v>
      </c>
      <c r="B24" s="30"/>
      <c r="C24" s="482" t="str">
        <f>inputPrYr!C36</f>
        <v>10-113</v>
      </c>
      <c r="D24" s="67" t="str">
        <f>IF('Debt Service'!C63&gt;0,'Debt Service'!C63,"")</f>
        <v/>
      </c>
      <c r="E24" s="144" t="str">
        <f>IF('Debt Service'!$E$50&lt;&gt;0,'Debt Service'!$E$50,"  ")</f>
        <v xml:space="preserve">  </v>
      </c>
      <c r="F24" s="144" t="str">
        <f>IF('Debt Service'!$E$57&lt;&gt;0,'Debt Service'!$E$57,"  ")</f>
        <v xml:space="preserve">  </v>
      </c>
      <c r="G24" s="282" t="str">
        <f>IF(AND('Debt Service'!E57=0,$G$47&gt;=0)," ",IF(AND(F24&gt;0,$G$47=0)," ",IF(AND(F24&gt;0,$G$47&gt;0),ROUND(F24/$G$47*1000,3))))</f>
        <v xml:space="preserve"> </v>
      </c>
    </row>
    <row r="25" spans="1:7">
      <c r="A25" s="70" t="str">
        <f>IF(inputPrYr!$B$38&gt;"  ",inputPrYr!$B$38,"  ")</f>
        <v xml:space="preserve">  </v>
      </c>
      <c r="B25" s="30"/>
      <c r="C25" s="482" t="str">
        <f>IF(inputPrYr!C38&gt;0,inputPrYr!C38,"  ")</f>
        <v xml:space="preserve">  </v>
      </c>
      <c r="D25" s="67" t="str">
        <f>IF('Levy Page 7'!C86&gt;0,'Levy Page 7'!C86," ")</f>
        <v xml:space="preserve"> </v>
      </c>
      <c r="E25" s="144" t="str">
        <f>IF('Levy Page 7'!$E$33&lt;&gt;0,'Levy Page 7'!$E$33,"  ")</f>
        <v xml:space="preserve">  </v>
      </c>
      <c r="F25" s="144" t="str">
        <f>IF('Levy Page 7'!$E$40&lt;&gt;0,'Levy Page 7'!$E$40,"  ")</f>
        <v xml:space="preserve">  </v>
      </c>
      <c r="G25" s="282" t="str">
        <f>IF(AND('Levy Page 7'!E40=0,$G$47&gt;=0)," ",IF(AND(F25&gt;0,$G$47=0)," ",IF(AND(F25&gt;0,$G$47&gt;0),ROUND(F25/$G$47*1000,3))))</f>
        <v xml:space="preserve"> </v>
      </c>
    </row>
    <row r="26" spans="1:7">
      <c r="A26" s="70" t="str">
        <f>IF(inputPrYr!$B$39&gt;"  ",inputPrYr!$B$39,"  ")</f>
        <v xml:space="preserve">  </v>
      </c>
      <c r="B26" s="30"/>
      <c r="C26" s="482" t="str">
        <f>IF(inputPrYr!C39&gt;0,inputPrYr!C39,"  ")</f>
        <v xml:space="preserve">  </v>
      </c>
      <c r="D26" s="67" t="str">
        <f>IF('Levy Page 7'!C86&gt;0,'Levy Page 7'!C86," ")</f>
        <v xml:space="preserve"> </v>
      </c>
      <c r="E26" s="144" t="str">
        <f>IF('Levy Page 7'!$E$73&lt;&gt;0,'Levy Page 7'!$E$73,"  ")</f>
        <v xml:space="preserve">  </v>
      </c>
      <c r="F26" s="144" t="str">
        <f>IF('Levy Page 7'!$E$80&lt;&gt;0,'Levy Page 7'!$E$80,"  ")</f>
        <v xml:space="preserve">  </v>
      </c>
      <c r="G26" s="282" t="str">
        <f>IF(AND('Levy Page 7'!E80=0,$G$47&gt;=0)," ",IF(AND(F26&gt;0,$G$47=0)," ",IF(AND(F26&gt;0,$G$47&gt;0),ROUND(F26/$G$47*1000,3))))</f>
        <v xml:space="preserve"> </v>
      </c>
    </row>
    <row r="27" spans="1:7">
      <c r="A27" s="70" t="str">
        <f>IF(inputPrYr!$B$42&gt;"  ",inputPrYr!$B$42,"  ")</f>
        <v xml:space="preserve">  </v>
      </c>
      <c r="B27" s="31"/>
      <c r="C27" s="71"/>
      <c r="D27" s="72" t="str">
        <f>IF('No Levy Page 8'!C70&gt;0,'No Levy Page 8'!C70," ")</f>
        <v xml:space="preserve"> </v>
      </c>
      <c r="E27" s="144" t="str">
        <f>IF('No Levy Page 8'!$E$30&lt;&gt;0,'No Levy Page 8'!$E$30,"  ")</f>
        <v xml:space="preserve">  </v>
      </c>
      <c r="F27" s="283"/>
      <c r="G27" s="282"/>
    </row>
    <row r="28" spans="1:7">
      <c r="A28" s="74" t="str">
        <f>IF(inputPrYr!$B$43&gt;"  ",inputPrYr!$B$43,"  ")</f>
        <v xml:space="preserve">  </v>
      </c>
      <c r="B28" s="75"/>
      <c r="C28" s="71"/>
      <c r="D28" s="72" t="str">
        <f>IF('No Levy Page 8'!C70&gt;0,'No Levy Page 8'!C70," ")</f>
        <v xml:space="preserve"> </v>
      </c>
      <c r="E28" s="144" t="str">
        <f>IF('No Levy Page 8'!$E$62&lt;&gt;0,'No Levy Page 8'!$E$62,"  ")</f>
        <v xml:space="preserve">  </v>
      </c>
      <c r="F28" s="283"/>
      <c r="G28" s="282"/>
    </row>
    <row r="29" spans="1:7" ht="16.5" thickBot="1">
      <c r="A29" s="74" t="str">
        <f>IF((inputPrYr!$B$46&gt;" "),('Non-Budgeted Funds'!$A$3),"")</f>
        <v/>
      </c>
      <c r="B29" s="75"/>
      <c r="C29" s="61"/>
      <c r="D29" s="67" t="str">
        <f>IF('Non-Budgeted Funds'!F37&gt;0,'Non-Budgeted Funds'!F37,"")</f>
        <v/>
      </c>
      <c r="E29" s="284"/>
      <c r="F29" s="285"/>
      <c r="G29" s="286"/>
    </row>
    <row r="30" spans="1:7">
      <c r="A30" s="77" t="s">
        <v>123</v>
      </c>
      <c r="B30" s="31"/>
      <c r="C30" s="30"/>
      <c r="D30" s="78" t="s">
        <v>184</v>
      </c>
      <c r="E30" s="455">
        <f>SUM(E23:E28)</f>
        <v>0</v>
      </c>
      <c r="F30" s="455">
        <f>SUM(F23:F28)</f>
        <v>0</v>
      </c>
      <c r="G30" s="493" t="str">
        <f>IF(SUM(G23:G28)&gt;0,SUM(G23:G28),"")</f>
        <v/>
      </c>
    </row>
    <row r="31" spans="1:7" ht="16.5" customHeight="1">
      <c r="A31" s="585" t="s">
        <v>185</v>
      </c>
      <c r="B31" s="586"/>
      <c r="C31" s="587"/>
      <c r="D31" s="79" t="str">
        <f>IF('Budget Hearing Notice'!E50&gt;0, 'Budget Hearing Notice'!E50, " ")</f>
        <v xml:space="preserve"> </v>
      </c>
      <c r="E31" s="7"/>
      <c r="F31" s="588" t="s">
        <v>186</v>
      </c>
      <c r="G31" s="588"/>
    </row>
    <row r="32" spans="1:7" ht="15" customHeight="1">
      <c r="A32" s="585" t="s">
        <v>187</v>
      </c>
      <c r="B32" s="586"/>
      <c r="C32" s="587"/>
      <c r="D32" s="335" t="str">
        <f>IF('Combined Rate-Bud Hearing Notic'!E50&gt;0, 'Combined Rate-Bud Hearing Notic'!E50, " ")</f>
        <v xml:space="preserve"> </v>
      </c>
      <c r="E32" s="7"/>
      <c r="F32" s="589" t="str">
        <f>CONCATENATE("Nov 1, ",G1-1," Total Assessed Valuation")</f>
        <v>Nov 1, 2023 Total Assessed Valuation</v>
      </c>
      <c r="G32" s="591" t="str">
        <f>IF(G47&gt;0,G47,"")</f>
        <v/>
      </c>
    </row>
    <row r="33" spans="1:7" ht="15.75" customHeight="1">
      <c r="A33" s="585" t="s">
        <v>188</v>
      </c>
      <c r="B33" s="586"/>
      <c r="C33" s="587"/>
      <c r="D33" s="456" t="str">
        <f>IF('RNR Hearing Notice'!E19&gt;0, 'RNR Hearing Notice'!E19, " ")</f>
        <v xml:space="preserve"> </v>
      </c>
      <c r="E33" s="458"/>
      <c r="F33" s="590"/>
      <c r="G33" s="592"/>
    </row>
    <row r="34" spans="1:7">
      <c r="A34" s="585" t="s">
        <v>189</v>
      </c>
      <c r="B34" s="586"/>
      <c r="C34" s="587"/>
      <c r="D34" s="335" t="str">
        <f>IF('NR Rebate'!C36&gt;0,'NR Rebate'!C36, " ")</f>
        <v xml:space="preserve"> </v>
      </c>
      <c r="E34" s="458"/>
      <c r="F34" s="460"/>
      <c r="G34" s="459"/>
    </row>
    <row r="35" spans="1:7">
      <c r="A35" s="6"/>
      <c r="B35" s="6"/>
      <c r="C35" s="336"/>
      <c r="D35" s="334"/>
      <c r="E35" s="459"/>
      <c r="F35" s="459" t="s">
        <v>190</v>
      </c>
      <c r="G35" s="461">
        <f>inputOth!D29</f>
        <v>0</v>
      </c>
    </row>
    <row r="36" spans="1:7" ht="9" customHeight="1">
      <c r="A36" s="6"/>
      <c r="B36" s="6"/>
      <c r="C36" s="19"/>
      <c r="D36" s="80"/>
      <c r="E36" s="457"/>
      <c r="F36" s="457"/>
      <c r="G36" s="6"/>
    </row>
    <row r="37" spans="1:7">
      <c r="A37" s="6"/>
      <c r="B37" s="6"/>
      <c r="C37" s="580" t="str">
        <f>CONCATENATE("County Clerk's Use Only - November 1, ",G1-1," - Final Assessed Valuation")</f>
        <v>County Clerk's Use Only - November 1, 2023 - Final Assessed Valuation</v>
      </c>
      <c r="D37" s="581"/>
      <c r="E37" s="581"/>
      <c r="F37" s="581"/>
      <c r="G37" s="582"/>
    </row>
    <row r="38" spans="1:7">
      <c r="A38" s="6"/>
      <c r="B38" s="6"/>
      <c r="C38" s="593" t="s">
        <v>121</v>
      </c>
      <c r="D38" s="594"/>
      <c r="E38" s="462" t="s">
        <v>191</v>
      </c>
      <c r="F38" s="462" t="s">
        <v>192</v>
      </c>
      <c r="G38" s="478" t="s">
        <v>191</v>
      </c>
    </row>
    <row r="39" spans="1:7" ht="15.75" customHeight="1">
      <c r="A39" s="6"/>
      <c r="B39" s="6"/>
      <c r="C39" s="577">
        <f>inputPrYr!D4</f>
        <v>0</v>
      </c>
      <c r="D39" s="578"/>
      <c r="E39" s="490"/>
      <c r="F39" s="479">
        <f>inputPrYr!D13</f>
        <v>0</v>
      </c>
      <c r="G39" s="490"/>
    </row>
    <row r="40" spans="1:7">
      <c r="A40" s="6"/>
      <c r="B40" s="6"/>
      <c r="C40" s="577">
        <f>inputPrYr!D6</f>
        <v>0</v>
      </c>
      <c r="D40" s="578"/>
      <c r="E40" s="491"/>
      <c r="F40" s="479">
        <f>inputPrYr!D14</f>
        <v>0</v>
      </c>
      <c r="G40" s="491"/>
    </row>
    <row r="41" spans="1:7">
      <c r="A41" s="6"/>
      <c r="B41" s="6"/>
      <c r="C41" s="577">
        <f>inputPrYr!D7</f>
        <v>0</v>
      </c>
      <c r="D41" s="578"/>
      <c r="E41" s="491"/>
      <c r="F41" s="479">
        <f>inputPrYr!D15</f>
        <v>0</v>
      </c>
      <c r="G41" s="491"/>
    </row>
    <row r="42" spans="1:7">
      <c r="A42" s="6"/>
      <c r="B42" s="6"/>
      <c r="C42" s="577">
        <f>inputPrYr!D8</f>
        <v>0</v>
      </c>
      <c r="D42" s="578"/>
      <c r="E42" s="491"/>
      <c r="F42" s="479">
        <f>inputPrYr!D16</f>
        <v>0</v>
      </c>
      <c r="G42" s="491"/>
    </row>
    <row r="43" spans="1:7">
      <c r="A43" s="6"/>
      <c r="B43" s="6"/>
      <c r="C43" s="577">
        <f>inputPrYr!D9</f>
        <v>0</v>
      </c>
      <c r="D43" s="578"/>
      <c r="E43" s="491"/>
      <c r="F43" s="479">
        <f>inputPrYr!D17</f>
        <v>0</v>
      </c>
      <c r="G43" s="491"/>
    </row>
    <row r="44" spans="1:7">
      <c r="A44" s="6"/>
      <c r="B44" s="6"/>
      <c r="C44" s="577">
        <f>inputPrYr!D10</f>
        <v>0</v>
      </c>
      <c r="D44" s="578"/>
      <c r="E44" s="491"/>
      <c r="F44" s="479">
        <f>inputPrYr!D18</f>
        <v>0</v>
      </c>
      <c r="G44" s="491"/>
    </row>
    <row r="45" spans="1:7">
      <c r="A45" s="6"/>
      <c r="B45" s="6"/>
      <c r="C45" s="577">
        <f>inputPrYr!D11</f>
        <v>0</v>
      </c>
      <c r="D45" s="578"/>
      <c r="E45" s="491"/>
      <c r="F45" s="479">
        <f>inputPrYr!D19</f>
        <v>0</v>
      </c>
      <c r="G45" s="491"/>
    </row>
    <row r="46" spans="1:7">
      <c r="A46" s="6"/>
      <c r="B46" s="6"/>
      <c r="C46" s="577">
        <f>inputPrYr!D12</f>
        <v>0</v>
      </c>
      <c r="D46" s="578"/>
      <c r="E46" s="491"/>
      <c r="F46" s="479">
        <f>inputPrYr!D20</f>
        <v>0</v>
      </c>
      <c r="G46" s="491"/>
    </row>
    <row r="47" spans="1:7">
      <c r="A47" s="6"/>
      <c r="B47" s="6"/>
      <c r="C47" s="463"/>
      <c r="D47" s="463"/>
      <c r="E47" s="463"/>
      <c r="F47" s="464" t="s">
        <v>193</v>
      </c>
      <c r="G47" s="492">
        <f>SUM(G39:G46,E39:E46)</f>
        <v>0</v>
      </c>
    </row>
    <row r="48" spans="1:7">
      <c r="A48" s="7" t="s">
        <v>194</v>
      </c>
      <c r="B48" s="7"/>
      <c r="C48" s="7"/>
      <c r="D48" s="7"/>
      <c r="E48" s="82"/>
      <c r="F48" s="7"/>
      <c r="G48" s="7"/>
    </row>
    <row r="49" spans="1:7">
      <c r="A49" s="83"/>
      <c r="B49" s="83"/>
      <c r="C49" s="7"/>
      <c r="D49" s="7" t="s">
        <v>195</v>
      </c>
      <c r="E49" s="269"/>
      <c r="F49" s="7"/>
      <c r="G49" s="7"/>
    </row>
    <row r="50" spans="1:7">
      <c r="A50" s="9"/>
      <c r="B50" s="9"/>
      <c r="C50" s="6"/>
      <c r="D50" s="6"/>
      <c r="E50" s="7"/>
      <c r="F50" s="7"/>
      <c r="G50" s="7"/>
    </row>
    <row r="51" spans="1:7">
      <c r="A51" s="6" t="s">
        <v>196</v>
      </c>
      <c r="B51" s="7"/>
      <c r="C51" s="7"/>
      <c r="D51" s="7" t="s">
        <v>195</v>
      </c>
      <c r="E51" s="7"/>
      <c r="F51" s="57"/>
      <c r="G51" s="57"/>
    </row>
    <row r="52" spans="1:7">
      <c r="A52" s="83"/>
      <c r="B52" s="83"/>
      <c r="C52" s="6"/>
      <c r="D52" s="7"/>
      <c r="E52" s="7"/>
      <c r="F52" s="49"/>
      <c r="G52" s="49"/>
    </row>
    <row r="53" spans="1:7">
      <c r="A53" s="9"/>
      <c r="B53" s="9"/>
      <c r="C53" s="7"/>
      <c r="D53" s="7" t="s">
        <v>195</v>
      </c>
      <c r="E53" s="7"/>
      <c r="F53" s="287"/>
      <c r="G53" s="287"/>
    </row>
    <row r="54" spans="1:7">
      <c r="A54" s="9"/>
      <c r="B54" s="9"/>
      <c r="C54" s="7"/>
      <c r="D54" s="7"/>
      <c r="E54" s="7"/>
      <c r="F54" s="49"/>
      <c r="G54" s="49"/>
    </row>
    <row r="55" spans="1:7">
      <c r="A55" s="7" t="s">
        <v>197</v>
      </c>
      <c r="B55" s="7"/>
      <c r="C55" s="7"/>
      <c r="D55" s="7" t="s">
        <v>195</v>
      </c>
      <c r="E55" s="7"/>
      <c r="F55" s="287"/>
      <c r="G55" s="287"/>
    </row>
    <row r="56" spans="1:7">
      <c r="A56" s="83"/>
      <c r="B56" s="83"/>
      <c r="C56" s="7"/>
      <c r="D56" s="7"/>
      <c r="E56" s="7"/>
      <c r="F56" s="475"/>
      <c r="G56" s="475"/>
    </row>
    <row r="57" spans="1:7">
      <c r="A57" s="7"/>
      <c r="B57" s="7"/>
      <c r="C57" s="7"/>
      <c r="D57" s="7" t="s">
        <v>195</v>
      </c>
      <c r="E57" s="7"/>
      <c r="F57" s="7"/>
      <c r="G57" s="7"/>
    </row>
    <row r="58" spans="1:7">
      <c r="A58" s="7"/>
      <c r="B58" s="7"/>
      <c r="C58" s="7"/>
      <c r="D58" s="7"/>
      <c r="E58" s="7"/>
      <c r="F58" s="7"/>
      <c r="G58" s="7"/>
    </row>
    <row r="59" spans="1:7">
      <c r="A59" s="6" t="s">
        <v>198</v>
      </c>
      <c r="B59" s="7"/>
      <c r="C59" s="6">
        <f>G1-1</f>
        <v>2023</v>
      </c>
      <c r="D59" s="7" t="s">
        <v>195</v>
      </c>
      <c r="E59" s="7"/>
      <c r="F59" s="7"/>
      <c r="G59" s="7"/>
    </row>
    <row r="60" spans="1:7">
      <c r="A60" s="7"/>
      <c r="B60" s="7"/>
      <c r="C60" s="7"/>
      <c r="D60" s="7"/>
      <c r="E60" s="7"/>
      <c r="F60" s="7"/>
      <c r="G60" s="7"/>
    </row>
    <row r="61" spans="1:7">
      <c r="A61" s="595"/>
      <c r="B61" s="595"/>
      <c r="C61" s="7"/>
      <c r="D61" s="7" t="s">
        <v>195</v>
      </c>
      <c r="E61" s="7"/>
      <c r="F61" s="7"/>
      <c r="G61" s="7"/>
    </row>
    <row r="62" spans="1:7">
      <c r="A62" s="475" t="s">
        <v>199</v>
      </c>
      <c r="B62" s="475"/>
      <c r="C62" s="7"/>
      <c r="D62" s="579" t="s">
        <v>200</v>
      </c>
      <c r="E62" s="579"/>
      <c r="F62" s="579"/>
      <c r="G62" s="579"/>
    </row>
    <row r="63" spans="1:7">
      <c r="A63" s="82"/>
      <c r="B63" s="82"/>
      <c r="C63" s="82"/>
      <c r="D63" s="269"/>
      <c r="E63" s="269"/>
      <c r="F63" s="269"/>
      <c r="G63" s="269"/>
    </row>
    <row r="64" spans="1:7">
      <c r="A64" s="372" t="s">
        <v>201</v>
      </c>
      <c r="B64" s="373"/>
      <c r="C64" s="373"/>
      <c r="D64" s="373"/>
      <c r="E64" s="373"/>
      <c r="F64" s="373"/>
      <c r="G64" s="374"/>
    </row>
    <row r="65" spans="1:7">
      <c r="A65" s="375"/>
      <c r="B65" s="376"/>
      <c r="C65" s="376"/>
      <c r="D65" s="376"/>
      <c r="E65" s="376"/>
      <c r="F65" s="376"/>
      <c r="G65" s="377"/>
    </row>
    <row r="66" spans="1:7">
      <c r="A66" s="378"/>
      <c r="B66" s="379"/>
      <c r="C66" s="379"/>
      <c r="D66" s="379"/>
      <c r="E66" s="379"/>
      <c r="F66" s="379"/>
      <c r="G66" s="380"/>
    </row>
    <row r="67" spans="1:7">
      <c r="A67" s="82"/>
      <c r="B67" s="82"/>
      <c r="C67" s="82"/>
      <c r="D67" s="82"/>
      <c r="E67" s="82"/>
      <c r="F67" s="82"/>
      <c r="G67" s="82"/>
    </row>
    <row r="68" spans="1:7">
      <c r="G68" s="371"/>
    </row>
    <row r="69" spans="1:7">
      <c r="G69" s="371"/>
    </row>
    <row r="70" spans="1:7">
      <c r="G70" s="371"/>
    </row>
    <row r="71" spans="1:7">
      <c r="G71" s="371"/>
    </row>
    <row r="72" spans="1:7">
      <c r="G72" s="371"/>
    </row>
    <row r="73" spans="1:7">
      <c r="G73" s="371"/>
    </row>
    <row r="74" spans="1:7">
      <c r="G74" s="371"/>
    </row>
    <row r="75" spans="1:7">
      <c r="G75" s="371"/>
    </row>
  </sheetData>
  <sheetProtection sheet="1" objects="1" scenarios="1"/>
  <mergeCells count="26">
    <mergeCell ref="A4:G4"/>
    <mergeCell ref="F15:F17"/>
    <mergeCell ref="A6:G6"/>
    <mergeCell ref="A8:G8"/>
    <mergeCell ref="E14:G14"/>
    <mergeCell ref="D62:G62"/>
    <mergeCell ref="C37:G37"/>
    <mergeCell ref="G15:G17"/>
    <mergeCell ref="E15:E17"/>
    <mergeCell ref="A32:C32"/>
    <mergeCell ref="A33:C33"/>
    <mergeCell ref="A34:C34"/>
    <mergeCell ref="A31:C31"/>
    <mergeCell ref="F31:G31"/>
    <mergeCell ref="F32:F33"/>
    <mergeCell ref="G32:G33"/>
    <mergeCell ref="C38:D38"/>
    <mergeCell ref="A61:B61"/>
    <mergeCell ref="C39:D39"/>
    <mergeCell ref="C40:D40"/>
    <mergeCell ref="C41:D41"/>
    <mergeCell ref="C42:D42"/>
    <mergeCell ref="C43:D43"/>
    <mergeCell ref="C44:D44"/>
    <mergeCell ref="C45:D45"/>
    <mergeCell ref="C46:D46"/>
  </mergeCells>
  <phoneticPr fontId="0" type="noConversion"/>
  <pageMargins left="1.5" right="0.66" top="0.3" bottom="0.75" header="0.5" footer="0.3"/>
  <pageSetup scale="75" orientation="portrait" blackAndWhite="1" r:id="rId1"/>
  <headerFooter alignWithMargins="0">
    <oddHeader xml:space="preserve">&amp;R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I35"/>
  <sheetViews>
    <sheetView workbookViewId="0"/>
  </sheetViews>
  <sheetFormatPr defaultRowHeight="15.75"/>
  <cols>
    <col min="1" max="1" width="8.88671875" style="5"/>
    <col min="2" max="2" width="17.77734375" style="5" customWidth="1"/>
    <col min="3" max="3" width="15.77734375" style="5" customWidth="1"/>
    <col min="4" max="4" width="12.77734375" style="5" customWidth="1"/>
    <col min="5" max="5" width="13.21875" style="5" customWidth="1"/>
    <col min="6" max="8" width="12.77734375" style="5" customWidth="1"/>
    <col min="9" max="9" width="10.77734375" style="5" customWidth="1"/>
    <col min="10" max="16384" width="8.88671875" style="5"/>
  </cols>
  <sheetData>
    <row r="1" spans="1:9">
      <c r="A1" s="7"/>
      <c r="B1" s="7">
        <f>inputPrYr!D3</f>
        <v>0</v>
      </c>
      <c r="C1" s="7"/>
      <c r="D1" s="7"/>
      <c r="E1" s="7"/>
      <c r="F1" s="7"/>
      <c r="G1" s="7"/>
      <c r="H1" s="7"/>
      <c r="I1" s="7">
        <f>inputPrYr!D22</f>
        <v>2024</v>
      </c>
    </row>
    <row r="2" spans="1:9">
      <c r="A2" s="7"/>
      <c r="B2" s="7">
        <f>inputPrYr!D4</f>
        <v>0</v>
      </c>
      <c r="C2" s="7"/>
      <c r="D2" s="7"/>
      <c r="E2" s="7"/>
      <c r="F2" s="7"/>
      <c r="G2" s="7"/>
      <c r="H2" s="7"/>
      <c r="I2" s="7"/>
    </row>
    <row r="3" spans="1:9">
      <c r="A3" s="49"/>
      <c r="B3" s="7"/>
      <c r="C3" s="11"/>
      <c r="D3" s="11"/>
      <c r="E3" s="11"/>
      <c r="F3" s="7"/>
      <c r="G3" s="7"/>
      <c r="H3" s="7"/>
      <c r="I3" s="7"/>
    </row>
    <row r="4" spans="1:9">
      <c r="A4" s="604" t="s">
        <v>202</v>
      </c>
      <c r="B4" s="604"/>
      <c r="C4" s="604"/>
      <c r="D4" s="604"/>
      <c r="E4" s="604"/>
      <c r="F4" s="604"/>
      <c r="G4" s="604"/>
      <c r="H4" s="604"/>
      <c r="I4" s="604"/>
    </row>
    <row r="5" spans="1:9">
      <c r="A5" s="480"/>
      <c r="B5" s="480"/>
      <c r="C5" s="480"/>
      <c r="D5" s="480"/>
      <c r="E5" s="480"/>
      <c r="F5" s="480"/>
      <c r="G5" s="480"/>
      <c r="H5" s="480"/>
      <c r="I5" s="480"/>
    </row>
    <row r="6" spans="1:9">
      <c r="A6" s="7"/>
      <c r="B6" s="7"/>
      <c r="C6" s="7"/>
      <c r="D6" s="7"/>
      <c r="E6" s="7"/>
      <c r="F6" s="7"/>
      <c r="G6" s="7"/>
      <c r="H6" s="7"/>
      <c r="I6" s="7"/>
    </row>
    <row r="7" spans="1:9">
      <c r="A7" s="7"/>
      <c r="B7" s="601" t="str">
        <f>CONCATENATE("",I1-1,"                    Budgeted Funds")</f>
        <v>2023                    Budgeted Funds</v>
      </c>
      <c r="C7" s="603" t="str">
        <f>CONCATENATE("Tax Levy Amount in ",I1-1," Budget")</f>
        <v>Tax Levy Amount in 2023 Budget</v>
      </c>
      <c r="D7" s="598" t="str">
        <f>CONCATENATE("Allocation for Year ",I1,"")</f>
        <v>Allocation for Year 2024</v>
      </c>
      <c r="E7" s="560"/>
      <c r="F7" s="560"/>
      <c r="G7" s="560"/>
      <c r="H7" s="561"/>
      <c r="I7" s="7"/>
    </row>
    <row r="8" spans="1:9" ht="18" customHeight="1">
      <c r="A8" s="7"/>
      <c r="B8" s="602"/>
      <c r="C8" s="602"/>
      <c r="D8" s="47" t="s">
        <v>203</v>
      </c>
      <c r="E8" s="47" t="s">
        <v>204</v>
      </c>
      <c r="F8" s="47" t="s">
        <v>205</v>
      </c>
      <c r="G8" s="368" t="s">
        <v>206</v>
      </c>
      <c r="H8" s="368" t="s">
        <v>207</v>
      </c>
      <c r="I8" s="7"/>
    </row>
    <row r="9" spans="1:9">
      <c r="A9" s="7"/>
      <c r="B9" s="25" t="str">
        <f>inputPrYr!B35</f>
        <v>General</v>
      </c>
      <c r="C9" s="69">
        <f>inputPrYr!E35</f>
        <v>0</v>
      </c>
      <c r="D9" s="69">
        <f>IF(E15=0,0,E15-SUM(D10:D12))</f>
        <v>0</v>
      </c>
      <c r="E9" s="69">
        <f>IF(E17=0,0,E17-SUM(E10:E12))</f>
        <v>0</v>
      </c>
      <c r="F9" s="69">
        <f>IF(E19=0,0,E19-SUM(F10:F12))</f>
        <v>0</v>
      </c>
      <c r="G9" s="69">
        <f>IF(E21=0,0,E21-SUM(G10:G12))</f>
        <v>0</v>
      </c>
      <c r="H9" s="69">
        <f>IF(E23=0,0,E23-SUM(H10:H12))</f>
        <v>0</v>
      </c>
      <c r="I9" s="7"/>
    </row>
    <row r="10" spans="1:9">
      <c r="A10" s="7"/>
      <c r="B10" s="25" t="str">
        <f>inputPrYr!B36</f>
        <v>Debt Service</v>
      </c>
      <c r="C10" s="69">
        <f>inputPrYr!E36</f>
        <v>0</v>
      </c>
      <c r="D10" s="69">
        <f>IF($E$15=0,0,ROUND(C10*$C$25,0))</f>
        <v>0</v>
      </c>
      <c r="E10" s="69">
        <f>IF($E$17=0,0,ROUND(C10*$D$27,0))</f>
        <v>0</v>
      </c>
      <c r="F10" s="69">
        <f>IF($E19=0,0,ROUND(C10*$E$29,0))</f>
        <v>0</v>
      </c>
      <c r="G10" s="69">
        <f>IF($E21=0,0,ROUND(C10*$F$31,0))</f>
        <v>0</v>
      </c>
      <c r="H10" s="69">
        <f>IF($E23=0,0,ROUND(C10*$G$33,0))</f>
        <v>0</v>
      </c>
      <c r="I10" s="7"/>
    </row>
    <row r="11" spans="1:9">
      <c r="A11" s="7"/>
      <c r="B11" s="25" t="str">
        <f>IF(inputPrYr!$B$38&gt;"  ",inputPrYr!$B$38,"  ")</f>
        <v xml:space="preserve">  </v>
      </c>
      <c r="C11" s="69">
        <f>inputPrYr!E38</f>
        <v>0</v>
      </c>
      <c r="D11" s="69">
        <f>IF($E$15=0,0,ROUND(C11*$C$25,0))</f>
        <v>0</v>
      </c>
      <c r="E11" s="69">
        <f>IF($E$17=0,0,ROUND(C11*$D$27,0))</f>
        <v>0</v>
      </c>
      <c r="F11" s="69">
        <f>IF($E19=0,0,ROUND(C11*$E$29,0))</f>
        <v>0</v>
      </c>
      <c r="G11" s="69">
        <f>IF($E21=0,0,ROUND(C11*$F$31,0))</f>
        <v>0</v>
      </c>
      <c r="H11" s="69">
        <f>IF($E23=0,0,ROUND(C11*$G$33,0))</f>
        <v>0</v>
      </c>
      <c r="I11" s="7"/>
    </row>
    <row r="12" spans="1:9">
      <c r="A12" s="7"/>
      <c r="B12" s="25" t="str">
        <f>IF(inputPrYr!$B$39&gt;"  ",inputPrYr!$B$39,"  ")</f>
        <v xml:space="preserve">  </v>
      </c>
      <c r="C12" s="69">
        <f>inputPrYr!E39</f>
        <v>0</v>
      </c>
      <c r="D12" s="69">
        <f>IF($E$15=0,0,ROUND(C12*$C$25,0))</f>
        <v>0</v>
      </c>
      <c r="E12" s="69">
        <f>IF($E$17=0,0,ROUND(C12*$D$27,0))</f>
        <v>0</v>
      </c>
      <c r="F12" s="69">
        <f>IF($E19=0,0,ROUND(C12*$E$29,0))</f>
        <v>0</v>
      </c>
      <c r="G12" s="69">
        <f>IF($E21=0,0,ROUND(C12*$F$31,0))</f>
        <v>0</v>
      </c>
      <c r="H12" s="69">
        <f>IF($E23=0,0,ROUND(C12*$G$33,0))</f>
        <v>0</v>
      </c>
      <c r="I12" s="7"/>
    </row>
    <row r="13" spans="1:9" ht="16.5" thickBot="1">
      <c r="A13" s="7"/>
      <c r="B13" s="436" t="s">
        <v>115</v>
      </c>
      <c r="C13" s="238">
        <f t="shared" ref="C13:H13" si="0">SUM(C9:C12)</f>
        <v>0</v>
      </c>
      <c r="D13" s="238">
        <f t="shared" si="0"/>
        <v>0</v>
      </c>
      <c r="E13" s="238">
        <f t="shared" si="0"/>
        <v>0</v>
      </c>
      <c r="F13" s="238">
        <f t="shared" si="0"/>
        <v>0</v>
      </c>
      <c r="G13" s="238">
        <f t="shared" si="0"/>
        <v>0</v>
      </c>
      <c r="H13" s="238">
        <f t="shared" si="0"/>
        <v>0</v>
      </c>
      <c r="I13" s="7"/>
    </row>
    <row r="14" spans="1:9" ht="16.5" thickTop="1">
      <c r="A14" s="7"/>
      <c r="B14" s="7"/>
      <c r="C14" s="7"/>
      <c r="D14" s="7"/>
      <c r="E14" s="7"/>
      <c r="F14" s="7"/>
      <c r="G14" s="7"/>
      <c r="H14" s="7"/>
      <c r="I14" s="7"/>
    </row>
    <row r="15" spans="1:9">
      <c r="A15" s="7"/>
      <c r="B15" s="367" t="s">
        <v>208</v>
      </c>
      <c r="C15" s="7"/>
      <c r="D15" s="7"/>
      <c r="E15" s="86">
        <f>inputOth!B77</f>
        <v>0</v>
      </c>
      <c r="F15" s="7"/>
      <c r="G15" s="7"/>
      <c r="H15" s="7"/>
      <c r="I15" s="7"/>
    </row>
    <row r="16" spans="1:9">
      <c r="A16" s="7"/>
      <c r="B16" s="366"/>
      <c r="C16" s="7"/>
      <c r="D16" s="85"/>
      <c r="E16" s="85"/>
      <c r="F16" s="7"/>
      <c r="G16" s="7"/>
      <c r="H16" s="7"/>
      <c r="I16" s="7"/>
    </row>
    <row r="17" spans="1:9">
      <c r="A17" s="7"/>
      <c r="B17" s="367" t="s">
        <v>209</v>
      </c>
      <c r="C17" s="7"/>
      <c r="D17" s="85"/>
      <c r="E17" s="86">
        <f>inputOth!C77</f>
        <v>0</v>
      </c>
      <c r="F17" s="7"/>
      <c r="G17" s="7"/>
      <c r="H17" s="7"/>
      <c r="I17" s="7"/>
    </row>
    <row r="18" spans="1:9">
      <c r="A18" s="7"/>
      <c r="B18" s="366"/>
      <c r="C18" s="7"/>
      <c r="D18" s="7"/>
      <c r="E18" s="7"/>
      <c r="F18" s="7"/>
      <c r="G18" s="7"/>
      <c r="H18" s="7"/>
      <c r="I18" s="7"/>
    </row>
    <row r="19" spans="1:9">
      <c r="A19" s="7"/>
      <c r="B19" s="367" t="s">
        <v>210</v>
      </c>
      <c r="C19" s="7"/>
      <c r="D19" s="7"/>
      <c r="E19" s="86">
        <f>inputOth!D77</f>
        <v>0</v>
      </c>
      <c r="F19" s="7"/>
      <c r="G19" s="7"/>
      <c r="H19" s="7"/>
      <c r="I19" s="7"/>
    </row>
    <row r="20" spans="1:9">
      <c r="A20" s="7"/>
      <c r="B20" s="366"/>
      <c r="C20" s="7"/>
      <c r="D20" s="7"/>
      <c r="E20" s="85"/>
      <c r="F20" s="7"/>
      <c r="G20" s="7"/>
      <c r="H20" s="7"/>
      <c r="I20" s="7"/>
    </row>
    <row r="21" spans="1:9">
      <c r="A21" s="7"/>
      <c r="B21" s="366" t="s">
        <v>211</v>
      </c>
      <c r="C21" s="7"/>
      <c r="D21" s="7"/>
      <c r="E21" s="86">
        <f>inputOth!E77</f>
        <v>0</v>
      </c>
      <c r="F21" s="7"/>
      <c r="G21" s="7"/>
      <c r="H21" s="7"/>
      <c r="I21" s="7"/>
    </row>
    <row r="22" spans="1:9">
      <c r="A22" s="7"/>
      <c r="B22" s="366"/>
      <c r="C22" s="7"/>
      <c r="D22" s="7"/>
      <c r="E22" s="85"/>
      <c r="F22" s="7"/>
      <c r="G22" s="7"/>
      <c r="H22" s="7"/>
      <c r="I22" s="7"/>
    </row>
    <row r="23" spans="1:9">
      <c r="A23" s="7"/>
      <c r="B23" s="366" t="s">
        <v>212</v>
      </c>
      <c r="C23" s="7"/>
      <c r="D23" s="7"/>
      <c r="E23" s="86">
        <f>inputOth!F77</f>
        <v>0</v>
      </c>
      <c r="F23" s="7"/>
      <c r="G23" s="7"/>
      <c r="H23" s="7"/>
      <c r="I23" s="7"/>
    </row>
    <row r="24" spans="1:9">
      <c r="A24" s="7"/>
      <c r="B24" s="260"/>
      <c r="C24" s="260"/>
      <c r="D24" s="260"/>
      <c r="E24" s="260"/>
      <c r="F24" s="7"/>
      <c r="G24" s="7"/>
      <c r="H24" s="7"/>
      <c r="I24" s="7"/>
    </row>
    <row r="25" spans="1:9">
      <c r="A25" s="7"/>
      <c r="B25" s="485" t="s">
        <v>213</v>
      </c>
      <c r="C25" s="359">
        <f>IF(C13=0,0,E15/C13)</f>
        <v>0</v>
      </c>
      <c r="D25" s="260"/>
      <c r="E25" s="260"/>
      <c r="F25" s="7"/>
      <c r="G25" s="7"/>
      <c r="H25" s="7"/>
      <c r="I25" s="7"/>
    </row>
    <row r="26" spans="1:9">
      <c r="A26" s="7"/>
      <c r="B26" s="360"/>
      <c r="C26" s="361"/>
      <c r="D26" s="260"/>
      <c r="E26" s="260"/>
      <c r="F26" s="7"/>
      <c r="G26" s="7"/>
      <c r="H26" s="7"/>
      <c r="I26" s="7"/>
    </row>
    <row r="27" spans="1:9">
      <c r="A27" s="7"/>
      <c r="B27" s="260"/>
      <c r="C27" s="485" t="s">
        <v>214</v>
      </c>
      <c r="D27" s="362">
        <f>IF(C13=0,0,E17/C13)</f>
        <v>0</v>
      </c>
      <c r="E27" s="260"/>
      <c r="F27" s="7"/>
      <c r="G27" s="7"/>
      <c r="H27" s="7"/>
      <c r="I27" s="7"/>
    </row>
    <row r="28" spans="1:9">
      <c r="A28" s="7"/>
      <c r="B28" s="260"/>
      <c r="C28" s="360"/>
      <c r="D28" s="363"/>
      <c r="E28" s="260"/>
      <c r="F28" s="7"/>
      <c r="G28" s="7"/>
      <c r="H28" s="7"/>
      <c r="I28" s="7"/>
    </row>
    <row r="29" spans="1:9">
      <c r="A29" s="7"/>
      <c r="B29" s="260"/>
      <c r="C29" s="260"/>
      <c r="D29" s="485" t="s">
        <v>215</v>
      </c>
      <c r="E29" s="362">
        <f>IF(C13=0,0,E19/C13)</f>
        <v>0</v>
      </c>
      <c r="F29" s="7"/>
      <c r="G29" s="7"/>
      <c r="H29" s="7"/>
      <c r="I29" s="7"/>
    </row>
    <row r="30" spans="1:9">
      <c r="A30" s="7"/>
      <c r="B30" s="260"/>
      <c r="C30" s="260"/>
      <c r="D30" s="485"/>
      <c r="E30" s="363"/>
      <c r="F30" s="7"/>
      <c r="G30" s="7"/>
      <c r="H30" s="7"/>
      <c r="I30" s="7"/>
    </row>
    <row r="31" spans="1:9">
      <c r="A31" s="7"/>
      <c r="B31" s="260"/>
      <c r="C31" s="260"/>
      <c r="D31" s="485"/>
      <c r="E31" s="364" t="s">
        <v>216</v>
      </c>
      <c r="F31" s="362">
        <f>IF(C13=0,0,E21/C13)</f>
        <v>0</v>
      </c>
      <c r="G31" s="7"/>
      <c r="H31" s="7"/>
      <c r="I31" s="7"/>
    </row>
    <row r="32" spans="1:9">
      <c r="A32" s="7"/>
      <c r="B32" s="260"/>
      <c r="C32" s="260"/>
      <c r="D32" s="485"/>
      <c r="E32" s="363"/>
      <c r="F32" s="7"/>
      <c r="G32" s="7"/>
      <c r="H32" s="7"/>
      <c r="I32" s="7"/>
    </row>
    <row r="33" spans="1:9">
      <c r="A33" s="7"/>
      <c r="B33" s="260"/>
      <c r="C33" s="260"/>
      <c r="D33" s="485"/>
      <c r="E33" s="363"/>
      <c r="F33" s="365" t="s">
        <v>217</v>
      </c>
      <c r="G33" s="362">
        <f>IF(C13=0,0,E23/C13)</f>
        <v>0</v>
      </c>
      <c r="H33" s="7"/>
      <c r="I33" s="7"/>
    </row>
    <row r="34" spans="1:9">
      <c r="A34" s="7"/>
      <c r="B34" s="7"/>
      <c r="C34" s="7"/>
      <c r="D34" s="7"/>
      <c r="E34" s="7"/>
      <c r="F34" s="7"/>
      <c r="G34" s="7"/>
      <c r="H34" s="7"/>
      <c r="I34" s="7"/>
    </row>
    <row r="35" spans="1:9">
      <c r="A35" s="7"/>
      <c r="B35" s="7"/>
      <c r="C35" s="7"/>
      <c r="D35" s="7"/>
      <c r="E35" s="7"/>
      <c r="F35" s="7"/>
      <c r="G35" s="7"/>
      <c r="H35" s="85"/>
      <c r="I35" s="7"/>
    </row>
  </sheetData>
  <sheetProtection sheet="1"/>
  <mergeCells count="4">
    <mergeCell ref="B7:B8"/>
    <mergeCell ref="C7:C8"/>
    <mergeCell ref="A4:I4"/>
    <mergeCell ref="D7:H7"/>
  </mergeCells>
  <phoneticPr fontId="0" type="noConversion"/>
  <pageMargins left="1.63" right="0.5" top="1" bottom="0.5" header="0.5" footer="0.5"/>
  <pageSetup scale="80" orientation="landscape" blackAndWhite="1" horizontalDpi="120" verticalDpi="144" r:id="rId1"/>
  <headerFooter alignWithMargins="0">
    <oddHeader xml:space="preserve">&amp;RState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G30"/>
  <sheetViews>
    <sheetView workbookViewId="0"/>
  </sheetViews>
  <sheetFormatPr defaultRowHeight="15.75"/>
  <cols>
    <col min="1" max="2" width="17.77734375" style="5" customWidth="1"/>
    <col min="3" max="6" width="12.77734375" style="5" customWidth="1"/>
    <col min="7" max="16384" width="8.88671875" style="5"/>
  </cols>
  <sheetData>
    <row r="1" spans="1:6">
      <c r="A1" s="85"/>
      <c r="B1" s="7"/>
      <c r="C1" s="7"/>
      <c r="D1" s="7"/>
      <c r="E1" s="84"/>
      <c r="F1" s="7">
        <f>inputPrYr!D22</f>
        <v>2024</v>
      </c>
    </row>
    <row r="2" spans="1:6">
      <c r="A2" s="85">
        <f>inputPrYr!D3</f>
        <v>0</v>
      </c>
      <c r="B2" s="85"/>
      <c r="C2" s="7"/>
      <c r="D2" s="7"/>
      <c r="E2" s="84"/>
      <c r="F2" s="7"/>
    </row>
    <row r="3" spans="1:6">
      <c r="A3" s="85">
        <f>inputPrYr!D4</f>
        <v>0</v>
      </c>
      <c r="B3" s="85"/>
      <c r="C3" s="7"/>
      <c r="D3" s="7"/>
      <c r="E3" s="84"/>
      <c r="F3" s="7"/>
    </row>
    <row r="4" spans="1:6">
      <c r="A4" s="85"/>
      <c r="B4" s="7"/>
      <c r="C4" s="7"/>
      <c r="D4" s="7"/>
      <c r="E4" s="84"/>
      <c r="F4" s="7"/>
    </row>
    <row r="5" spans="1:6" ht="15" customHeight="1">
      <c r="A5" s="596" t="s">
        <v>181</v>
      </c>
      <c r="B5" s="596"/>
      <c r="C5" s="596"/>
      <c r="D5" s="596"/>
      <c r="E5" s="596"/>
      <c r="F5" s="596"/>
    </row>
    <row r="6" spans="1:6" ht="14.25" customHeight="1">
      <c r="A6" s="473"/>
      <c r="B6" s="87"/>
      <c r="C6" s="87"/>
      <c r="D6" s="87"/>
      <c r="E6" s="87"/>
      <c r="F6" s="87"/>
    </row>
    <row r="7" spans="1:6" ht="17.25" customHeight="1">
      <c r="A7" s="88" t="s">
        <v>218</v>
      </c>
      <c r="B7" s="88" t="s">
        <v>219</v>
      </c>
      <c r="C7" s="88" t="s">
        <v>220</v>
      </c>
      <c r="D7" s="88" t="s">
        <v>221</v>
      </c>
      <c r="E7" s="88" t="s">
        <v>222</v>
      </c>
      <c r="F7" s="88" t="s">
        <v>223</v>
      </c>
    </row>
    <row r="8" spans="1:6" ht="17.25" customHeight="1">
      <c r="A8" s="89" t="s">
        <v>224</v>
      </c>
      <c r="B8" s="89" t="s">
        <v>225</v>
      </c>
      <c r="C8" s="89" t="s">
        <v>226</v>
      </c>
      <c r="D8" s="89" t="s">
        <v>226</v>
      </c>
      <c r="E8" s="89" t="s">
        <v>226</v>
      </c>
      <c r="F8" s="89" t="s">
        <v>227</v>
      </c>
    </row>
    <row r="9" spans="1:6" s="92" customFormat="1" ht="18" customHeight="1">
      <c r="A9" s="90" t="s">
        <v>228</v>
      </c>
      <c r="B9" s="90" t="s">
        <v>229</v>
      </c>
      <c r="C9" s="91">
        <f>F1-2</f>
        <v>2022</v>
      </c>
      <c r="D9" s="91">
        <f>F1-1</f>
        <v>2023</v>
      </c>
      <c r="E9" s="91">
        <f>F1</f>
        <v>2024</v>
      </c>
      <c r="F9" s="90" t="s">
        <v>230</v>
      </c>
    </row>
    <row r="10" spans="1:6" ht="15" customHeight="1">
      <c r="A10" s="93"/>
      <c r="B10" s="93"/>
      <c r="C10" s="94"/>
      <c r="D10" s="94"/>
      <c r="E10" s="94"/>
      <c r="F10" s="93"/>
    </row>
    <row r="11" spans="1:6" ht="15" customHeight="1">
      <c r="A11" s="24"/>
      <c r="B11" s="24"/>
      <c r="C11" s="95"/>
      <c r="D11" s="95"/>
      <c r="E11" s="95"/>
      <c r="F11" s="24"/>
    </row>
    <row r="12" spans="1:6" ht="15" customHeight="1">
      <c r="A12" s="24"/>
      <c r="B12" s="24"/>
      <c r="C12" s="95"/>
      <c r="D12" s="95"/>
      <c r="E12" s="95"/>
      <c r="F12" s="24"/>
    </row>
    <row r="13" spans="1:6" ht="15" customHeight="1">
      <c r="A13" s="24"/>
      <c r="B13" s="24"/>
      <c r="C13" s="95"/>
      <c r="D13" s="95"/>
      <c r="E13" s="95"/>
      <c r="F13" s="24"/>
    </row>
    <row r="14" spans="1:6" ht="15" customHeight="1">
      <c r="A14" s="24"/>
      <c r="B14" s="24"/>
      <c r="C14" s="95"/>
      <c r="D14" s="95"/>
      <c r="E14" s="95"/>
      <c r="F14" s="24"/>
    </row>
    <row r="15" spans="1:6" ht="15" customHeight="1">
      <c r="A15" s="24"/>
      <c r="B15" s="24"/>
      <c r="C15" s="95"/>
      <c r="D15" s="95"/>
      <c r="E15" s="95"/>
      <c r="F15" s="24"/>
    </row>
    <row r="16" spans="1:6" ht="15" customHeight="1">
      <c r="A16" s="24"/>
      <c r="B16" s="96"/>
      <c r="C16" s="95"/>
      <c r="D16" s="95"/>
      <c r="E16" s="95"/>
      <c r="F16" s="24"/>
    </row>
    <row r="17" spans="1:7" ht="15" customHeight="1">
      <c r="A17" s="24"/>
      <c r="B17" s="24"/>
      <c r="C17" s="95"/>
      <c r="D17" s="95"/>
      <c r="E17" s="95"/>
      <c r="F17" s="24"/>
    </row>
    <row r="18" spans="1:7" ht="15" customHeight="1">
      <c r="A18" s="24"/>
      <c r="B18" s="24"/>
      <c r="C18" s="95"/>
      <c r="D18" s="95"/>
      <c r="E18" s="95"/>
      <c r="F18" s="24"/>
    </row>
    <row r="19" spans="1:7" ht="15" customHeight="1">
      <c r="A19" s="24"/>
      <c r="B19" s="24"/>
      <c r="C19" s="95"/>
      <c r="D19" s="95"/>
      <c r="E19" s="95"/>
      <c r="F19" s="24"/>
    </row>
    <row r="20" spans="1:7" ht="15" customHeight="1">
      <c r="A20" s="24"/>
      <c r="B20" s="24"/>
      <c r="C20" s="95"/>
      <c r="D20" s="95"/>
      <c r="E20" s="95"/>
      <c r="F20" s="24"/>
    </row>
    <row r="21" spans="1:7" ht="15" customHeight="1">
      <c r="A21" s="24"/>
      <c r="B21" s="24"/>
      <c r="C21" s="95"/>
      <c r="D21" s="95"/>
      <c r="E21" s="95"/>
      <c r="F21" s="24"/>
    </row>
    <row r="22" spans="1:7" ht="15" customHeight="1">
      <c r="A22" s="24"/>
      <c r="B22" s="24"/>
      <c r="C22" s="95"/>
      <c r="D22" s="95"/>
      <c r="E22" s="95"/>
      <c r="F22" s="24"/>
    </row>
    <row r="23" spans="1:7" ht="15" customHeight="1">
      <c r="A23" s="24"/>
      <c r="B23" s="24"/>
      <c r="C23" s="95"/>
      <c r="D23" s="95"/>
      <c r="E23" s="95"/>
      <c r="F23" s="24"/>
    </row>
    <row r="24" spans="1:7">
      <c r="A24" s="475"/>
      <c r="B24" s="97" t="s">
        <v>123</v>
      </c>
      <c r="C24" s="100">
        <f>SUM(C10:C23)</f>
        <v>0</v>
      </c>
      <c r="D24" s="100">
        <f>SUM(D10:D23)</f>
        <v>0</v>
      </c>
      <c r="E24" s="100">
        <f>SUM(E10:E23)</f>
        <v>0</v>
      </c>
      <c r="F24" s="98"/>
      <c r="G24" s="466"/>
    </row>
    <row r="25" spans="1:7">
      <c r="A25" s="475"/>
      <c r="B25" s="99" t="s">
        <v>231</v>
      </c>
      <c r="C25" s="100"/>
      <c r="D25" s="101"/>
      <c r="E25" s="101"/>
      <c r="F25" s="98"/>
      <c r="G25" s="466"/>
    </row>
    <row r="26" spans="1:7">
      <c r="A26" s="475"/>
      <c r="B26" s="97" t="s">
        <v>232</v>
      </c>
      <c r="C26" s="100">
        <f>C24</f>
        <v>0</v>
      </c>
      <c r="D26" s="100">
        <f>SUM(D24-D25)</f>
        <v>0</v>
      </c>
      <c r="E26" s="100">
        <f>SUM(E24-E25)</f>
        <v>0</v>
      </c>
      <c r="F26" s="98"/>
      <c r="G26" s="466"/>
    </row>
    <row r="27" spans="1:7">
      <c r="A27" s="7"/>
      <c r="B27" s="7"/>
      <c r="C27" s="7"/>
      <c r="D27" s="49"/>
      <c r="E27" s="49"/>
      <c r="F27" s="49"/>
      <c r="G27" s="466"/>
    </row>
    <row r="28" spans="1:7">
      <c r="A28" s="7"/>
      <c r="B28" s="7"/>
      <c r="C28" s="7"/>
      <c r="D28" s="49"/>
      <c r="E28" s="49"/>
      <c r="F28" s="49"/>
      <c r="G28" s="466"/>
    </row>
    <row r="29" spans="1:7">
      <c r="A29" s="207" t="s">
        <v>233</v>
      </c>
      <c r="B29" s="208" t="str">
        <f>CONCATENATE("Adjustments are required only if the transfer is being made in ",D9," and/or ",E9," from a non-budgeted fund.")</f>
        <v>Adjustments are required only if the transfer is being made in 2023 and/or 2024 from a non-budgeted fund.</v>
      </c>
      <c r="C29" s="7"/>
      <c r="D29" s="49"/>
      <c r="E29" s="49"/>
      <c r="F29" s="49"/>
      <c r="G29" s="466"/>
    </row>
    <row r="30" spans="1:7">
      <c r="A30" s="466"/>
      <c r="B30" s="466"/>
      <c r="C30" s="466"/>
      <c r="D30" s="466"/>
      <c r="E30" s="466"/>
      <c r="F30" s="466"/>
      <c r="G30" s="466"/>
    </row>
  </sheetData>
  <sheetProtection sheet="1"/>
  <mergeCells count="1">
    <mergeCell ref="A5:F5"/>
  </mergeCells>
  <phoneticPr fontId="10" type="noConversion"/>
  <pageMargins left="0.75" right="0.75" top="1" bottom="1" header="0.5" footer="0.5"/>
  <pageSetup scale="78" orientation="portrait" blackAndWhite="1" r:id="rId1"/>
  <headerFooter alignWithMargins="0">
    <oddHeader>&amp;RState of Kansas
Special District</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H18" sqref="H18"/>
    </sheetView>
  </sheetViews>
  <sheetFormatPr defaultRowHeight="15"/>
  <cols>
    <col min="1" max="1" width="71.109375" style="32" customWidth="1"/>
    <col min="2" max="16384" width="8.88671875" style="32"/>
  </cols>
  <sheetData>
    <row r="1" spans="1:1" ht="18.75">
      <c r="A1" s="220" t="s">
        <v>234</v>
      </c>
    </row>
    <row r="2" spans="1:1" ht="15.75">
      <c r="A2" s="2"/>
    </row>
    <row r="3" spans="1:1" ht="47.25">
      <c r="A3" s="221" t="s">
        <v>235</v>
      </c>
    </row>
    <row r="4" spans="1:1" ht="15.75">
      <c r="A4" s="222"/>
    </row>
    <row r="5" spans="1:1" ht="15.75">
      <c r="A5" s="2"/>
    </row>
    <row r="6" spans="1:1" ht="63">
      <c r="A6" s="221" t="s">
        <v>236</v>
      </c>
    </row>
    <row r="7" spans="1:1" ht="15.75">
      <c r="A7" s="222"/>
    </row>
    <row r="8" spans="1:1" ht="15.75">
      <c r="A8" s="2"/>
    </row>
    <row r="9" spans="1:1" ht="47.25">
      <c r="A9" s="221" t="s">
        <v>237</v>
      </c>
    </row>
    <row r="10" spans="1:1" ht="15.75">
      <c r="A10" s="222"/>
    </row>
    <row r="11" spans="1:1" ht="15.75">
      <c r="A11" s="222"/>
    </row>
    <row r="12" spans="1:1" ht="31.5">
      <c r="A12" s="221" t="s">
        <v>238</v>
      </c>
    </row>
    <row r="13" spans="1:1" ht="15.75">
      <c r="A13" s="2"/>
    </row>
    <row r="14" spans="1:1" ht="15.75">
      <c r="A14" s="2"/>
    </row>
    <row r="15" spans="1:1" ht="47.25">
      <c r="A15" s="221" t="s">
        <v>239</v>
      </c>
    </row>
    <row r="16" spans="1:1" ht="15.75">
      <c r="A16" s="2"/>
    </row>
    <row r="17" spans="1:1" ht="15.75">
      <c r="A17" s="2"/>
    </row>
    <row r="18" spans="1:1" ht="63">
      <c r="A18" s="223" t="s">
        <v>240</v>
      </c>
    </row>
    <row r="19" spans="1:1" ht="15.75">
      <c r="A19" s="2"/>
    </row>
    <row r="20" spans="1:1" ht="15.75">
      <c r="A20" s="2"/>
    </row>
    <row r="21" spans="1:1" ht="63">
      <c r="A21" s="224" t="s">
        <v>241</v>
      </c>
    </row>
    <row r="22" spans="1:1" ht="15.75">
      <c r="A22" s="222"/>
    </row>
    <row r="23" spans="1:1" ht="15.75">
      <c r="A23" s="2"/>
    </row>
    <row r="24" spans="1:1" ht="63">
      <c r="A24" s="221" t="s">
        <v>242</v>
      </c>
    </row>
    <row r="25" spans="1:1" ht="47.25">
      <c r="A25" s="225" t="s">
        <v>243</v>
      </c>
    </row>
    <row r="26" spans="1:1" ht="15.75">
      <c r="A26" s="222"/>
    </row>
    <row r="27" spans="1:1" ht="15.75">
      <c r="A27" s="2"/>
    </row>
    <row r="28" spans="1:1" ht="63">
      <c r="A28" s="223" t="s">
        <v>244</v>
      </c>
    </row>
    <row r="29" spans="1:1" ht="15.75">
      <c r="A29" s="2"/>
    </row>
    <row r="30" spans="1:1" ht="15.75">
      <c r="A30" s="2"/>
    </row>
    <row r="31" spans="1:1" ht="78.75">
      <c r="A31" s="223" t="s">
        <v>245</v>
      </c>
    </row>
    <row r="32" spans="1:1" ht="15.75">
      <c r="A32" s="2"/>
    </row>
    <row r="33" spans="1:1" ht="15.75">
      <c r="A33" s="2"/>
    </row>
    <row r="34" spans="1:1" ht="47.25">
      <c r="A34" s="488" t="s">
        <v>246</v>
      </c>
    </row>
    <row r="35" spans="1:1" ht="15.75">
      <c r="A35" s="2"/>
    </row>
    <row r="36" spans="1:1" ht="15.75">
      <c r="A36" s="2"/>
    </row>
    <row r="37" spans="1:1" ht="78.75">
      <c r="A37" s="221" t="s">
        <v>247</v>
      </c>
    </row>
    <row r="38" spans="1:1" ht="15.75">
      <c r="A38" s="222"/>
    </row>
    <row r="39" spans="1:1" ht="15.75">
      <c r="A39" s="222"/>
    </row>
    <row r="40" spans="1:1" ht="47.25">
      <c r="A40" s="224" t="s">
        <v>248</v>
      </c>
    </row>
    <row r="41" spans="1:1" ht="15.75">
      <c r="A41" s="222"/>
    </row>
  </sheetData>
  <sheetProtection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da53aa1-44b3-4cd7-9bce-6d7e34741e4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12" ma:contentTypeDescription="Create a new document." ma:contentTypeScope="" ma:versionID="7651c3249043c5a1de3dbca765d0b8ca">
  <xsd:schema xmlns:xsd="http://www.w3.org/2001/XMLSchema" xmlns:xs="http://www.w3.org/2001/XMLSchema" xmlns:p="http://schemas.microsoft.com/office/2006/metadata/properties" xmlns:ns2="1895758b-fcac-4748-aa0a-5720d2d7d486" xmlns:ns3="7e2d0d8f-ac74-4d4c-8884-aff3748a733a" xmlns:ns4="a9343af4-2466-41a9-9238-9dddcc3e6066" xmlns:ns5="eda53aa1-44b3-4cd7-9bce-6d7e34741e47" targetNamespace="http://schemas.microsoft.com/office/2006/metadata/properties" ma:root="true" ma:fieldsID="db0d394f9a5513f0d824e2dca6eb113c" ns2:_="" ns3:_="" ns4:_="" ns5:_="">
    <xsd:import namespace="1895758b-fcac-4748-aa0a-5720d2d7d486"/>
    <xsd:import namespace="7e2d0d8f-ac74-4d4c-8884-aff3748a733a"/>
    <xsd:import namespace="a9343af4-2466-41a9-9238-9dddcc3e6066"/>
    <xsd:import namespace="eda53aa1-44b3-4cd7-9bce-6d7e34741e4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a53aa1-44b3-4cd7-9bce-6d7e34741e4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e2891e4-6779-4a5a-9225-82d50eb2cf56}" ma:internalName="TaxCatchAll" ma:showField="CatchAllData" ma:web="eda53aa1-44b3-4cd7-9bce-6d7e34741e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119F2F-118D-4224-84AA-6F525CF93113}"/>
</file>

<file path=customXml/itemProps2.xml><?xml version="1.0" encoding="utf-8"?>
<ds:datastoreItem xmlns:ds="http://schemas.openxmlformats.org/officeDocument/2006/customXml" ds:itemID="{C03E1F3A-D296-4568-B927-AC8C1452C73D}"/>
</file>

<file path=customXml/itemProps3.xml><?xml version="1.0" encoding="utf-8"?>
<ds:datastoreItem xmlns:ds="http://schemas.openxmlformats.org/officeDocument/2006/customXml" ds:itemID="{9567CA01-78FA-4A59-BC00-59D0ECFB243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Olson, Lindsay [DAAR]</cp:lastModifiedBy>
  <cp:revision/>
  <dcterms:created xsi:type="dcterms:W3CDTF">1999-08-06T13:59:57Z</dcterms:created>
  <dcterms:modified xsi:type="dcterms:W3CDTF">2023-04-20T15:06:42Z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