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55" documentId="8_{3F043DA0-2DD4-44E3-A6A7-852D95A66F81}" xr6:coauthVersionLast="47" xr6:coauthVersionMax="47" xr10:uidLastSave="{FA63762C-DE41-4BF5-9830-76D1030E5D24}"/>
  <bookViews>
    <workbookView xWindow="4965" yWindow="1950" windowWidth="17715" windowHeight="12930" tabRatio="930" xr2:uid="{00000000-000D-0000-FFFF-FFFF00000000}"/>
  </bookViews>
  <sheets>
    <sheet name="Instructions" sheetId="57" r:id="rId1"/>
    <sheet name="inputPrYr" sheetId="2" r:id="rId2"/>
    <sheet name="inputOth" sheetId="38" r:id="rId3"/>
    <sheet name="inputHearing" sheetId="58" r:id="rId4"/>
    <sheet name="CPA Summary" sheetId="56" r:id="rId5"/>
    <sheet name="Cert" sheetId="3" r:id="rId6"/>
    <sheet name="Cert 2" sheetId="4" r:id="rId7"/>
    <sheet name="Mvalloc" sheetId="6" r:id="rId8"/>
    <sheet name="Transfers" sheetId="36" r:id="rId9"/>
    <sheet name="Transfers Statutes" sheetId="42" r:id="rId10"/>
    <sheet name="Debt" sheetId="29" r:id="rId11"/>
    <sheet name="LP Form" sheetId="30" r:id="rId12"/>
    <sheet name="General" sheetId="8" r:id="rId13"/>
    <sheet name="General Detail" sheetId="9" r:id="rId14"/>
    <sheet name="Debt Service" sheetId="37" r:id="rId15"/>
    <sheet name="Road &amp; Bridge" sheetId="39" r:id="rId16"/>
    <sheet name="Road &amp; Bridge Detail" sheetId="11" r:id="rId17"/>
    <sheet name="Levy Page 10" sheetId="10" r:id="rId18"/>
    <sheet name="Levy Page 11" sheetId="12" r:id="rId19"/>
    <sheet name="Levy Page 12" sheetId="13" r:id="rId20"/>
    <sheet name="Levy Page 13" sheetId="14" r:id="rId21"/>
    <sheet name="Levy Page 14" sheetId="15" r:id="rId22"/>
    <sheet name="Levy Page 15" sheetId="16" r:id="rId23"/>
    <sheet name="Levy Page 16" sheetId="17" r:id="rId24"/>
    <sheet name="Levy Page 17" sheetId="18" r:id="rId25"/>
    <sheet name="Levy Page 18" sheetId="19" r:id="rId26"/>
    <sheet name="Levy Page 19" sheetId="20" r:id="rId27"/>
    <sheet name="Levy Page 20" sheetId="21" r:id="rId28"/>
    <sheet name="No Levy Page 21" sheetId="22" r:id="rId29"/>
    <sheet name="No Levy Page 22" sheetId="23" r:id="rId30"/>
    <sheet name="No Levy Page 23" sheetId="24" r:id="rId31"/>
    <sheet name="No Levy Page 24" sheetId="25" r:id="rId32"/>
    <sheet name="No Levy Page 25" sheetId="26" r:id="rId33"/>
    <sheet name="Non-Budgeted Funds" sheetId="40" r:id="rId34"/>
    <sheet name="Non-Bud Funds Statutes" sheetId="48" r:id="rId35"/>
    <sheet name="Budget Hearing Notice" sheetId="27" r:id="rId36"/>
    <sheet name="Budget Hearing Notice 2" sheetId="28" r:id="rId37"/>
    <sheet name="Combined Rate-Bud Hearing Notic" sheetId="64" r:id="rId38"/>
    <sheet name="Combined Rate-Bud Hearing Not 2" sheetId="65" r:id="rId39"/>
    <sheet name="RNR Hearing Notice" sheetId="63" r:id="rId40"/>
    <sheet name="NR Rebate" sheetId="41" r:id="rId41"/>
    <sheet name="SAMPLE Notice to County Clerk" sheetId="61" r:id="rId42"/>
    <sheet name="SAMPLE Roll Call to Exceed RNR" sheetId="66" r:id="rId43"/>
    <sheet name="SAMPLE Resolution to Exceed RNR" sheetId="62" r:id="rId44"/>
    <sheet name="Tab A" sheetId="67" r:id="rId45"/>
    <sheet name="Tab B" sheetId="68" r:id="rId46"/>
    <sheet name="Tab C" sheetId="69" r:id="rId47"/>
    <sheet name="Tab D" sheetId="70" r:id="rId48"/>
    <sheet name="Tab E" sheetId="71" r:id="rId49"/>
    <sheet name="Budget Tools" sheetId="72" r:id="rId50"/>
    <sheet name="Legend" sheetId="73" r:id="rId51"/>
  </sheets>
  <definedNames>
    <definedName name="_xlnm.Print_Area" localSheetId="35">'Budget Hearing Notice'!$A$1:$H$69</definedName>
    <definedName name="_xlnm.Print_Area" localSheetId="5">Cert!$A$1:$F$81</definedName>
    <definedName name="_xlnm.Print_Area" localSheetId="37">'Combined Rate-Bud Hearing Notic'!$A$1:$H$69</definedName>
    <definedName name="_xlnm.Print_Area" localSheetId="4">'CPA Summary'!$A$1:$A$40</definedName>
    <definedName name="_xlnm.Print_Area" localSheetId="14">'Debt Service'!$B$1:$E$64</definedName>
    <definedName name="_xlnm.Print_Area" localSheetId="1">inputPrYr!$A$1:$F$97</definedName>
    <definedName name="_xlnm.Print_Area" localSheetId="17">'Levy Page 10'!$A$1:$D$89</definedName>
    <definedName name="_xlnm.Print_Area" localSheetId="18">'Levy Page 11'!$A$1:$D$97</definedName>
    <definedName name="_xlnm.Print_Area" localSheetId="19">'Levy Page 12'!$A$1:$D$92</definedName>
    <definedName name="_xlnm.Print_Area" localSheetId="20">'Levy Page 13'!$A$1:$D$88</definedName>
    <definedName name="_xlnm.Print_Area" localSheetId="21">'Levy Page 14'!$A$1:$D$88</definedName>
    <definedName name="_xlnm.Print_Area" localSheetId="22">'Levy Page 15'!$A$1:$D$93</definedName>
    <definedName name="_xlnm.Print_Area" localSheetId="23">'Levy Page 16'!$A$1:$D$88</definedName>
    <definedName name="_xlnm.Print_Area" localSheetId="24">'Levy Page 17'!$A$1:$D$93</definedName>
    <definedName name="_xlnm.Print_Area" localSheetId="25">'Levy Page 18'!$A$1:$D$88</definedName>
    <definedName name="_xlnm.Print_Area" localSheetId="26">'Levy Page 19'!$A$1:$D$88</definedName>
    <definedName name="_xlnm.Print_Area" localSheetId="27">'Levy Page 20'!$A$1:$D$96</definedName>
    <definedName name="_xlnm.Print_Area" localSheetId="7">Mvalloc!$A$1:$I$57</definedName>
    <definedName name="_xlnm.Print_Area" localSheetId="39">'RNR Hearing Notice'!$A$1:$H$14</definedName>
    <definedName name="_xlnm.Print_Area" localSheetId="15">'Road &amp; Bridge'!$B$1:$E$123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 i="3" l="1"/>
  <c r="A54" i="26" l="1"/>
  <c r="A24" i="26"/>
  <c r="A54" i="25"/>
  <c r="A24" i="25"/>
  <c r="A54" i="24"/>
  <c r="A24" i="24"/>
  <c r="A54" i="23"/>
  <c r="A24" i="23"/>
  <c r="A54" i="22"/>
  <c r="A24" i="22"/>
  <c r="A72" i="21"/>
  <c r="A31" i="21"/>
  <c r="A72" i="20"/>
  <c r="A31" i="20"/>
  <c r="A72" i="19"/>
  <c r="A31" i="19"/>
  <c r="A72" i="18"/>
  <c r="A31" i="18"/>
  <c r="A72" i="17"/>
  <c r="A31" i="17"/>
  <c r="A72" i="16"/>
  <c r="A31" i="16"/>
  <c r="A72" i="15"/>
  <c r="A31" i="15"/>
  <c r="A72" i="14"/>
  <c r="A31" i="14"/>
  <c r="A72" i="13"/>
  <c r="A31" i="13"/>
  <c r="A72" i="12"/>
  <c r="A31" i="12"/>
  <c r="A72" i="10"/>
  <c r="A31" i="10"/>
  <c r="B108" i="39"/>
  <c r="A112" i="8"/>
  <c r="B49" i="37"/>
  <c r="A7" i="71" l="1"/>
  <c r="A6" i="71"/>
  <c r="A35" i="70"/>
  <c r="A31" i="70"/>
  <c r="A5" i="70"/>
  <c r="A30" i="69"/>
  <c r="A26" i="69"/>
  <c r="A15" i="69"/>
  <c r="A7" i="69"/>
  <c r="A6" i="69"/>
  <c r="A29" i="68"/>
  <c r="A28" i="68"/>
  <c r="A5" i="68"/>
  <c r="A59" i="67"/>
  <c r="A58" i="67"/>
  <c r="A56" i="67"/>
  <c r="A27" i="67"/>
  <c r="A23" i="67"/>
  <c r="A20" i="67"/>
  <c r="A14" i="67"/>
  <c r="A6" i="67"/>
  <c r="A5" i="67"/>
  <c r="E111" i="39" l="1"/>
  <c r="D111" i="39"/>
  <c r="C111" i="39"/>
  <c r="C110" i="39" s="1"/>
  <c r="K23" i="65" l="1"/>
  <c r="K24" i="65"/>
  <c r="K25" i="65"/>
  <c r="K26" i="65"/>
  <c r="K27" i="65"/>
  <c r="K28" i="65"/>
  <c r="K29" i="65"/>
  <c r="H9" i="65"/>
  <c r="H10" i="65"/>
  <c r="K10" i="65" s="1"/>
  <c r="H11" i="65"/>
  <c r="K11" i="65" s="1"/>
  <c r="H12" i="65"/>
  <c r="K12" i="65" s="1"/>
  <c r="H13" i="65"/>
  <c r="K13" i="65" s="1"/>
  <c r="H14" i="65"/>
  <c r="K14" i="65" s="1"/>
  <c r="H15" i="65"/>
  <c r="K15" i="65" s="1"/>
  <c r="H16" i="65"/>
  <c r="K16" i="65" s="1"/>
  <c r="H17" i="65"/>
  <c r="K17" i="65" s="1"/>
  <c r="H18" i="65"/>
  <c r="K18" i="65" s="1"/>
  <c r="H19" i="65"/>
  <c r="K19" i="65" s="1"/>
  <c r="H20" i="65"/>
  <c r="K20" i="65" s="1"/>
  <c r="H21" i="65"/>
  <c r="K21" i="65" s="1"/>
  <c r="H22" i="65"/>
  <c r="K22" i="65" s="1"/>
  <c r="H23" i="65"/>
  <c r="H24" i="65"/>
  <c r="H25" i="65"/>
  <c r="H26" i="65"/>
  <c r="H27" i="65"/>
  <c r="H28" i="65"/>
  <c r="H29" i="65"/>
  <c r="H30" i="65"/>
  <c r="K30" i="65" s="1"/>
  <c r="H31" i="65"/>
  <c r="K31" i="65" s="1"/>
  <c r="H32" i="65"/>
  <c r="K32" i="65" s="1"/>
  <c r="H33" i="65"/>
  <c r="K33" i="65" s="1"/>
  <c r="H34" i="65"/>
  <c r="K34" i="65" s="1"/>
  <c r="H35" i="65"/>
  <c r="K35" i="65" s="1"/>
  <c r="H36" i="65"/>
  <c r="K36" i="65" s="1"/>
  <c r="H8" i="65"/>
  <c r="K8" i="65" s="1"/>
  <c r="K9" i="28"/>
  <c r="K10" i="28"/>
  <c r="K11" i="28"/>
  <c r="K25" i="28"/>
  <c r="K26" i="28"/>
  <c r="K27" i="28"/>
  <c r="K28" i="28"/>
  <c r="K29" i="28"/>
  <c r="K30" i="28"/>
  <c r="K31" i="28"/>
  <c r="H9" i="28"/>
  <c r="H10" i="28"/>
  <c r="H11" i="28"/>
  <c r="H12" i="28"/>
  <c r="K12" i="28" s="1"/>
  <c r="H13" i="28"/>
  <c r="K13" i="28" s="1"/>
  <c r="H14" i="28"/>
  <c r="K14" i="28" s="1"/>
  <c r="H15" i="28"/>
  <c r="K15" i="28" s="1"/>
  <c r="H16" i="28"/>
  <c r="K16" i="28" s="1"/>
  <c r="H17" i="28"/>
  <c r="K17" i="28" s="1"/>
  <c r="H18" i="28"/>
  <c r="K18" i="28" s="1"/>
  <c r="H19" i="28"/>
  <c r="K19" i="28" s="1"/>
  <c r="H20" i="28"/>
  <c r="K20" i="28" s="1"/>
  <c r="H21" i="28"/>
  <c r="K21" i="28" s="1"/>
  <c r="H22" i="28"/>
  <c r="K22" i="28" s="1"/>
  <c r="H23" i="28"/>
  <c r="K23" i="28" s="1"/>
  <c r="H24" i="28"/>
  <c r="K24" i="28" s="1"/>
  <c r="H25" i="28"/>
  <c r="H26" i="28"/>
  <c r="H27" i="28"/>
  <c r="H28" i="28"/>
  <c r="H29" i="28"/>
  <c r="H30" i="28"/>
  <c r="H31" i="28"/>
  <c r="H32" i="28"/>
  <c r="K32" i="28" s="1"/>
  <c r="H33" i="28"/>
  <c r="K33" i="28" s="1"/>
  <c r="H34" i="28"/>
  <c r="K34" i="28" s="1"/>
  <c r="H35" i="28"/>
  <c r="K35" i="28" s="1"/>
  <c r="H36" i="28"/>
  <c r="K36" i="28" s="1"/>
  <c r="H8" i="28"/>
  <c r="K8" i="28" s="1"/>
  <c r="A6" i="63" l="1"/>
  <c r="C60" i="3" l="1"/>
  <c r="C59" i="3"/>
  <c r="C57" i="3"/>
  <c r="C62" i="3" l="1"/>
  <c r="C61" i="3"/>
  <c r="C58" i="3"/>
  <c r="A5" i="63"/>
  <c r="H1" i="63"/>
  <c r="A42" i="28" l="1"/>
  <c r="A41" i="28"/>
  <c r="A69" i="64"/>
  <c r="A68" i="64"/>
  <c r="A8" i="64"/>
  <c r="A6" i="64"/>
  <c r="A42" i="65"/>
  <c r="A41" i="65"/>
  <c r="J1" i="65"/>
  <c r="F5" i="65" s="1"/>
  <c r="A1" i="65"/>
  <c r="D63" i="64"/>
  <c r="B63" i="64"/>
  <c r="D62" i="64"/>
  <c r="B62" i="64"/>
  <c r="D61" i="64"/>
  <c r="B61" i="64"/>
  <c r="D60" i="64"/>
  <c r="B60" i="64"/>
  <c r="F57" i="64"/>
  <c r="M32" i="64" s="1"/>
  <c r="D57" i="64"/>
  <c r="B57" i="64"/>
  <c r="B56" i="64"/>
  <c r="H53" i="64"/>
  <c r="M52" i="64"/>
  <c r="J52" i="64"/>
  <c r="A51" i="64"/>
  <c r="J50" i="64"/>
  <c r="A50" i="64"/>
  <c r="J49" i="64"/>
  <c r="A49" i="64"/>
  <c r="A48" i="64"/>
  <c r="A47" i="64"/>
  <c r="A46" i="64"/>
  <c r="A45" i="64"/>
  <c r="A44" i="64"/>
  <c r="A43" i="64"/>
  <c r="A42" i="64"/>
  <c r="A41" i="64"/>
  <c r="E40" i="64"/>
  <c r="C40" i="64"/>
  <c r="A40" i="64"/>
  <c r="E39" i="64"/>
  <c r="C39" i="64"/>
  <c r="A39" i="64"/>
  <c r="E38" i="64"/>
  <c r="C38" i="64"/>
  <c r="A38" i="64"/>
  <c r="E37" i="64"/>
  <c r="C37" i="64"/>
  <c r="A37" i="64"/>
  <c r="E36" i="64"/>
  <c r="C36" i="64"/>
  <c r="A36" i="64"/>
  <c r="E35" i="64"/>
  <c r="C35" i="64"/>
  <c r="A35" i="64"/>
  <c r="E34" i="64"/>
  <c r="C34" i="64"/>
  <c r="A34" i="64"/>
  <c r="E33" i="64"/>
  <c r="C33" i="64"/>
  <c r="A33" i="64"/>
  <c r="E32" i="64"/>
  <c r="C32" i="64"/>
  <c r="A32" i="64"/>
  <c r="E31" i="64"/>
  <c r="C31" i="64"/>
  <c r="A31" i="64"/>
  <c r="E30" i="64"/>
  <c r="C30" i="64"/>
  <c r="A30" i="64"/>
  <c r="E29" i="64"/>
  <c r="C29" i="64"/>
  <c r="A29" i="64"/>
  <c r="E28" i="64"/>
  <c r="C28" i="64"/>
  <c r="A28" i="64"/>
  <c r="E27" i="64"/>
  <c r="C27" i="64"/>
  <c r="A27" i="64"/>
  <c r="E26" i="64"/>
  <c r="C26" i="64"/>
  <c r="A26" i="64"/>
  <c r="E25" i="64"/>
  <c r="C25" i="64"/>
  <c r="A25" i="64"/>
  <c r="E24" i="64"/>
  <c r="C24" i="64"/>
  <c r="A24" i="64"/>
  <c r="E23" i="64"/>
  <c r="C23" i="64"/>
  <c r="A23" i="64"/>
  <c r="E22" i="64"/>
  <c r="C22" i="64"/>
  <c r="A22" i="64"/>
  <c r="E21" i="64"/>
  <c r="C21" i="64"/>
  <c r="A21" i="64"/>
  <c r="E20" i="64"/>
  <c r="C20" i="64"/>
  <c r="A20" i="64"/>
  <c r="E19" i="64"/>
  <c r="C19" i="64"/>
  <c r="A19" i="64"/>
  <c r="E18" i="64"/>
  <c r="C18" i="64"/>
  <c r="A18" i="64"/>
  <c r="E17" i="64"/>
  <c r="C17" i="64"/>
  <c r="A17" i="64"/>
  <c r="E16" i="64"/>
  <c r="C16" i="64"/>
  <c r="A16" i="64"/>
  <c r="A5" i="64"/>
  <c r="H1" i="64"/>
  <c r="F59" i="64" s="1"/>
  <c r="A69" i="27"/>
  <c r="A68" i="27"/>
  <c r="A8" i="27"/>
  <c r="A6" i="27"/>
  <c r="B46" i="11"/>
  <c r="A1" i="36"/>
  <c r="F64" i="3"/>
  <c r="J36" i="64" l="1"/>
  <c r="A10" i="64"/>
  <c r="J34" i="64"/>
  <c r="B64" i="64"/>
  <c r="D64" i="64"/>
  <c r="G6" i="65"/>
  <c r="J6" i="65"/>
  <c r="M51" i="64"/>
  <c r="C52" i="64"/>
  <c r="E52" i="64"/>
  <c r="M36" i="64" s="1"/>
  <c r="M44" i="64" s="1"/>
  <c r="B5" i="65"/>
  <c r="D5" i="65"/>
  <c r="B13" i="64"/>
  <c r="D13" i="64"/>
  <c r="J37" i="64"/>
  <c r="J44" i="64"/>
  <c r="J51" i="64"/>
  <c r="F13" i="64"/>
  <c r="J41" i="64"/>
  <c r="B59" i="64"/>
  <c r="G14" i="64"/>
  <c r="J43" i="64"/>
  <c r="D59" i="64"/>
  <c r="J30" i="64"/>
  <c r="A6" i="3"/>
  <c r="H53" i="27" l="1"/>
  <c r="B22" i="3"/>
  <c r="E27" i="41"/>
  <c r="D19" i="20" s="1"/>
  <c r="E26" i="41"/>
  <c r="D60" i="19" s="1"/>
  <c r="E10" i="41"/>
  <c r="D75" i="10"/>
  <c r="E9" i="41"/>
  <c r="D19" i="10" s="1"/>
  <c r="E8" i="41"/>
  <c r="E52" i="39" s="1"/>
  <c r="E7" i="41"/>
  <c r="E26" i="37" s="1"/>
  <c r="F8" i="6"/>
  <c r="D12" i="8" s="1"/>
  <c r="E8" i="6"/>
  <c r="D11" i="8" s="1"/>
  <c r="D8" i="6"/>
  <c r="D10" i="8" s="1"/>
  <c r="H43" i="6"/>
  <c r="G41" i="6"/>
  <c r="G25" i="6"/>
  <c r="D13" i="18" s="1"/>
  <c r="G13" i="6"/>
  <c r="D13" i="12" s="1"/>
  <c r="G24" i="6"/>
  <c r="D54" i="17" s="1"/>
  <c r="G12" i="6"/>
  <c r="D54" i="10" s="1"/>
  <c r="G31" i="6"/>
  <c r="D13" i="21" s="1"/>
  <c r="G15" i="6"/>
  <c r="D13" i="13" s="1"/>
  <c r="G32" i="6"/>
  <c r="D54" i="21" s="1"/>
  <c r="G16" i="6"/>
  <c r="D54" i="13" s="1"/>
  <c r="G23" i="6"/>
  <c r="D13" i="17" s="1"/>
  <c r="G27" i="6"/>
  <c r="D13" i="19" s="1"/>
  <c r="G19" i="6"/>
  <c r="D13" i="15" s="1"/>
  <c r="G30" i="6"/>
  <c r="D54" i="20" s="1"/>
  <c r="G26" i="6"/>
  <c r="D54" i="18" s="1"/>
  <c r="G22" i="6"/>
  <c r="D54" i="16" s="1"/>
  <c r="G18" i="6"/>
  <c r="D54" i="14" s="1"/>
  <c r="G14" i="6"/>
  <c r="D54" i="12" s="1"/>
  <c r="G29" i="6"/>
  <c r="D13" i="20" s="1"/>
  <c r="G21" i="6"/>
  <c r="D13" i="16" s="1"/>
  <c r="G17" i="6"/>
  <c r="D13" i="14" s="1"/>
  <c r="G28" i="6"/>
  <c r="D54" i="19" s="1"/>
  <c r="G20" i="6"/>
  <c r="D54" i="15" s="1"/>
  <c r="H13" i="6"/>
  <c r="D14" i="12" s="1"/>
  <c r="H17" i="6"/>
  <c r="D14" i="14" s="1"/>
  <c r="H25" i="6"/>
  <c r="D14" i="18" s="1"/>
  <c r="H29" i="6"/>
  <c r="D14" i="20" s="1"/>
  <c r="H14" i="6"/>
  <c r="D55" i="12" s="1"/>
  <c r="H18" i="6"/>
  <c r="D55" i="14" s="1"/>
  <c r="H22" i="6"/>
  <c r="D55" i="16" s="1"/>
  <c r="H26" i="6"/>
  <c r="D55" i="18" s="1"/>
  <c r="H30" i="6"/>
  <c r="D55" i="20" s="1"/>
  <c r="H15" i="6"/>
  <c r="D14" i="13" s="1"/>
  <c r="H19" i="6"/>
  <c r="D14" i="15" s="1"/>
  <c r="H23" i="6"/>
  <c r="D14" i="17" s="1"/>
  <c r="H27" i="6"/>
  <c r="D14" i="19" s="1"/>
  <c r="H31" i="6"/>
  <c r="D14" i="21" s="1"/>
  <c r="H12" i="6"/>
  <c r="D55" i="10" s="1"/>
  <c r="H16" i="6"/>
  <c r="D55" i="13" s="1"/>
  <c r="H20" i="6"/>
  <c r="D55" i="15" s="1"/>
  <c r="H24" i="6"/>
  <c r="D55" i="17" s="1"/>
  <c r="H28" i="6"/>
  <c r="D55" i="19" s="1"/>
  <c r="H32" i="6"/>
  <c r="D55" i="21" s="1"/>
  <c r="G8" i="6"/>
  <c r="D13" i="8" s="1"/>
  <c r="H8" i="6"/>
  <c r="D14" i="8" s="1"/>
  <c r="I98" i="8"/>
  <c r="I16" i="21"/>
  <c r="I15" i="21"/>
  <c r="I15" i="20"/>
  <c r="I14" i="20"/>
  <c r="I15" i="19"/>
  <c r="I14" i="19"/>
  <c r="I15" i="18"/>
  <c r="I14" i="18"/>
  <c r="I15" i="17"/>
  <c r="I14" i="17"/>
  <c r="I16" i="16"/>
  <c r="I15" i="16"/>
  <c r="I14" i="15"/>
  <c r="I13" i="15"/>
  <c r="I16" i="14"/>
  <c r="I15" i="14"/>
  <c r="I16" i="13"/>
  <c r="I15" i="13"/>
  <c r="I16" i="12"/>
  <c r="I15" i="12"/>
  <c r="I16" i="10"/>
  <c r="I15" i="10"/>
  <c r="J92" i="39"/>
  <c r="J91" i="39"/>
  <c r="J31" i="37"/>
  <c r="J30" i="37"/>
  <c r="I99" i="8"/>
  <c r="I97" i="8"/>
  <c r="H40" i="2"/>
  <c r="H39" i="2"/>
  <c r="H38" i="2"/>
  <c r="H37" i="2"/>
  <c r="H36" i="2"/>
  <c r="H35" i="2"/>
  <c r="H34" i="2"/>
  <c r="H33" i="2"/>
  <c r="H32" i="2"/>
  <c r="H31" i="2"/>
  <c r="H30" i="2"/>
  <c r="C49" i="16" s="1"/>
  <c r="C63" i="16" s="1"/>
  <c r="C62" i="16" s="1"/>
  <c r="H29" i="2"/>
  <c r="C8" i="16"/>
  <c r="C22" i="16" s="1"/>
  <c r="C21" i="16" s="1"/>
  <c r="H28" i="2"/>
  <c r="C49" i="15"/>
  <c r="C63" i="15" s="1"/>
  <c r="C62" i="15" s="1"/>
  <c r="H27" i="2"/>
  <c r="C8" i="15"/>
  <c r="C22" i="15" s="1"/>
  <c r="C21" i="15" s="1"/>
  <c r="H26" i="2"/>
  <c r="C49" i="14" s="1"/>
  <c r="C63" i="14" s="1"/>
  <c r="C62" i="14" s="1"/>
  <c r="H25" i="2"/>
  <c r="C8" i="14" s="1"/>
  <c r="C22" i="14" s="1"/>
  <c r="C21" i="14" s="1"/>
  <c r="H24" i="2"/>
  <c r="C49" i="13" s="1"/>
  <c r="C63" i="13" s="1"/>
  <c r="C62" i="13" s="1"/>
  <c r="H23" i="2"/>
  <c r="C8" i="13" s="1"/>
  <c r="C22" i="13" s="1"/>
  <c r="H22" i="2"/>
  <c r="C49" i="12" s="1"/>
  <c r="C63" i="12" s="1"/>
  <c r="C62" i="12" s="1"/>
  <c r="H21" i="2"/>
  <c r="C8" i="12" s="1"/>
  <c r="C22" i="12" s="1"/>
  <c r="C21" i="12" s="1"/>
  <c r="H20" i="2"/>
  <c r="C49" i="10" s="1"/>
  <c r="C63" i="10" s="1"/>
  <c r="C62" i="10" s="1"/>
  <c r="H19" i="2"/>
  <c r="C8" i="10" s="1"/>
  <c r="C22" i="10" s="1"/>
  <c r="C21" i="10" s="1"/>
  <c r="H18" i="2"/>
  <c r="D8" i="39" s="1"/>
  <c r="D55" i="39" s="1"/>
  <c r="D54" i="39" s="1"/>
  <c r="H17" i="2"/>
  <c r="D8" i="37" s="1"/>
  <c r="D29" i="37" s="1"/>
  <c r="D28" i="37" s="1"/>
  <c r="H16" i="2"/>
  <c r="C8" i="8" s="1"/>
  <c r="C53" i="8" s="1"/>
  <c r="C52" i="8" s="1"/>
  <c r="A5" i="20"/>
  <c r="J49" i="27"/>
  <c r="J50" i="27"/>
  <c r="J52" i="27"/>
  <c r="C101" i="12"/>
  <c r="B101" i="12"/>
  <c r="C101" i="21"/>
  <c r="B101" i="21"/>
  <c r="C81" i="21"/>
  <c r="D81" i="21" s="1"/>
  <c r="C40" i="21"/>
  <c r="D40" i="21" s="1"/>
  <c r="C81" i="20"/>
  <c r="D81" i="20" s="1"/>
  <c r="C40" i="20"/>
  <c r="D40" i="20" s="1"/>
  <c r="C81" i="19"/>
  <c r="D81" i="19" s="1"/>
  <c r="C40" i="19"/>
  <c r="D40" i="19" s="1"/>
  <c r="C81" i="18"/>
  <c r="D81" i="18" s="1"/>
  <c r="C40" i="18"/>
  <c r="D40" i="18"/>
  <c r="C81" i="17"/>
  <c r="D81" i="17" s="1"/>
  <c r="C40" i="17"/>
  <c r="D40" i="17" s="1"/>
  <c r="C81" i="16"/>
  <c r="D81" i="16" s="1"/>
  <c r="C40" i="16"/>
  <c r="D40" i="16" s="1"/>
  <c r="C81" i="15"/>
  <c r="D81" i="15" s="1"/>
  <c r="C40" i="15"/>
  <c r="D40" i="15" s="1"/>
  <c r="C81" i="14"/>
  <c r="D81" i="14" s="1"/>
  <c r="C40" i="14"/>
  <c r="D40" i="14" s="1"/>
  <c r="C81" i="13"/>
  <c r="D81" i="13"/>
  <c r="C40" i="13"/>
  <c r="D40" i="13" s="1"/>
  <c r="C81" i="12"/>
  <c r="D81" i="12" s="1"/>
  <c r="C40" i="12"/>
  <c r="D40" i="12" s="1"/>
  <c r="C81" i="10"/>
  <c r="D81" i="10"/>
  <c r="C40" i="10"/>
  <c r="D40" i="10"/>
  <c r="D117" i="39"/>
  <c r="E117" i="39" s="1"/>
  <c r="D58" i="37"/>
  <c r="E58" i="37" s="1"/>
  <c r="B77" i="21"/>
  <c r="C77" i="21"/>
  <c r="B36" i="21"/>
  <c r="C36" i="21"/>
  <c r="B77" i="20"/>
  <c r="C77" i="20"/>
  <c r="B36" i="20"/>
  <c r="C36" i="20"/>
  <c r="B77" i="19"/>
  <c r="C77" i="19"/>
  <c r="B36" i="19"/>
  <c r="C36" i="19"/>
  <c r="B77" i="18"/>
  <c r="C77" i="18"/>
  <c r="B36" i="18"/>
  <c r="C36" i="18"/>
  <c r="B77" i="17"/>
  <c r="C77" i="17"/>
  <c r="B36" i="17"/>
  <c r="C36" i="17"/>
  <c r="B77" i="16"/>
  <c r="C77" i="16"/>
  <c r="B36" i="16"/>
  <c r="C36" i="16"/>
  <c r="B77" i="15"/>
  <c r="C77" i="15"/>
  <c r="B36" i="15"/>
  <c r="C36" i="15"/>
  <c r="B77" i="14"/>
  <c r="C77" i="14"/>
  <c r="B36" i="14"/>
  <c r="C36" i="14"/>
  <c r="B77" i="13"/>
  <c r="C77" i="13"/>
  <c r="B36" i="13"/>
  <c r="C36" i="13"/>
  <c r="B77" i="12"/>
  <c r="C77" i="12"/>
  <c r="B36" i="12"/>
  <c r="C36" i="12"/>
  <c r="B77" i="10"/>
  <c r="B97" i="10" s="1"/>
  <c r="C77" i="10"/>
  <c r="B36" i="10"/>
  <c r="C36" i="10"/>
  <c r="C113" i="39"/>
  <c r="D113" i="39"/>
  <c r="C54" i="37"/>
  <c r="C73" i="37" s="1"/>
  <c r="D54" i="37"/>
  <c r="A46" i="20"/>
  <c r="C121" i="8"/>
  <c r="D121" i="8" s="1"/>
  <c r="B117" i="8"/>
  <c r="C117" i="8"/>
  <c r="H1" i="27"/>
  <c r="D13" i="27" s="1"/>
  <c r="A5" i="27"/>
  <c r="A16" i="27"/>
  <c r="C16" i="27"/>
  <c r="E16" i="27"/>
  <c r="F114" i="8" s="1"/>
  <c r="A17" i="27"/>
  <c r="C17" i="27"/>
  <c r="E17" i="27"/>
  <c r="G46" i="37" s="1"/>
  <c r="A18" i="27"/>
  <c r="C18" i="27"/>
  <c r="E18" i="27"/>
  <c r="G107" i="39" s="1"/>
  <c r="A19" i="27"/>
  <c r="C19" i="27"/>
  <c r="E19" i="27"/>
  <c r="F31" i="10" s="1"/>
  <c r="A20" i="27"/>
  <c r="C20" i="27"/>
  <c r="E20" i="27"/>
  <c r="F72" i="10" s="1"/>
  <c r="A21" i="27"/>
  <c r="C21" i="27"/>
  <c r="E21" i="27"/>
  <c r="F31" i="12" s="1"/>
  <c r="A22" i="27"/>
  <c r="C22" i="27"/>
  <c r="E22" i="27"/>
  <c r="F72" i="12" s="1"/>
  <c r="A23" i="27"/>
  <c r="C23" i="27"/>
  <c r="E23" i="27"/>
  <c r="F31" i="13" s="1"/>
  <c r="A24" i="27"/>
  <c r="C24" i="27"/>
  <c r="E24" i="27"/>
  <c r="F72" i="13" s="1"/>
  <c r="A25" i="27"/>
  <c r="C25" i="27"/>
  <c r="E25" i="27"/>
  <c r="F31" i="14" s="1"/>
  <c r="A26" i="27"/>
  <c r="C26" i="27"/>
  <c r="E26" i="27"/>
  <c r="F72" i="14" s="1"/>
  <c r="A27" i="27"/>
  <c r="C27" i="27"/>
  <c r="E27" i="27"/>
  <c r="F29" i="15" s="1"/>
  <c r="A28" i="27"/>
  <c r="C28" i="27"/>
  <c r="E28" i="27"/>
  <c r="F70" i="15" s="1"/>
  <c r="A29" i="27"/>
  <c r="C29" i="27"/>
  <c r="E29" i="27"/>
  <c r="F31" i="16" s="1"/>
  <c r="A30" i="27"/>
  <c r="C30" i="27"/>
  <c r="E30" i="27"/>
  <c r="F72" i="16" s="1"/>
  <c r="A31" i="27"/>
  <c r="C31" i="27"/>
  <c r="E31" i="27"/>
  <c r="F30" i="17" s="1"/>
  <c r="A32" i="27"/>
  <c r="C32" i="27"/>
  <c r="E32" i="27"/>
  <c r="F71" i="17" s="1"/>
  <c r="A33" i="27"/>
  <c r="C33" i="27"/>
  <c r="E33" i="27"/>
  <c r="F30" i="18" s="1"/>
  <c r="A34" i="27"/>
  <c r="C34" i="27"/>
  <c r="E34" i="27"/>
  <c r="F71" i="18" s="1"/>
  <c r="A35" i="27"/>
  <c r="C35" i="27"/>
  <c r="E35" i="27"/>
  <c r="F30" i="19" s="1"/>
  <c r="A36" i="27"/>
  <c r="C36" i="27"/>
  <c r="E36" i="27"/>
  <c r="F71" i="19" s="1"/>
  <c r="A37" i="27"/>
  <c r="C37" i="27"/>
  <c r="E37" i="27"/>
  <c r="F30" i="20" s="1"/>
  <c r="A38" i="27"/>
  <c r="C38" i="27"/>
  <c r="E38" i="27"/>
  <c r="F71" i="20" s="1"/>
  <c r="A39" i="27"/>
  <c r="C39" i="27"/>
  <c r="E39" i="27"/>
  <c r="F31" i="21" s="1"/>
  <c r="A40" i="27"/>
  <c r="C40" i="27"/>
  <c r="E40" i="27"/>
  <c r="F72" i="21" s="1"/>
  <c r="A41" i="27"/>
  <c r="A42" i="27"/>
  <c r="A43" i="27"/>
  <c r="A44" i="27"/>
  <c r="A45" i="27"/>
  <c r="A46" i="27"/>
  <c r="A47" i="27"/>
  <c r="A48" i="27"/>
  <c r="A49" i="27"/>
  <c r="A50" i="27"/>
  <c r="A51" i="27"/>
  <c r="B56" i="27"/>
  <c r="B57" i="27"/>
  <c r="D57" i="27"/>
  <c r="F57" i="27"/>
  <c r="M51" i="27" s="1"/>
  <c r="B60" i="27"/>
  <c r="D60" i="27"/>
  <c r="B61" i="27"/>
  <c r="D61" i="27"/>
  <c r="B62" i="27"/>
  <c r="D62" i="27"/>
  <c r="B63" i="27"/>
  <c r="D63" i="27"/>
  <c r="D34" i="41"/>
  <c r="D36" i="41" s="1"/>
  <c r="B59" i="25"/>
  <c r="C59" i="25"/>
  <c r="A35" i="26"/>
  <c r="A5" i="26"/>
  <c r="A35" i="25"/>
  <c r="A5" i="25"/>
  <c r="A35" i="24"/>
  <c r="A5" i="24"/>
  <c r="A35" i="23"/>
  <c r="A5" i="23"/>
  <c r="A35" i="22"/>
  <c r="A5" i="22"/>
  <c r="A46" i="21"/>
  <c r="A5" i="21"/>
  <c r="A46" i="19"/>
  <c r="A5" i="19"/>
  <c r="A46" i="18"/>
  <c r="A5" i="18"/>
  <c r="A46" i="17"/>
  <c r="A5" i="17"/>
  <c r="A46" i="16"/>
  <c r="A5" i="16"/>
  <c r="A46" i="15"/>
  <c r="A5" i="15"/>
  <c r="A46" i="14"/>
  <c r="A5" i="14"/>
  <c r="A46" i="13"/>
  <c r="A5" i="13"/>
  <c r="A46" i="12"/>
  <c r="A5" i="12"/>
  <c r="A46" i="10"/>
  <c r="A5" i="10"/>
  <c r="A97" i="2"/>
  <c r="A96" i="2"/>
  <c r="D67" i="2"/>
  <c r="A1" i="38"/>
  <c r="B22" i="14"/>
  <c r="B23" i="14" s="1"/>
  <c r="B44" i="23"/>
  <c r="B45" i="23" s="1"/>
  <c r="C14" i="24"/>
  <c r="B14" i="24"/>
  <c r="B15" i="24" s="1"/>
  <c r="A4" i="3"/>
  <c r="C52" i="37"/>
  <c r="C29" i="37"/>
  <c r="C28" i="37" s="1"/>
  <c r="D52" i="37"/>
  <c r="B9" i="6"/>
  <c r="B10" i="6"/>
  <c r="B11" i="6"/>
  <c r="B12" i="6"/>
  <c r="B13" i="6"/>
  <c r="B14" i="6"/>
  <c r="B15" i="6"/>
  <c r="B16" i="6"/>
  <c r="B17" i="6"/>
  <c r="B18" i="6"/>
  <c r="B19" i="6"/>
  <c r="B20" i="6"/>
  <c r="B21" i="6"/>
  <c r="B22" i="6"/>
  <c r="B23" i="6"/>
  <c r="B24" i="6"/>
  <c r="B25" i="6"/>
  <c r="B26" i="6"/>
  <c r="B27" i="6"/>
  <c r="B28" i="6"/>
  <c r="B29" i="6"/>
  <c r="B30" i="6"/>
  <c r="B31" i="6"/>
  <c r="B32" i="6"/>
  <c r="B8" i="6"/>
  <c r="C55" i="39"/>
  <c r="C54" i="39" s="1"/>
  <c r="B75" i="13"/>
  <c r="B63" i="13"/>
  <c r="B64" i="13" s="1"/>
  <c r="C75" i="13"/>
  <c r="B34" i="21"/>
  <c r="B33" i="21" s="1"/>
  <c r="B22" i="21"/>
  <c r="B21" i="21" s="1"/>
  <c r="C8" i="21"/>
  <c r="C22" i="21" s="1"/>
  <c r="C21" i="21" s="1"/>
  <c r="C34" i="21"/>
  <c r="C33" i="21" s="1"/>
  <c r="B75" i="20"/>
  <c r="B63" i="20"/>
  <c r="B64" i="20" s="1"/>
  <c r="C49" i="20"/>
  <c r="C63" i="20" s="1"/>
  <c r="C62" i="20" s="1"/>
  <c r="C75" i="20"/>
  <c r="B34" i="20"/>
  <c r="B33" i="20" s="1"/>
  <c r="B22" i="20"/>
  <c r="B23" i="20" s="1"/>
  <c r="C8" i="20"/>
  <c r="C22" i="20"/>
  <c r="C21" i="20" s="1"/>
  <c r="C34" i="20"/>
  <c r="B75" i="19"/>
  <c r="B63" i="19"/>
  <c r="B62" i="19" s="1"/>
  <c r="C49" i="19"/>
  <c r="C63" i="19" s="1"/>
  <c r="C62" i="19" s="1"/>
  <c r="C75" i="19"/>
  <c r="D36" i="64" s="1"/>
  <c r="B34" i="19"/>
  <c r="B22" i="19"/>
  <c r="B23" i="19" s="1"/>
  <c r="C8" i="19"/>
  <c r="C22" i="19" s="1"/>
  <c r="C21" i="19" s="1"/>
  <c r="C34" i="19"/>
  <c r="D35" i="64" s="1"/>
  <c r="B75" i="18"/>
  <c r="F65" i="18" s="1"/>
  <c r="B63" i="18"/>
  <c r="B62" i="18" s="1"/>
  <c r="C49" i="18"/>
  <c r="C63" i="18"/>
  <c r="C62" i="18" s="1"/>
  <c r="C75" i="18"/>
  <c r="B34" i="18"/>
  <c r="B22" i="18"/>
  <c r="B23" i="18" s="1"/>
  <c r="C8" i="18"/>
  <c r="C22" i="18" s="1"/>
  <c r="C21" i="18" s="1"/>
  <c r="C34" i="18"/>
  <c r="D33" i="27" s="1"/>
  <c r="B75" i="17"/>
  <c r="B32" i="27" s="1"/>
  <c r="B63" i="17"/>
  <c r="B62" i="17" s="1"/>
  <c r="C49" i="17"/>
  <c r="C63" i="17" s="1"/>
  <c r="C62" i="17" s="1"/>
  <c r="C75" i="17"/>
  <c r="C97" i="17" s="1"/>
  <c r="B34" i="17"/>
  <c r="B31" i="64" s="1"/>
  <c r="B22" i="17"/>
  <c r="B23" i="17" s="1"/>
  <c r="C8" i="17"/>
  <c r="C22" i="17" s="1"/>
  <c r="C21" i="17" s="1"/>
  <c r="C34" i="17"/>
  <c r="B75" i="16"/>
  <c r="B30" i="27" s="1"/>
  <c r="B63" i="16"/>
  <c r="B62" i="16" s="1"/>
  <c r="C75" i="16"/>
  <c r="B34" i="16"/>
  <c r="B22" i="16"/>
  <c r="B21" i="16" s="1"/>
  <c r="C34" i="16"/>
  <c r="D29" i="64" s="1"/>
  <c r="B75" i="15"/>
  <c r="B97" i="15" s="1"/>
  <c r="B63" i="15"/>
  <c r="B64" i="15" s="1"/>
  <c r="C75" i="15"/>
  <c r="D28" i="64" s="1"/>
  <c r="B34" i="15"/>
  <c r="B22" i="15"/>
  <c r="B23" i="15" s="1"/>
  <c r="C34" i="15"/>
  <c r="C33" i="15" s="1"/>
  <c r="B75" i="14"/>
  <c r="B63" i="14"/>
  <c r="B62" i="14" s="1"/>
  <c r="C75" i="14"/>
  <c r="B34" i="14"/>
  <c r="F25" i="14" s="1"/>
  <c r="C34" i="14"/>
  <c r="C33" i="14" s="1"/>
  <c r="B34" i="13"/>
  <c r="B95" i="13" s="1"/>
  <c r="B22" i="13"/>
  <c r="B21" i="13" s="1"/>
  <c r="C34" i="13"/>
  <c r="B75" i="12"/>
  <c r="B63" i="12"/>
  <c r="B62" i="12" s="1"/>
  <c r="C75" i="12"/>
  <c r="D22" i="64" s="1"/>
  <c r="B34" i="12"/>
  <c r="F25" i="12" s="1"/>
  <c r="B22" i="12"/>
  <c r="B23" i="12" s="1"/>
  <c r="C34" i="12"/>
  <c r="C95" i="12" s="1"/>
  <c r="B75" i="10"/>
  <c r="F66" i="10" s="1"/>
  <c r="B63" i="10"/>
  <c r="B64" i="10" s="1"/>
  <c r="C75" i="10"/>
  <c r="C74" i="10" s="1"/>
  <c r="B34" i="10"/>
  <c r="B33" i="10" s="1"/>
  <c r="B22" i="10"/>
  <c r="B23" i="10" s="1"/>
  <c r="C34" i="10"/>
  <c r="B63" i="21"/>
  <c r="B64" i="21" s="1"/>
  <c r="B75" i="21"/>
  <c r="C49" i="21"/>
  <c r="C63" i="21" s="1"/>
  <c r="C62" i="21" s="1"/>
  <c r="C75" i="21"/>
  <c r="A1" i="8"/>
  <c r="D1" i="21"/>
  <c r="A77" i="21" s="1"/>
  <c r="D1" i="20"/>
  <c r="F14" i="20" s="1"/>
  <c r="D1" i="19"/>
  <c r="D1" i="18"/>
  <c r="G21" i="18" s="1"/>
  <c r="D1" i="17"/>
  <c r="D1" i="16"/>
  <c r="C5" i="16" s="1"/>
  <c r="C46" i="16" s="1"/>
  <c r="D1" i="15"/>
  <c r="F57" i="15" s="1"/>
  <c r="D1" i="14"/>
  <c r="F11" i="14" s="1"/>
  <c r="D1" i="13"/>
  <c r="G62" i="13" s="1"/>
  <c r="D1" i="12"/>
  <c r="G23" i="12" s="1"/>
  <c r="D1" i="10"/>
  <c r="G22" i="10" s="1"/>
  <c r="E1" i="39"/>
  <c r="H97" i="39" s="1"/>
  <c r="E1" i="37"/>
  <c r="H35" i="37" s="1"/>
  <c r="D1" i="8"/>
  <c r="B53" i="8"/>
  <c r="B54" i="8" s="1"/>
  <c r="B66" i="8" s="1"/>
  <c r="A61" i="8"/>
  <c r="D15" i="8"/>
  <c r="B98" i="8"/>
  <c r="C13" i="9"/>
  <c r="C68" i="8" s="1"/>
  <c r="C19" i="9"/>
  <c r="C69" i="8" s="1"/>
  <c r="C25" i="9"/>
  <c r="C70" i="8" s="1"/>
  <c r="C114" i="9"/>
  <c r="C83" i="8" s="1"/>
  <c r="C98" i="8"/>
  <c r="C288" i="9"/>
  <c r="C107" i="8" s="1"/>
  <c r="D98" i="8"/>
  <c r="A1" i="41"/>
  <c r="A1" i="28"/>
  <c r="A1" i="40"/>
  <c r="A1" i="26"/>
  <c r="A1" i="25"/>
  <c r="A1" i="24"/>
  <c r="A1" i="23"/>
  <c r="A1" i="22"/>
  <c r="A1" i="21"/>
  <c r="A1" i="20"/>
  <c r="A1" i="19"/>
  <c r="A1" i="18"/>
  <c r="A1" i="17"/>
  <c r="A1" i="16"/>
  <c r="A1" i="15"/>
  <c r="A1" i="14"/>
  <c r="A1" i="13"/>
  <c r="A1" i="12"/>
  <c r="A1" i="10"/>
  <c r="A1" i="11"/>
  <c r="B1" i="39"/>
  <c r="B64" i="39"/>
  <c r="B1" i="37"/>
  <c r="A1" i="30"/>
  <c r="A1" i="29"/>
  <c r="A1" i="6"/>
  <c r="A1" i="4"/>
  <c r="A243" i="9"/>
  <c r="A179" i="9"/>
  <c r="A119" i="9"/>
  <c r="A61" i="9"/>
  <c r="A1" i="9"/>
  <c r="D226" i="9"/>
  <c r="C226" i="9"/>
  <c r="B226" i="9"/>
  <c r="B14" i="23"/>
  <c r="B15" i="23" s="1"/>
  <c r="B28" i="23" s="1"/>
  <c r="B27" i="23"/>
  <c r="B27" i="24"/>
  <c r="B45" i="64" s="1"/>
  <c r="B14" i="25"/>
  <c r="B27" i="25"/>
  <c r="C14" i="25"/>
  <c r="C27" i="25"/>
  <c r="D14" i="25"/>
  <c r="D13" i="25" s="1"/>
  <c r="D27" i="25"/>
  <c r="F47" i="64" s="1"/>
  <c r="C14" i="23"/>
  <c r="C13" i="23" s="1"/>
  <c r="C27" i="23"/>
  <c r="D14" i="23"/>
  <c r="D13" i="23" s="1"/>
  <c r="D27" i="23"/>
  <c r="F43" i="64" s="1"/>
  <c r="C27" i="24"/>
  <c r="C26" i="24" s="1"/>
  <c r="D14" i="24"/>
  <c r="D13" i="24" s="1"/>
  <c r="D27" i="24"/>
  <c r="C27" i="22"/>
  <c r="B27" i="22"/>
  <c r="B57" i="24"/>
  <c r="B46" i="64" s="1"/>
  <c r="B14" i="22"/>
  <c r="B15" i="22" s="1"/>
  <c r="B57" i="23"/>
  <c r="B44" i="24"/>
  <c r="B45" i="24" s="1"/>
  <c r="B58" i="24" s="1"/>
  <c r="C57" i="23"/>
  <c r="C59" i="23"/>
  <c r="B59" i="23"/>
  <c r="B60" i="23" s="1"/>
  <c r="C29" i="23"/>
  <c r="B29" i="23"/>
  <c r="B57" i="22"/>
  <c r="B57" i="25"/>
  <c r="C57" i="22"/>
  <c r="C57" i="24"/>
  <c r="D46" i="64" s="1"/>
  <c r="C57" i="25"/>
  <c r="B29" i="24"/>
  <c r="B30" i="24" s="1"/>
  <c r="C29" i="24"/>
  <c r="B59" i="24"/>
  <c r="C59" i="24"/>
  <c r="C60" i="24" s="1"/>
  <c r="B29" i="25"/>
  <c r="C29" i="25"/>
  <c r="C30" i="25" s="1"/>
  <c r="B44" i="25"/>
  <c r="B43" i="25" s="1"/>
  <c r="B27" i="26"/>
  <c r="B49" i="64" s="1"/>
  <c r="B14" i="26"/>
  <c r="B15" i="26" s="1"/>
  <c r="B28" i="26" s="1"/>
  <c r="B31" i="26" s="1"/>
  <c r="B29" i="26"/>
  <c r="C27" i="26"/>
  <c r="C29" i="26"/>
  <c r="B57" i="26"/>
  <c r="B44" i="26"/>
  <c r="B43" i="26" s="1"/>
  <c r="B59" i="26"/>
  <c r="C59" i="26"/>
  <c r="C57" i="26"/>
  <c r="C44" i="25"/>
  <c r="C43" i="25" s="1"/>
  <c r="D44" i="25"/>
  <c r="D43" i="25" s="1"/>
  <c r="D57" i="25"/>
  <c r="D59" i="25" s="1"/>
  <c r="D57" i="26"/>
  <c r="F50" i="64" s="1"/>
  <c r="C44" i="26"/>
  <c r="C43" i="26" s="1"/>
  <c r="D44" i="26"/>
  <c r="D43" i="26"/>
  <c r="D57" i="24"/>
  <c r="F46" i="64" s="1"/>
  <c r="C44" i="24"/>
  <c r="C43" i="24"/>
  <c r="D44" i="24"/>
  <c r="D43" i="24" s="1"/>
  <c r="D57" i="23"/>
  <c r="F44" i="64" s="1"/>
  <c r="C44" i="23"/>
  <c r="C43" i="23" s="1"/>
  <c r="D44" i="23"/>
  <c r="D43" i="23"/>
  <c r="D57" i="22"/>
  <c r="B44" i="22"/>
  <c r="B45" i="22" s="1"/>
  <c r="B58" i="22" s="1"/>
  <c r="B63" i="22" s="1"/>
  <c r="C44" i="22"/>
  <c r="D44" i="22"/>
  <c r="D43" i="22" s="1"/>
  <c r="C14" i="26"/>
  <c r="D14" i="26"/>
  <c r="D13" i="26" s="1"/>
  <c r="D27" i="26"/>
  <c r="D26" i="26" s="1"/>
  <c r="D27" i="22"/>
  <c r="C14" i="22"/>
  <c r="D14" i="22"/>
  <c r="D13" i="22" s="1"/>
  <c r="B29" i="22"/>
  <c r="C29" i="22"/>
  <c r="C59" i="22"/>
  <c r="B59" i="22"/>
  <c r="D1" i="26"/>
  <c r="A59" i="26" s="1"/>
  <c r="D1" i="25"/>
  <c r="C5" i="25" s="1"/>
  <c r="C35" i="25" s="1"/>
  <c r="D1" i="24"/>
  <c r="D5" i="24" s="1"/>
  <c r="D35" i="24" s="1"/>
  <c r="D1" i="23"/>
  <c r="D5" i="23" s="1"/>
  <c r="D35" i="23" s="1"/>
  <c r="D1" i="22"/>
  <c r="A59" i="22" s="1"/>
  <c r="D55" i="2"/>
  <c r="A55" i="2"/>
  <c r="A42" i="2"/>
  <c r="A67" i="2"/>
  <c r="D94" i="2"/>
  <c r="D15" i="2"/>
  <c r="F1" i="41"/>
  <c r="A44" i="41" s="1"/>
  <c r="J17" i="40"/>
  <c r="J18" i="40" s="1"/>
  <c r="J29" i="40" s="1"/>
  <c r="J28" i="40"/>
  <c r="H17" i="40"/>
  <c r="H18" i="40" s="1"/>
  <c r="H28" i="40"/>
  <c r="F28" i="40"/>
  <c r="F17" i="40"/>
  <c r="F18" i="40" s="1"/>
  <c r="F29" i="40" s="1"/>
  <c r="F30" i="40" s="1"/>
  <c r="D17" i="40"/>
  <c r="D18" i="40" s="1"/>
  <c r="D28" i="40"/>
  <c r="B28" i="40"/>
  <c r="B17" i="40"/>
  <c r="B18" i="40" s="1"/>
  <c r="B29" i="40" s="1"/>
  <c r="B30" i="40" s="1"/>
  <c r="F15" i="2"/>
  <c r="E15" i="2"/>
  <c r="H15" i="2" s="1"/>
  <c r="E42" i="2"/>
  <c r="D56" i="64" s="1"/>
  <c r="K1" i="40"/>
  <c r="F2" i="40" s="1"/>
  <c r="E1" i="38"/>
  <c r="A6" i="38" s="1"/>
  <c r="C123" i="39"/>
  <c r="C22" i="3"/>
  <c r="C21" i="3"/>
  <c r="F46" i="29"/>
  <c r="F35" i="29"/>
  <c r="D6" i="41"/>
  <c r="D13" i="9"/>
  <c r="D68" i="8" s="1"/>
  <c r="D19" i="9"/>
  <c r="D69" i="8"/>
  <c r="D25" i="9"/>
  <c r="D70" i="8" s="1"/>
  <c r="D31" i="9"/>
  <c r="D71" i="8" s="1"/>
  <c r="D37" i="9"/>
  <c r="D72" i="8" s="1"/>
  <c r="D43" i="9"/>
  <c r="D73" i="8" s="1"/>
  <c r="D49" i="9"/>
  <c r="D74" i="8" s="1"/>
  <c r="D55" i="9"/>
  <c r="D75" i="8" s="1"/>
  <c r="D72" i="9"/>
  <c r="D76" i="8" s="1"/>
  <c r="D78" i="9"/>
  <c r="D77" i="8" s="1"/>
  <c r="D84" i="9"/>
  <c r="D78" i="8" s="1"/>
  <c r="D90" i="9"/>
  <c r="D96" i="9"/>
  <c r="D80" i="8" s="1"/>
  <c r="D102" i="9"/>
  <c r="D81" i="8" s="1"/>
  <c r="D108" i="9"/>
  <c r="D82" i="8" s="1"/>
  <c r="D114" i="9"/>
  <c r="D83" i="8" s="1"/>
  <c r="D132" i="9"/>
  <c r="D84" i="8" s="1"/>
  <c r="D138" i="9"/>
  <c r="D85" i="8" s="1"/>
  <c r="D144" i="9"/>
  <c r="D86" i="8" s="1"/>
  <c r="D150" i="9"/>
  <c r="D87" i="8" s="1"/>
  <c r="D156" i="9"/>
  <c r="D88" i="8" s="1"/>
  <c r="D162" i="9"/>
  <c r="D89" i="8"/>
  <c r="D168" i="9"/>
  <c r="D90" i="8" s="1"/>
  <c r="D174" i="9"/>
  <c r="D91" i="8" s="1"/>
  <c r="D190" i="9"/>
  <c r="D92" i="8" s="1"/>
  <c r="D196" i="9"/>
  <c r="D93" i="8" s="1"/>
  <c r="D202" i="9"/>
  <c r="D208" i="9"/>
  <c r="D95" i="8" s="1"/>
  <c r="D214" i="9"/>
  <c r="D96" i="8" s="1"/>
  <c r="D220" i="9"/>
  <c r="D97" i="8" s="1"/>
  <c r="D232" i="9"/>
  <c r="D99" i="8" s="1"/>
  <c r="D238" i="9"/>
  <c r="D100" i="8" s="1"/>
  <c r="D254" i="9"/>
  <c r="D101" i="8" s="1"/>
  <c r="D260" i="9"/>
  <c r="D102" i="8" s="1"/>
  <c r="D266" i="9"/>
  <c r="D103" i="8" s="1"/>
  <c r="D272" i="9"/>
  <c r="D104" i="8" s="1"/>
  <c r="D276" i="9"/>
  <c r="D105" i="8" s="1"/>
  <c r="D282" i="9"/>
  <c r="D106" i="8" s="1"/>
  <c r="D288" i="9"/>
  <c r="D107" i="8" s="1"/>
  <c r="D7" i="41"/>
  <c r="D8" i="41"/>
  <c r="D9" i="41"/>
  <c r="D34" i="10"/>
  <c r="D36" i="10" s="1"/>
  <c r="D10" i="41"/>
  <c r="D11" i="41"/>
  <c r="E11" i="41"/>
  <c r="D19" i="12" s="1"/>
  <c r="D34" i="12"/>
  <c r="D25" i="3" s="1"/>
  <c r="D12" i="41"/>
  <c r="E12" i="41"/>
  <c r="D60" i="12"/>
  <c r="D75" i="12"/>
  <c r="F22" i="64" s="1"/>
  <c r="D13" i="41"/>
  <c r="E13" i="41"/>
  <c r="D19" i="13" s="1"/>
  <c r="D34" i="13"/>
  <c r="D36" i="13" s="1"/>
  <c r="D14" i="41"/>
  <c r="E14" i="41"/>
  <c r="D60" i="13" s="1"/>
  <c r="D75" i="13"/>
  <c r="D15" i="41"/>
  <c r="E15" i="41"/>
  <c r="D34" i="14"/>
  <c r="D16" i="41"/>
  <c r="E16" i="41"/>
  <c r="D60" i="14" s="1"/>
  <c r="D17" i="41"/>
  <c r="E17" i="41"/>
  <c r="D18" i="41"/>
  <c r="E18" i="41"/>
  <c r="D60" i="15" s="1"/>
  <c r="D19" i="41"/>
  <c r="E19" i="41"/>
  <c r="D19" i="16" s="1"/>
  <c r="D20" i="41"/>
  <c r="E20" i="41"/>
  <c r="D60" i="16" s="1"/>
  <c r="D21" i="41"/>
  <c r="E21" i="41"/>
  <c r="D19" i="17" s="1"/>
  <c r="D22" i="41"/>
  <c r="E22" i="41"/>
  <c r="D60" i="17" s="1"/>
  <c r="D23" i="41"/>
  <c r="E23" i="41"/>
  <c r="D19" i="18" s="1"/>
  <c r="D24" i="41"/>
  <c r="E24" i="41"/>
  <c r="D60" i="18" s="1"/>
  <c r="D25" i="41"/>
  <c r="E25" i="41"/>
  <c r="D19" i="19" s="1"/>
  <c r="D26" i="41"/>
  <c r="D27" i="41"/>
  <c r="D28" i="41"/>
  <c r="E28" i="41"/>
  <c r="D60" i="20" s="1"/>
  <c r="D29" i="41"/>
  <c r="E29" i="41"/>
  <c r="D19" i="21" s="1"/>
  <c r="D30" i="41"/>
  <c r="E30" i="41"/>
  <c r="D60" i="21" s="1"/>
  <c r="C31" i="9"/>
  <c r="C71" i="8" s="1"/>
  <c r="C37" i="9"/>
  <c r="C72" i="8" s="1"/>
  <c r="C43" i="9"/>
  <c r="C73" i="8" s="1"/>
  <c r="C49" i="9"/>
  <c r="C74" i="8" s="1"/>
  <c r="C55" i="9"/>
  <c r="C75" i="8"/>
  <c r="C72" i="9"/>
  <c r="C76" i="8" s="1"/>
  <c r="C78" i="9"/>
  <c r="C77" i="8" s="1"/>
  <c r="C84" i="9"/>
  <c r="C78" i="8" s="1"/>
  <c r="C90" i="9"/>
  <c r="C79" i="8" s="1"/>
  <c r="C96" i="9"/>
  <c r="C80" i="8" s="1"/>
  <c r="C102" i="9"/>
  <c r="C81" i="8" s="1"/>
  <c r="C108" i="9"/>
  <c r="C82" i="8" s="1"/>
  <c r="C132" i="9"/>
  <c r="C84" i="8" s="1"/>
  <c r="C138" i="9"/>
  <c r="C85" i="8" s="1"/>
  <c r="C144" i="9"/>
  <c r="C86" i="8" s="1"/>
  <c r="C150" i="9"/>
  <c r="C87" i="8" s="1"/>
  <c r="C156" i="9"/>
  <c r="C162" i="9"/>
  <c r="C89" i="8" s="1"/>
  <c r="C168" i="9"/>
  <c r="C90" i="8"/>
  <c r="C174" i="9"/>
  <c r="C91" i="8" s="1"/>
  <c r="C190" i="9"/>
  <c r="C92" i="8" s="1"/>
  <c r="C196" i="9"/>
  <c r="C93" i="8" s="1"/>
  <c r="C202" i="9"/>
  <c r="C94" i="8" s="1"/>
  <c r="C208" i="9"/>
  <c r="C95" i="8" s="1"/>
  <c r="C214" i="9"/>
  <c r="C220" i="9"/>
  <c r="C97" i="8"/>
  <c r="C232" i="9"/>
  <c r="C99" i="8" s="1"/>
  <c r="C238" i="9"/>
  <c r="C100" i="8" s="1"/>
  <c r="C254" i="9"/>
  <c r="C260" i="9"/>
  <c r="C102" i="8" s="1"/>
  <c r="C266" i="9"/>
  <c r="C103" i="8" s="1"/>
  <c r="C272" i="9"/>
  <c r="C104" i="8" s="1"/>
  <c r="C276" i="9"/>
  <c r="C105" i="8" s="1"/>
  <c r="C282" i="9"/>
  <c r="C106" i="8" s="1"/>
  <c r="B13" i="9"/>
  <c r="B68" i="8" s="1"/>
  <c r="B19" i="9"/>
  <c r="B69" i="8" s="1"/>
  <c r="B25" i="9"/>
  <c r="B70" i="8" s="1"/>
  <c r="B31" i="9"/>
  <c r="B71" i="8" s="1"/>
  <c r="B37" i="9"/>
  <c r="B72" i="8" s="1"/>
  <c r="B43" i="9"/>
  <c r="B73" i="8" s="1"/>
  <c r="B49" i="9"/>
  <c r="B74" i="8" s="1"/>
  <c r="B55" i="9"/>
  <c r="B75" i="8" s="1"/>
  <c r="B72" i="9"/>
  <c r="B76" i="8" s="1"/>
  <c r="B78" i="9"/>
  <c r="B77" i="8"/>
  <c r="B84" i="9"/>
  <c r="B78" i="8" s="1"/>
  <c r="B90" i="9"/>
  <c r="B79" i="8"/>
  <c r="B96" i="9"/>
  <c r="B80" i="8" s="1"/>
  <c r="B102" i="9"/>
  <c r="B81" i="8" s="1"/>
  <c r="B108" i="9"/>
  <c r="B82" i="8" s="1"/>
  <c r="B114" i="9"/>
  <c r="B83" i="8" s="1"/>
  <c r="B132" i="9"/>
  <c r="B84" i="8" s="1"/>
  <c r="B138" i="9"/>
  <c r="B144" i="9"/>
  <c r="B86" i="8" s="1"/>
  <c r="B150" i="9"/>
  <c r="B87" i="8" s="1"/>
  <c r="B156" i="9"/>
  <c r="B88" i="8" s="1"/>
  <c r="B162" i="9"/>
  <c r="B89" i="8" s="1"/>
  <c r="B168" i="9"/>
  <c r="B90" i="8" s="1"/>
  <c r="B174" i="9"/>
  <c r="B91" i="8" s="1"/>
  <c r="B190" i="9"/>
  <c r="B92" i="8" s="1"/>
  <c r="B196" i="9"/>
  <c r="B93" i="8" s="1"/>
  <c r="B202" i="9"/>
  <c r="B208" i="9"/>
  <c r="B95" i="8" s="1"/>
  <c r="B214" i="9"/>
  <c r="B96" i="8" s="1"/>
  <c r="B220" i="9"/>
  <c r="B97" i="8"/>
  <c r="B232" i="9"/>
  <c r="B99" i="8" s="1"/>
  <c r="B238" i="9"/>
  <c r="B100" i="8" s="1"/>
  <c r="B254" i="9"/>
  <c r="B101" i="8" s="1"/>
  <c r="B260" i="9"/>
  <c r="B102" i="8" s="1"/>
  <c r="B266" i="9"/>
  <c r="B103" i="8" s="1"/>
  <c r="B272" i="9"/>
  <c r="B104" i="8" s="1"/>
  <c r="B276" i="9"/>
  <c r="B105" i="8" s="1"/>
  <c r="B282" i="9"/>
  <c r="B106" i="8" s="1"/>
  <c r="B288" i="9"/>
  <c r="B107" i="8" s="1"/>
  <c r="C46" i="3"/>
  <c r="C48" i="3"/>
  <c r="C50" i="3"/>
  <c r="C52" i="3"/>
  <c r="B23" i="3"/>
  <c r="D35" i="6"/>
  <c r="E37" i="6"/>
  <c r="F39" i="6"/>
  <c r="B6" i="41"/>
  <c r="B7" i="41"/>
  <c r="B8" i="41"/>
  <c r="B9" i="41"/>
  <c r="B10" i="41"/>
  <c r="B11" i="41"/>
  <c r="B12" i="41"/>
  <c r="B13" i="41"/>
  <c r="B14" i="41"/>
  <c r="B15" i="41"/>
  <c r="B16" i="41"/>
  <c r="B17" i="41"/>
  <c r="B18" i="41"/>
  <c r="B19" i="41"/>
  <c r="B20" i="41"/>
  <c r="B21" i="41"/>
  <c r="B22" i="41"/>
  <c r="B23" i="41"/>
  <c r="B24" i="41"/>
  <c r="B25" i="41"/>
  <c r="B26" i="41"/>
  <c r="B27" i="41"/>
  <c r="B28" i="41"/>
  <c r="B29" i="41"/>
  <c r="B30" i="41"/>
  <c r="C31" i="41"/>
  <c r="D38" i="41"/>
  <c r="D40" i="41"/>
  <c r="J1" i="28"/>
  <c r="B5" i="28" s="1"/>
  <c r="C26" i="36"/>
  <c r="C28" i="36" s="1"/>
  <c r="D26" i="36"/>
  <c r="D28" i="36" s="1"/>
  <c r="E26" i="36"/>
  <c r="E28" i="36" s="1"/>
  <c r="F22" i="29"/>
  <c r="F37" i="30"/>
  <c r="A5" i="40"/>
  <c r="C5" i="40"/>
  <c r="E5" i="40"/>
  <c r="G5" i="40"/>
  <c r="I5" i="40"/>
  <c r="K7" i="40"/>
  <c r="C13" i="26"/>
  <c r="C26" i="26"/>
  <c r="B34" i="26"/>
  <c r="C34" i="26"/>
  <c r="D34" i="26"/>
  <c r="B56" i="26"/>
  <c r="C13" i="25"/>
  <c r="B34" i="25"/>
  <c r="C34" i="25"/>
  <c r="D34" i="25"/>
  <c r="C13" i="24"/>
  <c r="D26" i="24"/>
  <c r="B34" i="24"/>
  <c r="C34" i="24"/>
  <c r="D34" i="24"/>
  <c r="C26" i="23"/>
  <c r="B34" i="23"/>
  <c r="C34" i="23"/>
  <c r="D34" i="23"/>
  <c r="C13" i="22"/>
  <c r="B34" i="22"/>
  <c r="C34" i="22"/>
  <c r="D34" i="22"/>
  <c r="C43" i="22"/>
  <c r="B45" i="21"/>
  <c r="C45" i="21"/>
  <c r="D45" i="21"/>
  <c r="B45" i="20"/>
  <c r="C45" i="20"/>
  <c r="D45" i="20"/>
  <c r="B45" i="19"/>
  <c r="C45" i="19"/>
  <c r="D45" i="19"/>
  <c r="B45" i="18"/>
  <c r="C45" i="18"/>
  <c r="D45" i="18"/>
  <c r="B45" i="17"/>
  <c r="C45" i="17"/>
  <c r="D45" i="17"/>
  <c r="B45" i="16"/>
  <c r="C45" i="16"/>
  <c r="D45" i="16"/>
  <c r="B45" i="15"/>
  <c r="C45" i="15"/>
  <c r="D45" i="15"/>
  <c r="B45" i="14"/>
  <c r="C45" i="14"/>
  <c r="D45" i="14"/>
  <c r="B45" i="13"/>
  <c r="C45" i="13"/>
  <c r="D45" i="13"/>
  <c r="B45" i="12"/>
  <c r="C45" i="12"/>
  <c r="D45" i="12"/>
  <c r="B45" i="10"/>
  <c r="C45" i="10"/>
  <c r="D45" i="10"/>
  <c r="D1" i="11"/>
  <c r="C5" i="11" s="1"/>
  <c r="B12" i="11"/>
  <c r="C71" i="39" s="1"/>
  <c r="C12" i="11"/>
  <c r="D71" i="39" s="1"/>
  <c r="D12" i="11"/>
  <c r="B18" i="11"/>
  <c r="C72" i="39" s="1"/>
  <c r="C18" i="11"/>
  <c r="D72" i="39" s="1"/>
  <c r="D18" i="11"/>
  <c r="E72" i="39" s="1"/>
  <c r="B24" i="11"/>
  <c r="C73" i="39" s="1"/>
  <c r="C24" i="11"/>
  <c r="D73" i="39" s="1"/>
  <c r="D24" i="11"/>
  <c r="E73" i="39" s="1"/>
  <c r="B30" i="11"/>
  <c r="C74" i="39" s="1"/>
  <c r="C30" i="11"/>
  <c r="D30" i="11"/>
  <c r="E74" i="39" s="1"/>
  <c r="B36" i="11"/>
  <c r="C75" i="39" s="1"/>
  <c r="C36" i="11"/>
  <c r="D75" i="39" s="1"/>
  <c r="D36" i="11"/>
  <c r="E75" i="39" s="1"/>
  <c r="B42" i="11"/>
  <c r="C42" i="11"/>
  <c r="D76" i="39" s="1"/>
  <c r="D42" i="11"/>
  <c r="E76" i="39" s="1"/>
  <c r="B5" i="39"/>
  <c r="B68" i="39" s="1"/>
  <c r="C67" i="39"/>
  <c r="D67" i="39"/>
  <c r="E67" i="39"/>
  <c r="B71" i="39"/>
  <c r="B72" i="39"/>
  <c r="B73" i="39"/>
  <c r="B74" i="39"/>
  <c r="B75" i="39"/>
  <c r="B76" i="39"/>
  <c r="B5" i="37"/>
  <c r="D1" i="9"/>
  <c r="D243" i="9" s="1"/>
  <c r="B64" i="9"/>
  <c r="C64" i="9"/>
  <c r="D64" i="9"/>
  <c r="B122" i="9"/>
  <c r="C122" i="9"/>
  <c r="D122" i="9"/>
  <c r="B182" i="9"/>
  <c r="C182" i="9"/>
  <c r="D182" i="9"/>
  <c r="B246" i="9"/>
  <c r="C246" i="9"/>
  <c r="D246" i="9"/>
  <c r="A5" i="8"/>
  <c r="B64" i="8"/>
  <c r="C64" i="8"/>
  <c r="D64"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H1" i="30"/>
  <c r="F9" i="30" s="1"/>
  <c r="G37" i="30"/>
  <c r="H37" i="30"/>
  <c r="L1" i="29"/>
  <c r="F7" i="29" s="1"/>
  <c r="I22" i="29"/>
  <c r="J22" i="29"/>
  <c r="J47" i="29" s="1"/>
  <c r="K22" i="29"/>
  <c r="K47" i="29" s="1"/>
  <c r="L22" i="29"/>
  <c r="I35" i="29"/>
  <c r="J35" i="29"/>
  <c r="K35" i="29"/>
  <c r="L35" i="29"/>
  <c r="I46" i="29"/>
  <c r="J46" i="29"/>
  <c r="K46" i="29"/>
  <c r="L46" i="29"/>
  <c r="F1" i="36"/>
  <c r="D8" i="36" s="1"/>
  <c r="I1" i="6"/>
  <c r="D6" i="6" s="1"/>
  <c r="A8" i="6"/>
  <c r="C8" i="6"/>
  <c r="A9" i="6"/>
  <c r="C9" i="6"/>
  <c r="A10" i="6"/>
  <c r="C10" i="6"/>
  <c r="A11" i="6"/>
  <c r="C11" i="6"/>
  <c r="A12" i="6"/>
  <c r="C12" i="6"/>
  <c r="A13" i="6"/>
  <c r="C13" i="6"/>
  <c r="A14" i="6"/>
  <c r="C14" i="6"/>
  <c r="A15" i="6"/>
  <c r="C15" i="6"/>
  <c r="A16" i="6"/>
  <c r="C16" i="6"/>
  <c r="A17" i="6"/>
  <c r="C17" i="6"/>
  <c r="A18" i="6"/>
  <c r="C18" i="6"/>
  <c r="A19" i="6"/>
  <c r="C19" i="6"/>
  <c r="A20" i="6"/>
  <c r="C20" i="6"/>
  <c r="A21" i="6"/>
  <c r="C21" i="6"/>
  <c r="A22" i="6"/>
  <c r="C22" i="6"/>
  <c r="A23" i="6"/>
  <c r="C23" i="6"/>
  <c r="A24" i="6"/>
  <c r="C24" i="6"/>
  <c r="A25" i="6"/>
  <c r="C25" i="6"/>
  <c r="A26" i="6"/>
  <c r="C26" i="6"/>
  <c r="A27" i="6"/>
  <c r="C27" i="6"/>
  <c r="A28" i="6"/>
  <c r="C28" i="6"/>
  <c r="A29" i="6"/>
  <c r="C29" i="6"/>
  <c r="A30" i="6"/>
  <c r="C30" i="6"/>
  <c r="A31" i="6"/>
  <c r="C31" i="6"/>
  <c r="A32" i="6"/>
  <c r="C32" i="6"/>
  <c r="G1" i="4"/>
  <c r="D38" i="4"/>
  <c r="E38" i="4"/>
  <c r="F1" i="3"/>
  <c r="B20" i="3"/>
  <c r="A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35" i="3"/>
  <c r="B35" i="3"/>
  <c r="C35" i="3"/>
  <c r="A36" i="3"/>
  <c r="B36" i="3"/>
  <c r="C36" i="3"/>
  <c r="A37" i="3"/>
  <c r="B37" i="3"/>
  <c r="C37" i="3"/>
  <c r="A38" i="3"/>
  <c r="B38" i="3"/>
  <c r="C38" i="3"/>
  <c r="A39" i="3"/>
  <c r="B39" i="3"/>
  <c r="C39" i="3"/>
  <c r="A40" i="3"/>
  <c r="B40" i="3"/>
  <c r="C40" i="3"/>
  <c r="A41" i="3"/>
  <c r="B41" i="3"/>
  <c r="C41" i="3"/>
  <c r="A42" i="3"/>
  <c r="B42" i="3"/>
  <c r="C42" i="3"/>
  <c r="A43" i="3"/>
  <c r="B43" i="3"/>
  <c r="C43" i="3"/>
  <c r="A44" i="3"/>
  <c r="B44" i="3"/>
  <c r="C44" i="3"/>
  <c r="A45" i="3"/>
  <c r="C45" i="3"/>
  <c r="A46" i="3"/>
  <c r="A47" i="3"/>
  <c r="C47" i="3"/>
  <c r="A48" i="3"/>
  <c r="A49" i="3"/>
  <c r="C49" i="3"/>
  <c r="A50" i="3"/>
  <c r="A51" i="3"/>
  <c r="C51" i="3"/>
  <c r="A52" i="3"/>
  <c r="A53" i="3"/>
  <c r="C53" i="3"/>
  <c r="A54" i="3"/>
  <c r="C54" i="3"/>
  <c r="A55" i="3"/>
  <c r="C55" i="3"/>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61" i="38"/>
  <c r="A62" i="38"/>
  <c r="A63" i="38"/>
  <c r="A64" i="38"/>
  <c r="A65" i="38"/>
  <c r="A66" i="38"/>
  <c r="A12" i="2"/>
  <c r="F42" i="2"/>
  <c r="A65" i="2"/>
  <c r="B69" i="2"/>
  <c r="B70" i="2"/>
  <c r="B71" i="2"/>
  <c r="B72" i="2"/>
  <c r="B73" i="2"/>
  <c r="B74" i="2"/>
  <c r="B75" i="2"/>
  <c r="B76" i="2"/>
  <c r="B77" i="2"/>
  <c r="B78" i="2"/>
  <c r="B79" i="2"/>
  <c r="B80" i="2"/>
  <c r="B81" i="2"/>
  <c r="B82" i="2"/>
  <c r="B83" i="2"/>
  <c r="B84" i="2"/>
  <c r="B85" i="2"/>
  <c r="B86" i="2"/>
  <c r="B87" i="2"/>
  <c r="B88" i="2"/>
  <c r="B89" i="2"/>
  <c r="B90" i="2"/>
  <c r="B91" i="2"/>
  <c r="B92" i="2"/>
  <c r="B93" i="2"/>
  <c r="A99" i="2"/>
  <c r="D100" i="2"/>
  <c r="E100" i="2"/>
  <c r="D29" i="40"/>
  <c r="B43" i="23"/>
  <c r="B43" i="27"/>
  <c r="D46" i="3"/>
  <c r="J30" i="40"/>
  <c r="I56" i="12"/>
  <c r="I57" i="12"/>
  <c r="I13" i="19"/>
  <c r="I14" i="13"/>
  <c r="J29" i="37"/>
  <c r="I53" i="15"/>
  <c r="I55" i="16"/>
  <c r="I56" i="14"/>
  <c r="I57" i="14"/>
  <c r="I56" i="16"/>
  <c r="I57" i="16"/>
  <c r="I54" i="15"/>
  <c r="I55" i="15"/>
  <c r="I56" i="13"/>
  <c r="I57" i="13"/>
  <c r="I55" i="17"/>
  <c r="I56" i="17"/>
  <c r="I55" i="18"/>
  <c r="I56" i="18"/>
  <c r="I55" i="19"/>
  <c r="I56" i="19"/>
  <c r="I56" i="21"/>
  <c r="I57" i="21"/>
  <c r="I12" i="15"/>
  <c r="I54" i="17"/>
  <c r="I55" i="21"/>
  <c r="I55" i="13"/>
  <c r="I14" i="16"/>
  <c r="I13" i="20"/>
  <c r="I13" i="17"/>
  <c r="I14" i="10"/>
  <c r="I14" i="12"/>
  <c r="I13" i="18"/>
  <c r="I54" i="18"/>
  <c r="I14" i="14"/>
  <c r="I54" i="19"/>
  <c r="I55" i="12"/>
  <c r="I14" i="21"/>
  <c r="I55" i="14"/>
  <c r="J90" i="39"/>
  <c r="I56" i="10"/>
  <c r="I57" i="10"/>
  <c r="I55" i="10"/>
  <c r="I55" i="20"/>
  <c r="I56" i="20"/>
  <c r="I54" i="20"/>
  <c r="D26" i="25"/>
  <c r="D29" i="25"/>
  <c r="D59" i="22"/>
  <c r="C88" i="8"/>
  <c r="B94" i="8"/>
  <c r="D74" i="39"/>
  <c r="C43" i="11"/>
  <c r="B85" i="8"/>
  <c r="C290" i="9"/>
  <c r="C101" i="8"/>
  <c r="D79" i="8"/>
  <c r="E71" i="39"/>
  <c r="B45" i="27"/>
  <c r="B26" i="24"/>
  <c r="C96" i="8"/>
  <c r="D42" i="27"/>
  <c r="F43" i="27"/>
  <c r="D56" i="22"/>
  <c r="D51" i="3"/>
  <c r="B15" i="25"/>
  <c r="B28" i="25" s="1"/>
  <c r="B13" i="25"/>
  <c r="B43" i="24"/>
  <c r="M52" i="27"/>
  <c r="F12" i="6"/>
  <c r="D53" i="10" s="1"/>
  <c r="H21" i="6"/>
  <c r="D14" i="16" s="1"/>
  <c r="F15" i="6"/>
  <c r="D12" i="13" s="1"/>
  <c r="D26" i="6"/>
  <c r="D51" i="18" s="1"/>
  <c r="E21" i="6"/>
  <c r="D11" i="16" s="1"/>
  <c r="D20" i="6"/>
  <c r="D51" i="15" s="1"/>
  <c r="D18" i="6"/>
  <c r="D51" i="14" s="1"/>
  <c r="D17" i="6"/>
  <c r="D10" i="14" s="1"/>
  <c r="D25" i="6"/>
  <c r="D10" i="18" s="1"/>
  <c r="D14" i="6"/>
  <c r="D30" i="6"/>
  <c r="D51" i="20" s="1"/>
  <c r="D19" i="6"/>
  <c r="D10" i="15" s="1"/>
  <c r="D22" i="6"/>
  <c r="D51" i="16" s="1"/>
  <c r="D24" i="6"/>
  <c r="D51" i="17" s="1"/>
  <c r="D29" i="6"/>
  <c r="D10" i="20" s="1"/>
  <c r="D21" i="6"/>
  <c r="D10" i="16" s="1"/>
  <c r="D23" i="6"/>
  <c r="D10" i="17" s="1"/>
  <c r="D28" i="6"/>
  <c r="D51" i="19" s="1"/>
  <c r="D13" i="6"/>
  <c r="D10" i="12" s="1"/>
  <c r="D27" i="6"/>
  <c r="D10" i="19" s="1"/>
  <c r="D32" i="6"/>
  <c r="D51" i="21" s="1"/>
  <c r="D16" i="6"/>
  <c r="D51" i="13" s="1"/>
  <c r="D12" i="6"/>
  <c r="D51" i="10" s="1"/>
  <c r="D31" i="6"/>
  <c r="D10" i="21" s="1"/>
  <c r="D15" i="6"/>
  <c r="D10" i="13" s="1"/>
  <c r="F19" i="6"/>
  <c r="D12" i="15" s="1"/>
  <c r="F29" i="6"/>
  <c r="D12" i="20" s="1"/>
  <c r="F20" i="6"/>
  <c r="D53" i="15" s="1"/>
  <c r="F28" i="6"/>
  <c r="D53" i="19" s="1"/>
  <c r="F26" i="6"/>
  <c r="D53" i="18" s="1"/>
  <c r="F24" i="6"/>
  <c r="D53" i="17" s="1"/>
  <c r="F18" i="6"/>
  <c r="D53" i="14" s="1"/>
  <c r="F32" i="6"/>
  <c r="D53" i="21" s="1"/>
  <c r="F30" i="6"/>
  <c r="D53" i="20" s="1"/>
  <c r="F25" i="6"/>
  <c r="D12" i="18" s="1"/>
  <c r="F13" i="6"/>
  <c r="D12" i="12" s="1"/>
  <c r="F21" i="6"/>
  <c r="D12" i="16" s="1"/>
  <c r="F17" i="6"/>
  <c r="D12" i="14" s="1"/>
  <c r="F14" i="6"/>
  <c r="D53" i="12" s="1"/>
  <c r="F22" i="6"/>
  <c r="D53" i="16" s="1"/>
  <c r="F23" i="6"/>
  <c r="D12" i="17" s="1"/>
  <c r="F16" i="6"/>
  <c r="D53" i="13" s="1"/>
  <c r="F27" i="6"/>
  <c r="D12" i="19" s="1"/>
  <c r="F31" i="6"/>
  <c r="D12" i="21" s="1"/>
  <c r="E22" i="6"/>
  <c r="D52" i="16" s="1"/>
  <c r="E32" i="6"/>
  <c r="D52" i="21" s="1"/>
  <c r="E17" i="6"/>
  <c r="D11" i="14" s="1"/>
  <c r="E15" i="6"/>
  <c r="D11" i="13" s="1"/>
  <c r="E23" i="6"/>
  <c r="D11" i="17" s="1"/>
  <c r="E27" i="6"/>
  <c r="D11" i="19" s="1"/>
  <c r="E31" i="6"/>
  <c r="D11" i="21" s="1"/>
  <c r="E19" i="6"/>
  <c r="D11" i="15" s="1"/>
  <c r="E16" i="6"/>
  <c r="D52" i="13" s="1"/>
  <c r="E14" i="6"/>
  <c r="D52" i="12" s="1"/>
  <c r="E20" i="6"/>
  <c r="D52" i="15" s="1"/>
  <c r="E24" i="6"/>
  <c r="D52" i="17" s="1"/>
  <c r="E28" i="6"/>
  <c r="D52" i="19" s="1"/>
  <c r="E13" i="6"/>
  <c r="D11" i="12" s="1"/>
  <c r="E18" i="6"/>
  <c r="D52" i="14" s="1"/>
  <c r="E12" i="6"/>
  <c r="D52" i="10" s="1"/>
  <c r="E25" i="6"/>
  <c r="D11" i="18" s="1"/>
  <c r="E26" i="6"/>
  <c r="D52" i="18" s="1"/>
  <c r="E29" i="6"/>
  <c r="D11" i="20" s="1"/>
  <c r="E30" i="6"/>
  <c r="D52" i="20" s="1"/>
  <c r="J43" i="27"/>
  <c r="D59" i="27"/>
  <c r="A29" i="24"/>
  <c r="D60" i="10"/>
  <c r="D34" i="19"/>
  <c r="D34" i="18"/>
  <c r="F33" i="64" s="1"/>
  <c r="D75" i="21"/>
  <c r="D44" i="3" s="1"/>
  <c r="D75" i="17"/>
  <c r="F32" i="64" s="1"/>
  <c r="D75" i="19"/>
  <c r="D77" i="19" s="1"/>
  <c r="D75" i="14"/>
  <c r="D77" i="14" s="1"/>
  <c r="D34" i="21"/>
  <c r="F39" i="27" s="1"/>
  <c r="D75" i="20"/>
  <c r="D74" i="20" s="1"/>
  <c r="D75" i="16"/>
  <c r="F30" i="64" s="1"/>
  <c r="D75" i="18"/>
  <c r="F34" i="64" s="1"/>
  <c r="D34" i="17"/>
  <c r="E37" i="17" s="1"/>
  <c r="D34" i="20"/>
  <c r="F37" i="27" s="1"/>
  <c r="D34" i="16"/>
  <c r="F29" i="64" s="1"/>
  <c r="D34" i="15"/>
  <c r="D36" i="15" s="1"/>
  <c r="D75" i="15"/>
  <c r="F28" i="64" s="1"/>
  <c r="D19" i="14"/>
  <c r="B23" i="21"/>
  <c r="D35" i="27"/>
  <c r="C33" i="19"/>
  <c r="B33" i="27"/>
  <c r="F24" i="18"/>
  <c r="F11" i="16"/>
  <c r="B23" i="16"/>
  <c r="F23" i="15"/>
  <c r="F64" i="15"/>
  <c r="C74" i="15"/>
  <c r="C30" i="37"/>
  <c r="B17" i="27"/>
  <c r="C59" i="37"/>
  <c r="E6" i="41"/>
  <c r="D50" i="8" s="1"/>
  <c r="E78" i="13"/>
  <c r="E52" i="37"/>
  <c r="F55" i="37" s="1"/>
  <c r="H9" i="30"/>
  <c r="G9" i="30"/>
  <c r="H40" i="37"/>
  <c r="H41" i="37"/>
  <c r="B54" i="37"/>
  <c r="C5" i="37"/>
  <c r="G33" i="37"/>
  <c r="B30" i="26"/>
  <c r="B26" i="26"/>
  <c r="B49" i="27"/>
  <c r="B56" i="24"/>
  <c r="B46" i="27"/>
  <c r="B30" i="23"/>
  <c r="D94" i="8"/>
  <c r="C76" i="39"/>
  <c r="D22" i="27"/>
  <c r="F9" i="6"/>
  <c r="E12" i="37" s="1"/>
  <c r="F11" i="6"/>
  <c r="D12" i="10" s="1"/>
  <c r="E9" i="6"/>
  <c r="E11" i="37" s="1"/>
  <c r="E11" i="6"/>
  <c r="D11" i="10" s="1"/>
  <c r="G9" i="6"/>
  <c r="E13" i="37" s="1"/>
  <c r="G11" i="6"/>
  <c r="D9" i="6"/>
  <c r="E10" i="37" s="1"/>
  <c r="D11" i="6"/>
  <c r="D10" i="10" s="1"/>
  <c r="H9" i="6"/>
  <c r="E14" i="37" s="1"/>
  <c r="H11" i="6"/>
  <c r="D14" i="10" s="1"/>
  <c r="B60" i="26"/>
  <c r="D56" i="26"/>
  <c r="C30" i="26"/>
  <c r="B13" i="26"/>
  <c r="B30" i="25"/>
  <c r="B47" i="27"/>
  <c r="C26" i="25"/>
  <c r="D46" i="27"/>
  <c r="C56" i="24"/>
  <c r="C36" i="24"/>
  <c r="C45" i="24" s="1"/>
  <c r="C58" i="24" s="1"/>
  <c r="D36" i="24" s="1"/>
  <c r="D45" i="24" s="1"/>
  <c r="B63" i="24"/>
  <c r="B13" i="24"/>
  <c r="B58" i="23"/>
  <c r="B63" i="23" s="1"/>
  <c r="C60" i="23"/>
  <c r="D44" i="27"/>
  <c r="D26" i="22"/>
  <c r="D45" i="3"/>
  <c r="D29" i="22"/>
  <c r="B43" i="22"/>
  <c r="B95" i="20"/>
  <c r="B21" i="18"/>
  <c r="B33" i="15"/>
  <c r="D28" i="27"/>
  <c r="G63" i="12"/>
  <c r="B62" i="10"/>
  <c r="C63" i="24"/>
  <c r="B42" i="27"/>
  <c r="F44" i="27"/>
  <c r="D59" i="23"/>
  <c r="D56" i="23"/>
  <c r="D48" i="3"/>
  <c r="C33" i="10"/>
  <c r="B56" i="22"/>
  <c r="D41" i="27"/>
  <c r="B45" i="26"/>
  <c r="B58" i="26" s="1"/>
  <c r="C60" i="22"/>
  <c r="E8" i="36"/>
  <c r="B5" i="22"/>
  <c r="B35" i="22" s="1"/>
  <c r="G61" i="21"/>
  <c r="B62" i="21"/>
  <c r="B37" i="27"/>
  <c r="B64" i="18"/>
  <c r="C95" i="18"/>
  <c r="F30" i="27"/>
  <c r="B62" i="15"/>
  <c r="B95" i="15"/>
  <c r="C5" i="14"/>
  <c r="C46" i="14" s="1"/>
  <c r="G66" i="14"/>
  <c r="B21" i="27"/>
  <c r="B64" i="12"/>
  <c r="D79" i="12"/>
  <c r="B95" i="12"/>
  <c r="G21" i="10"/>
  <c r="G25" i="10"/>
  <c r="F18" i="10"/>
  <c r="B74" i="10"/>
  <c r="B41" i="10"/>
  <c r="G64" i="10"/>
  <c r="B82" i="10"/>
  <c r="G63" i="10"/>
  <c r="G20" i="10"/>
  <c r="G20" i="12"/>
  <c r="F18" i="12"/>
  <c r="C5" i="12"/>
  <c r="C46" i="12" s="1"/>
  <c r="B41" i="12"/>
  <c r="G26" i="12"/>
  <c r="F52" i="12"/>
  <c r="F59" i="12"/>
  <c r="B5" i="12"/>
  <c r="B46" i="12" s="1"/>
  <c r="A36" i="12"/>
  <c r="G22" i="12"/>
  <c r="G61" i="12"/>
  <c r="D5" i="12"/>
  <c r="D46" i="12" s="1"/>
  <c r="G62" i="12"/>
  <c r="A77" i="12"/>
  <c r="F58" i="17"/>
  <c r="F14" i="17"/>
  <c r="G65" i="17"/>
  <c r="H102" i="39"/>
  <c r="G26" i="10"/>
  <c r="G23" i="10"/>
  <c r="G66" i="10"/>
  <c r="F11" i="10"/>
  <c r="G21" i="16"/>
  <c r="B41" i="16"/>
  <c r="B5" i="16"/>
  <c r="B46" i="16" s="1"/>
  <c r="C21" i="13"/>
  <c r="E5" i="37"/>
  <c r="H38" i="37"/>
  <c r="G26" i="37"/>
  <c r="D5" i="37"/>
  <c r="H36" i="37"/>
  <c r="G30" i="37"/>
  <c r="J37" i="27"/>
  <c r="F59" i="27"/>
  <c r="J36" i="27"/>
  <c r="J30" i="27"/>
  <c r="B13" i="27"/>
  <c r="B97" i="14" l="1"/>
  <c r="A9" i="38"/>
  <c r="A36" i="16"/>
  <c r="F59" i="13"/>
  <c r="B5" i="14"/>
  <c r="B46" i="14" s="1"/>
  <c r="G63" i="14"/>
  <c r="A4" i="38"/>
  <c r="A77" i="14"/>
  <c r="B82" i="16"/>
  <c r="G64" i="13"/>
  <c r="G63" i="13"/>
  <c r="G23" i="16"/>
  <c r="D5" i="22"/>
  <c r="D35" i="22" s="1"/>
  <c r="G22" i="18"/>
  <c r="F18" i="14"/>
  <c r="B5" i="11"/>
  <c r="G20" i="14"/>
  <c r="G22" i="16"/>
  <c r="D5" i="18"/>
  <c r="D46" i="18" s="1"/>
  <c r="G67" i="14"/>
  <c r="G61" i="14"/>
  <c r="G62" i="16"/>
  <c r="A11" i="38"/>
  <c r="A29" i="23"/>
  <c r="G20" i="18"/>
  <c r="F59" i="16"/>
  <c r="G20" i="16"/>
  <c r="C5" i="23"/>
  <c r="C35" i="23" s="1"/>
  <c r="C5" i="18"/>
  <c r="C46" i="18" s="1"/>
  <c r="F15" i="13"/>
  <c r="F58" i="18"/>
  <c r="G63" i="16"/>
  <c r="G67" i="13"/>
  <c r="C5" i="13"/>
  <c r="C46" i="13" s="1"/>
  <c r="F56" i="14"/>
  <c r="G61" i="13"/>
  <c r="D5" i="14"/>
  <c r="D46" i="14" s="1"/>
  <c r="C5" i="22"/>
  <c r="C35" i="22" s="1"/>
  <c r="A29" i="26"/>
  <c r="C5" i="24"/>
  <c r="C35" i="24" s="1"/>
  <c r="G22" i="14"/>
  <c r="G61" i="16"/>
  <c r="G65" i="18"/>
  <c r="F52" i="14"/>
  <c r="G66" i="16"/>
  <c r="A77" i="16"/>
  <c r="F56" i="13"/>
  <c r="G66" i="18"/>
  <c r="G64" i="16"/>
  <c r="F52" i="16"/>
  <c r="F18" i="16"/>
  <c r="B5" i="13"/>
  <c r="B46" i="13" s="1"/>
  <c r="F14" i="18"/>
  <c r="G26" i="13"/>
  <c r="G61" i="18"/>
  <c r="G62" i="18"/>
  <c r="D5" i="13"/>
  <c r="D46" i="13" s="1"/>
  <c r="A29" i="25"/>
  <c r="A29" i="22"/>
  <c r="G24" i="18"/>
  <c r="G66" i="13"/>
  <c r="F18" i="13"/>
  <c r="G26" i="14"/>
  <c r="B59" i="27"/>
  <c r="D33" i="10"/>
  <c r="D77" i="12"/>
  <c r="C33" i="16"/>
  <c r="D79" i="16"/>
  <c r="B97" i="18"/>
  <c r="B74" i="18"/>
  <c r="B19" i="27"/>
  <c r="B95" i="10"/>
  <c r="A38" i="10" s="1"/>
  <c r="B21" i="12"/>
  <c r="D26" i="3"/>
  <c r="C74" i="12"/>
  <c r="C97" i="12"/>
  <c r="E37" i="12"/>
  <c r="F21" i="27"/>
  <c r="D38" i="12"/>
  <c r="D36" i="12"/>
  <c r="D21" i="27"/>
  <c r="A38" i="12"/>
  <c r="B21" i="14"/>
  <c r="B76" i="15"/>
  <c r="B98" i="15" s="1"/>
  <c r="B21" i="15"/>
  <c r="B64" i="16"/>
  <c r="F29" i="27"/>
  <c r="E37" i="16"/>
  <c r="D29" i="27"/>
  <c r="B21" i="17"/>
  <c r="B33" i="17"/>
  <c r="F24" i="17"/>
  <c r="B64" i="17"/>
  <c r="F65" i="17"/>
  <c r="B76" i="17"/>
  <c r="C47" i="17" s="1"/>
  <c r="C64" i="17" s="1"/>
  <c r="C76" i="17" s="1"/>
  <c r="C98" i="17" s="1"/>
  <c r="B97" i="17"/>
  <c r="A79" i="17" s="1"/>
  <c r="D38" i="17"/>
  <c r="D36" i="17"/>
  <c r="B76" i="18"/>
  <c r="B98" i="18" s="1"/>
  <c r="B35" i="18"/>
  <c r="B96" i="18" s="1"/>
  <c r="B76" i="20"/>
  <c r="B98" i="20" s="1"/>
  <c r="E37" i="20"/>
  <c r="D33" i="20"/>
  <c r="B21" i="20"/>
  <c r="B35" i="21"/>
  <c r="B96" i="21" s="1"/>
  <c r="C95" i="21"/>
  <c r="B95" i="21"/>
  <c r="E6" i="4"/>
  <c r="B41" i="4"/>
  <c r="B35" i="19"/>
  <c r="B97" i="19" s="1"/>
  <c r="B52" i="8"/>
  <c r="D56" i="27"/>
  <c r="A34" i="41"/>
  <c r="G21" i="13"/>
  <c r="A16" i="38"/>
  <c r="D5" i="25"/>
  <c r="D35" i="25" s="1"/>
  <c r="B82" i="14"/>
  <c r="G63" i="18"/>
  <c r="E5" i="41"/>
  <c r="G25" i="12"/>
  <c r="F52" i="13"/>
  <c r="G67" i="16"/>
  <c r="D5" i="39"/>
  <c r="D68" i="39" s="1"/>
  <c r="B82" i="12"/>
  <c r="C5" i="10"/>
  <c r="C46" i="10" s="1"/>
  <c r="B41" i="14"/>
  <c r="F55" i="18"/>
  <c r="A77" i="18"/>
  <c r="A36" i="14"/>
  <c r="H37" i="37"/>
  <c r="C29" i="38"/>
  <c r="B113" i="39"/>
  <c r="C5" i="39"/>
  <c r="C68" i="39" s="1"/>
  <c r="C118" i="39"/>
  <c r="B3" i="41"/>
  <c r="H99" i="39"/>
  <c r="H98" i="39"/>
  <c r="A5" i="38"/>
  <c r="F15" i="10"/>
  <c r="B29" i="38"/>
  <c r="G65" i="15"/>
  <c r="J34" i="27"/>
  <c r="F15" i="14"/>
  <c r="G22" i="13"/>
  <c r="F56" i="10"/>
  <c r="G66" i="12"/>
  <c r="G60" i="18"/>
  <c r="D5" i="11"/>
  <c r="A77" i="13"/>
  <c r="G91" i="39"/>
  <c r="A24" i="38"/>
  <c r="B5" i="18"/>
  <c r="B46" i="18" s="1"/>
  <c r="A36" i="10"/>
  <c r="A10" i="27"/>
  <c r="G64" i="14"/>
  <c r="A36" i="13"/>
  <c r="G61" i="10"/>
  <c r="B5" i="25"/>
  <c r="B35" i="25" s="1"/>
  <c r="A7" i="38"/>
  <c r="G64" i="15"/>
  <c r="H101" i="39"/>
  <c r="F17" i="18"/>
  <c r="G25" i="13"/>
  <c r="G22" i="20"/>
  <c r="G87" i="39"/>
  <c r="E5" i="39"/>
  <c r="E68" i="39" s="1"/>
  <c r="F11" i="12"/>
  <c r="G25" i="18"/>
  <c r="J41" i="27"/>
  <c r="G23" i="14"/>
  <c r="F11" i="13"/>
  <c r="D5" i="10"/>
  <c r="D46" i="10" s="1"/>
  <c r="F15" i="12"/>
  <c r="G67" i="12"/>
  <c r="B82" i="18"/>
  <c r="G67" i="10"/>
  <c r="F15" i="16"/>
  <c r="G20" i="13"/>
  <c r="F17" i="20"/>
  <c r="A36" i="18"/>
  <c r="F13" i="27"/>
  <c r="G21" i="14"/>
  <c r="B5" i="41"/>
  <c r="G62" i="10"/>
  <c r="F56" i="12"/>
  <c r="G64" i="12"/>
  <c r="G19" i="18"/>
  <c r="F59" i="10"/>
  <c r="G26" i="16"/>
  <c r="C8" i="36"/>
  <c r="B41" i="18"/>
  <c r="B41" i="13"/>
  <c r="B5" i="23"/>
  <c r="B35" i="23" s="1"/>
  <c r="E63" i="39"/>
  <c r="G94" i="39"/>
  <c r="H96" i="39"/>
  <c r="G14" i="27"/>
  <c r="F52" i="10"/>
  <c r="A59" i="25"/>
  <c r="A8" i="38"/>
  <c r="F10" i="18"/>
  <c r="G67" i="21"/>
  <c r="B5" i="10"/>
  <c r="B46" i="10" s="1"/>
  <c r="G25" i="16"/>
  <c r="B82" i="13"/>
  <c r="B5" i="24"/>
  <c r="B35" i="24" s="1"/>
  <c r="J51" i="27"/>
  <c r="G23" i="13"/>
  <c r="F59" i="14"/>
  <c r="G62" i="14"/>
  <c r="F56" i="16"/>
  <c r="J44" i="27"/>
  <c r="D5" i="16"/>
  <c r="D46" i="16" s="1"/>
  <c r="A28" i="38"/>
  <c r="A59" i="24"/>
  <c r="A59" i="23"/>
  <c r="B97" i="12"/>
  <c r="B22" i="64"/>
  <c r="F60" i="27"/>
  <c r="F60" i="64"/>
  <c r="F45" i="27"/>
  <c r="F45" i="64"/>
  <c r="G34" i="21"/>
  <c r="G33" i="21"/>
  <c r="G31" i="21"/>
  <c r="G30" i="21"/>
  <c r="G75" i="21"/>
  <c r="G74" i="21"/>
  <c r="G72" i="21"/>
  <c r="G71" i="21"/>
  <c r="M32" i="27"/>
  <c r="G63" i="20"/>
  <c r="B41" i="21"/>
  <c r="A77" i="20"/>
  <c r="F54" i="27"/>
  <c r="F54" i="64"/>
  <c r="H29" i="40"/>
  <c r="H30" i="40" s="1"/>
  <c r="B23" i="27"/>
  <c r="B23" i="64"/>
  <c r="B41" i="27"/>
  <c r="B41" i="64"/>
  <c r="D74" i="12"/>
  <c r="G20" i="20"/>
  <c r="B76" i="16"/>
  <c r="B98" i="16" s="1"/>
  <c r="D59" i="26"/>
  <c r="F10" i="20"/>
  <c r="I47" i="29"/>
  <c r="D54" i="27"/>
  <c r="D54" i="64"/>
  <c r="E78" i="12"/>
  <c r="F61" i="27"/>
  <c r="F61" i="64"/>
  <c r="F41" i="27"/>
  <c r="F41" i="64"/>
  <c r="F50" i="27"/>
  <c r="D45" i="27"/>
  <c r="D45" i="64"/>
  <c r="C97" i="21"/>
  <c r="D40" i="64"/>
  <c r="C95" i="14"/>
  <c r="D25" i="64"/>
  <c r="F26" i="27"/>
  <c r="C98" i="19"/>
  <c r="G61" i="20"/>
  <c r="D38" i="21"/>
  <c r="D5" i="41"/>
  <c r="C5" i="20"/>
  <c r="C46" i="20" s="1"/>
  <c r="C30" i="23"/>
  <c r="D43" i="64"/>
  <c r="B76" i="21"/>
  <c r="B98" i="21" s="1"/>
  <c r="C33" i="13"/>
  <c r="D23" i="64"/>
  <c r="G25" i="20"/>
  <c r="B33" i="14"/>
  <c r="B25" i="64"/>
  <c r="B76" i="12"/>
  <c r="C47" i="12" s="1"/>
  <c r="C64" i="12" s="1"/>
  <c r="C76" i="12" s="1"/>
  <c r="F61" i="12" s="1"/>
  <c r="E78" i="19"/>
  <c r="B5" i="20"/>
  <c r="B46" i="20" s="1"/>
  <c r="D5" i="21"/>
  <c r="D46" i="21" s="1"/>
  <c r="A77" i="19"/>
  <c r="C56" i="39"/>
  <c r="C69" i="39" s="1"/>
  <c r="B13" i="23"/>
  <c r="D26" i="23"/>
  <c r="C56" i="22"/>
  <c r="D42" i="64"/>
  <c r="D19" i="27"/>
  <c r="D19" i="64"/>
  <c r="B74" i="14"/>
  <c r="B26" i="64"/>
  <c r="D73" i="37"/>
  <c r="B56" i="37" s="1"/>
  <c r="D17" i="64"/>
  <c r="G19" i="20"/>
  <c r="G70" i="20"/>
  <c r="G73" i="20"/>
  <c r="G33" i="20"/>
  <c r="G32" i="20"/>
  <c r="G71" i="20"/>
  <c r="G30" i="20"/>
  <c r="G29" i="20"/>
  <c r="G74" i="20"/>
  <c r="F66" i="13"/>
  <c r="B24" i="64"/>
  <c r="B54" i="27"/>
  <c r="B54" i="64"/>
  <c r="F49" i="27"/>
  <c r="F49" i="64"/>
  <c r="F56" i="21"/>
  <c r="F51" i="20"/>
  <c r="F22" i="27"/>
  <c r="F36" i="27"/>
  <c r="G22" i="21"/>
  <c r="D47" i="3"/>
  <c r="D36" i="27"/>
  <c r="G65" i="19"/>
  <c r="D49" i="3"/>
  <c r="C60" i="26"/>
  <c r="D50" i="64"/>
  <c r="B60" i="25"/>
  <c r="B48" i="64"/>
  <c r="A117" i="8"/>
  <c r="G117" i="8"/>
  <c r="G116" i="8"/>
  <c r="G113" i="8"/>
  <c r="G114" i="8"/>
  <c r="C95" i="15"/>
  <c r="A38" i="15" s="1"/>
  <c r="D27" i="64"/>
  <c r="C33" i="18"/>
  <c r="D33" i="64"/>
  <c r="G65" i="20"/>
  <c r="F62" i="27"/>
  <c r="F62" i="64"/>
  <c r="C74" i="14"/>
  <c r="D26" i="64"/>
  <c r="D74" i="19"/>
  <c r="A36" i="21"/>
  <c r="D29" i="23"/>
  <c r="D58" i="24"/>
  <c r="D60" i="24" s="1"/>
  <c r="F55" i="19"/>
  <c r="D29" i="24"/>
  <c r="B60" i="22"/>
  <c r="B42" i="64"/>
  <c r="F47" i="27"/>
  <c r="H49" i="37"/>
  <c r="H48" i="37"/>
  <c r="H46" i="37"/>
  <c r="H45" i="37"/>
  <c r="F25" i="10"/>
  <c r="B19" i="64"/>
  <c r="F24" i="20"/>
  <c r="B37" i="64"/>
  <c r="G40" i="37"/>
  <c r="B17" i="64"/>
  <c r="F63" i="27"/>
  <c r="F63" i="64"/>
  <c r="D48" i="27"/>
  <c r="D48" i="64"/>
  <c r="C95" i="13"/>
  <c r="A38" i="13" s="1"/>
  <c r="B82" i="20"/>
  <c r="F59" i="21"/>
  <c r="F18" i="21"/>
  <c r="B74" i="16"/>
  <c r="G20" i="19"/>
  <c r="C5" i="41"/>
  <c r="D59" i="24"/>
  <c r="F42" i="27"/>
  <c r="F42" i="64"/>
  <c r="H110" i="39"/>
  <c r="H109" i="39"/>
  <c r="H107" i="39"/>
  <c r="H106" i="39"/>
  <c r="C97" i="10"/>
  <c r="A79" i="10" s="1"/>
  <c r="D20" i="64"/>
  <c r="B27" i="27"/>
  <c r="B27" i="64"/>
  <c r="D38" i="27"/>
  <c r="D38" i="64"/>
  <c r="F55" i="20"/>
  <c r="B74" i="19"/>
  <c r="B36" i="64"/>
  <c r="D5" i="20"/>
  <c r="D46" i="20" s="1"/>
  <c r="B97" i="21"/>
  <c r="B40" i="64"/>
  <c r="G6" i="28"/>
  <c r="F5" i="28"/>
  <c r="D23" i="27"/>
  <c r="B41" i="20"/>
  <c r="G66" i="21"/>
  <c r="G63" i="21"/>
  <c r="D5" i="4"/>
  <c r="G60" i="19"/>
  <c r="D56" i="24"/>
  <c r="A77" i="10"/>
  <c r="G75" i="10"/>
  <c r="G74" i="10"/>
  <c r="G72" i="10"/>
  <c r="G71" i="10"/>
  <c r="G34" i="10"/>
  <c r="G33" i="10"/>
  <c r="G31" i="10"/>
  <c r="G30" i="10"/>
  <c r="B33" i="18"/>
  <c r="B33" i="64"/>
  <c r="B28" i="24"/>
  <c r="B95" i="14"/>
  <c r="A38" i="14" s="1"/>
  <c r="G24" i="20"/>
  <c r="G26" i="21"/>
  <c r="G20" i="21"/>
  <c r="C30" i="24"/>
  <c r="B62" i="13"/>
  <c r="B5" i="19"/>
  <c r="B46" i="19" s="1"/>
  <c r="F46" i="27"/>
  <c r="B26" i="22"/>
  <c r="B50" i="27"/>
  <c r="B50" i="64"/>
  <c r="D47" i="27"/>
  <c r="D47" i="64"/>
  <c r="G21" i="12"/>
  <c r="G72" i="12"/>
  <c r="G75" i="12"/>
  <c r="G30" i="12"/>
  <c r="G31" i="12"/>
  <c r="G33" i="12"/>
  <c r="G74" i="12"/>
  <c r="G71" i="12"/>
  <c r="G34" i="12"/>
  <c r="D34" i="27"/>
  <c r="D34" i="64"/>
  <c r="F58" i="20"/>
  <c r="F11" i="21"/>
  <c r="G64" i="21"/>
  <c r="G75" i="13"/>
  <c r="G74" i="13"/>
  <c r="G72" i="13"/>
  <c r="G71" i="13"/>
  <c r="G34" i="13"/>
  <c r="G33" i="13"/>
  <c r="G31" i="13"/>
  <c r="G30" i="13"/>
  <c r="B20" i="27"/>
  <c r="B20" i="64"/>
  <c r="B74" i="15"/>
  <c r="B28" i="64"/>
  <c r="B38" i="27"/>
  <c r="B38" i="64"/>
  <c r="C95" i="20"/>
  <c r="A38" i="20" s="1"/>
  <c r="D37" i="64"/>
  <c r="B82" i="21"/>
  <c r="F52" i="21"/>
  <c r="D40" i="27"/>
  <c r="K6" i="29"/>
  <c r="D116" i="9"/>
  <c r="D294" i="9" s="1"/>
  <c r="D49" i="27"/>
  <c r="D49" i="64"/>
  <c r="C56" i="23"/>
  <c r="D44" i="64"/>
  <c r="B26" i="25"/>
  <c r="B47" i="64"/>
  <c r="G25" i="14"/>
  <c r="G75" i="14"/>
  <c r="G74" i="14"/>
  <c r="G72" i="14"/>
  <c r="G71" i="14"/>
  <c r="G33" i="14"/>
  <c r="G34" i="14"/>
  <c r="G30" i="14"/>
  <c r="G31" i="14"/>
  <c r="C33" i="12"/>
  <c r="D21" i="64"/>
  <c r="D39" i="27"/>
  <c r="D39" i="64"/>
  <c r="G21" i="20"/>
  <c r="A36" i="20"/>
  <c r="F15" i="21"/>
  <c r="C5" i="21"/>
  <c r="C46" i="21" s="1"/>
  <c r="C57" i="9"/>
  <c r="C292" i="9" s="1"/>
  <c r="F65" i="19"/>
  <c r="I6" i="29"/>
  <c r="G70" i="15"/>
  <c r="G69" i="15"/>
  <c r="G72" i="15"/>
  <c r="G32" i="15"/>
  <c r="G31" i="15"/>
  <c r="G29" i="15"/>
  <c r="G28" i="15"/>
  <c r="G73" i="15"/>
  <c r="F48" i="27"/>
  <c r="F48" i="64"/>
  <c r="G62" i="20"/>
  <c r="G62" i="21"/>
  <c r="B5" i="21"/>
  <c r="B46" i="21" s="1"/>
  <c r="B40" i="27"/>
  <c r="C56" i="25"/>
  <c r="B64" i="19"/>
  <c r="B76" i="19" s="1"/>
  <c r="B99" i="19" s="1"/>
  <c r="C74" i="19"/>
  <c r="L47" i="29"/>
  <c r="B56" i="23"/>
  <c r="B44" i="64"/>
  <c r="G34" i="16"/>
  <c r="G33" i="16"/>
  <c r="G31" i="16"/>
  <c r="G30" i="16"/>
  <c r="G75" i="16"/>
  <c r="G74" i="16"/>
  <c r="G72" i="16"/>
  <c r="G71" i="16"/>
  <c r="B33" i="12"/>
  <c r="B21" i="64"/>
  <c r="B29" i="27"/>
  <c r="B29" i="64"/>
  <c r="B34" i="27"/>
  <c r="B34" i="64"/>
  <c r="C97" i="20"/>
  <c r="F51" i="19"/>
  <c r="G74" i="19"/>
  <c r="G73" i="19"/>
  <c r="G71" i="19"/>
  <c r="G70" i="19"/>
  <c r="G29" i="19"/>
  <c r="G30" i="19"/>
  <c r="G33" i="19"/>
  <c r="G32" i="19"/>
  <c r="B97" i="16"/>
  <c r="B30" i="64"/>
  <c r="B35" i="27"/>
  <c r="B35" i="64"/>
  <c r="D54" i="3"/>
  <c r="B25" i="27"/>
  <c r="D36" i="3"/>
  <c r="G66" i="20"/>
  <c r="G21" i="21"/>
  <c r="B30" i="22"/>
  <c r="C60" i="25"/>
  <c r="B36" i="27"/>
  <c r="B240" i="9"/>
  <c r="B298" i="9" s="1"/>
  <c r="K28" i="40"/>
  <c r="B28" i="22"/>
  <c r="C6" i="22" s="1"/>
  <c r="B26" i="23"/>
  <c r="B43" i="64"/>
  <c r="A36" i="17"/>
  <c r="G74" i="17"/>
  <c r="G73" i="17"/>
  <c r="G70" i="17"/>
  <c r="G30" i="17"/>
  <c r="G29" i="17"/>
  <c r="G71" i="17"/>
  <c r="G32" i="17"/>
  <c r="G33" i="17"/>
  <c r="C74" i="16"/>
  <c r="D30" i="64"/>
  <c r="F25" i="21"/>
  <c r="B39" i="64"/>
  <c r="C26" i="22"/>
  <c r="D41" i="64"/>
  <c r="B95" i="17"/>
  <c r="G60" i="20"/>
  <c r="G25" i="21"/>
  <c r="G23" i="21"/>
  <c r="C30" i="22"/>
  <c r="B98" i="19"/>
  <c r="K17" i="40"/>
  <c r="K30" i="40" s="1"/>
  <c r="D50" i="3"/>
  <c r="F51" i="18"/>
  <c r="G33" i="18"/>
  <c r="G32" i="18"/>
  <c r="G30" i="18"/>
  <c r="G29" i="18"/>
  <c r="G74" i="18"/>
  <c r="G73" i="18"/>
  <c r="G71" i="18"/>
  <c r="G70" i="18"/>
  <c r="C97" i="13"/>
  <c r="D24" i="64"/>
  <c r="C95" i="10"/>
  <c r="D5" i="28"/>
  <c r="J6" i="28"/>
  <c r="D36" i="21"/>
  <c r="D43" i="3"/>
  <c r="E37" i="21"/>
  <c r="D42" i="3"/>
  <c r="D79" i="17"/>
  <c r="D74" i="17"/>
  <c r="D77" i="16"/>
  <c r="D74" i="14"/>
  <c r="E78" i="14"/>
  <c r="D30" i="3"/>
  <c r="D31" i="41"/>
  <c r="F40" i="27"/>
  <c r="F40" i="64"/>
  <c r="D33" i="21"/>
  <c r="F39" i="64"/>
  <c r="D79" i="20"/>
  <c r="F38" i="64"/>
  <c r="D77" i="20"/>
  <c r="E78" i="20"/>
  <c r="F38" i="27"/>
  <c r="D41" i="3"/>
  <c r="F37" i="64"/>
  <c r="D36" i="20"/>
  <c r="D38" i="20"/>
  <c r="D40" i="3"/>
  <c r="F36" i="64"/>
  <c r="D79" i="19"/>
  <c r="D38" i="19"/>
  <c r="F35" i="64"/>
  <c r="D39" i="3"/>
  <c r="D33" i="19"/>
  <c r="F34" i="27"/>
  <c r="D79" i="18"/>
  <c r="E78" i="18"/>
  <c r="D33" i="16"/>
  <c r="D38" i="16"/>
  <c r="D36" i="16"/>
  <c r="D33" i="3"/>
  <c r="D32" i="3"/>
  <c r="D38" i="15"/>
  <c r="F27" i="64"/>
  <c r="D79" i="14"/>
  <c r="F26" i="64"/>
  <c r="D33" i="14"/>
  <c r="F25" i="64"/>
  <c r="D74" i="13"/>
  <c r="F24" i="64"/>
  <c r="E37" i="13"/>
  <c r="F23" i="64"/>
  <c r="D33" i="12"/>
  <c r="F21" i="64"/>
  <c r="D77" i="10"/>
  <c r="F20" i="64"/>
  <c r="D38" i="10"/>
  <c r="D23" i="3"/>
  <c r="E37" i="10"/>
  <c r="F19" i="27"/>
  <c r="F19" i="64"/>
  <c r="E54" i="37"/>
  <c r="F17" i="64"/>
  <c r="F73" i="21"/>
  <c r="F31" i="18"/>
  <c r="F73" i="14"/>
  <c r="F72" i="17"/>
  <c r="F32" i="16"/>
  <c r="F72" i="19"/>
  <c r="F30" i="15"/>
  <c r="F31" i="20"/>
  <c r="F72" i="18"/>
  <c r="F32" i="14"/>
  <c r="F73" i="13"/>
  <c r="F32" i="13"/>
  <c r="F32" i="12"/>
  <c r="F31" i="17"/>
  <c r="G108" i="39"/>
  <c r="F32" i="10"/>
  <c r="F32" i="21"/>
  <c r="F73" i="16"/>
  <c r="F73" i="12"/>
  <c r="F72" i="20"/>
  <c r="F73" i="10"/>
  <c r="F71" i="15"/>
  <c r="F31" i="19"/>
  <c r="E31" i="41"/>
  <c r="B35" i="17"/>
  <c r="D32" i="27"/>
  <c r="D32" i="64"/>
  <c r="F51" i="17"/>
  <c r="F10" i="17"/>
  <c r="G22" i="17"/>
  <c r="F17" i="17"/>
  <c r="C74" i="17"/>
  <c r="G63" i="17"/>
  <c r="G21" i="17"/>
  <c r="G66" i="17"/>
  <c r="D35" i="3"/>
  <c r="F31" i="64"/>
  <c r="C95" i="17"/>
  <c r="D31" i="64"/>
  <c r="G24" i="17"/>
  <c r="G60" i="17"/>
  <c r="B41" i="17"/>
  <c r="A77" i="17"/>
  <c r="B74" i="17"/>
  <c r="B32" i="64"/>
  <c r="G25" i="17"/>
  <c r="F55" i="17"/>
  <c r="B5" i="17"/>
  <c r="B46" i="17" s="1"/>
  <c r="G19" i="17"/>
  <c r="G20" i="17"/>
  <c r="G61" i="17"/>
  <c r="G62" i="17"/>
  <c r="B31" i="27"/>
  <c r="D5" i="17"/>
  <c r="D46" i="17" s="1"/>
  <c r="B82" i="17"/>
  <c r="C5" i="17"/>
  <c r="C46" i="17" s="1"/>
  <c r="C52" i="27"/>
  <c r="F115" i="8"/>
  <c r="G47" i="37"/>
  <c r="D9" i="63"/>
  <c r="E52" i="27"/>
  <c r="F117" i="8" s="1"/>
  <c r="K18" i="40"/>
  <c r="C6" i="25"/>
  <c r="C15" i="25" s="1"/>
  <c r="C28" i="25" s="1"/>
  <c r="C31" i="25" s="1"/>
  <c r="B31" i="25"/>
  <c r="C74" i="21"/>
  <c r="B97" i="20"/>
  <c r="F65" i="20"/>
  <c r="B35" i="20"/>
  <c r="B96" i="20" s="1"/>
  <c r="B62" i="20"/>
  <c r="C74" i="20"/>
  <c r="B74" i="20"/>
  <c r="D37" i="27"/>
  <c r="E37" i="19"/>
  <c r="G21" i="19"/>
  <c r="C5" i="19"/>
  <c r="C46" i="19" s="1"/>
  <c r="G25" i="19"/>
  <c r="G19" i="19"/>
  <c r="D5" i="19"/>
  <c r="D46" i="19" s="1"/>
  <c r="F58" i="19"/>
  <c r="F35" i="27"/>
  <c r="F17" i="19"/>
  <c r="G22" i="19"/>
  <c r="F14" i="19"/>
  <c r="B21" i="19"/>
  <c r="D36" i="19"/>
  <c r="B33" i="19"/>
  <c r="G66" i="19"/>
  <c r="G62" i="19"/>
  <c r="G24" i="19"/>
  <c r="A36" i="19"/>
  <c r="C96" i="19"/>
  <c r="B96" i="19"/>
  <c r="F24" i="19"/>
  <c r="B41" i="19"/>
  <c r="F10" i="19"/>
  <c r="B82" i="19"/>
  <c r="G63" i="19"/>
  <c r="G61" i="19"/>
  <c r="B95" i="18"/>
  <c r="A38" i="18" s="1"/>
  <c r="B63" i="26"/>
  <c r="C36" i="26"/>
  <c r="C45" i="26" s="1"/>
  <c r="C58" i="26" s="1"/>
  <c r="C63" i="26" s="1"/>
  <c r="D29" i="26"/>
  <c r="D53" i="3"/>
  <c r="B45" i="25"/>
  <c r="B58" i="25" s="1"/>
  <c r="B56" i="25"/>
  <c r="B60" i="24"/>
  <c r="C36" i="23"/>
  <c r="C45" i="23" s="1"/>
  <c r="C58" i="23" s="1"/>
  <c r="C63" i="23" s="1"/>
  <c r="D43" i="27"/>
  <c r="C15" i="22"/>
  <c r="C28" i="22" s="1"/>
  <c r="C31" i="22" s="1"/>
  <c r="B39" i="27"/>
  <c r="D74" i="21"/>
  <c r="B74" i="21"/>
  <c r="D79" i="21"/>
  <c r="F66" i="21"/>
  <c r="E78" i="21"/>
  <c r="C47" i="18"/>
  <c r="C64" i="18" s="1"/>
  <c r="C76" i="18" s="1"/>
  <c r="C98" i="18" s="1"/>
  <c r="C74" i="18"/>
  <c r="C97" i="18"/>
  <c r="F31" i="27"/>
  <c r="D31" i="27"/>
  <c r="D33" i="17"/>
  <c r="C33" i="17"/>
  <c r="B35" i="15"/>
  <c r="C6" i="15" s="1"/>
  <c r="C23" i="15" s="1"/>
  <c r="C35" i="15" s="1"/>
  <c r="C97" i="15"/>
  <c r="A79" i="15" s="1"/>
  <c r="B35" i="14"/>
  <c r="C6" i="14" s="1"/>
  <c r="C23" i="14" s="1"/>
  <c r="C35" i="14" s="1"/>
  <c r="D26" i="27"/>
  <c r="C97" i="14"/>
  <c r="A79" i="14" s="1"/>
  <c r="D24" i="27"/>
  <c r="D79" i="13"/>
  <c r="F24" i="27"/>
  <c r="B76" i="13"/>
  <c r="B98" i="13" s="1"/>
  <c r="D28" i="3"/>
  <c r="C74" i="13"/>
  <c r="D77" i="13"/>
  <c r="B76" i="10"/>
  <c r="C47" i="10" s="1"/>
  <c r="C64" i="10" s="1"/>
  <c r="C76" i="10" s="1"/>
  <c r="D20" i="27"/>
  <c r="B35" i="10"/>
  <c r="B96" i="10" s="1"/>
  <c r="B95" i="16"/>
  <c r="D30" i="27"/>
  <c r="C95" i="16"/>
  <c r="F25" i="16"/>
  <c r="B35" i="16"/>
  <c r="B96" i="16" s="1"/>
  <c r="B33" i="16"/>
  <c r="C97" i="16"/>
  <c r="A79" i="16" s="1"/>
  <c r="D38" i="14"/>
  <c r="B26" i="27"/>
  <c r="F25" i="27"/>
  <c r="D29" i="3"/>
  <c r="E37" i="14"/>
  <c r="F66" i="14"/>
  <c r="D36" i="14"/>
  <c r="D33" i="13"/>
  <c r="F23" i="27"/>
  <c r="B74" i="13"/>
  <c r="B33" i="13"/>
  <c r="D38" i="13"/>
  <c r="B24" i="27"/>
  <c r="F25" i="13"/>
  <c r="B97" i="13"/>
  <c r="D27" i="3"/>
  <c r="B74" i="12"/>
  <c r="B22" i="27"/>
  <c r="F66" i="12"/>
  <c r="B35" i="12"/>
  <c r="D64" i="27"/>
  <c r="B64" i="27"/>
  <c r="F20" i="27"/>
  <c r="B21" i="10"/>
  <c r="D79" i="10"/>
  <c r="E78" i="10"/>
  <c r="D74" i="10"/>
  <c r="D24" i="3"/>
  <c r="D43" i="11"/>
  <c r="B43" i="11"/>
  <c r="D77" i="39"/>
  <c r="D51" i="37"/>
  <c r="D17" i="27"/>
  <c r="D21" i="3"/>
  <c r="E56" i="37"/>
  <c r="C53" i="37"/>
  <c r="C74" i="37" s="1"/>
  <c r="E51" i="37"/>
  <c r="C51" i="37"/>
  <c r="F17" i="27"/>
  <c r="C240" i="9"/>
  <c r="C298" i="9" s="1"/>
  <c r="B176" i="9"/>
  <c r="B296" i="9" s="1"/>
  <c r="C116" i="9"/>
  <c r="C294" i="9" s="1"/>
  <c r="C300" i="9" s="1"/>
  <c r="D176" i="9"/>
  <c r="D296" i="9" s="1"/>
  <c r="B116" i="9"/>
  <c r="B294" i="9" s="1"/>
  <c r="D240" i="9"/>
  <c r="D298" i="9" s="1"/>
  <c r="D290" i="9"/>
  <c r="B57" i="9"/>
  <c r="B292" i="9" s="1"/>
  <c r="C176" i="9"/>
  <c r="C296" i="9" s="1"/>
  <c r="D57" i="9"/>
  <c r="D292" i="9" s="1"/>
  <c r="B290" i="9"/>
  <c r="F47" i="29"/>
  <c r="B6" i="6"/>
  <c r="A7" i="6"/>
  <c r="B33" i="6"/>
  <c r="H54" i="6" s="1"/>
  <c r="H10" i="6" s="1"/>
  <c r="E14" i="39" s="1"/>
  <c r="D53" i="8"/>
  <c r="F104" i="8" s="1"/>
  <c r="D63" i="18"/>
  <c r="F61" i="18" s="1"/>
  <c r="D63" i="16"/>
  <c r="F62" i="16" s="1"/>
  <c r="D22" i="14"/>
  <c r="F21" i="14" s="1"/>
  <c r="D22" i="17"/>
  <c r="F20" i="17" s="1"/>
  <c r="D63" i="19"/>
  <c r="F61" i="19" s="1"/>
  <c r="C33" i="6"/>
  <c r="D63" i="21"/>
  <c r="F62" i="21" s="1"/>
  <c r="D63" i="15"/>
  <c r="F60" i="15" s="1"/>
  <c r="D22" i="16"/>
  <c r="F21" i="16" s="1"/>
  <c r="D63" i="20"/>
  <c r="F61" i="20" s="1"/>
  <c r="D22" i="12"/>
  <c r="F21" i="12" s="1"/>
  <c r="D63" i="14"/>
  <c r="F62" i="14" s="1"/>
  <c r="D63" i="13"/>
  <c r="F62" i="13" s="1"/>
  <c r="D22" i="18"/>
  <c r="F20" i="18" s="1"/>
  <c r="D22" i="15"/>
  <c r="F19" i="15" s="1"/>
  <c r="D63" i="10"/>
  <c r="F62" i="10" s="1"/>
  <c r="D22" i="21"/>
  <c r="F21" i="21" s="1"/>
  <c r="E29" i="37"/>
  <c r="G36" i="37" s="1"/>
  <c r="A10" i="3"/>
  <c r="F61" i="3"/>
  <c r="E13" i="3"/>
  <c r="A9" i="3"/>
  <c r="B75" i="3"/>
  <c r="D12" i="3"/>
  <c r="G19" i="15"/>
  <c r="G61" i="15"/>
  <c r="B5" i="26"/>
  <c r="B35" i="26" s="1"/>
  <c r="C5" i="9"/>
  <c r="B5" i="8"/>
  <c r="B65" i="8" s="1"/>
  <c r="G109" i="8"/>
  <c r="G59" i="15"/>
  <c r="G62" i="15"/>
  <c r="D61" i="9"/>
  <c r="G105" i="8"/>
  <c r="F98" i="8"/>
  <c r="C5" i="26"/>
  <c r="C35" i="26" s="1"/>
  <c r="B122" i="8"/>
  <c r="B31" i="36"/>
  <c r="B5" i="15"/>
  <c r="B46" i="15" s="1"/>
  <c r="G18" i="15"/>
  <c r="B5" i="9"/>
  <c r="B247" i="9" s="1"/>
  <c r="F50" i="15"/>
  <c r="G103" i="8"/>
  <c r="C5" i="8"/>
  <c r="C65" i="8" s="1"/>
  <c r="D61" i="8"/>
  <c r="B82" i="15"/>
  <c r="G60" i="15"/>
  <c r="A77" i="15"/>
  <c r="D5" i="26"/>
  <c r="D35" i="26" s="1"/>
  <c r="D119" i="9"/>
  <c r="D5" i="9"/>
  <c r="F94" i="8"/>
  <c r="D5" i="8"/>
  <c r="D65" i="8" s="1"/>
  <c r="G108" i="8"/>
  <c r="G24" i="15"/>
  <c r="F54" i="15"/>
  <c r="G20" i="15"/>
  <c r="G21" i="15"/>
  <c r="D179" i="9"/>
  <c r="G104" i="8"/>
  <c r="F101" i="8"/>
  <c r="G106" i="8"/>
  <c r="F16" i="15"/>
  <c r="B41" i="15"/>
  <c r="F13" i="15"/>
  <c r="A36" i="15"/>
  <c r="G23" i="15"/>
  <c r="F9" i="15"/>
  <c r="C5" i="15"/>
  <c r="C46" i="15" s="1"/>
  <c r="D30" i="40"/>
  <c r="K29" i="40"/>
  <c r="C77" i="39"/>
  <c r="C6" i="24"/>
  <c r="C15" i="24" s="1"/>
  <c r="C28" i="24" s="1"/>
  <c r="B31" i="24"/>
  <c r="B31" i="22"/>
  <c r="D31" i="3"/>
  <c r="E37" i="15"/>
  <c r="D33" i="15"/>
  <c r="F27" i="27"/>
  <c r="D22" i="13"/>
  <c r="C47" i="20"/>
  <c r="C64" i="20" s="1"/>
  <c r="C76" i="20" s="1"/>
  <c r="D6" i="25"/>
  <c r="D15" i="25" s="1"/>
  <c r="D28" i="25" s="1"/>
  <c r="D30" i="25" s="1"/>
  <c r="D13" i="10"/>
  <c r="D22" i="10" s="1"/>
  <c r="B108" i="8"/>
  <c r="B115" i="8" s="1"/>
  <c r="B16" i="64" s="1"/>
  <c r="D108" i="8"/>
  <c r="D115" i="8" s="1"/>
  <c r="F16" i="64" s="1"/>
  <c r="C6" i="26"/>
  <c r="C15" i="26" s="1"/>
  <c r="C28" i="26" s="1"/>
  <c r="F33" i="27"/>
  <c r="D33" i="18"/>
  <c r="D37" i="3"/>
  <c r="E37" i="18"/>
  <c r="D36" i="18"/>
  <c r="D38" i="18"/>
  <c r="D36" i="26"/>
  <c r="D45" i="26" s="1"/>
  <c r="D58" i="26" s="1"/>
  <c r="D60" i="26" s="1"/>
  <c r="B31" i="23"/>
  <c r="C6" i="23"/>
  <c r="C15" i="23" s="1"/>
  <c r="C28" i="23" s="1"/>
  <c r="D22" i="19"/>
  <c r="D22" i="20"/>
  <c r="D51" i="12"/>
  <c r="D63" i="12" s="1"/>
  <c r="C36" i="22"/>
  <c r="C45" i="22" s="1"/>
  <c r="C58" i="22" s="1"/>
  <c r="D63" i="17"/>
  <c r="E78" i="16"/>
  <c r="D34" i="3"/>
  <c r="D74" i="16"/>
  <c r="F32" i="27"/>
  <c r="E78" i="17"/>
  <c r="D77" i="17"/>
  <c r="D74" i="15"/>
  <c r="D79" i="15"/>
  <c r="D77" i="15"/>
  <c r="F28" i="27"/>
  <c r="E78" i="15"/>
  <c r="E77" i="39"/>
  <c r="F18" i="64" s="1"/>
  <c r="F64" i="27"/>
  <c r="C108" i="8"/>
  <c r="C115" i="8" s="1"/>
  <c r="D16" i="64" s="1"/>
  <c r="D38" i="3"/>
  <c r="D74" i="18"/>
  <c r="D77" i="18"/>
  <c r="D56" i="25"/>
  <c r="B44" i="27"/>
  <c r="D5" i="15"/>
  <c r="D46" i="15" s="1"/>
  <c r="B23" i="13"/>
  <c r="B35" i="13" s="1"/>
  <c r="D77" i="21"/>
  <c r="B13" i="22"/>
  <c r="D27" i="27"/>
  <c r="F66" i="16"/>
  <c r="C33" i="20"/>
  <c r="D50" i="27"/>
  <c r="B48" i="27"/>
  <c r="D52" i="3"/>
  <c r="D25" i="27"/>
  <c r="B64" i="14"/>
  <c r="B76" i="14" s="1"/>
  <c r="B28" i="27"/>
  <c r="C56" i="26"/>
  <c r="A79" i="12" l="1"/>
  <c r="C47" i="15"/>
  <c r="C64" i="15" s="1"/>
  <c r="C76" i="15" s="1"/>
  <c r="A38" i="17"/>
  <c r="A79" i="18"/>
  <c r="A79" i="21"/>
  <c r="C6" i="21"/>
  <c r="C23" i="21" s="1"/>
  <c r="C35" i="21" s="1"/>
  <c r="F20" i="21" s="1"/>
  <c r="C6" i="19"/>
  <c r="C23" i="19" s="1"/>
  <c r="C35" i="19" s="1"/>
  <c r="B98" i="10"/>
  <c r="C6" i="10"/>
  <c r="C23" i="10" s="1"/>
  <c r="C35" i="10" s="1"/>
  <c r="D6" i="10" s="1"/>
  <c r="D23" i="10" s="1"/>
  <c r="D39" i="10" s="1"/>
  <c r="D41" i="10" s="1"/>
  <c r="C47" i="13"/>
  <c r="C64" i="13" s="1"/>
  <c r="C76" i="13" s="1"/>
  <c r="C98" i="13" s="1"/>
  <c r="A80" i="13" s="1"/>
  <c r="C47" i="16"/>
  <c r="C64" i="16" s="1"/>
  <c r="C76" i="16" s="1"/>
  <c r="C98" i="16" s="1"/>
  <c r="A80" i="16" s="1"/>
  <c r="B98" i="17"/>
  <c r="A80" i="17" s="1"/>
  <c r="C6" i="18"/>
  <c r="C23" i="18" s="1"/>
  <c r="C35" i="18" s="1"/>
  <c r="D6" i="18" s="1"/>
  <c r="D23" i="18" s="1"/>
  <c r="D39" i="18" s="1"/>
  <c r="D41" i="18" s="1"/>
  <c r="A79" i="19"/>
  <c r="C47" i="21"/>
  <c r="C64" i="21" s="1"/>
  <c r="C76" i="21" s="1"/>
  <c r="D47" i="21" s="1"/>
  <c r="D64" i="21" s="1"/>
  <c r="D80" i="21" s="1"/>
  <c r="D82" i="21" s="1"/>
  <c r="A38" i="21"/>
  <c r="H33" i="6"/>
  <c r="F50" i="6"/>
  <c r="F10" i="6" s="1"/>
  <c r="C96" i="14"/>
  <c r="F20" i="14"/>
  <c r="D6" i="14"/>
  <c r="D23" i="14" s="1"/>
  <c r="D39" i="14" s="1"/>
  <c r="D41" i="14" s="1"/>
  <c r="C6" i="20"/>
  <c r="C23" i="20" s="1"/>
  <c r="C35" i="20" s="1"/>
  <c r="F19" i="20" s="1"/>
  <c r="A79" i="20"/>
  <c r="B98" i="12"/>
  <c r="D47" i="12"/>
  <c r="D64" i="12" s="1"/>
  <c r="D80" i="12" s="1"/>
  <c r="D82" i="12" s="1"/>
  <c r="B96" i="14"/>
  <c r="C47" i="19"/>
  <c r="C64" i="19" s="1"/>
  <c r="C76" i="19" s="1"/>
  <c r="D47" i="19" s="1"/>
  <c r="D64" i="19" s="1"/>
  <c r="D80" i="19" s="1"/>
  <c r="D82" i="19" s="1"/>
  <c r="B300" i="9"/>
  <c r="A79" i="13"/>
  <c r="D46" i="6"/>
  <c r="D10" i="6" s="1"/>
  <c r="F64" i="64"/>
  <c r="E48" i="6"/>
  <c r="E10" i="6" s="1"/>
  <c r="C6" i="16"/>
  <c r="C23" i="16" s="1"/>
  <c r="C35" i="16" s="1"/>
  <c r="C96" i="16" s="1"/>
  <c r="A39" i="16" s="1"/>
  <c r="B51" i="64"/>
  <c r="B51" i="27"/>
  <c r="C98" i="12"/>
  <c r="G52" i="6"/>
  <c r="G10" i="6" s="1"/>
  <c r="D300" i="9"/>
  <c r="G49" i="37"/>
  <c r="F34" i="21"/>
  <c r="G110" i="39"/>
  <c r="F75" i="10"/>
  <c r="F74" i="19"/>
  <c r="F74" i="18"/>
  <c r="F75" i="16"/>
  <c r="F75" i="13"/>
  <c r="F34" i="10"/>
  <c r="F33" i="20"/>
  <c r="F33" i="19"/>
  <c r="F33" i="18"/>
  <c r="F33" i="17"/>
  <c r="F34" i="16"/>
  <c r="F32" i="15"/>
  <c r="F34" i="14"/>
  <c r="F34" i="13"/>
  <c r="F34" i="12"/>
  <c r="F75" i="21"/>
  <c r="F74" i="20"/>
  <c r="F74" i="17"/>
  <c r="F73" i="15"/>
  <c r="F75" i="14"/>
  <c r="F75" i="12"/>
  <c r="B96" i="17"/>
  <c r="C6" i="17"/>
  <c r="C23" i="17" s="1"/>
  <c r="C35" i="17" s="1"/>
  <c r="C112" i="39"/>
  <c r="C133" i="39" s="1"/>
  <c r="B18" i="64"/>
  <c r="B52" i="64" s="1"/>
  <c r="B55" i="64" s="1"/>
  <c r="D132" i="39"/>
  <c r="D18" i="64"/>
  <c r="D52" i="64" s="1"/>
  <c r="D55" i="64" s="1"/>
  <c r="F52" i="64"/>
  <c r="F55" i="64" s="1"/>
  <c r="A38" i="19"/>
  <c r="D47" i="18"/>
  <c r="D64" i="18" s="1"/>
  <c r="D80" i="18" s="1"/>
  <c r="D82" i="18" s="1"/>
  <c r="B62" i="25"/>
  <c r="C36" i="25"/>
  <c r="C45" i="25" s="1"/>
  <c r="C58" i="25" s="1"/>
  <c r="D36" i="23"/>
  <c r="D45" i="23" s="1"/>
  <c r="D58" i="23" s="1"/>
  <c r="D60" i="23" s="1"/>
  <c r="D6" i="22"/>
  <c r="D15" i="22" s="1"/>
  <c r="D28" i="22" s="1"/>
  <c r="D30" i="22" s="1"/>
  <c r="A80" i="18"/>
  <c r="F60" i="18"/>
  <c r="D47" i="17"/>
  <c r="D64" i="17" s="1"/>
  <c r="D80" i="17" s="1"/>
  <c r="D82" i="17" s="1"/>
  <c r="F60" i="17"/>
  <c r="B96" i="15"/>
  <c r="D47" i="15"/>
  <c r="D64" i="15" s="1"/>
  <c r="D80" i="15" s="1"/>
  <c r="D82" i="15" s="1"/>
  <c r="A38" i="16"/>
  <c r="M36" i="27"/>
  <c r="M44" i="27" s="1"/>
  <c r="B96" i="12"/>
  <c r="C6" i="12"/>
  <c r="C23" i="12" s="1"/>
  <c r="C35" i="12" s="1"/>
  <c r="D18" i="27"/>
  <c r="D110" i="39"/>
  <c r="D6" i="37"/>
  <c r="D30" i="37" s="1"/>
  <c r="D53" i="37" s="1"/>
  <c r="D74" i="37" s="1"/>
  <c r="B57" i="37" s="1"/>
  <c r="B65" i="9"/>
  <c r="B123" i="9"/>
  <c r="B183" i="9"/>
  <c r="C65" i="9"/>
  <c r="C123" i="9"/>
  <c r="C183" i="9"/>
  <c r="C247" i="9"/>
  <c r="D65" i="9"/>
  <c r="D183" i="9"/>
  <c r="D247" i="9"/>
  <c r="D123" i="9"/>
  <c r="F21" i="10"/>
  <c r="C31" i="24"/>
  <c r="D6" i="24"/>
  <c r="D15" i="24" s="1"/>
  <c r="D28" i="24" s="1"/>
  <c r="D30" i="24" s="1"/>
  <c r="C96" i="15"/>
  <c r="D6" i="15"/>
  <c r="D23" i="15" s="1"/>
  <c r="D39" i="15" s="1"/>
  <c r="D41" i="15" s="1"/>
  <c r="F18" i="15"/>
  <c r="D6" i="21"/>
  <c r="D23" i="21" s="1"/>
  <c r="D39" i="21" s="1"/>
  <c r="D41" i="21" s="1"/>
  <c r="C96" i="21"/>
  <c r="A39" i="21" s="1"/>
  <c r="D47" i="10"/>
  <c r="D64" i="10" s="1"/>
  <c r="D80" i="10" s="1"/>
  <c r="D82" i="10" s="1"/>
  <c r="C98" i="10"/>
  <c r="F61" i="10"/>
  <c r="F21" i="13"/>
  <c r="C96" i="10"/>
  <c r="A39" i="10" s="1"/>
  <c r="C63" i="22"/>
  <c r="D36" i="22"/>
  <c r="D45" i="22" s="1"/>
  <c r="D58" i="22" s="1"/>
  <c r="D60" i="22" s="1"/>
  <c r="D6" i="23"/>
  <c r="D15" i="23" s="1"/>
  <c r="D28" i="23" s="1"/>
  <c r="D30" i="23" s="1"/>
  <c r="C31" i="23"/>
  <c r="C31" i="26"/>
  <c r="D6" i="26"/>
  <c r="D15" i="26" s="1"/>
  <c r="D28" i="26" s="1"/>
  <c r="D30" i="26" s="1"/>
  <c r="D117" i="8"/>
  <c r="D114" i="8"/>
  <c r="E122" i="8"/>
  <c r="F16" i="27"/>
  <c r="D119" i="8"/>
  <c r="D20" i="3"/>
  <c r="D47" i="20"/>
  <c r="D64" i="20" s="1"/>
  <c r="D80" i="20" s="1"/>
  <c r="D82" i="20" s="1"/>
  <c r="F60" i="20"/>
  <c r="C98" i="20"/>
  <c r="A80" i="20" s="1"/>
  <c r="B98" i="14"/>
  <c r="C47" i="14"/>
  <c r="C64" i="14" s="1"/>
  <c r="C76" i="14" s="1"/>
  <c r="F62" i="12"/>
  <c r="C97" i="19"/>
  <c r="A39" i="19" s="1"/>
  <c r="D6" i="19"/>
  <c r="D23" i="19" s="1"/>
  <c r="D39" i="19" s="1"/>
  <c r="D41" i="19" s="1"/>
  <c r="F19" i="19"/>
  <c r="G101" i="39"/>
  <c r="C132" i="39"/>
  <c r="B18" i="27"/>
  <c r="C96" i="18"/>
  <c r="A39" i="18" s="1"/>
  <c r="E115" i="39"/>
  <c r="F18" i="27"/>
  <c r="F114" i="39"/>
  <c r="E113" i="39"/>
  <c r="D22" i="3"/>
  <c r="E110" i="39"/>
  <c r="F61" i="17"/>
  <c r="F20" i="20"/>
  <c r="B136" i="8"/>
  <c r="B114" i="8"/>
  <c r="F108" i="8"/>
  <c r="B116" i="8"/>
  <c r="B16" i="27"/>
  <c r="C6" i="13"/>
  <c r="C23" i="13" s="1"/>
  <c r="C35" i="13" s="1"/>
  <c r="B96" i="13"/>
  <c r="C114" i="8"/>
  <c r="D16" i="27"/>
  <c r="C136" i="8"/>
  <c r="F20" i="19"/>
  <c r="F59" i="15" l="1"/>
  <c r="C98" i="15"/>
  <c r="A80" i="15" s="1"/>
  <c r="D6" i="20"/>
  <c r="D23" i="20" s="1"/>
  <c r="D39" i="20" s="1"/>
  <c r="D41" i="20" s="1"/>
  <c r="C96" i="20"/>
  <c r="A39" i="20" s="1"/>
  <c r="D6" i="39"/>
  <c r="D56" i="39" s="1"/>
  <c r="D112" i="39" s="1"/>
  <c r="A80" i="10"/>
  <c r="F20" i="10"/>
  <c r="A80" i="12"/>
  <c r="F61" i="13"/>
  <c r="D47" i="13"/>
  <c r="D64" i="13" s="1"/>
  <c r="D80" i="13" s="1"/>
  <c r="D82" i="13" s="1"/>
  <c r="G24" i="27" s="1"/>
  <c r="F61" i="16"/>
  <c r="D47" i="16"/>
  <c r="D64" i="16" s="1"/>
  <c r="D80" i="16" s="1"/>
  <c r="D82" i="16" s="1"/>
  <c r="G30" i="64" s="1"/>
  <c r="H30" i="64" s="1"/>
  <c r="F20" i="16"/>
  <c r="D6" i="16"/>
  <c r="D23" i="16" s="1"/>
  <c r="D39" i="16" s="1"/>
  <c r="D41" i="16" s="1"/>
  <c r="G29" i="64" s="1"/>
  <c r="H29" i="64" s="1"/>
  <c r="F19" i="18"/>
  <c r="F60" i="19"/>
  <c r="C99" i="19"/>
  <c r="A80" i="19" s="1"/>
  <c r="C98" i="21"/>
  <c r="A80" i="21" s="1"/>
  <c r="F61" i="21"/>
  <c r="E10" i="39"/>
  <c r="D33" i="6"/>
  <c r="E11" i="39"/>
  <c r="E33" i="6"/>
  <c r="E13" i="39"/>
  <c r="G33" i="6"/>
  <c r="E12" i="39"/>
  <c r="F33" i="6"/>
  <c r="B115" i="39"/>
  <c r="A39" i="15"/>
  <c r="A39" i="14"/>
  <c r="F22" i="14"/>
  <c r="J22" i="14" s="1"/>
  <c r="G25" i="64"/>
  <c r="H25" i="64" s="1"/>
  <c r="G33" i="64"/>
  <c r="H33" i="64" s="1"/>
  <c r="G20" i="64"/>
  <c r="H20" i="64" s="1"/>
  <c r="G36" i="64"/>
  <c r="H36" i="64" s="1"/>
  <c r="G39" i="64"/>
  <c r="H39" i="64" s="1"/>
  <c r="G34" i="64"/>
  <c r="H34" i="64" s="1"/>
  <c r="G27" i="64"/>
  <c r="H27" i="64" s="1"/>
  <c r="D21" i="10"/>
  <c r="G19" i="64"/>
  <c r="H19" i="64" s="1"/>
  <c r="G22" i="64"/>
  <c r="H22" i="64" s="1"/>
  <c r="D62" i="21"/>
  <c r="G40" i="64"/>
  <c r="H40" i="64" s="1"/>
  <c r="D21" i="19"/>
  <c r="G35" i="64"/>
  <c r="H35" i="64" s="1"/>
  <c r="G37" i="64"/>
  <c r="H37" i="64" s="1"/>
  <c r="G38" i="64"/>
  <c r="H38" i="64" s="1"/>
  <c r="G28" i="64"/>
  <c r="H28" i="64" s="1"/>
  <c r="D6" i="17"/>
  <c r="D23" i="17" s="1"/>
  <c r="D39" i="17" s="1"/>
  <c r="D41" i="17" s="1"/>
  <c r="C96" i="17"/>
  <c r="A39" i="17" s="1"/>
  <c r="F19" i="17"/>
  <c r="D62" i="17"/>
  <c r="G32" i="64"/>
  <c r="H32" i="64" s="1"/>
  <c r="F62" i="18"/>
  <c r="J62" i="18" s="1"/>
  <c r="E38" i="3"/>
  <c r="F38" i="3" s="1"/>
  <c r="D62" i="18"/>
  <c r="G34" i="27"/>
  <c r="H34" i="27" s="1"/>
  <c r="F70" i="18" s="1"/>
  <c r="C62" i="25"/>
  <c r="D36" i="25"/>
  <c r="D45" i="25" s="1"/>
  <c r="D58" i="25" s="1"/>
  <c r="D60" i="25" s="1"/>
  <c r="F63" i="21"/>
  <c r="J63" i="21" s="1"/>
  <c r="G25" i="27"/>
  <c r="H25" i="27" s="1"/>
  <c r="F30" i="14" s="1"/>
  <c r="E29" i="3"/>
  <c r="F29" i="3" s="1"/>
  <c r="D21" i="14"/>
  <c r="C96" i="12"/>
  <c r="A39" i="12" s="1"/>
  <c r="F20" i="12"/>
  <c r="D6" i="12"/>
  <c r="D23" i="12" s="1"/>
  <c r="D39" i="12" s="1"/>
  <c r="D41" i="12" s="1"/>
  <c r="D52" i="27"/>
  <c r="D55" i="27" s="1"/>
  <c r="B52" i="27"/>
  <c r="B55" i="27" s="1"/>
  <c r="G35" i="37"/>
  <c r="E6" i="37"/>
  <c r="E30" i="37" s="1"/>
  <c r="E57" i="37" s="1"/>
  <c r="E59" i="37" s="1"/>
  <c r="E44" i="3"/>
  <c r="F44" i="3" s="1"/>
  <c r="G40" i="27"/>
  <c r="H40" i="27" s="1"/>
  <c r="F71" i="21" s="1"/>
  <c r="D62" i="15"/>
  <c r="E32" i="3"/>
  <c r="F32" i="3" s="1"/>
  <c r="F61" i="15"/>
  <c r="J61" i="15" s="1"/>
  <c r="G28" i="27"/>
  <c r="H28" i="27" s="1"/>
  <c r="F69" i="15" s="1"/>
  <c r="D62" i="12"/>
  <c r="E26" i="3"/>
  <c r="F26" i="3" s="1"/>
  <c r="G22" i="27"/>
  <c r="H22" i="27" s="1"/>
  <c r="F71" i="12" s="1"/>
  <c r="F63" i="12"/>
  <c r="J63" i="12" s="1"/>
  <c r="D56" i="3"/>
  <c r="G33" i="27"/>
  <c r="H33" i="27" s="1"/>
  <c r="F29" i="18" s="1"/>
  <c r="F21" i="18"/>
  <c r="J21" i="18" s="1"/>
  <c r="E37" i="3"/>
  <c r="F37" i="3" s="1"/>
  <c r="D21" i="18"/>
  <c r="F62" i="19"/>
  <c r="J62" i="19" s="1"/>
  <c r="G36" i="27"/>
  <c r="H36" i="27" s="1"/>
  <c r="F70" i="19" s="1"/>
  <c r="E40" i="3"/>
  <c r="F40" i="3" s="1"/>
  <c r="D62" i="19"/>
  <c r="G35" i="27"/>
  <c r="H35" i="27" s="1"/>
  <c r="F29" i="19" s="1"/>
  <c r="E39" i="3"/>
  <c r="F39" i="3" s="1"/>
  <c r="F21" i="19"/>
  <c r="J21" i="19" s="1"/>
  <c r="E41" i="3"/>
  <c r="F41" i="3" s="1"/>
  <c r="G37" i="27"/>
  <c r="H37" i="27" s="1"/>
  <c r="F29" i="20" s="1"/>
  <c r="F21" i="20"/>
  <c r="J21" i="20" s="1"/>
  <c r="B137" i="8"/>
  <c r="C6" i="8"/>
  <c r="C54" i="8" s="1"/>
  <c r="F61" i="14"/>
  <c r="D47" i="14"/>
  <c r="D64" i="14" s="1"/>
  <c r="D80" i="14" s="1"/>
  <c r="D82" i="14" s="1"/>
  <c r="C98" i="14"/>
  <c r="A80" i="14" s="1"/>
  <c r="D21" i="20"/>
  <c r="G39" i="27"/>
  <c r="H39" i="27" s="1"/>
  <c r="F30" i="21" s="1"/>
  <c r="F22" i="21"/>
  <c r="J22" i="21" s="1"/>
  <c r="E43" i="3"/>
  <c r="F43" i="3" s="1"/>
  <c r="D21" i="21"/>
  <c r="F52" i="27"/>
  <c r="F55" i="27" s="1"/>
  <c r="A119" i="8"/>
  <c r="E36" i="3"/>
  <c r="F36" i="3" s="1"/>
  <c r="F62" i="17"/>
  <c r="J62" i="17" s="1"/>
  <c r="G32" i="27"/>
  <c r="H32" i="27" s="1"/>
  <c r="F70" i="17" s="1"/>
  <c r="E31" i="3"/>
  <c r="F31" i="3" s="1"/>
  <c r="F20" i="15"/>
  <c r="J20" i="15" s="1"/>
  <c r="G27" i="27"/>
  <c r="H27" i="27" s="1"/>
  <c r="F28" i="15" s="1"/>
  <c r="D21" i="15"/>
  <c r="F63" i="10"/>
  <c r="J63" i="10" s="1"/>
  <c r="G20" i="27"/>
  <c r="H20" i="27" s="1"/>
  <c r="F71" i="10" s="1"/>
  <c r="E24" i="3"/>
  <c r="F24" i="3" s="1"/>
  <c r="D62" i="10"/>
  <c r="F22" i="10"/>
  <c r="J22" i="10" s="1"/>
  <c r="G19" i="27"/>
  <c r="H19" i="27" s="1"/>
  <c r="F30" i="10" s="1"/>
  <c r="E23" i="3"/>
  <c r="F23" i="3" s="1"/>
  <c r="F20" i="13"/>
  <c r="D6" i="13"/>
  <c r="D23" i="13" s="1"/>
  <c r="D39" i="13" s="1"/>
  <c r="D41" i="13" s="1"/>
  <c r="C96" i="13"/>
  <c r="A39" i="13" s="1"/>
  <c r="G38" i="27"/>
  <c r="H38" i="27" s="1"/>
  <c r="F70" i="20" s="1"/>
  <c r="E42" i="3"/>
  <c r="F42" i="3" s="1"/>
  <c r="D62" i="20"/>
  <c r="F62" i="20"/>
  <c r="J62" i="20" s="1"/>
  <c r="G37" i="37" l="1"/>
  <c r="K37" i="37" s="1"/>
  <c r="D69" i="39"/>
  <c r="G21" i="27"/>
  <c r="D62" i="13"/>
  <c r="F63" i="13"/>
  <c r="J63" i="13" s="1"/>
  <c r="H24" i="27"/>
  <c r="F71" i="13" s="1"/>
  <c r="G24" i="64"/>
  <c r="H24" i="64" s="1"/>
  <c r="E28" i="3"/>
  <c r="F28" i="3" s="1"/>
  <c r="D62" i="16"/>
  <c r="G30" i="27"/>
  <c r="H30" i="27" s="1"/>
  <c r="F71" i="16" s="1"/>
  <c r="F63" i="16"/>
  <c r="J63" i="16" s="1"/>
  <c r="E34" i="3"/>
  <c r="F34" i="3" s="1"/>
  <c r="G29" i="27"/>
  <c r="H29" i="27" s="1"/>
  <c r="F30" i="16" s="1"/>
  <c r="E33" i="3"/>
  <c r="F33" i="3" s="1"/>
  <c r="F22" i="16"/>
  <c r="J22" i="16" s="1"/>
  <c r="D21" i="16"/>
  <c r="F21" i="17"/>
  <c r="J21" i="17" s="1"/>
  <c r="E55" i="39"/>
  <c r="G97" i="39" s="1"/>
  <c r="F63" i="18"/>
  <c r="F66" i="18" s="1"/>
  <c r="D21" i="17"/>
  <c r="E35" i="3"/>
  <c r="F35" i="3" s="1"/>
  <c r="F23" i="14"/>
  <c r="F26" i="14" s="1"/>
  <c r="G17" i="27"/>
  <c r="H17" i="27" s="1"/>
  <c r="G45" i="37" s="1"/>
  <c r="E21" i="3"/>
  <c r="F21" i="3" s="1"/>
  <c r="D21" i="12"/>
  <c r="G21" i="64"/>
  <c r="H21" i="64" s="1"/>
  <c r="F22" i="12"/>
  <c r="J22" i="12" s="1"/>
  <c r="H21" i="27"/>
  <c r="F30" i="12" s="1"/>
  <c r="G23" i="64"/>
  <c r="H23" i="64" s="1"/>
  <c r="E28" i="37"/>
  <c r="G31" i="64"/>
  <c r="H31" i="64" s="1"/>
  <c r="G26" i="64"/>
  <c r="H26" i="64" s="1"/>
  <c r="G17" i="64"/>
  <c r="H17" i="64" s="1"/>
  <c r="G31" i="27"/>
  <c r="H31" i="27" s="1"/>
  <c r="F29" i="17" s="1"/>
  <c r="F64" i="21"/>
  <c r="F67" i="21" s="1"/>
  <c r="F63" i="19"/>
  <c r="F66" i="19" s="1"/>
  <c r="F62" i="15"/>
  <c r="F65" i="15" s="1"/>
  <c r="E25" i="3"/>
  <c r="F25" i="3" s="1"/>
  <c r="F23" i="21"/>
  <c r="F26" i="21" s="1"/>
  <c r="F64" i="12"/>
  <c r="F67" i="12" s="1"/>
  <c r="F23" i="10"/>
  <c r="F26" i="10" s="1"/>
  <c r="F22" i="19"/>
  <c r="F25" i="19" s="1"/>
  <c r="F63" i="17"/>
  <c r="F66" i="17" s="1"/>
  <c r="E27" i="3"/>
  <c r="F27" i="3" s="1"/>
  <c r="F22" i="13"/>
  <c r="J22" i="13" s="1"/>
  <c r="G23" i="27"/>
  <c r="H23" i="27" s="1"/>
  <c r="F30" i="13" s="1"/>
  <c r="D21" i="13"/>
  <c r="F63" i="20"/>
  <c r="F66" i="20" s="1"/>
  <c r="F21" i="15"/>
  <c r="F24" i="15" s="1"/>
  <c r="F22" i="18"/>
  <c r="F25" i="18" s="1"/>
  <c r="F64" i="10"/>
  <c r="F67" i="10" s="1"/>
  <c r="E30" i="3"/>
  <c r="F30" i="3" s="1"/>
  <c r="G26" i="27"/>
  <c r="H26" i="27" s="1"/>
  <c r="F71" i="14" s="1"/>
  <c r="F63" i="14"/>
  <c r="J63" i="14" s="1"/>
  <c r="D62" i="14"/>
  <c r="G96" i="39"/>
  <c r="E6" i="39"/>
  <c r="D133" i="39"/>
  <c r="B116" i="39" s="1"/>
  <c r="F22" i="20"/>
  <c r="F25" i="20" s="1"/>
  <c r="C66" i="8"/>
  <c r="C116" i="8"/>
  <c r="G38" i="37" l="1"/>
  <c r="G41" i="37" s="1"/>
  <c r="E56" i="39"/>
  <c r="F64" i="13"/>
  <c r="F67" i="13" s="1"/>
  <c r="F64" i="16"/>
  <c r="F67" i="16" s="1"/>
  <c r="F23" i="16"/>
  <c r="F26" i="16" s="1"/>
  <c r="F22" i="17"/>
  <c r="F25" i="17" s="1"/>
  <c r="F23" i="12"/>
  <c r="F26" i="12" s="1"/>
  <c r="F64" i="14"/>
  <c r="F67" i="14" s="1"/>
  <c r="E69" i="39"/>
  <c r="E116" i="39"/>
  <c r="E118" i="39" s="1"/>
  <c r="D6" i="8"/>
  <c r="D54" i="8" s="1"/>
  <c r="C137" i="8"/>
  <c r="A120" i="8" s="1"/>
  <c r="F103" i="8"/>
  <c r="F23" i="13"/>
  <c r="F26" i="13" s="1"/>
  <c r="G18" i="64" l="1"/>
  <c r="H18" i="64" s="1"/>
  <c r="D66" i="8"/>
  <c r="D120" i="8"/>
  <c r="D122" i="8" s="1"/>
  <c r="E22" i="3"/>
  <c r="F22" i="3" s="1"/>
  <c r="G18" i="27"/>
  <c r="H18" i="27" s="1"/>
  <c r="G106" i="39" s="1"/>
  <c r="G98" i="39"/>
  <c r="E54" i="39"/>
  <c r="G16" i="64" l="1"/>
  <c r="G52" i="64" s="1"/>
  <c r="M43" i="64" s="1"/>
  <c r="M45" i="64" s="1"/>
  <c r="F105" i="8"/>
  <c r="E20" i="3"/>
  <c r="F20" i="3" s="1"/>
  <c r="G16" i="27"/>
  <c r="H16" i="27" s="1"/>
  <c r="F113" i="8" s="1"/>
  <c r="D52" i="8"/>
  <c r="K98" i="39"/>
  <c r="G99" i="39"/>
  <c r="G102" i="39" s="1"/>
  <c r="E56" i="3" l="1"/>
  <c r="F56" i="3"/>
  <c r="H16" i="64"/>
  <c r="H52" i="64" s="1"/>
  <c r="M49" i="64" s="1"/>
  <c r="G52" i="27"/>
  <c r="M43" i="27" s="1"/>
  <c r="M45" i="27" s="1"/>
  <c r="M39" i="64"/>
  <c r="J39" i="64" s="1"/>
  <c r="M38" i="64"/>
  <c r="J38" i="64" s="1"/>
  <c r="J105" i="8"/>
  <c r="F106" i="8"/>
  <c r="F109" i="8" s="1"/>
  <c r="H52" i="27"/>
  <c r="F116" i="8" s="1"/>
  <c r="I119" i="8" s="1"/>
  <c r="F121" i="8" s="1"/>
  <c r="M54" i="64" l="1"/>
  <c r="J56" i="64" s="1"/>
  <c r="F32" i="19"/>
  <c r="I35" i="19" s="1"/>
  <c r="F37" i="19" s="1"/>
  <c r="F32" i="17"/>
  <c r="I35" i="17" s="1"/>
  <c r="F37" i="17" s="1"/>
  <c r="F31" i="15"/>
  <c r="I34" i="15" s="1"/>
  <c r="F36" i="15" s="1"/>
  <c r="F33" i="13"/>
  <c r="I36" i="13" s="1"/>
  <c r="F38" i="13" s="1"/>
  <c r="F33" i="10"/>
  <c r="I36" i="10" s="1"/>
  <c r="F38" i="10" s="1"/>
  <c r="F73" i="20"/>
  <c r="I76" i="20" s="1"/>
  <c r="F78" i="20" s="1"/>
  <c r="F73" i="18"/>
  <c r="I76" i="18" s="1"/>
  <c r="F78" i="18" s="1"/>
  <c r="F74" i="16"/>
  <c r="I77" i="16" s="1"/>
  <c r="F79" i="16" s="1"/>
  <c r="F74" i="14"/>
  <c r="I77" i="14" s="1"/>
  <c r="F79" i="14" s="1"/>
  <c r="F74" i="12"/>
  <c r="I77" i="12" s="1"/>
  <c r="F79" i="12" s="1"/>
  <c r="F74" i="21"/>
  <c r="I77" i="21" s="1"/>
  <c r="F79" i="21" s="1"/>
  <c r="F74" i="10"/>
  <c r="I77" i="10" s="1"/>
  <c r="F79" i="10" s="1"/>
  <c r="F32" i="20"/>
  <c r="I35" i="20" s="1"/>
  <c r="F37" i="20" s="1"/>
  <c r="F32" i="18"/>
  <c r="I35" i="18" s="1"/>
  <c r="F37" i="18" s="1"/>
  <c r="F33" i="16"/>
  <c r="I36" i="16" s="1"/>
  <c r="F38" i="16" s="1"/>
  <c r="F33" i="14"/>
  <c r="I36" i="14" s="1"/>
  <c r="F38" i="14" s="1"/>
  <c r="F33" i="12"/>
  <c r="I36" i="12" s="1"/>
  <c r="F38" i="12" s="1"/>
  <c r="F33" i="21"/>
  <c r="I36" i="21" s="1"/>
  <c r="F38" i="21" s="1"/>
  <c r="F73" i="19"/>
  <c r="I76" i="19" s="1"/>
  <c r="F78" i="19" s="1"/>
  <c r="F72" i="15"/>
  <c r="I75" i="15" s="1"/>
  <c r="F77" i="15" s="1"/>
  <c r="F74" i="13"/>
  <c r="I77" i="13" s="1"/>
  <c r="F79" i="13" s="1"/>
  <c r="F73" i="17"/>
  <c r="I76" i="17" s="1"/>
  <c r="F78" i="17" s="1"/>
  <c r="G48" i="37"/>
  <c r="J51" i="37" s="1"/>
  <c r="G53" i="37" s="1"/>
  <c r="G109" i="39"/>
  <c r="J112" i="39" s="1"/>
  <c r="G114" i="39" s="1"/>
  <c r="M38" i="27"/>
  <c r="J38" i="27" s="1"/>
  <c r="M39" i="27"/>
  <c r="J39" i="27" s="1"/>
  <c r="M54" i="27"/>
  <c r="J56" i="27" s="1"/>
  <c r="G9" i="63"/>
  <c r="M49" i="27"/>
</calcChain>
</file>

<file path=xl/sharedStrings.xml><?xml version="1.0" encoding="utf-8"?>
<sst xmlns="http://schemas.openxmlformats.org/spreadsheetml/2006/main" count="2433" uniqueCount="972">
  <si>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</si>
  <si>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</si>
  <si>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</si>
  <si>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</si>
  <si>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</si>
  <si>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</si>
  <si>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</si>
  <si>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</si>
  <si>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Table of Contents:</t>
  </si>
  <si>
    <t>No.</t>
  </si>
  <si>
    <t>Expenditures</t>
  </si>
  <si>
    <t>Statement of Indebtedness</t>
  </si>
  <si>
    <t>Statement of Lease-Purchases</t>
  </si>
  <si>
    <t>Fund</t>
  </si>
  <si>
    <t>K.S.A.</t>
  </si>
  <si>
    <t>TOTALS</t>
  </si>
  <si>
    <t>x</t>
  </si>
  <si>
    <t>Assisted by:</t>
  </si>
  <si>
    <t>Governing Body</t>
  </si>
  <si>
    <t>County Clerk</t>
  </si>
  <si>
    <t>Amount</t>
  </si>
  <si>
    <t>Mental Health</t>
  </si>
  <si>
    <t>Hospital</t>
  </si>
  <si>
    <t>TOTAL</t>
  </si>
  <si>
    <t>County Treas Motor Vehicle Estimate</t>
  </si>
  <si>
    <t>Motor Vehicle Factor</t>
  </si>
  <si>
    <t>MVT</t>
  </si>
  <si>
    <t>Totals</t>
  </si>
  <si>
    <t>District Court</t>
  </si>
  <si>
    <t>Juvenile Detention</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</si>
  <si>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</si>
  <si>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</si>
  <si>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</si>
  <si>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</si>
  <si>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</si>
  <si>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</si>
  <si>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</si>
  <si>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</si>
  <si>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</si>
  <si>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</si>
  <si>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</si>
  <si>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</si>
  <si>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</si>
  <si>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</si>
  <si>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</si>
  <si>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</si>
  <si>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</si>
  <si>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</si>
  <si>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General Administration</t>
  </si>
  <si>
    <t xml:space="preserve">  Salaries</t>
  </si>
  <si>
    <t xml:space="preserve">  Contractual</t>
  </si>
  <si>
    <t xml:space="preserve">  Commodities</t>
  </si>
  <si>
    <t xml:space="preserve">  Capital Outlay</t>
  </si>
  <si>
    <t>Airport</t>
  </si>
  <si>
    <t>Alcohol &amp; Drug Abuse</t>
  </si>
  <si>
    <t>Ambulance</t>
  </si>
  <si>
    <t>Animal Control</t>
  </si>
  <si>
    <t>Appraisal</t>
  </si>
  <si>
    <t>Building</t>
  </si>
  <si>
    <t>County Attorney/Counselor</t>
  </si>
  <si>
    <t>County Commission</t>
  </si>
  <si>
    <t>County Treasurer</t>
  </si>
  <si>
    <t>Debt Service</t>
  </si>
  <si>
    <t xml:space="preserve">  Principal</t>
  </si>
  <si>
    <t xml:space="preserve">  Interest</t>
  </si>
  <si>
    <t xml:space="preserve">  Commission</t>
  </si>
  <si>
    <t>Economic Development</t>
  </si>
  <si>
    <t>Election</t>
  </si>
  <si>
    <t>Emergency Services</t>
  </si>
  <si>
    <t>Employee Benefits</t>
  </si>
  <si>
    <t xml:space="preserve">  Social Security</t>
  </si>
  <si>
    <t xml:space="preserve">  Medicare</t>
  </si>
  <si>
    <t xml:space="preserve">  Health Insurance</t>
  </si>
  <si>
    <t xml:space="preserve">  Retirement</t>
  </si>
  <si>
    <t xml:space="preserve">  Workers Compensation</t>
  </si>
  <si>
    <t xml:space="preserve">  Unemployment</t>
  </si>
  <si>
    <t>Extension Council</t>
  </si>
  <si>
    <t>Fair</t>
  </si>
  <si>
    <t>Fire</t>
  </si>
  <si>
    <t>Health</t>
  </si>
  <si>
    <t>Historical</t>
  </si>
  <si>
    <t>Law Enforcement</t>
  </si>
  <si>
    <t>Library</t>
  </si>
  <si>
    <t>Memorial</t>
  </si>
  <si>
    <t>Mental Retardation</t>
  </si>
  <si>
    <t>Noxious Weed Control</t>
  </si>
  <si>
    <t>Park &amp; Recreation</t>
  </si>
  <si>
    <t>Register of Deeds</t>
  </si>
  <si>
    <t>Road &amp; Bridge</t>
  </si>
  <si>
    <t>Services for the Aged</t>
  </si>
  <si>
    <t>Soil Conservation</t>
  </si>
  <si>
    <t>Solid Waste</t>
  </si>
  <si>
    <t>Tort Liability</t>
  </si>
  <si>
    <t xml:space="preserve">  Judgments</t>
  </si>
  <si>
    <t>Cultural</t>
  </si>
  <si>
    <t>Other</t>
  </si>
  <si>
    <t>Page No.</t>
  </si>
  <si>
    <t>Actual</t>
  </si>
  <si>
    <t xml:space="preserve">     FUND</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</si>
  <si>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</si>
  <si>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</si>
  <si>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</si>
  <si>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</si>
  <si>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</si>
  <si>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</si>
  <si>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</si>
  <si>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</si>
  <si>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</si>
  <si>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</si>
  <si>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</si>
  <si>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</si>
  <si>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</si>
  <si>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</si>
  <si>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</si>
  <si>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</si>
  <si>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</si>
  <si>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</si>
  <si>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</si>
  <si>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</si>
  <si>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</si>
  <si>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</si>
  <si>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</si>
  <si>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</si>
  <si>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</si>
  <si>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</si>
  <si>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</si>
  <si>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</si>
  <si>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</si>
  <si>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</si>
  <si>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</si>
  <si>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</si>
  <si>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</si>
  <si>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</si>
  <si>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NOTICE OF BUDGET HEARING</t>
  </si>
  <si>
    <t>BUDGET SUMMARY</t>
  </si>
  <si>
    <t>FUND PAGE - GENERAL</t>
  </si>
  <si>
    <t>FUND PAGE - GENERAL DETAIL</t>
  </si>
  <si>
    <t>FUND PAGE - ROAD</t>
  </si>
  <si>
    <t>FUND PAGE FOR FUNDS WITH A TAX LEVY</t>
  </si>
  <si>
    <t>FUND PAGE FOR FUNDS WITH NO TAX LEVY</t>
  </si>
  <si>
    <t>STATEMENT OF INDEBTEDNESS</t>
  </si>
  <si>
    <t>RVT</t>
  </si>
  <si>
    <t>16/20M Vehicle Tax Estimate</t>
  </si>
  <si>
    <t>16/20M Vehicle Tax</t>
  </si>
  <si>
    <t xml:space="preserve">The governing body of </t>
  </si>
  <si>
    <t>Gross Earnings (Intangible) Tax</t>
  </si>
  <si>
    <t>Balance On</t>
  </si>
  <si>
    <t>16/20M Veh</t>
  </si>
  <si>
    <t>Unencumbered Cash Balance Jan 1</t>
  </si>
  <si>
    <t>Unencumbered Cash Balance Dec 31</t>
  </si>
  <si>
    <t>Receipts:</t>
  </si>
  <si>
    <t>79-1946</t>
  </si>
  <si>
    <t>Schedule of Transfers</t>
  </si>
  <si>
    <t>Outstanding</t>
  </si>
  <si>
    <t>(Beginning Principal)</t>
  </si>
  <si>
    <t>Estimated Tax Rate is subject to change depending on the final assessed valuation.</t>
  </si>
  <si>
    <t>Lease Pur. Princ.</t>
  </si>
  <si>
    <t>Current</t>
  </si>
  <si>
    <t>Proposed</t>
  </si>
  <si>
    <t xml:space="preserve">Authorized by </t>
  </si>
  <si>
    <t xml:space="preserve">                                                                         16/20M Vehicle Factor</t>
  </si>
  <si>
    <t xml:space="preserve">                                        Recreational Vehicle Factor</t>
  </si>
  <si>
    <t>Address:</t>
  </si>
  <si>
    <t>County Clerk's Use Only</t>
  </si>
  <si>
    <t>Information comes from the Certificate, Page No. 1</t>
  </si>
  <si>
    <t>10-113</t>
  </si>
  <si>
    <t>Other (non-tax) fund names:</t>
  </si>
  <si>
    <t xml:space="preserve"> Expenditures</t>
  </si>
  <si>
    <t>From:</t>
  </si>
  <si>
    <t xml:space="preserve">  To:</t>
  </si>
  <si>
    <t>Amount for</t>
  </si>
  <si>
    <t>Transfers</t>
  </si>
  <si>
    <t>Adjusted Totals</t>
  </si>
  <si>
    <t>We, the undersigned, officers of</t>
  </si>
  <si>
    <t>In Lieu of Tax (IRB)</t>
  </si>
  <si>
    <t>Neighborhood Revitalization</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</si>
  <si>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</si>
  <si>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</si>
  <si>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Beginning Amount</t>
  </si>
  <si>
    <t xml:space="preserve">of </t>
  </si>
  <si>
    <t>Retirement</t>
  </si>
  <si>
    <t xml:space="preserve">Total Other </t>
  </si>
  <si>
    <t>Fund Names for all funds with a tax levy:</t>
  </si>
  <si>
    <t>Special City &amp; County Highway</t>
  </si>
  <si>
    <t>County Equalization</t>
  </si>
  <si>
    <t>Expenditures from detail page:</t>
  </si>
  <si>
    <t>Outstanding Indebtness, January 1:</t>
  </si>
  <si>
    <t xml:space="preserve">  G.O. Bonds</t>
  </si>
  <si>
    <t xml:space="preserve">  Revenue Bonds</t>
  </si>
  <si>
    <t xml:space="preserve">  Other</t>
  </si>
  <si>
    <t xml:space="preserve">  Lease Purchase Principal</t>
  </si>
  <si>
    <t>(1) Fund Name:</t>
  </si>
  <si>
    <t>(2) Fund Name:</t>
  </si>
  <si>
    <t>(3) Fund Name:</t>
  </si>
  <si>
    <t>(4) Fund Name:</t>
  </si>
  <si>
    <t>(5) Fund Name:</t>
  </si>
  <si>
    <t xml:space="preserve">Unencumbered </t>
  </si>
  <si>
    <t>Cash Balance Dec 31</t>
  </si>
  <si>
    <t>Non-Budgeted Funds</t>
  </si>
  <si>
    <t>Non-Budgeted Funds:</t>
  </si>
  <si>
    <t xml:space="preserve">  Subtotal </t>
  </si>
  <si>
    <r>
      <t>**</t>
    </r>
    <r>
      <rPr>
        <sz val="12"/>
        <rFont val="Times New Roman"/>
        <family val="1"/>
      </rPr>
      <t xml:space="preserve">Note:  The Detail Total Expenditures should match to the General Subtotal.  </t>
    </r>
  </si>
  <si>
    <r>
      <t>Total Expenditures</t>
    </r>
    <r>
      <rPr>
        <sz val="12"/>
        <color indexed="10"/>
        <rFont val="Times New Roman"/>
        <family val="1"/>
      </rPr>
      <t>**</t>
    </r>
  </si>
  <si>
    <t xml:space="preserve">  Total Detail Page**</t>
  </si>
  <si>
    <t>Special District Funds</t>
  </si>
  <si>
    <t>CERTIFICATE (2)</t>
  </si>
  <si>
    <t>The following were changed to this spreadsheet on 8/06/2007</t>
  </si>
  <si>
    <t>Attest: _____________________,</t>
  </si>
  <si>
    <t xml:space="preserve">NON-BUDGETED FUNDS </t>
  </si>
  <si>
    <t>**</t>
  </si>
  <si>
    <r>
      <t xml:space="preserve"> </t>
    </r>
    <r>
      <rPr>
        <b/>
        <sz val="12"/>
        <rFont val="Times New Roman"/>
        <family val="1"/>
      </rPr>
      <t xml:space="preserve"> Subtotal</t>
    </r>
  </si>
  <si>
    <t>**Note:  Total Detail Page totals should be equal to Road Subtotal.</t>
  </si>
  <si>
    <t>**Note: These two block figures should agree.</t>
  </si>
  <si>
    <t>xxxxxxxxxxxxxxxxxxxx</t>
  </si>
  <si>
    <t>Funds</t>
  </si>
  <si>
    <t xml:space="preserve">expenditure amounts should reflect the amended </t>
  </si>
  <si>
    <t>expenditure amounts.</t>
  </si>
  <si>
    <t xml:space="preserve">Tax Levy Rate </t>
  </si>
  <si>
    <t>Neighborhood Revitalization Rebate</t>
  </si>
  <si>
    <t>Miscellaneous</t>
  </si>
  <si>
    <t>Does miscellaneous exceed 10% of Total Expenditure</t>
  </si>
  <si>
    <t>Does miscellaneous exceed 10% of Total Receipts</t>
  </si>
  <si>
    <t xml:space="preserve">Ad Valorem Tax </t>
  </si>
  <si>
    <t>FUND PAGE - ROAD &amp; BRIDGE DETAIL</t>
  </si>
  <si>
    <t>Administration</t>
  </si>
  <si>
    <t>Personal</t>
  </si>
  <si>
    <t>Rock</t>
  </si>
  <si>
    <t>Sealing</t>
  </si>
  <si>
    <t>Pavement</t>
  </si>
  <si>
    <t>1. Input tab (inputPrYr) added column for the current year expenditures.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</si>
  <si>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</si>
  <si>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</si>
  <si>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</si>
  <si>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t xml:space="preserve">7. Instruction page have changed all reference for Bond &amp; Interest to Debt Service. </t>
  </si>
  <si>
    <t>10. Changed the Bond &amp; Interest tab (B&amp;I) to Debt Service tab (DebtService).</t>
  </si>
  <si>
    <t>11. Changed the revised date on all pages changed.</t>
  </si>
  <si>
    <t>Cash Balance Jan 1</t>
  </si>
  <si>
    <t>The Budget Summary Page</t>
  </si>
  <si>
    <t>Transfers - Counties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</si>
  <si>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</si>
  <si>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</si>
  <si>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</si>
  <si>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</si>
  <si>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</si>
  <si>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</si>
  <si>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</si>
  <si>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</si>
  <si>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</si>
  <si>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</si>
  <si>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</si>
  <si>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</si>
  <si>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</si>
  <si>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</si>
  <si>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</si>
  <si>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</si>
  <si>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</si>
  <si>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</si>
  <si>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</si>
  <si>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</si>
  <si>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</si>
  <si>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</si>
  <si>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</si>
  <si>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</si>
  <si>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</si>
  <si>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</si>
  <si>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</si>
  <si>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</si>
  <si>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</si>
  <si>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</si>
  <si>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</si>
  <si>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</si>
  <si>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</si>
  <si>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</si>
  <si>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</si>
  <si>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</si>
  <si>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</si>
  <si>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</si>
  <si>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</si>
  <si>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Date:</t>
  </si>
  <si>
    <t>Time:</t>
  </si>
  <si>
    <t>Location:</t>
  </si>
  <si>
    <t>Available at:</t>
  </si>
  <si>
    <t>7:00 PM or 7:00 AM</t>
  </si>
  <si>
    <t>Possible Budget Law Violation</t>
  </si>
  <si>
    <t>Can the potential violation be corrected at this time?</t>
  </si>
  <si>
    <t>What should I do?</t>
  </si>
  <si>
    <t>available).</t>
  </si>
  <si>
    <t>Is amending the budget an option?</t>
  </si>
  <si>
    <t>Thank you.</t>
  </si>
  <si>
    <t>Possible Cash Basis Law Violation</t>
  </si>
  <si>
    <t xml:space="preserve">Is this a violation?  </t>
  </si>
  <si>
    <t>What if K.S.A. 10-1116 applies?</t>
  </si>
  <si>
    <t>avoid a cash basis law violation.</t>
  </si>
  <si>
    <t>Options</t>
  </si>
  <si>
    <t>Current Year - Possible Budget Law Violation</t>
  </si>
  <si>
    <t>What should I do at this time?</t>
  </si>
  <si>
    <t>Current Year - Possible Cash Basis Law Violation</t>
  </si>
  <si>
    <t>fund.</t>
  </si>
  <si>
    <t>Should this be fixed?</t>
  </si>
  <si>
    <t>you will want your ending cash balance to be $0.</t>
  </si>
  <si>
    <t>Should this be fixed before we adopt the budget?</t>
  </si>
  <si>
    <t>How do I fix the violation?</t>
  </si>
  <si>
    <t>Is there a benefit to having a positive cash balance?</t>
  </si>
  <si>
    <t>answering objections of taxpayers relating to the proposed use of all funds and the amount of ad valorem tax.</t>
  </si>
  <si>
    <t>the Neighborhood Revitalization Rebate table.</t>
  </si>
  <si>
    <r>
      <t>Adjustments</t>
    </r>
    <r>
      <rPr>
        <sz val="12"/>
        <color indexed="10"/>
        <rFont val="Times New Roman"/>
        <family val="1"/>
      </rPr>
      <t>*</t>
    </r>
  </si>
  <si>
    <t>Expenditure</t>
  </si>
  <si>
    <t>Receipt</t>
  </si>
  <si>
    <t xml:space="preserve">Fund Transferred </t>
  </si>
  <si>
    <t>Fund Transferred</t>
  </si>
  <si>
    <t>*Note:</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</si>
  <si>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</si>
  <si>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</si>
  <si>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</si>
  <si>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</si>
  <si>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Compensating Use Tax</t>
  </si>
  <si>
    <t>Local Sales Tax</t>
  </si>
  <si>
    <t>Does miscellaneous exceed 10% of Total Rec</t>
  </si>
  <si>
    <t>Does miscellaneous exceed 10% of Total Exp</t>
  </si>
  <si>
    <t>Non-Appropriated Balance</t>
  </si>
  <si>
    <t>Total Expenditure/Non-Appr Balance</t>
  </si>
  <si>
    <t>Delinquent Comp Rate:</t>
  </si>
  <si>
    <t>Road &amp; Bridge Fund</t>
  </si>
  <si>
    <t xml:space="preserve">General Fund </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</si>
  <si>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</si>
  <si>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</si>
  <si>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</si>
  <si>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t>Desired Carryover Amount:</t>
  </si>
  <si>
    <t>Estimated Mill Rate Impact:</t>
  </si>
  <si>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</si>
  <si>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</si>
  <si>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</si>
  <si>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</si>
  <si>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</si>
  <si>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</si>
  <si>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</si>
  <si>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</si>
  <si>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t>The estimated value of one mill would be:</t>
  </si>
  <si>
    <t>Change in Ad Valorem Tax Revenue:</t>
  </si>
  <si>
    <t>What Mill Rate Would Be Desired?</t>
  </si>
  <si>
    <t>Email:</t>
  </si>
  <si>
    <t>_______________________________  _______________________________</t>
  </si>
  <si>
    <t xml:space="preserve"> Debt</t>
  </si>
  <si>
    <t xml:space="preserve">Type </t>
  </si>
  <si>
    <t xml:space="preserve"> Purchased</t>
  </si>
  <si>
    <t>Items</t>
  </si>
  <si>
    <t xml:space="preserve">Prior Year </t>
  </si>
  <si>
    <t xml:space="preserve">Current Year </t>
  </si>
  <si>
    <t xml:space="preserve">Proposed Budget </t>
  </si>
  <si>
    <t>Expenditures Must Be Changed by:</t>
  </si>
  <si>
    <t>Delinquency % used in this budget will be shown on all fund pages with a tax levy**</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</si>
  <si>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</si>
  <si>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 xml:space="preserve">Amounts used in lieu of </t>
  </si>
  <si>
    <t xml:space="preserve">Allocation of Vehicle Taxes </t>
  </si>
  <si>
    <t>1.  "Budget Authority Amount" cell added to budget year column of all funds.</t>
  </si>
  <si>
    <t>1.  Several changes to workbook associated with 2014 HB 2047.</t>
  </si>
  <si>
    <t>Input Sheet for County Budget Workbook</t>
  </si>
  <si>
    <t>Enter county name followed by "County":</t>
  </si>
  <si>
    <t>Enter year being budgeted (YYYY):</t>
  </si>
  <si>
    <t>Note:  All amounts are to be entered as whole numbers only.</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</si>
  <si>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</si>
  <si>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</si>
  <si>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</si>
  <si>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 xml:space="preserve">Allocation of MV, RV, 16/20M, Commercial Vehicle, and Watercraft Tax Estimates </t>
  </si>
  <si>
    <t>Comm Veh</t>
  </si>
  <si>
    <t>Watercraft</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</si>
  <si>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</si>
  <si>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</si>
  <si>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</si>
  <si>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</si>
  <si>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</si>
  <si>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</si>
  <si>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 Estimate</t>
  </si>
  <si>
    <t>Watercraft Tax Estimate</t>
  </si>
  <si>
    <t>Commercial Vehicle Tax</t>
  </si>
  <si>
    <t>Watercraft Tax</t>
  </si>
  <si>
    <t>1.  Various workbook changes associated with commercial vehicle and watercraft tax estimates.</t>
  </si>
  <si>
    <t>1.  Inserted 2014 CPI percentage on computation tab.</t>
  </si>
  <si>
    <t>68-5,101</t>
  </si>
  <si>
    <t>1.  Inserted 2015 CPI percentage on computation tab.</t>
  </si>
  <si>
    <t>CPA Summary</t>
  </si>
  <si>
    <t>Expiration of Property Tax Abatements</t>
  </si>
  <si>
    <t>CPA Summary for Assumptions</t>
  </si>
  <si>
    <t>Revenue Neutral Rate</t>
  </si>
  <si>
    <t>Page No. 6</t>
  </si>
  <si>
    <t>Revenue Neutral Rate**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</si>
  <si>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</si>
  <si>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</si>
  <si>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</si>
  <si>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</si>
  <si>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</si>
  <si>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Page No. 6a</t>
  </si>
  <si>
    <t>Page No.6b</t>
  </si>
  <si>
    <t>Page No. 6c</t>
  </si>
  <si>
    <t>Page No. 6d</t>
  </si>
  <si>
    <t>Page No. 6e</t>
  </si>
  <si>
    <t>Total  - Page 6f</t>
  </si>
  <si>
    <t>Total - Page6b</t>
  </si>
  <si>
    <t>Total - Page 6c</t>
  </si>
  <si>
    <t>Total - Page 6d</t>
  </si>
  <si>
    <t>Total - Page 6e</t>
  </si>
  <si>
    <t>Page No. 6f</t>
  </si>
  <si>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</si>
  <si>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</si>
  <si>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</si>
  <si>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</si>
  <si>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</si>
  <si>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</si>
  <si>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</si>
  <si>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</si>
  <si>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</si>
  <si>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</si>
  <si>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</si>
  <si>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</si>
  <si>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</si>
  <si>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</si>
  <si>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</si>
  <si>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</si>
  <si>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</si>
  <si>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</si>
  <si>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</si>
  <si>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</si>
  <si>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</si>
  <si>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</si>
  <si>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</si>
  <si>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</si>
  <si>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</si>
  <si>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</si>
  <si>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</si>
  <si>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</si>
  <si>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</si>
  <si>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</si>
  <si>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</si>
  <si>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</si>
  <si>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</si>
  <si>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</si>
  <si>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</si>
  <si>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</si>
  <si>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</si>
  <si>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</si>
  <si>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</si>
  <si>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</si>
  <si>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</si>
  <si>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</si>
  <si>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</si>
  <si>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</si>
  <si>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</si>
  <si>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</si>
  <si>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</si>
  <si>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</si>
  <si>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</si>
  <si>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</si>
  <si>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</si>
  <si>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</si>
  <si>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</si>
  <si>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</si>
  <si>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</si>
  <si>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</si>
  <si>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</si>
  <si>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</si>
  <si>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</si>
  <si>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</si>
  <si>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</si>
  <si>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</si>
  <si>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</si>
  <si>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</si>
  <si>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</si>
  <si>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</si>
  <si>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</si>
  <si>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</si>
  <si>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</si>
  <si>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</si>
  <si>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</si>
  <si>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</si>
  <si>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</si>
  <si>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</si>
  <si>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</si>
  <si>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</si>
  <si>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</si>
  <si>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</si>
  <si>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</si>
  <si>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</si>
  <si>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</si>
  <si>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</si>
  <si>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Official Title:</t>
  </si>
  <si>
    <t>City Clerk, City Treasurer, Mayor</t>
  </si>
  <si>
    <t>August 12, 2022</t>
  </si>
  <si>
    <t>City Hall</t>
  </si>
  <si>
    <t>Budget Hearing Notice Only</t>
  </si>
  <si>
    <t>Official Name:</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</si>
  <si>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</si>
  <si>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</si>
  <si>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</si>
  <si>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</si>
  <si>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</si>
  <si>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</si>
  <si>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</si>
  <si>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</si>
  <si>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</si>
  <si>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</si>
  <si>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</si>
  <si>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</si>
  <si>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</si>
  <si>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</si>
  <si>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</si>
  <si>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</si>
  <si>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10. Added RNR to Certificate Page</t>
  </si>
  <si>
    <t>3a. Made the total expenditures block for the actual and current year to turn 'Red' if violation occurs.</t>
  </si>
  <si>
    <t>6. Neighborhood Revitalization (nhood) took off the protection for the page number and made the estimate rebate round the figures to whole dollars.</t>
  </si>
  <si>
    <t>8. Added to the instruction page lines 11a - 11c to provide a little more insight for the Neighborhood Revitalization rebate.</t>
  </si>
  <si>
    <t>9. Added instruction line 2b to explain how to delete delinquency rate from tax levy fund pages.</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</si>
  <si>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</si>
  <si>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</si>
  <si>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</si>
  <si>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</si>
  <si>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</si>
  <si>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</si>
  <si>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</si>
  <si>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</si>
  <si>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</si>
  <si>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</si>
  <si>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</si>
  <si>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</si>
  <si>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</si>
  <si>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</si>
  <si>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</si>
  <si>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</si>
  <si>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</si>
  <si>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</si>
  <si>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Resolution No. ______</t>
  </si>
  <si>
    <t>A RESOLUTION OF THE County OF __________, KANSAS TO LEVY A PROPERTY TAX RATE EXCEEDING THE REVENUE NEUTRAL RATE;</t>
  </si>
  <si>
    <t xml:space="preserve">           WHEREAS, the Revenue Neutral Rate for the County of __________ was calculated as _________ mills by the ____________ County Clerk; and</t>
  </si>
  <si>
    <t xml:space="preserve">           WHEREAS, the budget proposed by the Governing Body of the County of __________ will require the levy of a property tax rate exceeding the Revenue Neutral Rate; and</t>
  </si>
  <si>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</si>
  <si>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t xml:space="preserve">          WHEREAS, the Governing Body of the County of ____________, having heard testimony, still finds it necessary to exceed the Revenue Neutral Rate.</t>
  </si>
  <si>
    <t xml:space="preserve">          NOW, THEREFORE, BE IT RESOLVED BY THE GOVERNING BODY OF THE COUNTY OF __________:</t>
  </si>
  <si>
    <t xml:space="preserve">          The County of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</si>
  <si>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</si>
  <si>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Governing Body.</t>
    </r>
  </si>
  <si>
    <t xml:space="preserve">          ______________________________     ______________________________</t>
  </si>
  <si>
    <t xml:space="preserve">          Attested:</t>
  </si>
  <si>
    <t xml:space="preserve">          ______________________________</t>
  </si>
  <si>
    <t xml:space="preserve">          County Clerk</t>
  </si>
  <si>
    <t>Budget Authority for Expenditures</t>
  </si>
  <si>
    <t>Final Tax Rate (County Clerk's Use Only)</t>
  </si>
  <si>
    <t>Combined Rate and Budget Hearing</t>
  </si>
  <si>
    <t>RNR Hearing Notice</t>
  </si>
  <si>
    <t xml:space="preserve">Revenue Neutral Rate </t>
  </si>
  <si>
    <t>__________________________  __________________________</t>
  </si>
  <si>
    <t>NOTICE OF HEARING TO EXCEED REVENUE NEUTRAL RATE</t>
  </si>
  <si>
    <t>answering objections of taxpayers relating to revenue neutral rate and proposed tax rate, as required by KSA 79-2988.</t>
  </si>
  <si>
    <t>Revenue Neutral Rate*</t>
  </si>
  <si>
    <t>Proposed Tax Rate</t>
  </si>
  <si>
    <t>Tax Rates are expressed in mills</t>
  </si>
  <si>
    <t>* Revenue Netural Rate as defined by KSA 79-2988</t>
  </si>
  <si>
    <t>Budget Hearing Notice</t>
  </si>
  <si>
    <t>November 1st Valuation</t>
  </si>
  <si>
    <t>***If leasing/renting with no intent to purchase, do not list--such transactions are not lease-purchases.</t>
  </si>
  <si>
    <t>STATEMENT OF CONDITIONAL LEASE-PURCHASE AND CERTIFICATE OF PARTICIPATION***</t>
  </si>
  <si>
    <t>Total - Page 6b</t>
  </si>
  <si>
    <t>Actual Tax Rate*</t>
  </si>
  <si>
    <t>Proposed Estimated Tax Rate*</t>
  </si>
  <si>
    <t>**Revenue Neutral Rate as defined by KSA 79-2988</t>
  </si>
  <si>
    <t xml:space="preserve">Is rate hearing/resolution required to exceed Revenue Neutral Rate? </t>
  </si>
  <si>
    <t>Proposed Estimted Tax Rate*</t>
  </si>
  <si>
    <t>NOTICE OF HEARING TO EXCEED REVENUE NEUTRAL RATE AND BUDGET HEARING</t>
  </si>
  <si>
    <t>answering objections of taxpayers relating to the proposed use of all funds and the amount of ad valorem tax and Revenue Neutral Rate.</t>
  </si>
  <si>
    <t xml:space="preserve">Budget Hearing Notice 2 </t>
  </si>
  <si>
    <t>Combined Rate and Budget Hearing 2</t>
  </si>
  <si>
    <t>Estimated Mill Rate &amp;
 Revenue Neutral Rate Comparison</t>
  </si>
  <si>
    <t>Revenue Neutral Rate (KSA 79-2988)</t>
  </si>
  <si>
    <t>Is a rate hearing/resolution required:</t>
  </si>
  <si>
    <t>Tab E</t>
  </si>
  <si>
    <t>Tab D</t>
  </si>
  <si>
    <t>Tab C</t>
  </si>
  <si>
    <t>Tab B</t>
  </si>
  <si>
    <t>Tab A</t>
  </si>
  <si>
    <t xml:space="preserve">Table of Contents: </t>
  </si>
  <si>
    <t>Attest: ___________________________,</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</si>
  <si>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</si>
  <si>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</si>
  <si>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</si>
  <si>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</si>
  <si>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</si>
  <si>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</si>
  <si>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</si>
  <si>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</si>
  <si>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</si>
  <si>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 xml:space="preserve">In short, you are looking at a potential budget law violation. However, the good news is that you </t>
  </si>
  <si>
    <t>may have options available that will allow you to avoid a budget law violation.</t>
  </si>
  <si>
    <r>
      <t xml:space="preserve">If the municipality financial records have </t>
    </r>
    <r>
      <rPr>
        <b/>
        <u/>
        <sz val="12"/>
        <rFont val="Times New Roman"/>
        <family val="1"/>
      </rPr>
      <t>not been</t>
    </r>
    <r>
      <rPr>
        <sz val="12"/>
        <rFont val="Times New Roman"/>
        <family val="1"/>
      </rPr>
      <t xml:space="preserve"> closed (i.e. an audit has not been completed,</t>
    </r>
  </si>
  <si>
    <t>can be fixed before submission of the budget to the county clerk.</t>
  </si>
  <si>
    <t xml:space="preserve">First, review the input page information (inputPrYr tab) to ensure that the correct amount was </t>
  </si>
  <si>
    <t>higher budget amount?</t>
  </si>
  <si>
    <t>are you showing any transfers from this fund to another?  If so, consider whether you can reduce</t>
  </si>
  <si>
    <t>or eliminate one or more transfers.</t>
  </si>
  <si>
    <t>showing the reimbursement as a receipt, show the reimbursement as a negative expenditure.</t>
  </si>
  <si>
    <t>Another option is to consider whether your fund shares expenditures with another fund.  For</t>
  </si>
  <si>
    <t xml:space="preserve"> example, your electric and water funds may split salaries between the two funds.  If one of those </t>
  </si>
  <si>
    <t>funds is in trouble, you might be able to allocate a little more in salaries to the healthy fund in order</t>
  </si>
  <si>
    <t>to eliminate the violation (but be sure that the healthy fund has sufficient budget authority and cash</t>
  </si>
  <si>
    <t xml:space="preserve">The shifting of expenditures between funds, as described in the preceding paragraph, can be </t>
  </si>
  <si>
    <t>accomplished between any funds that share expenses.</t>
  </si>
  <si>
    <t>Finally, if your general fund is healthy - it has enough budget authority and cash - then it might be</t>
  </si>
  <si>
    <t>used to cover the excess expenditures. (AGO No. 85-181)</t>
  </si>
  <si>
    <t>Amending the budget is a timing issue.  In order to amend the budget, you must have the complete</t>
  </si>
  <si>
    <t>amending process completed before the end of the calandar year.  If you start at the beginning of</t>
  </si>
  <si>
    <t>December, then you should have enough time to amend the budget.  But, if started during the middle</t>
  </si>
  <si>
    <t>of December, then you might not have enough time to complete the amending process.  Remember</t>
  </si>
  <si>
    <t xml:space="preserve">the complete processing must be completed on or before the end of December and you must have </t>
  </si>
  <si>
    <t xml:space="preserve">at least 10 days between when published in local newspaper and when the budget hearing is held. </t>
  </si>
  <si>
    <t>So, if your local newspaper only publishes once a week or bi-weekly, then there might not be time</t>
  </si>
  <si>
    <t>enough to have the 10 day requirement between publication and the hearing.</t>
  </si>
  <si>
    <t xml:space="preserve">Amending the budget can be done at any time during the budgeted year.  But, amending the budget </t>
  </si>
  <si>
    <t>should take place before the expenditures exceed the budget authority.</t>
  </si>
  <si>
    <t xml:space="preserve"> </t>
  </si>
  <si>
    <t>No punitive action will be taken as a result of the violation, but you should determine what caused</t>
  </si>
  <si>
    <t>the violation and take steps to avoid future violations of this nature.</t>
  </si>
  <si>
    <t>finished the year with a negative unencumbered cash balance in this fund.</t>
  </si>
  <si>
    <t>However, the good news is that you may have one or more options available that will allow you to</t>
  </si>
  <si>
    <t>Hopefully not. The first thing that you might do is to review K.S.A. 10-1116 to see if your fund</t>
  </si>
  <si>
    <t xml:space="preserve">might be one of those for which a negative cash balance is permitted. </t>
  </si>
  <si>
    <t xml:space="preserve">If the fund falls into one of the categories, then a cash basis law violation has not occurred. Please </t>
  </si>
  <si>
    <t>annotate to the left of the 'See Tab B' as follows:  "10-1116 applies."</t>
  </si>
  <si>
    <r>
      <t xml:space="preserve">What if K.S.A. 10-1116 </t>
    </r>
    <r>
      <rPr>
        <b/>
        <i/>
        <sz val="12"/>
        <rFont val="Times New Roman"/>
        <family val="1"/>
      </rPr>
      <t>does not</t>
    </r>
    <r>
      <rPr>
        <b/>
        <sz val="12"/>
        <rFont val="Times New Roman"/>
        <family val="1"/>
      </rPr>
      <t xml:space="preserve"> apply?</t>
    </r>
  </si>
  <si>
    <t xml:space="preserve">If the fund does not fall into one of the categories, then let's explore your options (below) to see if </t>
  </si>
  <si>
    <t>we can help you avoid a cash basis law violation.</t>
  </si>
  <si>
    <t xml:space="preserve">need to be increased (transfer from another fund) or your expenditures will need to be decreased </t>
  </si>
  <si>
    <t>(shifting of expenditures to another fund), or a combination of the two.</t>
  </si>
  <si>
    <t>Increasing your receipts through one or more transfers is contingent upon the available cash, budget</t>
  </si>
  <si>
    <t>authority, and statutory authority for the transfer from the fund or funds from which one or more</t>
  </si>
  <si>
    <t>transfers might be made.</t>
  </si>
  <si>
    <t xml:space="preserve">Another option for you to consider is the shifting of expenditures from this fund to another fund. </t>
  </si>
  <si>
    <t xml:space="preserve">Again, the fund to which expenditures are shifted must have available cash and budget authority in </t>
  </si>
  <si>
    <t xml:space="preserve">order to absorb the additional expenditures.  </t>
  </si>
  <si>
    <t>What if K.S.A. 10-1116 does not apply and no options are available to me?</t>
  </si>
  <si>
    <t xml:space="preserve">Unfortunately, under this scenario you are pretty much stuck with a cash basis law violation.  </t>
  </si>
  <si>
    <t>However, you can accept the violation as a learning tool to help you prevent violations in the future.</t>
  </si>
  <si>
    <t>Regular reviews of current year budget performance, especially from the end of the third quarter on,</t>
  </si>
  <si>
    <t xml:space="preserve">might allow you to determine in a timely fashion whether an increase in revenue or a decrease in </t>
  </si>
  <si>
    <t>expenditures is going to be needed before the end of the fiscal year in order to ensure that a fund</t>
  </si>
  <si>
    <t>finishes the year in good shape.</t>
  </si>
  <si>
    <t xml:space="preserve">In addition to the options discussed above, during the later part of the year if a utility fund or the </t>
  </si>
  <si>
    <t>general fund has the cash, but not the budget authority, amending the budget might be done in order</t>
  </si>
  <si>
    <t>to increase budget authority so that a transfer can then be made to the struggling fund or, in the case</t>
  </si>
  <si>
    <t xml:space="preserve">of the general fund, there can be a shifting of expenditures from the struggling fund to the general </t>
  </si>
  <si>
    <t xml:space="preserve">If, in the future, you choose to amend the budget as described in the paragraph above, please </t>
  </si>
  <si>
    <t>remember that the amendment must occur before the end of the fiscal year.</t>
  </si>
  <si>
    <t>In short, you are looking at a potential budget law violation if you truly end up the year as your</t>
  </si>
  <si>
    <t>current estimates reflect.  The good news is that you have an early indication of possible issues which</t>
  </si>
  <si>
    <t>can be addressed sooner rather than later.</t>
  </si>
  <si>
    <t xml:space="preserve">Should the potential for a violation be corrected at this time? </t>
  </si>
  <si>
    <t xml:space="preserve">be necessary to ensure that your expenditures do not, at year-end, exceed your budget authority for </t>
  </si>
  <si>
    <t>this fund.</t>
  </si>
  <si>
    <t xml:space="preserve">Well, the easiest thing to do at this time is to increase any underestimated revenue numbers, or </t>
  </si>
  <si>
    <t>decrease any overestimated expenditure numbers, or a combination of the two.</t>
  </si>
  <si>
    <t>What if I check my estimates and find that we're still on pace for a budget law violation?</t>
  </si>
  <si>
    <t xml:space="preserve">are you showing any transfers from this fund to another?  If so, consider whether you can reduce or </t>
  </si>
  <si>
    <t>eliminate one or more transfers.</t>
  </si>
  <si>
    <t>the reimbursement as a receipt, show the reimbursement as a negative expenditure.</t>
  </si>
  <si>
    <t>Another option is to consider whether your fund shares expenditures with another fund.  For example,</t>
  </si>
  <si>
    <t>your electric and water funds may split salaries between the two funds.  If one of those funds is in</t>
  </si>
  <si>
    <t xml:space="preserve">trouble you might be able to allocate a little more in salaries to the healthy fund in order to eliminate </t>
  </si>
  <si>
    <t xml:space="preserve">the potential violation (be sure, though, that the healthy fund has sufficient budget authority and cash </t>
  </si>
  <si>
    <t xml:space="preserve">A sometimes overlooked option is to use your general fund to cover the excess expenditures, </t>
  </si>
  <si>
    <t>assuming that general fund is not the one that's in trouble and that it has the budget authority and cash</t>
  </si>
  <si>
    <t>to absorb additional expenditures.</t>
  </si>
  <si>
    <t>Finally, If none of the above options can be applied and the fund has an unencumbered cash balance</t>
  </si>
  <si>
    <t>which will cover the estimated overage, the budget can be amended before the end of the fiscal year.</t>
  </si>
  <si>
    <t>Remember, the amendment process must occur before the end of the fiscal year.</t>
  </si>
  <si>
    <t>If the fund does not have enough ending cash so that an amendment will cover the expected overage,</t>
  </si>
  <si>
    <t>but another fund does have enough unemcumbered cash (along with budget authority and statutory</t>
  </si>
  <si>
    <t xml:space="preserve">authority to transfer to the fund with the potential budget law violation), go ahead and make the </t>
  </si>
  <si>
    <t>transfer and then amend the budget.</t>
  </si>
  <si>
    <t>that at the end of this year you will have a negative unencumbered cash balance in this fund.</t>
  </si>
  <si>
    <t>Yes. You don't want to end this year with a negative cash balance in the fund.  At a minimum</t>
  </si>
  <si>
    <t>Note: it is possible that this is one of those funds which may, under K.S.A. 10-1116, end the year</t>
  </si>
  <si>
    <t>with a negative cash balance, but otherwise you will want to make sure that it does not.</t>
  </si>
  <si>
    <t>The easiest thing to do at this time is to increase any underestimated revenue numbers, or decrease</t>
  </si>
  <si>
    <t>any overestimated expenditure numbers, or a combination of the two.</t>
  </si>
  <si>
    <t>Either your fund receipts will need to be increased before the end of the year (transfer from another</t>
  </si>
  <si>
    <t xml:space="preserve">fund) or your expenditures will need to be decreased before the end of the year (shifting of </t>
  </si>
  <si>
    <t>expenditures to another fund), or a combination of the two.</t>
  </si>
  <si>
    <r>
      <t xml:space="preserve">showing the reimbursement as a receipt, show the reimbursement as a negative </t>
    </r>
    <r>
      <rPr>
        <i/>
        <sz val="12"/>
        <rFont val="Times New Roman"/>
        <family val="1"/>
      </rPr>
      <t>expenditure.</t>
    </r>
  </si>
  <si>
    <t xml:space="preserve">Another option for you to consider is the shifting of expenditures from this fund to another fund.  </t>
  </si>
  <si>
    <t>Again, the fund to which expenditures are shifted must have available cash and budget authority</t>
  </si>
  <si>
    <t xml:space="preserve"> in order to absorb the additional expenditures.  </t>
  </si>
  <si>
    <t xml:space="preserve">On the revenue side of the fund you might increase your receipts through one or more transfers, </t>
  </si>
  <si>
    <t xml:space="preserve">contingent upon available cash, budget authority, and statutory authority for the transfer from the </t>
  </si>
  <si>
    <t>fund or funds from which one or more transfers might be made.</t>
  </si>
  <si>
    <t>assuming that the general fund is not the one that's in trouble and that it has the budget authority and</t>
  </si>
  <si>
    <t>cash to absorb additional expenditures.</t>
  </si>
  <si>
    <t>Proposed Budget Year - Possible Budget Law Violation No Levy Funds</t>
  </si>
  <si>
    <t>In short, you are looking at a budget law violation if you adopt a budget in which there exists a fund</t>
  </si>
  <si>
    <t>with a negative ending cash balance.</t>
  </si>
  <si>
    <t xml:space="preserve">Yes. Budget law mandates that fund expenditures shall balance with anticipated revenue. A fund </t>
  </si>
  <si>
    <t>ending cash balance should end either in $0 or a positive cash balance.</t>
  </si>
  <si>
    <t xml:space="preserve">The negative cash balance can be remedied by increasing the anticipated receipts or by reducing </t>
  </si>
  <si>
    <t>the proposed expenditures, or a combination of the two.</t>
  </si>
  <si>
    <t xml:space="preserve">If the municipality governing body chooses to adopt a budget whereby the no levy fund has a </t>
  </si>
  <si>
    <t xml:space="preserve">positive ending balance, that's okay.  But, we recommend that the fund be budgeted to end with a </t>
  </si>
  <si>
    <t>$0 balance.</t>
  </si>
  <si>
    <t xml:space="preserve">Why?  Remember that no levy funds do not result in a levy of property tax dollars. So, there is no </t>
  </si>
  <si>
    <t>impimpact to the property taxpayer from a budget which utilizes all anticipated revenue in the</t>
  </si>
  <si>
    <t>upcoming year.</t>
  </si>
  <si>
    <t xml:space="preserve">The advantage of budgeting the no levy fund to end the budget year with a $0 balance is that it </t>
  </si>
  <si>
    <t>provides the municipality with maximum spending authority. In the event the municipality is faced with</t>
  </si>
  <si>
    <t>with unanticipated spending during the budget year it will not need to amend its budget to do so.</t>
  </si>
  <si>
    <r>
      <t xml:space="preserve">Note: by budgeting to $0, the municipality does not have to </t>
    </r>
    <r>
      <rPr>
        <i/>
        <sz val="12"/>
        <rFont val="Times New Roman"/>
        <family val="1"/>
      </rPr>
      <t>spend</t>
    </r>
    <r>
      <rPr>
        <sz val="12"/>
        <rFont val="Times New Roman"/>
        <family val="1"/>
      </rPr>
      <t xml:space="preserve"> down to $0, but the authority to </t>
    </r>
  </si>
  <si>
    <t>do so without a budget amendment is there in the event that a need to do so should arise.</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</si>
  <si>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</si>
  <si>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</si>
  <si>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</si>
  <si>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</si>
  <si>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</si>
  <si>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</si>
  <si>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</si>
  <si>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</si>
  <si>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</si>
  <si>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</si>
  <si>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</si>
  <si>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</si>
  <si>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</si>
  <si>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</si>
  <si>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</si>
  <si>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</si>
  <si>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</si>
  <si>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</si>
  <si>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</si>
  <si>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The following changes were made to this workbook during April 2023</t>
  </si>
  <si>
    <t xml:space="preserve">1. Made final Nov 1, 2023 assessed valuation fillable and added final rate formula by fund on the Certificate page. </t>
  </si>
  <si>
    <t>2. Added County Clerk attest signature line on Cert 2 page.</t>
  </si>
  <si>
    <t>3. Added 'SAMPLE Roll Call to Exceed RNR' tab.</t>
  </si>
  <si>
    <t>4. Combined 'Mill Rate Computation' tab and 'Helpful Links' tab into new tab labeled 'Budget Tools.'</t>
  </si>
  <si>
    <t>5. Added explanation of how the Revenue Neutral Rate is calculated to 'Budget Tools' tab.</t>
  </si>
  <si>
    <t>6. Updated spacing and formatting to Tab A, Tab B, Tab C, Tab D and Tab E.</t>
  </si>
  <si>
    <t>The following changes were made to this workbook during February 2022</t>
  </si>
  <si>
    <t>5. Updated certificate/table of contents and page numbering for changes</t>
  </si>
  <si>
    <t>The following changes were made to this workbook during March 2020</t>
  </si>
  <si>
    <t>1. CPI Percentages were entered for the 2021 budget year</t>
  </si>
  <si>
    <t xml:space="preserve">2. Combined percentage/revenue adjustment computation for tax lid into "Comp1", added "If/then" statement at bottom of comp tab to direct users on following steps. </t>
  </si>
  <si>
    <t>3. Comp2 is now the other limit determination tests (Property Decline and Lost Valuation)</t>
  </si>
  <si>
    <t>4. Updated the Helpful Links to correct weblinks</t>
  </si>
  <si>
    <t>5. Used format painter to make all pages consistent in color and layout</t>
  </si>
  <si>
    <t>The following changes were made to this workbook during April 2019</t>
  </si>
  <si>
    <t>1.  Updated Municipal Services' contact information on the Instruction tab</t>
  </si>
  <si>
    <t xml:space="preserve">2.  Entered 2020 for the budget year and the applicable CPI percentages on the InputPrYr tab </t>
  </si>
  <si>
    <t>3.  Highlighted tab (pages) in blue if the page is to be printed and submitted as part of the budget</t>
  </si>
  <si>
    <t>4.  Added Remodeling and Rennovation to the New Improvements line on the InputOther tab</t>
  </si>
  <si>
    <t>5.  Added Remodeling and Rennovation to the New Improvements line on the Comp1 tab</t>
  </si>
  <si>
    <t>6.  Added Levy for Dissolved Taxing Entity on the Comp3 tab</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</si>
  <si>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</si>
  <si>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</si>
  <si>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</si>
  <si>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</si>
  <si>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</si>
  <si>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</si>
  <si>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</si>
  <si>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</si>
  <si>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</si>
  <si>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</si>
  <si>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</si>
  <si>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</si>
  <si>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The following changes were made to this workbook on 1/27/2016</t>
  </si>
  <si>
    <t>The following changes were made to this workbook on 8/28/2015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</si>
  <si>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</si>
  <si>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</si>
  <si>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</si>
  <si>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</si>
  <si>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</si>
  <si>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</si>
  <si>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1/21/15</t>
  </si>
  <si>
    <t>2.  Corrected formula in cell d24 of library grant tab.</t>
  </si>
  <si>
    <t>The following changes were made to this workbook on 9/22/14</t>
  </si>
  <si>
    <t>The following changes were made to this workbook on 9/16/14</t>
  </si>
  <si>
    <t>1.  Corrected the print margins of the general fund tab.</t>
  </si>
  <si>
    <t>The following changes were made to this workbook on 8/4/14</t>
  </si>
  <si>
    <t>1.  Update of State Library contact name on library grant tab.</t>
  </si>
  <si>
    <t>The following changes were made to this workbook on 7/9/14</t>
  </si>
  <si>
    <t>1.  Correction to formula in cell j44 of the computation tab worksheet.</t>
  </si>
  <si>
    <t>The following changes were made to this workbook on 5/7/14</t>
  </si>
  <si>
    <t>The following changes were made to this workbook on 4/2/14</t>
  </si>
  <si>
    <t>The following changes were made to this workbook on 1/13/14</t>
  </si>
  <si>
    <t>1.  Corrected formulas for column totals on general fund detail page.</t>
  </si>
  <si>
    <t>The following changes were made to this workbook on 3/21/13</t>
  </si>
  <si>
    <t>1.  Instruction tab narrative modification</t>
  </si>
  <si>
    <t>The following changes were made to this workbook on 1/31/13</t>
  </si>
  <si>
    <t>1.  Corrected formula in cell e28 of Library Grant tab</t>
  </si>
  <si>
    <t>The following changes were made to this workbook on 10/8/12</t>
  </si>
  <si>
    <t>1.  Added "ordinance required?  yes/no" message to area adjacent to each tax levy fund</t>
  </si>
  <si>
    <t>The following changes were made to this workbook on 4/10/12</t>
  </si>
  <si>
    <t>1. Corrected addition computation in column D, inputPrYr tab</t>
  </si>
  <si>
    <t>The following changes were made to this workbook on 3/22/12</t>
  </si>
  <si>
    <t>1. Concantenate at line 9 of the Certificate page changed to reference cell F1</t>
  </si>
  <si>
    <t>2. Corrected misspelling of word "limitations" on line 9 of the Certificate page.</t>
  </si>
  <si>
    <t>The following changes were made to this workbook on 2/22/12</t>
  </si>
  <si>
    <t>1. Library Grant tab, updated State Library e-mail contact address</t>
  </si>
  <si>
    <t>The following changes were made to this workbook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</si>
  <si>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</si>
  <si>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</si>
  <si>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</si>
  <si>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</si>
  <si>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</si>
  <si>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</si>
  <si>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</si>
  <si>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</si>
  <si>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</si>
  <si>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</si>
  <si>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</si>
  <si>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</si>
  <si>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</si>
  <si>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</si>
  <si>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</si>
  <si>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</si>
  <si>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</si>
  <si>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</si>
  <si>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</si>
  <si>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</si>
  <si>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</si>
  <si>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</si>
  <si>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</si>
  <si>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</si>
  <si>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</si>
  <si>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</si>
  <si>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</si>
  <si>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</si>
  <si>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</si>
  <si>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</si>
  <si>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</si>
  <si>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</si>
  <si>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</si>
  <si>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</si>
  <si>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</si>
  <si>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The following changes were made to this workbook on 6/30/11</t>
  </si>
  <si>
    <t>1. Certificate page: supplied link to input prior year tab to pull statutory reference for tax levy fund (cell B23 on certificate page)</t>
  </si>
  <si>
    <t>The following changes were made to this workbook on 6/17/11</t>
  </si>
  <si>
    <t>1. Debt Service fund page: total receipts formula changed to eliminate reference to unencumbered cash (cell C6)</t>
  </si>
  <si>
    <t>2. Summary page: corrected cell reference in current year expenditures, cell D26</t>
  </si>
  <si>
    <t>The following changes were made to this workbook on 5/26/11</t>
  </si>
  <si>
    <t>1. Tabs level page 9 and 10 cell D32 formatting change reference C34 to D34 and cell D69 reference from C71 to D71</t>
  </si>
  <si>
    <t>The following changes were made to this workbook on 5/6/11</t>
  </si>
  <si>
    <t>1. Summary tab correct cells J28, J29, M28, and M29 as wrong cell reference and formula error</t>
  </si>
  <si>
    <t>The following changes were made to this workbook on 4/19/11</t>
  </si>
  <si>
    <t>1. Summ tab changed proposed year expenditure column to 'Budget Authority for Expenditures'</t>
  </si>
  <si>
    <t>2. Mvalloc/slider column cell corrections.</t>
  </si>
  <si>
    <t>The following changes were made to this workbook on 3/16/11</t>
  </si>
  <si>
    <t>1. DebtService tab corrected cell E20 total computation</t>
  </si>
  <si>
    <t>2. Mvalloc tab corrected table link with InputPrYr ad valorem taxes</t>
  </si>
  <si>
    <t>3. Debt Service tab corrected cell G34 from E21 to E20</t>
  </si>
  <si>
    <t>The following changes were made to this workbook on 8/20/10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</si>
  <si>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</si>
  <si>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</si>
  <si>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</si>
  <si>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</si>
  <si>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</si>
  <si>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</si>
  <si>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</si>
  <si>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</si>
  <si>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</si>
  <si>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</si>
  <si>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</si>
  <si>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</si>
  <si>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</si>
  <si>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</si>
  <si>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</si>
  <si>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</si>
  <si>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</si>
  <si>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</si>
  <si>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</si>
  <si>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</si>
  <si>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</si>
  <si>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</si>
  <si>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</si>
  <si>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</si>
  <si>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</si>
  <si>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</si>
  <si>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</si>
  <si>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</si>
  <si>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The following changes were made to this workbook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</si>
  <si>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</si>
  <si>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</si>
  <si>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</si>
  <si>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12/28/09</t>
  </si>
  <si>
    <t>1. Nhood tab added note for computing table</t>
  </si>
  <si>
    <t>2. SpecHwy and No Levy Page 12 tabs changed conditional statements</t>
  </si>
  <si>
    <t>The following changes were made to this workbook on 12/08/09</t>
  </si>
  <si>
    <t>1. Instruction tab, added step 3 for 'inputBudSum'</t>
  </si>
  <si>
    <t>2. Added tab 'inputBudSum'</t>
  </si>
  <si>
    <t>3. Changed Budget Summary replacing the green areas for date/time/location so info comes from inputBudSum tab</t>
  </si>
  <si>
    <t>4. Deleted lines on Budget Summary reference in #3</t>
  </si>
  <si>
    <t>The following changes were made to this workbook on 10/2/09</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</si>
  <si>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</si>
  <si>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</si>
  <si>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</si>
  <si>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</si>
  <si>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</si>
  <si>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</si>
  <si>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</si>
  <si>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</si>
  <si>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</si>
  <si>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The following changes were made to this workbook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</si>
  <si>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</si>
  <si>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</si>
  <si>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</si>
  <si>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</si>
  <si>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t>The following changes were made to this workbook on 4/24/09</t>
  </si>
  <si>
    <t>1. Transfer tab - changed the column heading dates as had wrong reference cell</t>
  </si>
  <si>
    <t>The following were changed to this spreadsheet on 3/19/09</t>
  </si>
  <si>
    <t>1. Change Certificate page Bond &amp; Interest to Debt Service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</si>
  <si>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</si>
  <si>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</si>
  <si>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</si>
  <si>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</si>
  <si>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8/13/08</t>
  </si>
  <si>
    <t>2. Statement of Indebtedness (debt) added lines to all categories.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</si>
  <si>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</si>
  <si>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</si>
  <si>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</si>
  <si>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</si>
  <si>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12. Added instruction lines 9j to 9l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</si>
  <si>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</si>
  <si>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</si>
  <si>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The following were changed to this spreadsheet on 7/01/08</t>
  </si>
  <si>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</si>
  <si>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</si>
  <si>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</si>
  <si>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4. Changed foot note to reflect the changes made on 7/1/08 to the above tabs.</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</si>
  <si>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</si>
  <si>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</si>
  <si>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</si>
  <si>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1.Instruction were changed: POC change from Roger to ARMUNIS, got rid about us providing disk, took the input page and split to input prior budget information and input other, with more in-depth of forms and fund page, and more in-depth on the budget summary page.</t>
  </si>
  <si>
    <t>2. All pages have a revision date.</t>
  </si>
  <si>
    <t xml:space="preserve">3. Hard coded the Bond &amp; Interest on Certificate and Summary pages. </t>
  </si>
  <si>
    <t xml:space="preserve">4.  All dates on the spreadsheet are controlled from input on the input Prior Year page. </t>
  </si>
  <si>
    <t>5. Computation to Determine Limit now has the debts amounts link within the spreadsheet.</t>
  </si>
  <si>
    <t>6. Schedule of Transfers have the transfers totaled and link to the budget summary page.</t>
  </si>
  <si>
    <t>7. Added a single page for no tax levy fund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</si>
  <si>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</si>
  <si>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</si>
  <si>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</si>
  <si>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11. Added Neighborhood Revitalization, LAVTR, City and County Revenue Sharing, and Slider to the input page and to the General Fund page.</t>
  </si>
  <si>
    <t>12. Changed the Budget Summary Heading to include Actual/Estimate/Proposed with the budget year.</t>
  </si>
  <si>
    <t>13. Changed the delinquency rate formula for all levy funds.</t>
  </si>
  <si>
    <t>14. Changed the Certificate page so the county name flows instead of having unneeded spaces.</t>
  </si>
  <si>
    <t>15. Using the actual ad valorem rates from the Clerk's information versus from the Certificate page.</t>
  </si>
  <si>
    <t>16. Delinquency rate for actual for 3 decimal and note that rate can be up to 5% over the actual rate.</t>
  </si>
  <si>
    <t>17. Computation to Determine Limit changed the note on bottom to include publish ordinance and attach the published ordinance to the budget.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</si>
  <si>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</si>
  <si>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</si>
  <si>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</si>
  <si>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</si>
  <si>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</si>
  <si>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</si>
  <si>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</si>
  <si>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</si>
  <si>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</si>
  <si>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</si>
  <si>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</si>
  <si>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</si>
  <si>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</si>
  <si>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</si>
  <si>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</si>
  <si>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</si>
  <si>
    <t>The following changes were made to this workbook during October 2023</t>
  </si>
  <si>
    <t>1. Removed external links to correct update issue in Tab A, Tab B, Tab C, Tab D and Tab E.</t>
  </si>
  <si>
    <t>2. Corrected reference cell for FY link formula in Tab A, Tab B, Tab C, Tab D and Tab E.</t>
  </si>
  <si>
    <t>1. Removed LAVTR from inputOth, Library Grant and General fund tabs.</t>
  </si>
  <si>
    <t>2. Removed City and County Revenue Sharing from inputOth and General fund tabs.</t>
  </si>
  <si>
    <t>3. Renamed Cash Forward/Cash-Basis Reserve to Cash Reserve on all fund pages.</t>
  </si>
  <si>
    <t>The following changes were made to this workbook during April-May 2024</t>
  </si>
  <si>
    <t>4. Added RNR Resolution YES/NO formula to certificate page.</t>
  </si>
  <si>
    <t>Does budget require a resolution to exceed the Revenue Neutral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</si>
</sst>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_(* \(#,##0.00\);_(* &quot;-&quot;??_);_(@_)"/>
    <numFmt numFmtId="164" formatCode="0.000_)"/>
    <numFmt numFmtId="165" formatCode="0.00000_)"/>
    <numFmt numFmtId="166" formatCode="0_)"/>
    <numFmt numFmtId="167" formatCode="m/d/yy"/>
    <numFmt numFmtId="168" formatCode="m/d"/>
    <numFmt numFmtId="169" formatCode="_(* #,##0_);_(* \(#,##0\);_(* &quot;-&quot;??_);_(@_)"/>
    <numFmt numFmtId="170" formatCode="#,##0.000_);\(#,##0.000\)"/>
    <numFmt numFmtId="171" formatCode="0.000%"/>
    <numFmt numFmtId="172" formatCode="0.000"/>
    <numFmt numFmtId="173" formatCode="#,##0.000"/>
    <numFmt numFmtId="174" formatCode="&quot;$&quot;#,##0"/>
    <numFmt numFmtId="175" formatCode="&quot;$&quot;#,##0.00"/>
    <numFmt numFmtId="176" formatCode="#,###"/>
    <numFmt numFmtId="177" formatCode="0.0%"/>
  </numFmts>
  <fonts count="72" x14ac:knownFonts="1">
    <font>
      <sz val="12"/>
      <name val="Courier"/>
    </font>
    <font>
      <b/>
      <sz val="12"/>
      <name val="Courier"/>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u/>
      <sz val="12"/>
      <color indexed="12"/>
      <name val="Courier New"/>
      <family val="3"/>
    </font>
    <font>
      <sz val="12"/>
      <name val="Courier New"/>
      <family val="3"/>
    </font>
    <font>
      <b/>
      <sz val="11"/>
      <name val="Times New Roman"/>
      <family val="1"/>
    </font>
    <font>
      <sz val="8"/>
      <name val="Courier"/>
      <family val="3"/>
    </font>
    <font>
      <sz val="10"/>
      <name val="Times New Roman"/>
      <family val="1"/>
    </font>
    <font>
      <b/>
      <u/>
      <sz val="12"/>
      <name val="Times New Roman"/>
      <family val="1"/>
    </font>
    <font>
      <sz val="8"/>
      <name val="Times New Roman"/>
      <family val="1"/>
    </font>
    <font>
      <sz val="12"/>
      <color indexed="10"/>
      <name val="Times New Roman"/>
      <family val="1"/>
    </font>
    <font>
      <b/>
      <sz val="8"/>
      <name val="Times New Roman"/>
      <family val="1"/>
    </font>
    <font>
      <sz val="12"/>
      <color indexed="10"/>
      <name val="Courier"/>
      <family val="3"/>
    </font>
    <font>
      <b/>
      <u/>
      <sz val="12"/>
      <color indexed="10"/>
      <name val="Times New Roman"/>
      <family val="1"/>
    </font>
    <font>
      <b/>
      <sz val="12"/>
      <color indexed="10"/>
      <name val="Times New Roman"/>
      <family val="1"/>
    </font>
    <font>
      <i/>
      <sz val="12"/>
      <name val="Times New Roman"/>
      <family val="1"/>
    </font>
    <font>
      <sz val="8"/>
      <color indexed="10"/>
      <name val="Times New Roman"/>
      <family val="1"/>
    </font>
    <font>
      <b/>
      <u/>
      <sz val="12"/>
      <name val="Courier"/>
      <family val="3"/>
    </font>
    <font>
      <sz val="14"/>
      <name val="Courier"/>
      <family val="3"/>
    </font>
    <font>
      <b/>
      <u/>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sz val="12"/>
      <name val="Courier New"/>
      <family val="3"/>
    </font>
    <font>
      <b/>
      <sz val="14"/>
      <name val="Times New Roman"/>
      <family val="1"/>
    </font>
    <font>
      <u/>
      <sz val="12"/>
      <color indexed="12"/>
      <name val="Courier"/>
      <family val="3"/>
    </font>
    <font>
      <sz val="12"/>
      <name val="Courier New"/>
      <family val="3"/>
    </font>
    <font>
      <b/>
      <sz val="12"/>
      <name val="Courier"/>
      <family val="3"/>
    </font>
    <font>
      <sz val="12"/>
      <name val="Courier"/>
      <family val="3"/>
    </font>
    <font>
      <sz val="11"/>
      <color indexed="8"/>
      <name val="Times New Roman"/>
      <family val="1"/>
    </font>
    <font>
      <b/>
      <sz val="11"/>
      <color indexed="8"/>
      <name val="Times New Roman"/>
      <family val="1"/>
    </font>
    <font>
      <sz val="12"/>
      <color indexed="8"/>
      <name val="Times New Roman"/>
      <family val="1"/>
    </font>
    <font>
      <b/>
      <sz val="12"/>
      <color indexed="8"/>
      <name val="Times New Roman"/>
      <family val="1"/>
    </font>
    <font>
      <u/>
      <sz val="12"/>
      <color indexed="10"/>
      <name val="Times New Roman"/>
      <family val="1"/>
    </font>
    <font>
      <b/>
      <u/>
      <sz val="10"/>
      <name val="Times New Roman"/>
      <family val="1"/>
    </font>
    <font>
      <b/>
      <u/>
      <sz val="10"/>
      <name val="Courier"/>
      <family val="3"/>
    </font>
    <font>
      <b/>
      <sz val="10"/>
      <name val="Times New Roman"/>
      <family val="1"/>
    </font>
    <font>
      <b/>
      <sz val="13"/>
      <name val="Times New Roman"/>
      <family val="1"/>
    </font>
    <font>
      <u/>
      <sz val="12"/>
      <color indexed="12"/>
      <name val="Times New Roman"/>
      <family val="1"/>
    </font>
    <font>
      <b/>
      <sz val="12"/>
      <color indexed="10"/>
      <name val="Times New Roman"/>
      <family val="1"/>
    </font>
    <font>
      <sz val="10"/>
      <color indexed="10"/>
      <name val="Times New Roman"/>
      <family val="1"/>
    </font>
    <font>
      <sz val="10"/>
      <name val="Courier"/>
      <family val="3"/>
    </font>
    <font>
      <sz val="11"/>
      <color theme="1"/>
      <name val="Calibri"/>
      <family val="2"/>
      <scheme val="minor"/>
    </font>
    <font>
      <sz val="10"/>
      <color rgb="FFFF0000"/>
      <name val="Times New Roman"/>
      <family val="1"/>
    </font>
    <font>
      <u/>
      <vertAlign val="superscript"/>
      <sz val="12"/>
      <name val="Times New Roman"/>
      <family val="1"/>
    </font>
    <font>
      <b/>
      <sz val="12"/>
      <color rgb="FFFF0000"/>
      <name val="Times New Roman"/>
      <family val="1"/>
    </font>
    <font>
      <sz val="11"/>
      <name val="Calibri"/>
      <family val="2"/>
    </font>
    <font>
      <sz val="7"/>
      <name val="Times New Roman"/>
      <family val="1"/>
    </font>
    <font>
      <sz val="12"/>
      <color rgb="FFFF0000"/>
      <name val="Times New Roman"/>
      <family val="1"/>
    </font>
    <font>
      <b/>
      <sz val="16"/>
      <name val="Times New Roman"/>
      <family val="1"/>
    </font>
    <font>
      <b/>
      <u/>
      <sz val="16"/>
      <name val="Times New Roman"/>
      <family val="1"/>
    </font>
    <font>
      <sz val="14"/>
      <name val="Times New Roman"/>
      <family val="1"/>
    </font>
    <font>
      <b/>
      <sz val="14"/>
      <name val="Calibri"/>
      <family val="2"/>
      <scheme val="minor"/>
    </font>
    <font>
      <sz val="12"/>
      <name val="Calibri"/>
      <family val="2"/>
      <scheme val="minor"/>
    </font>
    <font>
      <u/>
      <sz val="12"/>
      <name val="Calibri"/>
      <family val="2"/>
      <scheme val="minor"/>
    </font>
    <font>
      <b/>
      <sz val="13"/>
      <name val="Calibri"/>
      <family val="2"/>
      <scheme val="minor"/>
    </font>
    <font>
      <b/>
      <sz val="12"/>
      <name val="Calibri"/>
      <family val="2"/>
      <scheme val="minor"/>
    </font>
    <font>
      <b/>
      <sz val="18"/>
      <name val="Times New Roman"/>
      <family val="1"/>
    </font>
    <font>
      <b/>
      <i/>
      <sz val="12"/>
      <name val="Times New Roman"/>
      <family val="1"/>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s>
  <fills count="18">
    <fill>
      <patternFill patternType="none"/>
    </fill>
    <fill>
      <patternFill patternType="gray125"/>
    </fill>
    <fill>
      <patternFill patternType="solid">
        <fgColor indexed="11"/>
      </patternFill>
    </fill>
    <fill>
      <patternFill patternType="solid">
        <fgColor indexed="26"/>
        <bgColor indexed="64"/>
      </patternFill>
    </fill>
    <fill>
      <patternFill patternType="solid">
        <fgColor indexed="43"/>
        <bgColor indexed="64"/>
      </patternFill>
    </fill>
    <fill>
      <patternFill patternType="solid">
        <fgColor indexed="34"/>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524">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1"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31"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8" fillId="0" borderId="0"/>
    <xf numFmtId="0" fontId="28"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47" fillId="0" borderId="0"/>
    <xf numFmtId="0" fontId="47" fillId="0" borderId="0"/>
    <xf numFmtId="0" fontId="2"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2"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2" fillId="0" borderId="0"/>
    <xf numFmtId="0" fontId="8"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31"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31"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3" fillId="0" borderId="0"/>
  </cellStyleXfs>
  <cellXfs count="743">
    <xf numFmtId="0" fontId="0" fillId="0" borderId="0" xfId="0"/>
    <xf numFmtId="0" fontId="3" fillId="0" borderId="0" xfId="0" applyFont="1"/>
    <xf numFmtId="3" fontId="3" fillId="2" borderId="1" xfId="0" applyNumberFormat="1" applyFont="1" applyFill="1" applyBorder="1" applyProtection="1">
      <protection locked="0"/>
    </xf>
    <xf numFmtId="0" fontId="3" fillId="2" borderId="2" xfId="0" applyFont="1" applyFill="1" applyBorder="1" applyAlignment="1" applyProtection="1">
      <alignment horizontal="left"/>
      <protection locked="0"/>
    </xf>
    <xf numFmtId="37" fontId="3" fillId="3" borderId="2" xfId="0" applyNumberFormat="1" applyFont="1" applyFill="1" applyBorder="1" applyAlignment="1">
      <alignment horizontal="left"/>
    </xf>
    <xf numFmtId="0" fontId="3" fillId="3" borderId="0" xfId="0" applyFont="1" applyFill="1"/>
    <xf numFmtId="37" fontId="3" fillId="3" borderId="0" xfId="0" applyNumberFormat="1" applyFont="1" applyFill="1" applyAlignment="1">
      <alignment horizontal="left"/>
    </xf>
    <xf numFmtId="37" fontId="3" fillId="3" borderId="0" xfId="0" applyNumberFormat="1" applyFont="1" applyFill="1" applyAlignment="1">
      <alignment horizontal="fill"/>
    </xf>
    <xf numFmtId="0" fontId="3" fillId="3" borderId="1" xfId="0" applyFont="1" applyFill="1" applyBorder="1"/>
    <xf numFmtId="37" fontId="3" fillId="3" borderId="0" xfId="0" applyNumberFormat="1" applyFont="1" applyFill="1"/>
    <xf numFmtId="3" fontId="3" fillId="3" borderId="0" xfId="0" applyNumberFormat="1" applyFont="1" applyFill="1"/>
    <xf numFmtId="0" fontId="4" fillId="3" borderId="0" xfId="0" applyFont="1" applyFill="1"/>
    <xf numFmtId="166" fontId="3" fillId="3" borderId="0" xfId="0" applyNumberFormat="1" applyFont="1" applyFill="1"/>
    <xf numFmtId="0" fontId="3" fillId="3" borderId="0" xfId="0" applyFont="1" applyFill="1" applyAlignment="1">
      <alignment horizontal="right"/>
    </xf>
    <xf numFmtId="3" fontId="3" fillId="3" borderId="1" xfId="0" applyNumberFormat="1" applyFont="1" applyFill="1" applyBorder="1"/>
    <xf numFmtId="37" fontId="3" fillId="3" borderId="0" xfId="0" quotePrefix="1" applyNumberFormat="1" applyFont="1" applyFill="1" applyAlignment="1">
      <alignment horizontal="right"/>
    </xf>
    <xf numFmtId="0" fontId="3" fillId="3" borderId="2" xfId="0" applyFont="1" applyFill="1" applyBorder="1"/>
    <xf numFmtId="0" fontId="3" fillId="3" borderId="3" xfId="0" applyFont="1" applyFill="1" applyBorder="1" applyAlignment="1">
      <alignment horizontal="center"/>
    </xf>
    <xf numFmtId="37" fontId="4" fillId="3" borderId="2" xfId="0" applyNumberFormat="1" applyFont="1" applyFill="1" applyBorder="1" applyAlignment="1">
      <alignment horizontal="left"/>
    </xf>
    <xf numFmtId="37" fontId="3" fillId="3" borderId="4" xfId="0" applyNumberFormat="1" applyFont="1" applyFill="1" applyBorder="1" applyAlignment="1">
      <alignment horizontal="left"/>
    </xf>
    <xf numFmtId="0" fontId="3" fillId="2" borderId="2" xfId="0" applyFont="1" applyFill="1" applyBorder="1" applyProtection="1">
      <protection locked="0"/>
    </xf>
    <xf numFmtId="3" fontId="3" fillId="2" borderId="5" xfId="0" applyNumberFormat="1" applyFont="1" applyFill="1" applyBorder="1" applyProtection="1">
      <protection locked="0"/>
    </xf>
    <xf numFmtId="3" fontId="14" fillId="5" borderId="6" xfId="0" applyNumberFormat="1" applyFont="1" applyFill="1" applyBorder="1" applyAlignment="1">
      <alignment horizontal="center"/>
    </xf>
    <xf numFmtId="0" fontId="0" fillId="0" borderId="0" xfId="0" applyAlignment="1">
      <alignment vertical="center"/>
    </xf>
    <xf numFmtId="0" fontId="23" fillId="0" borderId="0" xfId="0" applyFont="1" applyAlignment="1">
      <alignment horizontal="center" vertical="center"/>
    </xf>
    <xf numFmtId="0" fontId="22" fillId="0" borderId="0" xfId="0" applyFont="1" applyAlignment="1">
      <alignment vertical="center"/>
    </xf>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vertical="center" wrapText="1"/>
    </xf>
    <xf numFmtId="37" fontId="4" fillId="3" borderId="0" xfId="0" applyNumberFormat="1" applyFont="1" applyFill="1" applyAlignment="1">
      <alignment horizontal="center" vertical="center"/>
    </xf>
    <xf numFmtId="0" fontId="1" fillId="3" borderId="0" xfId="0" applyFont="1" applyFill="1" applyAlignment="1">
      <alignment horizontal="center" vertical="center"/>
    </xf>
    <xf numFmtId="37" fontId="3" fillId="3" borderId="0" xfId="0" applyNumberFormat="1" applyFont="1" applyFill="1" applyAlignment="1">
      <alignment horizontal="left" vertical="center"/>
    </xf>
    <xf numFmtId="0" fontId="3" fillId="3" borderId="0" xfId="0" applyFont="1" applyFill="1" applyAlignment="1">
      <alignment vertical="center"/>
    </xf>
    <xf numFmtId="37" fontId="3" fillId="3" borderId="0" xfId="0" applyNumberFormat="1" applyFont="1" applyFill="1" applyAlignment="1" applyProtection="1">
      <alignment horizontal="left" vertical="center"/>
      <protection locked="0"/>
    </xf>
    <xf numFmtId="0" fontId="4" fillId="6" borderId="1"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37" fontId="4" fillId="3" borderId="0" xfId="0" applyNumberFormat="1" applyFont="1" applyFill="1" applyAlignment="1">
      <alignment horizontal="centerContinuous" vertical="center"/>
    </xf>
    <xf numFmtId="0" fontId="3" fillId="3" borderId="0" xfId="0" applyFont="1" applyFill="1" applyAlignment="1">
      <alignment horizontal="centerContinuous" vertical="center"/>
    </xf>
    <xf numFmtId="37" fontId="17" fillId="3" borderId="0" xfId="0" applyNumberFormat="1" applyFont="1" applyFill="1" applyAlignment="1">
      <alignment horizontal="center" vertical="center"/>
    </xf>
    <xf numFmtId="0" fontId="21" fillId="3" borderId="0" xfId="0" applyFont="1" applyFill="1" applyAlignment="1">
      <alignment horizontal="center" vertical="center"/>
    </xf>
    <xf numFmtId="0" fontId="3" fillId="3" borderId="0" xfId="0" applyFont="1" applyFill="1" applyAlignment="1">
      <alignment horizontal="center" vertical="center"/>
    </xf>
    <xf numFmtId="0" fontId="3" fillId="7" borderId="7" xfId="0" applyFont="1" applyFill="1" applyBorder="1" applyAlignment="1">
      <alignment horizontal="center" vertical="center"/>
    </xf>
    <xf numFmtId="37" fontId="3" fillId="3" borderId="0" xfId="0" applyNumberFormat="1" applyFont="1" applyFill="1" applyAlignment="1">
      <alignment horizontal="center" vertical="center"/>
    </xf>
    <xf numFmtId="37" fontId="3" fillId="7" borderId="3" xfId="0" applyNumberFormat="1" applyFont="1" applyFill="1" applyBorder="1" applyAlignment="1">
      <alignment horizontal="center" vertical="center"/>
    </xf>
    <xf numFmtId="37" fontId="3" fillId="3" borderId="1" xfId="0" applyNumberFormat="1" applyFont="1" applyFill="1" applyBorder="1" applyAlignment="1">
      <alignment horizontal="left" vertical="center"/>
    </xf>
    <xf numFmtId="0" fontId="3" fillId="3" borderId="1" xfId="0" applyFont="1" applyFill="1" applyBorder="1" applyAlignment="1" applyProtection="1">
      <alignment vertical="center"/>
      <protection locked="0"/>
    </xf>
    <xf numFmtId="3" fontId="3" fillId="6" borderId="1" xfId="0" applyNumberFormat="1" applyFont="1" applyFill="1" applyBorder="1" applyAlignment="1" applyProtection="1">
      <alignment vertical="center"/>
      <protection locked="0"/>
    </xf>
    <xf numFmtId="164" fontId="3" fillId="2" borderId="1" xfId="0" applyNumberFormat="1" applyFont="1" applyFill="1" applyBorder="1" applyAlignment="1" applyProtection="1">
      <alignment vertical="center"/>
      <protection locked="0"/>
    </xf>
    <xf numFmtId="0" fontId="3" fillId="6" borderId="1" xfId="0" applyFont="1" applyFill="1" applyBorder="1" applyAlignment="1" applyProtection="1">
      <alignment vertical="center"/>
      <protection locked="0"/>
    </xf>
    <xf numFmtId="164" fontId="3" fillId="6" borderId="1" xfId="0" applyNumberFormat="1"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3" fontId="3" fillId="2" borderId="1" xfId="0" applyNumberFormat="1" applyFont="1" applyFill="1" applyBorder="1" applyAlignment="1" applyProtection="1">
      <alignment vertical="center"/>
      <protection locked="0"/>
    </xf>
    <xf numFmtId="37" fontId="3" fillId="3" borderId="8" xfId="0" applyNumberFormat="1" applyFont="1" applyFill="1" applyBorder="1" applyAlignment="1">
      <alignment horizontal="left" vertical="center"/>
    </xf>
    <xf numFmtId="0" fontId="3" fillId="3" borderId="8" xfId="0" applyFont="1" applyFill="1" applyBorder="1" applyAlignment="1">
      <alignment vertical="center"/>
    </xf>
    <xf numFmtId="0" fontId="3" fillId="3" borderId="9" xfId="0" applyFont="1" applyFill="1" applyBorder="1" applyAlignment="1">
      <alignment vertical="center"/>
    </xf>
    <xf numFmtId="164" fontId="3" fillId="4" borderId="1" xfId="0" applyNumberFormat="1" applyFont="1" applyFill="1" applyBorder="1" applyAlignment="1">
      <alignment vertical="center"/>
    </xf>
    <xf numFmtId="3" fontId="3" fillId="3" borderId="0" xfId="0" applyNumberFormat="1" applyFont="1" applyFill="1" applyAlignment="1">
      <alignment vertical="center"/>
    </xf>
    <xf numFmtId="164" fontId="3" fillId="3" borderId="0" xfId="0" applyNumberFormat="1" applyFont="1" applyFill="1" applyAlignment="1">
      <alignment vertical="center"/>
    </xf>
    <xf numFmtId="3" fontId="3" fillId="6" borderId="1" xfId="0" applyNumberFormat="1" applyFont="1" applyFill="1" applyBorder="1" applyAlignment="1">
      <alignment vertical="center"/>
    </xf>
    <xf numFmtId="164" fontId="3" fillId="3" borderId="8" xfId="0" applyNumberFormat="1" applyFont="1" applyFill="1" applyBorder="1" applyAlignment="1" applyProtection="1">
      <alignment vertical="center"/>
      <protection locked="0"/>
    </xf>
    <xf numFmtId="0" fontId="3" fillId="3" borderId="10" xfId="0" applyFont="1" applyFill="1" applyBorder="1" applyAlignment="1">
      <alignment vertical="center"/>
    </xf>
    <xf numFmtId="164" fontId="3" fillId="3" borderId="0" xfId="0" applyNumberFormat="1" applyFont="1" applyFill="1" applyAlignment="1" applyProtection="1">
      <alignment vertical="center"/>
      <protection locked="0"/>
    </xf>
    <xf numFmtId="3" fontId="3" fillId="3" borderId="0" xfId="0" applyNumberFormat="1" applyFont="1" applyFill="1" applyAlignment="1" applyProtection="1">
      <alignment vertical="center"/>
      <protection locked="0"/>
    </xf>
    <xf numFmtId="37" fontId="3" fillId="3" borderId="0" xfId="0" applyNumberFormat="1" applyFont="1" applyFill="1" applyAlignment="1">
      <alignment horizontal="right" vertical="center"/>
    </xf>
    <xf numFmtId="37" fontId="3"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0" fontId="3" fillId="3" borderId="8" xfId="0" applyFont="1" applyFill="1" applyBorder="1" applyAlignment="1">
      <alignment horizontal="center" vertical="center"/>
    </xf>
    <xf numFmtId="0" fontId="3" fillId="3" borderId="8" xfId="0" applyFont="1" applyFill="1" applyBorder="1" applyAlignment="1" applyProtection="1">
      <alignment horizontal="center" vertical="center"/>
      <protection locked="0"/>
    </xf>
    <xf numFmtId="0" fontId="3" fillId="9" borderId="8" xfId="0" applyFont="1" applyFill="1" applyBorder="1" applyAlignment="1">
      <alignment vertical="center"/>
    </xf>
    <xf numFmtId="0" fontId="3" fillId="3" borderId="10" xfId="0" applyFont="1" applyFill="1" applyBorder="1" applyAlignment="1" applyProtection="1">
      <alignment vertical="center"/>
      <protection locked="0"/>
    </xf>
    <xf numFmtId="0" fontId="3" fillId="9" borderId="9" xfId="0" applyFont="1" applyFill="1" applyBorder="1" applyAlignment="1">
      <alignment vertical="center"/>
    </xf>
    <xf numFmtId="0" fontId="3" fillId="3" borderId="5" xfId="0" applyFont="1" applyFill="1" applyBorder="1" applyAlignment="1" applyProtection="1">
      <alignment vertical="center"/>
      <protection locked="0"/>
    </xf>
    <xf numFmtId="0" fontId="3" fillId="0" borderId="0" xfId="0" applyFont="1" applyAlignment="1" applyProtection="1">
      <alignment vertical="center"/>
      <protection locked="0"/>
    </xf>
    <xf numFmtId="37" fontId="3" fillId="3" borderId="0" xfId="0" applyNumberFormat="1" applyFont="1" applyFill="1" applyAlignment="1">
      <alignment vertical="center"/>
    </xf>
    <xf numFmtId="0" fontId="0" fillId="3" borderId="0" xfId="0" applyFill="1" applyAlignment="1">
      <alignment vertical="center"/>
    </xf>
    <xf numFmtId="37" fontId="3" fillId="3" borderId="9" xfId="0" applyNumberFormat="1" applyFont="1" applyFill="1" applyBorder="1" applyAlignment="1">
      <alignment horizontal="left" vertical="center"/>
    </xf>
    <xf numFmtId="37" fontId="3" fillId="6" borderId="1" xfId="0" applyNumberFormat="1" applyFont="1" applyFill="1" applyBorder="1" applyAlignment="1" applyProtection="1">
      <alignment vertical="center"/>
      <protection locked="0"/>
    </xf>
    <xf numFmtId="3" fontId="3" fillId="3" borderId="10" xfId="0" applyNumberFormat="1" applyFont="1" applyFill="1" applyBorder="1" applyAlignment="1">
      <alignment vertical="center"/>
    </xf>
    <xf numFmtId="3" fontId="3" fillId="3" borderId="5" xfId="0" applyNumberFormat="1" applyFont="1" applyFill="1" applyBorder="1" applyAlignment="1">
      <alignment vertical="center"/>
    </xf>
    <xf numFmtId="3" fontId="3" fillId="3" borderId="9" xfId="0" applyNumberFormat="1" applyFont="1" applyFill="1" applyBorder="1" applyAlignment="1">
      <alignment vertical="center"/>
    </xf>
    <xf numFmtId="37" fontId="4" fillId="3" borderId="0" xfId="0" applyNumberFormat="1" applyFont="1" applyFill="1" applyAlignment="1">
      <alignment horizontal="left" vertical="center"/>
    </xf>
    <xf numFmtId="37" fontId="3" fillId="8" borderId="0" xfId="0" applyNumberFormat="1" applyFont="1" applyFill="1" applyAlignment="1">
      <alignment horizontal="left" vertical="center"/>
    </xf>
    <xf numFmtId="0" fontId="3" fillId="8" borderId="0" xfId="0" applyFont="1" applyFill="1" applyAlignment="1">
      <alignment vertical="center"/>
    </xf>
    <xf numFmtId="171" fontId="3" fillId="8" borderId="0" xfId="0" applyNumberFormat="1" applyFont="1" applyFill="1" applyAlignment="1" applyProtection="1">
      <alignment vertical="center"/>
      <protection locked="0"/>
    </xf>
    <xf numFmtId="0" fontId="3" fillId="7" borderId="11" xfId="0" applyFont="1" applyFill="1" applyBorder="1" applyAlignment="1">
      <alignment horizontal="center" vertical="center"/>
    </xf>
    <xf numFmtId="0" fontId="14" fillId="3" borderId="0" xfId="0" applyFont="1" applyFill="1" applyAlignment="1">
      <alignment vertical="center"/>
    </xf>
    <xf numFmtId="0" fontId="16" fillId="3" borderId="0" xfId="0" applyFont="1" applyFill="1" applyAlignment="1">
      <alignment vertical="center"/>
    </xf>
    <xf numFmtId="0" fontId="3" fillId="7" borderId="3" xfId="0" applyFont="1" applyFill="1" applyBorder="1" applyAlignment="1">
      <alignment horizontal="center" vertical="center"/>
    </xf>
    <xf numFmtId="37" fontId="3" fillId="3" borderId="3" xfId="0" applyNumberFormat="1" applyFont="1" applyFill="1" applyBorder="1" applyAlignment="1">
      <alignment vertical="center"/>
    </xf>
    <xf numFmtId="3" fontId="3" fillId="6" borderId="3" xfId="0" applyNumberFormat="1" applyFont="1" applyFill="1" applyBorder="1" applyAlignment="1" applyProtection="1">
      <alignment vertical="center"/>
      <protection locked="0"/>
    </xf>
    <xf numFmtId="37" fontId="3" fillId="3" borderId="0" xfId="0" applyNumberFormat="1" applyFont="1" applyFill="1" applyAlignment="1">
      <alignment horizontal="centerContinuous" vertical="center"/>
    </xf>
    <xf numFmtId="37" fontId="3" fillId="3" borderId="0" xfId="0" applyNumberFormat="1" applyFont="1" applyFill="1" applyAlignment="1">
      <alignment horizontal="fill" vertical="center"/>
    </xf>
    <xf numFmtId="37" fontId="3" fillId="3" borderId="2" xfId="0" applyNumberFormat="1" applyFont="1" applyFill="1" applyBorder="1" applyAlignment="1">
      <alignment horizontal="centerContinuous" vertical="center"/>
    </xf>
    <xf numFmtId="0" fontId="3" fillId="3" borderId="9" xfId="0" applyFont="1" applyFill="1" applyBorder="1" applyAlignment="1">
      <alignment horizontal="centerContinuous" vertical="center"/>
    </xf>
    <xf numFmtId="0" fontId="3" fillId="3" borderId="5" xfId="0" applyFont="1" applyFill="1" applyBorder="1" applyAlignment="1">
      <alignment horizontal="centerContinuous" vertical="center"/>
    </xf>
    <xf numFmtId="37" fontId="3" fillId="3" borderId="7" xfId="0" applyNumberFormat="1" applyFont="1" applyFill="1" applyBorder="1" applyAlignment="1">
      <alignment horizontal="center" vertical="center"/>
    </xf>
    <xf numFmtId="37" fontId="4" fillId="3" borderId="8" xfId="0" applyNumberFormat="1" applyFont="1" applyFill="1" applyBorder="1" applyAlignment="1">
      <alignment horizontal="left" vertical="center"/>
    </xf>
    <xf numFmtId="37" fontId="3" fillId="3" borderId="3" xfId="0" applyNumberFormat="1" applyFont="1" applyFill="1" applyBorder="1" applyAlignment="1">
      <alignment horizontal="center" vertical="center"/>
    </xf>
    <xf numFmtId="37" fontId="3" fillId="3" borderId="2" xfId="0" applyNumberFormat="1" applyFont="1" applyFill="1" applyBorder="1" applyAlignment="1">
      <alignment horizontal="left" vertical="center"/>
    </xf>
    <xf numFmtId="0" fontId="3" fillId="3" borderId="5" xfId="0" applyFont="1" applyFill="1" applyBorder="1" applyAlignment="1">
      <alignment vertical="center"/>
    </xf>
    <xf numFmtId="37" fontId="3" fillId="3" borderId="11" xfId="0" applyNumberFormat="1" applyFont="1" applyFill="1" applyBorder="1" applyAlignment="1">
      <alignment horizontal="center" vertical="center"/>
    </xf>
    <xf numFmtId="37" fontId="3" fillId="3" borderId="12" xfId="0" applyNumberFormat="1" applyFont="1" applyFill="1" applyBorder="1" applyAlignment="1">
      <alignment horizontal="left" vertical="center"/>
    </xf>
    <xf numFmtId="0" fontId="3" fillId="3" borderId="6" xfId="0" applyFont="1" applyFill="1" applyBorder="1" applyAlignment="1">
      <alignment vertical="center"/>
    </xf>
    <xf numFmtId="37" fontId="3" fillId="3" borderId="1" xfId="0" applyNumberFormat="1" applyFont="1" applyFill="1" applyBorder="1" applyAlignment="1">
      <alignment horizontal="center" vertical="center"/>
    </xf>
    <xf numFmtId="0" fontId="3" fillId="3" borderId="11" xfId="0" applyFont="1" applyFill="1" applyBorder="1" applyAlignment="1">
      <alignment vertical="center"/>
    </xf>
    <xf numFmtId="37" fontId="3" fillId="3" borderId="5" xfId="0" applyNumberFormat="1" applyFont="1" applyFill="1" applyBorder="1" applyAlignment="1">
      <alignment horizontal="center" vertical="center"/>
    </xf>
    <xf numFmtId="37" fontId="12" fillId="3" borderId="3" xfId="0" applyNumberFormat="1" applyFont="1" applyFill="1" applyBorder="1" applyAlignment="1">
      <alignment horizontal="left" vertical="center"/>
    </xf>
    <xf numFmtId="37" fontId="12" fillId="3" borderId="3" xfId="0" applyNumberFormat="1" applyFont="1" applyFill="1" applyBorder="1" applyAlignment="1">
      <alignment horizontal="center" vertical="center"/>
    </xf>
    <xf numFmtId="0" fontId="3" fillId="3" borderId="1" xfId="0" applyFont="1" applyFill="1" applyBorder="1" applyAlignment="1">
      <alignment vertical="center"/>
    </xf>
    <xf numFmtId="0" fontId="3" fillId="3" borderId="3" xfId="0" applyFont="1" applyFill="1" applyBorder="1" applyAlignment="1">
      <alignment vertical="center"/>
    </xf>
    <xf numFmtId="172" fontId="3" fillId="3" borderId="1" xfId="0" applyNumberFormat="1" applyFont="1" applyFill="1" applyBorder="1" applyAlignment="1">
      <alignment vertical="center"/>
    </xf>
    <xf numFmtId="37" fontId="3" fillId="3" borderId="2" xfId="0" applyNumberFormat="1" applyFont="1" applyFill="1" applyBorder="1" applyAlignment="1">
      <alignment vertical="center"/>
    </xf>
    <xf numFmtId="37" fontId="3" fillId="3" borderId="10" xfId="0" applyNumberFormat="1" applyFont="1" applyFill="1" applyBorder="1" applyAlignment="1">
      <alignment horizontal="center" vertical="center"/>
    </xf>
    <xf numFmtId="37" fontId="3" fillId="3" borderId="4" xfId="0" applyNumberFormat="1" applyFont="1" applyFill="1" applyBorder="1" applyAlignment="1">
      <alignment vertical="center"/>
    </xf>
    <xf numFmtId="0" fontId="3" fillId="3" borderId="13" xfId="0" applyFont="1" applyFill="1" applyBorder="1" applyAlignment="1">
      <alignment vertical="center"/>
    </xf>
    <xf numFmtId="37" fontId="4" fillId="3" borderId="4" xfId="0" applyNumberFormat="1" applyFont="1" applyFill="1" applyBorder="1" applyAlignment="1">
      <alignment horizontal="left" vertical="center"/>
    </xf>
    <xf numFmtId="37" fontId="3" fillId="3" borderId="4" xfId="0" applyNumberFormat="1" applyFont="1" applyFill="1" applyBorder="1" applyAlignment="1">
      <alignment horizontal="left" vertical="center"/>
    </xf>
    <xf numFmtId="172" fontId="3" fillId="3" borderId="0" xfId="0" applyNumberFormat="1" applyFont="1" applyFill="1" applyAlignment="1">
      <alignment vertical="center"/>
    </xf>
    <xf numFmtId="0" fontId="3" fillId="6" borderId="8" xfId="0" applyFont="1" applyFill="1" applyBorder="1" applyAlignment="1" applyProtection="1">
      <alignment vertical="center"/>
      <protection locked="0"/>
    </xf>
    <xf numFmtId="0" fontId="3" fillId="6" borderId="9" xfId="0" applyFont="1" applyFill="1" applyBorder="1" applyAlignment="1" applyProtection="1">
      <alignment vertical="center"/>
      <protection locked="0"/>
    </xf>
    <xf numFmtId="0" fontId="3" fillId="3" borderId="0" xfId="0" applyFont="1" applyFill="1" applyAlignment="1">
      <alignment horizontal="left" vertical="center"/>
    </xf>
    <xf numFmtId="37" fontId="3" fillId="0" borderId="0" xfId="0" applyNumberFormat="1" applyFont="1" applyAlignment="1" applyProtection="1">
      <alignment horizontal="center" vertical="center"/>
      <protection locked="0"/>
    </xf>
    <xf numFmtId="37" fontId="5" fillId="3" borderId="0" xfId="0" applyNumberFormat="1" applyFont="1" applyFill="1" applyAlignment="1">
      <alignment horizontal="center" vertical="center"/>
    </xf>
    <xf numFmtId="37" fontId="5" fillId="3" borderId="1" xfId="0" applyNumberFormat="1" applyFont="1" applyFill="1" applyBorder="1" applyAlignment="1">
      <alignment horizontal="left" vertical="center"/>
    </xf>
    <xf numFmtId="37" fontId="5" fillId="3" borderId="1" xfId="0" applyNumberFormat="1" applyFont="1" applyFill="1" applyBorder="1" applyAlignment="1">
      <alignment horizontal="center" vertical="center"/>
    </xf>
    <xf numFmtId="37" fontId="3" fillId="6" borderId="1" xfId="0" applyNumberFormat="1" applyFont="1" applyFill="1" applyBorder="1" applyAlignment="1" applyProtection="1">
      <alignment horizontal="left" vertical="center"/>
      <protection locked="0"/>
    </xf>
    <xf numFmtId="37" fontId="3" fillId="6" borderId="1" xfId="0" applyNumberFormat="1"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37" fontId="3" fillId="3" borderId="1" xfId="0" applyNumberFormat="1" applyFont="1" applyFill="1" applyBorder="1" applyAlignment="1">
      <alignment horizontal="fill" vertical="center"/>
    </xf>
    <xf numFmtId="37" fontId="3" fillId="0" borderId="0" xfId="0" applyNumberFormat="1" applyFont="1" applyAlignment="1" applyProtection="1">
      <alignment horizontal="left" vertical="center"/>
      <protection locked="0"/>
    </xf>
    <xf numFmtId="0" fontId="3" fillId="0" borderId="0" xfId="0" applyFont="1" applyAlignment="1" applyProtection="1">
      <alignment horizontal="center" vertical="center"/>
      <protection locked="0"/>
    </xf>
    <xf numFmtId="37" fontId="3" fillId="0" borderId="0" xfId="0" applyNumberFormat="1" applyFont="1" applyAlignment="1" applyProtection="1">
      <alignment horizontal="fill" vertical="center"/>
      <protection locked="0"/>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7" xfId="0" applyFont="1" applyFill="1" applyBorder="1" applyAlignment="1">
      <alignment vertical="center"/>
    </xf>
    <xf numFmtId="170" fontId="3" fillId="3" borderId="1" xfId="0" applyNumberFormat="1" applyFont="1" applyFill="1" applyBorder="1" applyAlignment="1">
      <alignment horizontal="center" vertical="center"/>
    </xf>
    <xf numFmtId="170" fontId="3" fillId="4" borderId="14" xfId="0" applyNumberFormat="1" applyFont="1" applyFill="1" applyBorder="1" applyAlignment="1">
      <alignment horizontal="center" vertical="center"/>
    </xf>
    <xf numFmtId="166" fontId="3" fillId="3" borderId="0" xfId="0" applyNumberFormat="1" applyFont="1" applyFill="1" applyAlignment="1">
      <alignment horizontal="center" vertical="center"/>
    </xf>
    <xf numFmtId="37" fontId="3" fillId="3" borderId="8"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0" fontId="0" fillId="3" borderId="0" xfId="0" applyFill="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3" fillId="6" borderId="3" xfId="0" applyFont="1" applyFill="1" applyBorder="1" applyAlignment="1" applyProtection="1">
      <alignment vertical="center"/>
      <protection locked="0"/>
    </xf>
    <xf numFmtId="169" fontId="3" fillId="6" borderId="3" xfId="1" applyNumberFormat="1" applyFont="1" applyFill="1" applyBorder="1" applyAlignment="1" applyProtection="1">
      <alignment vertical="center"/>
      <protection locked="0"/>
    </xf>
    <xf numFmtId="169" fontId="3" fillId="6" borderId="1" xfId="1" applyNumberFormat="1" applyFont="1" applyFill="1" applyBorder="1" applyAlignment="1" applyProtection="1">
      <alignment vertical="center"/>
      <protection locked="0"/>
    </xf>
    <xf numFmtId="0" fontId="3" fillId="3" borderId="1" xfId="0" applyFont="1" applyFill="1" applyBorder="1" applyAlignment="1">
      <alignment horizontal="center" vertical="center"/>
    </xf>
    <xf numFmtId="0" fontId="3" fillId="3" borderId="1" xfId="0" applyFont="1" applyFill="1" applyBorder="1" applyAlignment="1" applyProtection="1">
      <alignment horizontal="center" vertical="center"/>
      <protection locked="0"/>
    </xf>
    <xf numFmtId="1" fontId="3" fillId="3" borderId="0" xfId="0" applyNumberFormat="1" applyFont="1" applyFill="1" applyAlignment="1">
      <alignment horizontal="right" vertical="center"/>
    </xf>
    <xf numFmtId="0" fontId="4" fillId="3" borderId="0" xfId="522" applyFont="1" applyFill="1" applyAlignment="1">
      <alignment horizontal="centerContinuous" vertical="center"/>
    </xf>
    <xf numFmtId="0" fontId="3" fillId="3" borderId="8" xfId="0" applyFont="1" applyFill="1" applyBorder="1" applyAlignment="1">
      <alignment horizontal="fill" vertical="center"/>
    </xf>
    <xf numFmtId="0" fontId="3" fillId="3" borderId="7" xfId="0" applyFont="1" applyFill="1" applyBorder="1" applyAlignment="1">
      <alignment horizontal="center" vertical="center"/>
    </xf>
    <xf numFmtId="0" fontId="3" fillId="3" borderId="12" xfId="0" applyFont="1" applyFill="1" applyBorder="1" applyAlignment="1">
      <alignment horizontal="centerContinuous" vertical="center"/>
    </xf>
    <xf numFmtId="0" fontId="3" fillId="3" borderId="6" xfId="0" applyFont="1" applyFill="1" applyBorder="1" applyAlignment="1">
      <alignment horizontal="centerContinuous" vertical="center"/>
    </xf>
    <xf numFmtId="0" fontId="3" fillId="3" borderId="11" xfId="0" applyFont="1" applyFill="1" applyBorder="1" applyAlignment="1">
      <alignment horizontal="center" vertical="center"/>
    </xf>
    <xf numFmtId="1" fontId="3" fillId="3" borderId="4" xfId="0" applyNumberFormat="1" applyFont="1" applyFill="1" applyBorder="1" applyAlignment="1">
      <alignment horizontal="center" vertical="center"/>
    </xf>
    <xf numFmtId="0" fontId="3" fillId="3" borderId="1" xfId="0" applyFont="1" applyFill="1" applyBorder="1" applyAlignment="1">
      <alignment horizontal="left" vertical="center"/>
    </xf>
    <xf numFmtId="0" fontId="3" fillId="3" borderId="3" xfId="0" applyFont="1" applyFill="1" applyBorder="1" applyAlignment="1">
      <alignment horizontal="center" vertical="center"/>
    </xf>
    <xf numFmtId="2" fontId="3" fillId="3" borderId="1" xfId="0" applyNumberFormat="1" applyFont="1" applyFill="1" applyBorder="1" applyAlignment="1">
      <alignment vertical="center"/>
    </xf>
    <xf numFmtId="3" fontId="3" fillId="3" borderId="1" xfId="0" applyNumberFormat="1" applyFont="1" applyFill="1" applyBorder="1" applyAlignment="1">
      <alignment vertical="center"/>
    </xf>
    <xf numFmtId="0" fontId="3" fillId="2" borderId="1" xfId="0" applyFont="1" applyFill="1" applyBorder="1" applyAlignment="1" applyProtection="1">
      <alignment horizontal="center" vertical="center"/>
      <protection locked="0"/>
    </xf>
    <xf numFmtId="2" fontId="3" fillId="2" borderId="1" xfId="0" applyNumberFormat="1" applyFont="1" applyFill="1" applyBorder="1" applyAlignment="1" applyProtection="1">
      <alignment horizontal="center" vertical="center"/>
      <protection locked="0"/>
    </xf>
    <xf numFmtId="3" fontId="3" fillId="2" borderId="1" xfId="0" applyNumberFormat="1" applyFont="1" applyFill="1" applyBorder="1" applyAlignment="1" applyProtection="1">
      <alignment horizontal="center" vertical="center"/>
      <protection locked="0"/>
    </xf>
    <xf numFmtId="37" fontId="3" fillId="2" borderId="1" xfId="0" applyNumberFormat="1" applyFont="1" applyFill="1" applyBorder="1" applyAlignment="1" applyProtection="1">
      <alignment horizontal="center" vertical="center"/>
      <protection locked="0"/>
    </xf>
    <xf numFmtId="168" fontId="3" fillId="2" borderId="1" xfId="0" applyNumberFormat="1" applyFont="1" applyFill="1" applyBorder="1" applyAlignment="1" applyProtection="1">
      <alignment horizontal="center" vertical="center"/>
      <protection locked="0"/>
    </xf>
    <xf numFmtId="0" fontId="4" fillId="3" borderId="1" xfId="0" applyFont="1" applyFill="1" applyBorder="1" applyAlignment="1">
      <alignment horizontal="center" vertical="center"/>
    </xf>
    <xf numFmtId="167" fontId="4" fillId="3" borderId="1"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167" fontId="3" fillId="3"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8" fontId="3" fillId="3" borderId="1"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37" fontId="3"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3" fillId="3" borderId="0" xfId="0" applyFont="1" applyFill="1" applyAlignment="1">
      <alignment horizontal="right" vertical="center"/>
    </xf>
    <xf numFmtId="0" fontId="3" fillId="3" borderId="17" xfId="0" applyFont="1" applyFill="1" applyBorder="1" applyAlignment="1">
      <alignment vertical="center"/>
    </xf>
    <xf numFmtId="0" fontId="3" fillId="3" borderId="4" xfId="0" applyFont="1" applyFill="1" applyBorder="1" applyAlignment="1">
      <alignment horizontal="left" vertical="center"/>
    </xf>
    <xf numFmtId="0" fontId="6" fillId="3" borderId="3" xfId="0" applyFont="1" applyFill="1" applyBorder="1" applyAlignment="1">
      <alignment horizontal="center" vertical="center"/>
    </xf>
    <xf numFmtId="14" fontId="3" fillId="3" borderId="3" xfId="0" quotePrefix="1" applyNumberFormat="1" applyFont="1" applyFill="1" applyBorder="1" applyAlignment="1">
      <alignment horizontal="center" vertical="center"/>
    </xf>
    <xf numFmtId="1" fontId="3" fillId="2" borderId="1" xfId="0" applyNumberFormat="1" applyFont="1" applyFill="1" applyBorder="1" applyAlignment="1" applyProtection="1">
      <alignment vertical="center"/>
      <protection locked="0"/>
    </xf>
    <xf numFmtId="2" fontId="3" fillId="2" borderId="1" xfId="0" applyNumberFormat="1" applyFont="1" applyFill="1" applyBorder="1" applyAlignment="1" applyProtection="1">
      <alignment vertical="center"/>
      <protection locked="0"/>
    </xf>
    <xf numFmtId="0" fontId="3" fillId="3" borderId="0" xfId="0" quotePrefix="1" applyFont="1" applyFill="1" applyAlignment="1">
      <alignment horizontal="right" vertical="center"/>
    </xf>
    <xf numFmtId="1" fontId="3" fillId="3" borderId="3" xfId="0" applyNumberFormat="1" applyFont="1" applyFill="1" applyBorder="1" applyAlignment="1">
      <alignment horizontal="center" vertical="center"/>
    </xf>
    <xf numFmtId="0" fontId="3" fillId="3" borderId="2" xfId="0" applyFont="1" applyFill="1" applyBorder="1" applyAlignment="1">
      <alignment horizontal="left" vertical="center"/>
    </xf>
    <xf numFmtId="0" fontId="3" fillId="3" borderId="5" xfId="0" applyFont="1" applyFill="1" applyBorder="1" applyAlignment="1">
      <alignment horizontal="left" vertical="center"/>
    </xf>
    <xf numFmtId="37" fontId="3" fillId="2" borderId="2" xfId="0" applyNumberFormat="1" applyFont="1" applyFill="1" applyBorder="1" applyAlignment="1" applyProtection="1">
      <alignment vertical="center"/>
      <protection locked="0"/>
    </xf>
    <xf numFmtId="37" fontId="3" fillId="2" borderId="1" xfId="0" applyNumberFormat="1" applyFont="1" applyFill="1" applyBorder="1" applyAlignment="1" applyProtection="1">
      <alignment vertical="center"/>
      <protection locked="0"/>
    </xf>
    <xf numFmtId="0" fontId="3" fillId="2" borderId="2" xfId="0" applyFont="1" applyFill="1" applyBorder="1" applyAlignment="1" applyProtection="1">
      <alignment horizontal="left" vertical="center"/>
      <protection locked="0"/>
    </xf>
    <xf numFmtId="0" fontId="3" fillId="3" borderId="2" xfId="0" applyFont="1" applyFill="1" applyBorder="1" applyAlignment="1">
      <alignment vertical="center"/>
    </xf>
    <xf numFmtId="3" fontId="14" fillId="5" borderId="6" xfId="0" applyNumberFormat="1" applyFont="1" applyFill="1" applyBorder="1" applyAlignment="1">
      <alignment horizontal="center" vertical="center"/>
    </xf>
    <xf numFmtId="37" fontId="4" fillId="3" borderId="2" xfId="0" applyNumberFormat="1" applyFont="1" applyFill="1" applyBorder="1" applyAlignment="1">
      <alignment horizontal="left" vertical="center"/>
    </xf>
    <xf numFmtId="0" fontId="4" fillId="3" borderId="0" xfId="0" applyFont="1" applyFill="1" applyAlignment="1">
      <alignment horizontal="left" vertical="center"/>
    </xf>
    <xf numFmtId="0" fontId="3" fillId="3" borderId="0" xfId="0" applyFont="1" applyFill="1" applyAlignment="1">
      <alignment horizontal="fill" vertical="center"/>
    </xf>
    <xf numFmtId="37" fontId="4" fillId="3" borderId="2" xfId="0" applyNumberFormat="1" applyFont="1" applyFill="1" applyBorder="1" applyAlignment="1">
      <alignment vertical="center"/>
    </xf>
    <xf numFmtId="37" fontId="3" fillId="10" borderId="1" xfId="0" applyNumberFormat="1" applyFont="1" applyFill="1" applyBorder="1" applyAlignment="1">
      <alignment vertical="center"/>
    </xf>
    <xf numFmtId="37" fontId="3" fillId="6" borderId="2" xfId="0" applyNumberFormat="1" applyFont="1" applyFill="1" applyBorder="1" applyAlignment="1">
      <alignment vertical="center"/>
    </xf>
    <xf numFmtId="37" fontId="3" fillId="6" borderId="1" xfId="0" applyNumberFormat="1" applyFont="1" applyFill="1" applyBorder="1" applyAlignment="1">
      <alignment vertical="center"/>
    </xf>
    <xf numFmtId="0" fontId="3" fillId="2" borderId="2" xfId="0" applyFont="1" applyFill="1" applyBorder="1" applyAlignment="1" applyProtection="1">
      <alignment vertical="center"/>
      <protection locked="0"/>
    </xf>
    <xf numFmtId="0" fontId="14" fillId="0" borderId="0" xfId="0" applyFont="1" applyAlignment="1">
      <alignment vertical="center"/>
    </xf>
    <xf numFmtId="0" fontId="17" fillId="3" borderId="0" xfId="0" applyFont="1" applyFill="1" applyAlignment="1">
      <alignment horizontal="center" vertical="center"/>
    </xf>
    <xf numFmtId="166" fontId="3" fillId="3" borderId="0" xfId="0" applyNumberFormat="1" applyFont="1" applyFill="1" applyAlignment="1">
      <alignment vertical="center"/>
    </xf>
    <xf numFmtId="37" fontId="3" fillId="3" borderId="0" xfId="0" quotePrefix="1" applyNumberFormat="1" applyFont="1" applyFill="1" applyAlignment="1">
      <alignment horizontal="right" vertical="center"/>
    </xf>
    <xf numFmtId="3" fontId="3" fillId="3" borderId="1" xfId="1" applyNumberFormat="1" applyFont="1" applyFill="1" applyBorder="1" applyAlignment="1" applyProtection="1">
      <alignment horizontal="right" vertical="center"/>
    </xf>
    <xf numFmtId="3" fontId="3" fillId="2" borderId="5" xfId="0" applyNumberFormat="1" applyFont="1" applyFill="1" applyBorder="1" applyAlignment="1" applyProtection="1">
      <alignment vertical="center"/>
      <protection locked="0"/>
    </xf>
    <xf numFmtId="3" fontId="3" fillId="3" borderId="1" xfId="0" applyNumberFormat="1" applyFont="1" applyFill="1" applyBorder="1" applyAlignment="1">
      <alignment horizontal="fill" vertical="center"/>
    </xf>
    <xf numFmtId="3" fontId="3" fillId="2" borderId="1" xfId="0" applyNumberFormat="1" applyFont="1" applyFill="1" applyBorder="1" applyAlignment="1" applyProtection="1">
      <alignment horizontal="right" vertical="center"/>
      <protection locked="0"/>
    </xf>
    <xf numFmtId="3" fontId="3" fillId="3" borderId="1" xfId="0" applyNumberFormat="1" applyFont="1" applyFill="1" applyBorder="1" applyAlignment="1">
      <alignment horizontal="right" vertical="center"/>
    </xf>
    <xf numFmtId="3" fontId="3" fillId="6" borderId="1" xfId="0" applyNumberFormat="1" applyFont="1" applyFill="1" applyBorder="1" applyAlignment="1" applyProtection="1">
      <alignment horizontal="right" vertical="center"/>
      <protection locked="0"/>
    </xf>
    <xf numFmtId="0" fontId="3" fillId="2" borderId="12" xfId="0" applyFont="1" applyFill="1" applyBorder="1" applyAlignment="1" applyProtection="1">
      <alignment horizontal="left" vertical="center"/>
      <protection locked="0"/>
    </xf>
    <xf numFmtId="3" fontId="14" fillId="5" borderId="1" xfId="0" applyNumberFormat="1" applyFont="1" applyFill="1" applyBorder="1" applyAlignment="1">
      <alignment horizontal="center" vertical="center"/>
    </xf>
    <xf numFmtId="3" fontId="3" fillId="4" borderId="1" xfId="0" applyNumberFormat="1" applyFont="1" applyFill="1" applyBorder="1" applyAlignment="1">
      <alignment horizontal="right" vertical="center"/>
    </xf>
    <xf numFmtId="3" fontId="3" fillId="10" borderId="1" xfId="0" applyNumberFormat="1" applyFont="1" applyFill="1" applyBorder="1" applyAlignment="1">
      <alignment vertical="center"/>
    </xf>
    <xf numFmtId="1" fontId="3" fillId="3" borderId="7" xfId="0" applyNumberFormat="1" applyFont="1" applyFill="1" applyBorder="1" applyAlignment="1">
      <alignment horizontal="center" vertical="center"/>
    </xf>
    <xf numFmtId="0" fontId="3" fillId="6" borderId="1"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37" fontId="3" fillId="0" borderId="0" xfId="0" applyNumberFormat="1" applyFont="1" applyAlignment="1">
      <alignment vertical="center"/>
    </xf>
    <xf numFmtId="0" fontId="3" fillId="6" borderId="2" xfId="0" applyFont="1" applyFill="1" applyBorder="1" applyAlignment="1">
      <alignment horizontal="left" vertical="center"/>
    </xf>
    <xf numFmtId="0" fontId="3" fillId="6" borderId="2" xfId="0" applyFont="1" applyFill="1" applyBorder="1" applyAlignment="1">
      <alignment vertical="center"/>
    </xf>
    <xf numFmtId="37" fontId="3" fillId="3" borderId="8" xfId="0" applyNumberFormat="1" applyFont="1" applyFill="1" applyBorder="1" applyAlignment="1">
      <alignment vertical="center"/>
    </xf>
    <xf numFmtId="37" fontId="3" fillId="6" borderId="2" xfId="0" applyNumberFormat="1" applyFont="1" applyFill="1" applyBorder="1" applyAlignment="1" applyProtection="1">
      <alignment vertical="center"/>
      <protection locked="0"/>
    </xf>
    <xf numFmtId="10" fontId="3" fillId="3" borderId="0" xfId="0" applyNumberFormat="1" applyFont="1" applyFill="1" applyAlignment="1">
      <alignment horizontal="right" vertical="center"/>
    </xf>
    <xf numFmtId="3" fontId="4" fillId="3" borderId="1" xfId="0" applyNumberFormat="1" applyFont="1" applyFill="1" applyBorder="1" applyAlignment="1">
      <alignment vertical="center"/>
    </xf>
    <xf numFmtId="0" fontId="19" fillId="3" borderId="0" xfId="0" applyFont="1" applyFill="1" applyAlignment="1">
      <alignment horizontal="center" vertical="center"/>
    </xf>
    <xf numFmtId="0" fontId="3" fillId="3" borderId="5" xfId="0" applyFont="1" applyFill="1" applyBorder="1" applyAlignment="1">
      <alignment horizontal="center" vertical="center"/>
    </xf>
    <xf numFmtId="0" fontId="13" fillId="3" borderId="7" xfId="0" applyFont="1" applyFill="1" applyBorder="1" applyAlignment="1">
      <alignment vertical="center"/>
    </xf>
    <xf numFmtId="0" fontId="13" fillId="3" borderId="5" xfId="0" applyFont="1" applyFill="1" applyBorder="1" applyAlignment="1">
      <alignment horizontal="center" vertical="center"/>
    </xf>
    <xf numFmtId="0" fontId="13" fillId="3" borderId="6" xfId="0" applyFont="1" applyFill="1" applyBorder="1" applyAlignment="1">
      <alignment vertical="center"/>
    </xf>
    <xf numFmtId="0" fontId="13" fillId="3" borderId="1" xfId="0" applyFont="1" applyFill="1" applyBorder="1" applyAlignment="1">
      <alignment horizontal="center" vertical="center"/>
    </xf>
    <xf numFmtId="0" fontId="13" fillId="3" borderId="4" xfId="0" applyFont="1" applyFill="1" applyBorder="1" applyAlignment="1">
      <alignment vertical="center"/>
    </xf>
    <xf numFmtId="3" fontId="13" fillId="6" borderId="1" xfId="0" applyNumberFormat="1" applyFont="1" applyFill="1" applyBorder="1" applyAlignment="1" applyProtection="1">
      <alignment horizontal="center" vertical="center"/>
      <protection locked="0"/>
    </xf>
    <xf numFmtId="0" fontId="13" fillId="3" borderId="8" xfId="0" applyFont="1" applyFill="1" applyBorder="1" applyAlignment="1">
      <alignment vertical="center"/>
    </xf>
    <xf numFmtId="0" fontId="13" fillId="3" borderId="0" xfId="0" applyFont="1" applyFill="1" applyAlignment="1">
      <alignment vertical="center"/>
    </xf>
    <xf numFmtId="3" fontId="13" fillId="3" borderId="0" xfId="0" applyNumberFormat="1" applyFont="1" applyFill="1" applyAlignment="1">
      <alignment horizontal="center" vertical="center"/>
    </xf>
    <xf numFmtId="0" fontId="13" fillId="3" borderId="0" xfId="0" applyFont="1" applyFill="1" applyAlignment="1">
      <alignment horizontal="center" vertical="center"/>
    </xf>
    <xf numFmtId="0" fontId="13" fillId="6" borderId="1" xfId="0" applyFont="1" applyFill="1" applyBorder="1" applyAlignment="1" applyProtection="1">
      <alignment vertical="center"/>
      <protection locked="0"/>
    </xf>
    <xf numFmtId="0" fontId="13" fillId="6" borderId="6" xfId="0" applyFont="1" applyFill="1" applyBorder="1" applyAlignment="1" applyProtection="1">
      <alignment vertical="center"/>
      <protection locked="0"/>
    </xf>
    <xf numFmtId="0" fontId="13" fillId="6" borderId="0" xfId="0" applyFont="1" applyFill="1" applyAlignment="1" applyProtection="1">
      <alignment vertical="center"/>
      <protection locked="0"/>
    </xf>
    <xf numFmtId="0" fontId="13" fillId="6" borderId="5" xfId="0" applyFont="1" applyFill="1" applyBorder="1" applyAlignment="1" applyProtection="1">
      <alignment vertical="center"/>
      <protection locked="0"/>
    </xf>
    <xf numFmtId="0" fontId="13" fillId="6" borderId="3" xfId="0" applyFont="1" applyFill="1" applyBorder="1" applyAlignment="1" applyProtection="1">
      <alignment vertical="center"/>
      <protection locked="0"/>
    </xf>
    <xf numFmtId="0" fontId="13" fillId="6" borderId="13" xfId="0" applyFont="1" applyFill="1" applyBorder="1" applyAlignment="1" applyProtection="1">
      <alignment vertical="center"/>
      <protection locked="0"/>
    </xf>
    <xf numFmtId="3" fontId="15" fillId="10" borderId="1" xfId="0" applyNumberFormat="1" applyFont="1" applyFill="1" applyBorder="1" applyAlignment="1">
      <alignment horizontal="center" vertical="center"/>
    </xf>
    <xf numFmtId="3" fontId="20" fillId="10" borderId="0" xfId="0" applyNumberFormat="1" applyFont="1" applyFill="1" applyAlignment="1">
      <alignment horizontal="center" vertical="center"/>
    </xf>
    <xf numFmtId="3" fontId="3" fillId="0" borderId="0" xfId="0" applyNumberFormat="1" applyFont="1" applyAlignment="1">
      <alignment vertical="center"/>
    </xf>
    <xf numFmtId="0" fontId="3" fillId="0" borderId="0" xfId="0" applyFont="1" applyAlignment="1">
      <alignment horizontal="centerContinuous" vertical="center"/>
    </xf>
    <xf numFmtId="0" fontId="3" fillId="3" borderId="7" xfId="0" applyFont="1" applyFill="1" applyBorder="1" applyAlignment="1">
      <alignment horizontal="centerContinuous" vertical="center"/>
    </xf>
    <xf numFmtId="1" fontId="3" fillId="3" borderId="2" xfId="0" applyNumberFormat="1" applyFont="1" applyFill="1" applyBorder="1" applyAlignment="1">
      <alignment horizontal="centerContinuous" vertical="center"/>
    </xf>
    <xf numFmtId="164" fontId="3" fillId="3" borderId="1" xfId="0" applyNumberFormat="1" applyFont="1" applyFill="1" applyBorder="1" applyAlignment="1">
      <alignment vertical="center"/>
    </xf>
    <xf numFmtId="37" fontId="3" fillId="3" borderId="1" xfId="0" applyNumberFormat="1" applyFont="1" applyFill="1" applyBorder="1" applyAlignment="1" applyProtection="1">
      <alignment vertical="center"/>
      <protection locked="0"/>
    </xf>
    <xf numFmtId="1" fontId="3" fillId="3" borderId="0" xfId="0" applyNumberFormat="1" applyFont="1" applyFill="1" applyAlignment="1">
      <alignment vertical="center"/>
    </xf>
    <xf numFmtId="1" fontId="5" fillId="3" borderId="0" xfId="0" applyNumberFormat="1" applyFont="1" applyFill="1" applyAlignment="1">
      <alignment horizontal="center" vertical="center"/>
    </xf>
    <xf numFmtId="0" fontId="3" fillId="0" borderId="0" xfId="0" applyFont="1" applyAlignment="1" applyProtection="1">
      <alignment horizontal="centerContinuous" vertical="center"/>
      <protection locked="0"/>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3" fontId="3" fillId="6" borderId="1" xfId="0" applyNumberFormat="1" applyFont="1" applyFill="1" applyBorder="1" applyAlignment="1" applyProtection="1">
      <alignment horizontal="center" vertical="center"/>
      <protection locked="0"/>
    </xf>
    <xf numFmtId="173" fontId="3" fillId="3" borderId="1" xfId="0" applyNumberFormat="1" applyFont="1" applyFill="1" applyBorder="1" applyAlignment="1">
      <alignment horizontal="center" vertical="center"/>
    </xf>
    <xf numFmtId="3" fontId="3" fillId="6" borderId="7" xfId="0" applyNumberFormat="1" applyFont="1" applyFill="1" applyBorder="1" applyAlignment="1" applyProtection="1">
      <alignment horizontal="center" vertical="center"/>
      <protection locked="0"/>
    </xf>
    <xf numFmtId="3" fontId="3" fillId="3" borderId="14" xfId="0" applyNumberFormat="1" applyFont="1" applyFill="1" applyBorder="1" applyAlignment="1">
      <alignment horizontal="center" vertical="center"/>
    </xf>
    <xf numFmtId="173" fontId="3" fillId="3" borderId="14" xfId="0" applyNumberFormat="1" applyFont="1" applyFill="1" applyBorder="1" applyAlignment="1">
      <alignment horizontal="center" vertical="center"/>
    </xf>
    <xf numFmtId="173" fontId="3" fillId="3" borderId="8" xfId="0" applyNumberFormat="1" applyFont="1" applyFill="1" applyBorder="1" applyAlignment="1">
      <alignment horizontal="center" vertical="center"/>
    </xf>
    <xf numFmtId="173" fontId="3" fillId="3" borderId="0" xfId="0" applyNumberFormat="1" applyFont="1" applyFill="1" applyAlignment="1">
      <alignment horizontal="center" vertical="center"/>
    </xf>
    <xf numFmtId="0" fontId="4" fillId="0" borderId="0" xfId="0" applyFont="1" applyAlignment="1">
      <alignment vertical="center" wrapText="1"/>
    </xf>
    <xf numFmtId="0" fontId="36" fillId="0" borderId="0" xfId="0" applyFont="1" applyAlignment="1">
      <alignment vertical="center"/>
    </xf>
    <xf numFmtId="0" fontId="36" fillId="0" borderId="0" xfId="0" applyFont="1"/>
    <xf numFmtId="0" fontId="29" fillId="0" borderId="0" xfId="0" applyFont="1" applyAlignment="1">
      <alignment horizontal="center"/>
    </xf>
    <xf numFmtId="0" fontId="4" fillId="0" borderId="0" xfId="0" applyFont="1" applyAlignment="1">
      <alignment wrapText="1"/>
    </xf>
    <xf numFmtId="0" fontId="37" fillId="0" borderId="0" xfId="0" applyFont="1" applyAlignment="1">
      <alignment wrapText="1"/>
    </xf>
    <xf numFmtId="0" fontId="32" fillId="0" borderId="0" xfId="0" applyFont="1"/>
    <xf numFmtId="0" fontId="2" fillId="0" borderId="0" xfId="0" applyFont="1"/>
    <xf numFmtId="0" fontId="21" fillId="0" borderId="0" xfId="0" applyFont="1" applyAlignment="1">
      <alignment horizontal="center"/>
    </xf>
    <xf numFmtId="0" fontId="38"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14" fontId="3" fillId="2" borderId="1" xfId="0" applyNumberFormat="1" applyFont="1" applyFill="1" applyBorder="1" applyAlignment="1" applyProtection="1">
      <alignment horizontal="center" vertical="center"/>
      <protection locked="0"/>
    </xf>
    <xf numFmtId="3" fontId="14" fillId="5" borderId="2" xfId="0" applyNumberFormat="1" applyFont="1" applyFill="1" applyBorder="1" applyAlignment="1">
      <alignment horizontal="center" vertical="center"/>
    </xf>
    <xf numFmtId="3" fontId="3" fillId="3" borderId="2" xfId="0" applyNumberFormat="1" applyFont="1" applyFill="1" applyBorder="1" applyAlignment="1">
      <alignment vertical="center"/>
    </xf>
    <xf numFmtId="0" fontId="3" fillId="3" borderId="4" xfId="0" applyFont="1" applyFill="1" applyBorder="1" applyAlignment="1">
      <alignment horizontal="center" vertical="center"/>
    </xf>
    <xf numFmtId="3" fontId="3" fillId="3" borderId="2" xfId="1" applyNumberFormat="1" applyFont="1" applyFill="1" applyBorder="1" applyAlignment="1" applyProtection="1">
      <alignment horizontal="right" vertical="center"/>
    </xf>
    <xf numFmtId="0" fontId="3" fillId="3" borderId="0" xfId="0" applyFont="1" applyFill="1" applyAlignment="1" applyProtection="1">
      <alignment horizontal="center" vertical="center"/>
      <protection locked="0"/>
    </xf>
    <xf numFmtId="37" fontId="3" fillId="3" borderId="18" xfId="0" applyNumberFormat="1" applyFont="1" applyFill="1" applyBorder="1" applyAlignment="1">
      <alignment horizontal="center" vertical="center"/>
    </xf>
    <xf numFmtId="3" fontId="3" fillId="10" borderId="2" xfId="0" applyNumberFormat="1" applyFont="1" applyFill="1" applyBorder="1" applyAlignment="1">
      <alignment vertical="center"/>
    </xf>
    <xf numFmtId="14" fontId="3" fillId="2" borderId="1" xfId="0" applyNumberFormat="1" applyFont="1" applyFill="1" applyBorder="1" applyAlignment="1" applyProtection="1">
      <alignment vertical="center"/>
      <protection locked="0"/>
    </xf>
    <xf numFmtId="0" fontId="9" fillId="0" borderId="0" xfId="0" applyFont="1" applyAlignment="1">
      <alignment wrapText="1"/>
    </xf>
    <xf numFmtId="3" fontId="14" fillId="5" borderId="7" xfId="0" applyNumberFormat="1" applyFont="1" applyFill="1" applyBorder="1" applyAlignment="1">
      <alignment horizontal="center" vertical="center"/>
    </xf>
    <xf numFmtId="3" fontId="14" fillId="5" borderId="7" xfId="0" applyNumberFormat="1" applyFont="1" applyFill="1" applyBorder="1" applyAlignment="1">
      <alignment horizontal="center"/>
    </xf>
    <xf numFmtId="49" fontId="3" fillId="6" borderId="1" xfId="0" applyNumberFormat="1" applyFont="1" applyFill="1" applyBorder="1" applyAlignment="1" applyProtection="1">
      <alignment vertical="center"/>
      <protection locked="0"/>
    </xf>
    <xf numFmtId="0" fontId="3" fillId="3" borderId="0" xfId="66" applyFont="1" applyFill="1" applyAlignment="1">
      <alignment horizontal="right" vertical="center"/>
    </xf>
    <xf numFmtId="37" fontId="4" fillId="3" borderId="0" xfId="0" applyNumberFormat="1" applyFont="1" applyFill="1"/>
    <xf numFmtId="0" fontId="4" fillId="3" borderId="10" xfId="0" applyFont="1" applyFill="1" applyBorder="1" applyAlignment="1">
      <alignment vertical="center"/>
    </xf>
    <xf numFmtId="37" fontId="4" fillId="3" borderId="0" xfId="0" applyNumberFormat="1" applyFont="1" applyFill="1" applyAlignment="1">
      <alignment vertical="center"/>
    </xf>
    <xf numFmtId="0" fontId="4" fillId="3" borderId="8" xfId="0" applyFont="1" applyFill="1" applyBorder="1" applyAlignment="1">
      <alignment vertical="center"/>
    </xf>
    <xf numFmtId="3" fontId="3" fillId="2" borderId="2" xfId="0" applyNumberFormat="1" applyFont="1" applyFill="1" applyBorder="1" applyAlignment="1" applyProtection="1">
      <alignment horizontal="right" vertical="center"/>
      <protection locked="0"/>
    </xf>
    <xf numFmtId="3" fontId="3" fillId="3" borderId="2" xfId="0" applyNumberFormat="1" applyFont="1" applyFill="1" applyBorder="1" applyAlignment="1">
      <alignment horizontal="right" vertical="center"/>
    </xf>
    <xf numFmtId="3" fontId="3" fillId="2" borderId="2" xfId="0" applyNumberFormat="1" applyFont="1" applyFill="1" applyBorder="1" applyAlignment="1" applyProtection="1">
      <alignment vertical="center"/>
      <protection locked="0"/>
    </xf>
    <xf numFmtId="3" fontId="4" fillId="3" borderId="2" xfId="0" applyNumberFormat="1" applyFont="1" applyFill="1" applyBorder="1" applyAlignment="1">
      <alignment vertical="center"/>
    </xf>
    <xf numFmtId="0" fontId="4" fillId="3" borderId="0" xfId="42" applyFont="1" applyFill="1" applyAlignment="1">
      <alignment vertical="center"/>
    </xf>
    <xf numFmtId="0" fontId="45" fillId="0" borderId="0" xfId="0" applyFont="1" applyAlignment="1">
      <alignment vertical="center"/>
    </xf>
    <xf numFmtId="0" fontId="44" fillId="3" borderId="0" xfId="0" applyFont="1" applyFill="1" applyAlignment="1">
      <alignment horizontal="center" vertical="center"/>
    </xf>
    <xf numFmtId="0" fontId="2" fillId="0" borderId="0" xfId="42"/>
    <xf numFmtId="0" fontId="3" fillId="3" borderId="0" xfId="42" applyFont="1" applyFill="1" applyAlignment="1">
      <alignment vertical="center"/>
    </xf>
    <xf numFmtId="0" fontId="3" fillId="3" borderId="17" xfId="42" applyFont="1" applyFill="1" applyBorder="1" applyAlignment="1">
      <alignment vertical="center"/>
    </xf>
    <xf numFmtId="0" fontId="3" fillId="3" borderId="13" xfId="42" applyFont="1" applyFill="1" applyBorder="1" applyAlignment="1">
      <alignment vertical="center"/>
    </xf>
    <xf numFmtId="174" fontId="11" fillId="3" borderId="17" xfId="42" applyNumberFormat="1" applyFont="1" applyFill="1" applyBorder="1" applyAlignment="1">
      <alignment horizontal="center" vertical="center"/>
    </xf>
    <xf numFmtId="0" fontId="11" fillId="3" borderId="0" xfId="42" applyFont="1" applyFill="1" applyAlignment="1">
      <alignment horizontal="left" vertical="center"/>
    </xf>
    <xf numFmtId="0" fontId="11" fillId="3" borderId="13" xfId="42" applyFont="1" applyFill="1" applyBorder="1" applyAlignment="1">
      <alignment vertical="center"/>
    </xf>
    <xf numFmtId="0" fontId="11" fillId="3" borderId="0" xfId="42" applyFont="1" applyFill="1" applyAlignment="1">
      <alignment vertical="center"/>
    </xf>
    <xf numFmtId="174" fontId="11" fillId="3" borderId="4" xfId="42" applyNumberFormat="1" applyFont="1" applyFill="1" applyBorder="1" applyAlignment="1">
      <alignment horizontal="center" vertical="center"/>
    </xf>
    <xf numFmtId="174" fontId="11" fillId="3" borderId="17" xfId="42" applyNumberFormat="1" applyFont="1" applyFill="1" applyBorder="1" applyAlignment="1">
      <alignment vertical="center"/>
    </xf>
    <xf numFmtId="0" fontId="41" fillId="10" borderId="8" xfId="42" applyFont="1" applyFill="1" applyBorder="1" applyAlignment="1">
      <alignment vertical="center"/>
    </xf>
    <xf numFmtId="0" fontId="11" fillId="10" borderId="10" xfId="42" applyFont="1" applyFill="1" applyBorder="1" applyAlignment="1">
      <alignment vertical="center"/>
    </xf>
    <xf numFmtId="0" fontId="3" fillId="10" borderId="10" xfId="42" applyFont="1" applyFill="1" applyBorder="1" applyAlignment="1">
      <alignment vertical="center"/>
    </xf>
    <xf numFmtId="174" fontId="41" fillId="10" borderId="4" xfId="42" applyNumberFormat="1" applyFont="1" applyFill="1" applyBorder="1" applyAlignment="1">
      <alignment horizontal="center" vertical="center"/>
    </xf>
    <xf numFmtId="0" fontId="11" fillId="3" borderId="17" xfId="42" applyFont="1" applyFill="1" applyBorder="1" applyAlignment="1">
      <alignment vertical="center"/>
    </xf>
    <xf numFmtId="0" fontId="11" fillId="10" borderId="8" xfId="42" applyFont="1" applyFill="1" applyBorder="1" applyAlignment="1">
      <alignment vertical="center"/>
    </xf>
    <xf numFmtId="0" fontId="3" fillId="0" borderId="0" xfId="66" applyFont="1" applyAlignment="1">
      <alignment vertical="center" wrapText="1"/>
    </xf>
    <xf numFmtId="1" fontId="6" fillId="3" borderId="7" xfId="0" applyNumberFormat="1" applyFont="1" applyFill="1" applyBorder="1" applyAlignment="1">
      <alignment horizontal="center" vertical="center"/>
    </xf>
    <xf numFmtId="37" fontId="6" fillId="3" borderId="7" xfId="0" applyNumberFormat="1" applyFont="1" applyFill="1" applyBorder="1" applyAlignment="1">
      <alignment horizontal="center" vertical="center"/>
    </xf>
    <xf numFmtId="1" fontId="6" fillId="3" borderId="12" xfId="0" applyNumberFormat="1" applyFont="1" applyFill="1" applyBorder="1" applyAlignment="1">
      <alignment horizontal="center" vertical="center"/>
    </xf>
    <xf numFmtId="37" fontId="6" fillId="3" borderId="12" xfId="0" applyNumberFormat="1" applyFont="1" applyFill="1" applyBorder="1" applyAlignment="1">
      <alignment horizontal="center" vertical="center"/>
    </xf>
    <xf numFmtId="0" fontId="11" fillId="11" borderId="17" xfId="62" applyFont="1" applyFill="1" applyBorder="1"/>
    <xf numFmtId="0" fontId="3" fillId="11" borderId="0" xfId="62" applyFont="1" applyFill="1"/>
    <xf numFmtId="174" fontId="3" fillId="11" borderId="13" xfId="62" applyNumberFormat="1" applyFont="1" applyFill="1" applyBorder="1" applyAlignment="1">
      <alignment horizontal="center"/>
    </xf>
    <xf numFmtId="0" fontId="3" fillId="11" borderId="4" xfId="62" applyFont="1" applyFill="1" applyBorder="1"/>
    <xf numFmtId="0" fontId="3" fillId="11" borderId="8" xfId="62" applyFont="1" applyFill="1" applyBorder="1"/>
    <xf numFmtId="174" fontId="3" fillId="12" borderId="10" xfId="62" applyNumberFormat="1" applyFont="1" applyFill="1" applyBorder="1" applyAlignment="1">
      <alignment horizontal="center"/>
    </xf>
    <xf numFmtId="0" fontId="3" fillId="0" borderId="0" xfId="62" applyFont="1"/>
    <xf numFmtId="0" fontId="3" fillId="11" borderId="17" xfId="62" applyFont="1" applyFill="1" applyBorder="1"/>
    <xf numFmtId="0" fontId="3" fillId="11" borderId="13" xfId="62" applyFont="1" applyFill="1" applyBorder="1"/>
    <xf numFmtId="172" fontId="3" fillId="11" borderId="13" xfId="62" applyNumberFormat="1" applyFont="1" applyFill="1" applyBorder="1" applyAlignment="1">
      <alignment horizontal="center"/>
    </xf>
    <xf numFmtId="0" fontId="3" fillId="12" borderId="17" xfId="62" applyFont="1" applyFill="1" applyBorder="1"/>
    <xf numFmtId="0" fontId="3" fillId="12" borderId="0" xfId="62" applyFont="1" applyFill="1"/>
    <xf numFmtId="0" fontId="3" fillId="12" borderId="4" xfId="62" applyFont="1" applyFill="1" applyBorder="1"/>
    <xf numFmtId="0" fontId="3" fillId="12" borderId="8" xfId="62" applyFont="1" applyFill="1" applyBorder="1"/>
    <xf numFmtId="174" fontId="3" fillId="11" borderId="10" xfId="62" applyNumberFormat="1" applyFont="1" applyFill="1" applyBorder="1" applyAlignment="1">
      <alignment horizontal="center"/>
    </xf>
    <xf numFmtId="173" fontId="3" fillId="13" borderId="13" xfId="62" applyNumberFormat="1" applyFont="1" applyFill="1" applyBorder="1" applyAlignment="1" applyProtection="1">
      <alignment horizontal="center"/>
      <protection locked="0"/>
    </xf>
    <xf numFmtId="176" fontId="3" fillId="3" borderId="1" xfId="0" applyNumberFormat="1" applyFont="1" applyFill="1" applyBorder="1" applyAlignment="1">
      <alignment vertical="center"/>
    </xf>
    <xf numFmtId="174" fontId="3" fillId="12" borderId="13" xfId="62" applyNumberFormat="1" applyFont="1" applyFill="1" applyBorder="1" applyAlignment="1">
      <alignment horizontal="center"/>
    </xf>
    <xf numFmtId="37" fontId="3" fillId="3" borderId="3" xfId="0" applyNumberFormat="1" applyFont="1" applyFill="1" applyBorder="1" applyAlignment="1">
      <alignment horizontal="fill" vertical="center"/>
    </xf>
    <xf numFmtId="0" fontId="3" fillId="12" borderId="4" xfId="0" applyFont="1" applyFill="1" applyBorder="1" applyAlignment="1">
      <alignment vertical="center"/>
    </xf>
    <xf numFmtId="0" fontId="3" fillId="12" borderId="8" xfId="0" applyFont="1" applyFill="1" applyBorder="1" applyAlignment="1">
      <alignment vertical="center"/>
    </xf>
    <xf numFmtId="174" fontId="3" fillId="12" borderId="10" xfId="0" applyNumberFormat="1" applyFont="1" applyFill="1" applyBorder="1" applyAlignment="1">
      <alignment horizontal="center" vertical="center"/>
    </xf>
    <xf numFmtId="37" fontId="3" fillId="3" borderId="0" xfId="0" applyNumberFormat="1" applyFont="1" applyFill="1" applyAlignment="1" applyProtection="1">
      <alignment horizontal="fill" vertical="center"/>
      <protection locked="0"/>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7" xfId="0" applyFont="1" applyFill="1" applyBorder="1" applyAlignment="1">
      <alignment horizontal="center" vertical="center"/>
    </xf>
    <xf numFmtId="1" fontId="3" fillId="3" borderId="12" xfId="0" applyNumberFormat="1" applyFont="1" applyFill="1" applyBorder="1" applyAlignment="1">
      <alignment horizontal="center" vertical="center"/>
    </xf>
    <xf numFmtId="37" fontId="3" fillId="3" borderId="12" xfId="0" applyNumberFormat="1" applyFont="1" applyFill="1" applyBorder="1" applyAlignment="1">
      <alignment horizontal="center" vertical="center"/>
    </xf>
    <xf numFmtId="1" fontId="3" fillId="3" borderId="7" xfId="0" applyNumberFormat="1" applyFont="1" applyFill="1" applyBorder="1" applyAlignment="1">
      <alignment horizontal="center"/>
    </xf>
    <xf numFmtId="37" fontId="3" fillId="3" borderId="7" xfId="0" applyNumberFormat="1" applyFont="1" applyFill="1" applyBorder="1" applyAlignment="1">
      <alignment horizontal="center"/>
    </xf>
    <xf numFmtId="0" fontId="11" fillId="11" borderId="17" xfId="0" applyFont="1" applyFill="1" applyBorder="1" applyAlignment="1">
      <alignment vertical="center"/>
    </xf>
    <xf numFmtId="0" fontId="3" fillId="11" borderId="0" xfId="0" applyFont="1" applyFill="1" applyAlignment="1">
      <alignment vertical="center"/>
    </xf>
    <xf numFmtId="0" fontId="11" fillId="11" borderId="0" xfId="0" applyFont="1" applyFill="1" applyAlignment="1">
      <alignment vertical="center"/>
    </xf>
    <xf numFmtId="174" fontId="11" fillId="11" borderId="13" xfId="0" applyNumberFormat="1" applyFont="1" applyFill="1" applyBorder="1" applyAlignment="1">
      <alignment horizontal="center" vertical="center"/>
    </xf>
    <xf numFmtId="0" fontId="11" fillId="11" borderId="17" xfId="0" applyFont="1" applyFill="1" applyBorder="1" applyAlignment="1">
      <alignment horizontal="left" vertical="center"/>
    </xf>
    <xf numFmtId="174" fontId="11" fillId="13" borderId="1" xfId="0" applyNumberFormat="1" applyFont="1" applyFill="1" applyBorder="1" applyAlignment="1" applyProtection="1">
      <alignment horizontal="center" vertical="center"/>
      <protection locked="0"/>
    </xf>
    <xf numFmtId="173" fontId="41" fillId="11" borderId="5" xfId="0" applyNumberFormat="1" applyFont="1" applyFill="1" applyBorder="1" applyAlignment="1">
      <alignment horizontal="center" vertical="center"/>
    </xf>
    <xf numFmtId="0" fontId="41" fillId="12" borderId="17" xfId="0" applyFont="1" applyFill="1" applyBorder="1" applyAlignment="1">
      <alignment vertical="center"/>
    </xf>
    <xf numFmtId="0" fontId="3" fillId="12" borderId="0" xfId="0" applyFont="1" applyFill="1" applyAlignment="1">
      <alignment vertical="center"/>
    </xf>
    <xf numFmtId="0" fontId="11" fillId="12" borderId="0" xfId="0" applyFont="1" applyFill="1" applyAlignment="1">
      <alignment vertical="center"/>
    </xf>
    <xf numFmtId="174" fontId="41" fillId="12" borderId="5" xfId="0" applyNumberFormat="1" applyFont="1" applyFill="1" applyBorder="1" applyAlignment="1">
      <alignment horizontal="center" vertical="center"/>
    </xf>
    <xf numFmtId="37" fontId="11" fillId="3" borderId="4" xfId="0" applyNumberFormat="1" applyFont="1" applyFill="1" applyBorder="1" applyAlignment="1">
      <alignment horizontal="left" vertical="center"/>
    </xf>
    <xf numFmtId="0" fontId="46" fillId="11" borderId="8" xfId="0" applyFont="1" applyFill="1" applyBorder="1" applyAlignment="1">
      <alignment horizontal="left" vertical="center"/>
    </xf>
    <xf numFmtId="174" fontId="41" fillId="12" borderId="10" xfId="0" applyNumberFormat="1" applyFont="1" applyFill="1" applyBorder="1" applyAlignment="1" applyProtection="1">
      <alignment horizontal="center" vertical="center"/>
      <protection locked="0"/>
    </xf>
    <xf numFmtId="0" fontId="3" fillId="0" borderId="0" xfId="0" applyFont="1" applyProtection="1">
      <protection locked="0"/>
    </xf>
    <xf numFmtId="37" fontId="3" fillId="3" borderId="13" xfId="0" applyNumberFormat="1" applyFont="1" applyFill="1" applyBorder="1" applyAlignment="1">
      <alignment horizontal="right" vertical="center"/>
    </xf>
    <xf numFmtId="174" fontId="11" fillId="11" borderId="17" xfId="0" applyNumberFormat="1" applyFont="1" applyFill="1" applyBorder="1" applyAlignment="1">
      <alignment horizontal="center" vertical="center"/>
    </xf>
    <xf numFmtId="0" fontId="11" fillId="11" borderId="0" xfId="0" applyFont="1" applyFill="1" applyAlignment="1">
      <alignment horizontal="left" vertical="center"/>
    </xf>
    <xf numFmtId="0" fontId="11" fillId="11" borderId="13" xfId="0" applyFont="1" applyFill="1" applyBorder="1" applyAlignment="1">
      <alignment vertical="center"/>
    </xf>
    <xf numFmtId="174" fontId="11" fillId="11" borderId="4" xfId="0" applyNumberFormat="1" applyFont="1" applyFill="1" applyBorder="1" applyAlignment="1">
      <alignment horizontal="center" vertical="center"/>
    </xf>
    <xf numFmtId="174" fontId="11" fillId="11" borderId="17" xfId="0" applyNumberFormat="1" applyFont="1" applyFill="1" applyBorder="1" applyAlignment="1">
      <alignment vertical="center"/>
    </xf>
    <xf numFmtId="174" fontId="11" fillId="12" borderId="4" xfId="0" applyNumberFormat="1" applyFont="1" applyFill="1" applyBorder="1" applyAlignment="1">
      <alignment horizontal="center" vertical="center"/>
    </xf>
    <xf numFmtId="0" fontId="11" fillId="12" borderId="8" xfId="0" applyFont="1" applyFill="1" applyBorder="1" applyAlignment="1">
      <alignment vertical="center"/>
    </xf>
    <xf numFmtId="0" fontId="11" fillId="12" borderId="10" xfId="0" applyFont="1" applyFill="1" applyBorder="1" applyAlignment="1">
      <alignment vertical="center"/>
    </xf>
    <xf numFmtId="37" fontId="3" fillId="12" borderId="10" xfId="0" applyNumberFormat="1" applyFont="1" applyFill="1" applyBorder="1" applyAlignment="1">
      <alignment horizontal="right" vertical="center"/>
    </xf>
    <xf numFmtId="0" fontId="3" fillId="11" borderId="17" xfId="0" applyFont="1" applyFill="1" applyBorder="1" applyAlignment="1">
      <alignment vertical="center"/>
    </xf>
    <xf numFmtId="0" fontId="3" fillId="11" borderId="13" xfId="0" applyFont="1" applyFill="1" applyBorder="1" applyProtection="1">
      <protection locked="0"/>
    </xf>
    <xf numFmtId="174" fontId="13" fillId="11" borderId="17" xfId="0" applyNumberFormat="1" applyFont="1" applyFill="1" applyBorder="1" applyAlignment="1">
      <alignment horizontal="center" vertical="center"/>
    </xf>
    <xf numFmtId="0" fontId="3" fillId="11" borderId="13" xfId="0" applyFont="1" applyFill="1" applyBorder="1" applyAlignment="1">
      <alignment vertical="center"/>
    </xf>
    <xf numFmtId="174" fontId="13" fillId="11" borderId="17" xfId="0" applyNumberFormat="1" applyFont="1" applyFill="1" applyBorder="1" applyAlignment="1">
      <alignment vertical="center"/>
    </xf>
    <xf numFmtId="0" fontId="13" fillId="11" borderId="0" xfId="0" applyFont="1" applyFill="1" applyAlignment="1">
      <alignment vertical="center"/>
    </xf>
    <xf numFmtId="174" fontId="13" fillId="11" borderId="4" xfId="0" applyNumberFormat="1" applyFont="1" applyFill="1" applyBorder="1" applyAlignment="1">
      <alignment horizontal="center" vertical="center"/>
    </xf>
    <xf numFmtId="174" fontId="13" fillId="12" borderId="4" xfId="0" applyNumberFormat="1" applyFont="1" applyFill="1" applyBorder="1" applyAlignment="1">
      <alignment horizontal="center" vertical="center"/>
    </xf>
    <xf numFmtId="0" fontId="3" fillId="12" borderId="10" xfId="0" applyFont="1" applyFill="1" applyBorder="1" applyAlignment="1">
      <alignment vertical="center"/>
    </xf>
    <xf numFmtId="0" fontId="3" fillId="12" borderId="10" xfId="0" applyFont="1" applyFill="1" applyBorder="1" applyProtection="1">
      <protection locked="0"/>
    </xf>
    <xf numFmtId="0" fontId="3" fillId="11" borderId="13" xfId="0" applyFont="1" applyFill="1" applyBorder="1" applyAlignment="1" applyProtection="1">
      <alignment vertical="center"/>
      <protection locked="0"/>
    </xf>
    <xf numFmtId="0" fontId="3" fillId="0" borderId="0" xfId="487" applyFont="1" applyAlignment="1">
      <alignment horizontal="left" vertical="center"/>
    </xf>
    <xf numFmtId="0" fontId="48" fillId="0" borderId="0" xfId="0" applyFont="1" applyProtection="1">
      <protection locked="0"/>
    </xf>
    <xf numFmtId="177" fontId="3" fillId="2" borderId="1" xfId="0" applyNumberFormat="1" applyFont="1" applyFill="1" applyBorder="1" applyAlignment="1" applyProtection="1">
      <alignment vertical="center"/>
      <protection locked="0"/>
    </xf>
    <xf numFmtId="177" fontId="3" fillId="3" borderId="0" xfId="0" applyNumberFormat="1" applyFont="1" applyFill="1" applyAlignment="1">
      <alignment horizontal="center" vertical="center"/>
    </xf>
    <xf numFmtId="10" fontId="3" fillId="2" borderId="1" xfId="0" applyNumberFormat="1" applyFont="1" applyFill="1" applyBorder="1" applyAlignment="1" applyProtection="1">
      <alignment vertical="center"/>
      <protection locked="0"/>
    </xf>
    <xf numFmtId="174" fontId="11" fillId="12" borderId="4" xfId="42" applyNumberFormat="1" applyFont="1" applyFill="1" applyBorder="1" applyAlignment="1">
      <alignment horizontal="center" vertical="center"/>
    </xf>
    <xf numFmtId="0" fontId="3" fillId="12" borderId="10" xfId="0" applyFont="1" applyFill="1" applyBorder="1" applyAlignment="1" applyProtection="1">
      <alignment vertical="center"/>
      <protection locked="0"/>
    </xf>
    <xf numFmtId="0" fontId="3" fillId="0" borderId="0" xfId="0" applyFont="1" applyAlignment="1">
      <alignment wrapText="1"/>
    </xf>
    <xf numFmtId="3" fontId="3" fillId="3" borderId="7" xfId="0" applyNumberFormat="1" applyFont="1" applyFill="1" applyBorder="1" applyAlignment="1">
      <alignment vertical="center"/>
    </xf>
    <xf numFmtId="3" fontId="17" fillId="3" borderId="18" xfId="0" applyNumberFormat="1" applyFont="1" applyFill="1" applyBorder="1" applyAlignment="1">
      <alignment horizontal="center" vertical="center"/>
    </xf>
    <xf numFmtId="0" fontId="17" fillId="3" borderId="18" xfId="0" applyFont="1" applyFill="1" applyBorder="1" applyAlignment="1">
      <alignment horizontal="center" vertical="center"/>
    </xf>
    <xf numFmtId="3" fontId="3" fillId="3" borderId="1" xfId="0" applyNumberFormat="1" applyFont="1" applyFill="1" applyBorder="1" applyAlignment="1">
      <alignment horizontal="right"/>
    </xf>
    <xf numFmtId="0" fontId="3" fillId="3" borderId="0" xfId="0" applyFont="1" applyFill="1" applyAlignment="1">
      <alignment horizontal="left"/>
    </xf>
    <xf numFmtId="3" fontId="3" fillId="3" borderId="7" xfId="0" applyNumberFormat="1" applyFont="1" applyFill="1" applyBorder="1"/>
    <xf numFmtId="0" fontId="17" fillId="3" borderId="18" xfId="0" applyFont="1" applyFill="1" applyBorder="1" applyAlignment="1">
      <alignment horizontal="center"/>
    </xf>
    <xf numFmtId="0" fontId="3" fillId="3" borderId="18" xfId="0" applyFont="1" applyFill="1" applyBorder="1" applyAlignment="1">
      <alignment vertical="center"/>
    </xf>
    <xf numFmtId="0" fontId="4" fillId="9" borderId="12" xfId="0" applyFont="1" applyFill="1" applyBorder="1" applyAlignment="1">
      <alignment vertical="center"/>
    </xf>
    <xf numFmtId="0" fontId="3" fillId="9" borderId="18" xfId="0" applyFont="1" applyFill="1" applyBorder="1" applyAlignment="1">
      <alignment vertical="center"/>
    </xf>
    <xf numFmtId="0" fontId="3" fillId="9" borderId="6" xfId="0" applyFont="1" applyFill="1" applyBorder="1" applyAlignment="1">
      <alignment vertical="center"/>
    </xf>
    <xf numFmtId="37" fontId="4" fillId="9" borderId="17" xfId="0" applyNumberFormat="1" applyFont="1" applyFill="1" applyBorder="1" applyAlignment="1">
      <alignment horizontal="left" vertical="center"/>
    </xf>
    <xf numFmtId="0" fontId="3" fillId="9" borderId="0" xfId="0" applyFont="1" applyFill="1" applyAlignment="1">
      <alignment vertical="center"/>
    </xf>
    <xf numFmtId="0" fontId="3" fillId="9" borderId="13" xfId="0" applyFont="1" applyFill="1" applyBorder="1" applyAlignment="1">
      <alignment vertical="center"/>
    </xf>
    <xf numFmtId="37" fontId="4" fillId="9" borderId="4" xfId="0" applyNumberFormat="1" applyFont="1" applyFill="1" applyBorder="1" applyAlignment="1">
      <alignment horizontal="left" vertical="center"/>
    </xf>
    <xf numFmtId="0" fontId="3" fillId="9" borderId="10" xfId="0" applyFont="1" applyFill="1" applyBorder="1" applyAlignment="1">
      <alignment vertical="center"/>
    </xf>
    <xf numFmtId="37" fontId="4" fillId="9" borderId="12" xfId="0" applyNumberFormat="1" applyFont="1" applyFill="1" applyBorder="1" applyAlignment="1">
      <alignment horizontal="left" vertical="center"/>
    </xf>
    <xf numFmtId="0" fontId="3" fillId="7" borderId="6" xfId="0" applyFont="1" applyFill="1" applyBorder="1" applyAlignment="1">
      <alignment vertical="center"/>
    </xf>
    <xf numFmtId="37" fontId="3" fillId="7" borderId="2" xfId="0" applyNumberFormat="1" applyFont="1" applyFill="1" applyBorder="1" applyAlignment="1">
      <alignment horizontal="left" vertical="center"/>
    </xf>
    <xf numFmtId="0" fontId="3" fillId="7" borderId="5" xfId="0" applyFont="1" applyFill="1" applyBorder="1" applyAlignment="1">
      <alignment vertical="center"/>
    </xf>
    <xf numFmtId="37" fontId="12" fillId="9" borderId="12" xfId="0" applyNumberFormat="1" applyFont="1" applyFill="1" applyBorder="1" applyAlignment="1">
      <alignment horizontal="left" vertical="center"/>
    </xf>
    <xf numFmtId="0" fontId="5" fillId="7" borderId="6" xfId="0" applyFont="1" applyFill="1" applyBorder="1" applyAlignment="1">
      <alignment vertical="center"/>
    </xf>
    <xf numFmtId="0" fontId="3" fillId="9" borderId="17" xfId="0" applyFont="1" applyFill="1" applyBorder="1" applyAlignment="1">
      <alignment vertical="center"/>
    </xf>
    <xf numFmtId="0" fontId="3" fillId="9" borderId="4" xfId="0" applyFont="1" applyFill="1" applyBorder="1" applyAlignment="1">
      <alignment vertical="center"/>
    </xf>
    <xf numFmtId="0" fontId="3" fillId="9" borderId="2" xfId="0" applyFont="1" applyFill="1" applyBorder="1" applyAlignment="1">
      <alignment vertical="center"/>
    </xf>
    <xf numFmtId="0" fontId="3" fillId="9" borderId="5" xfId="0" applyFont="1" applyFill="1" applyBorder="1" applyAlignment="1">
      <alignment vertical="center"/>
    </xf>
    <xf numFmtId="37" fontId="4" fillId="9" borderId="2" xfId="0" applyNumberFormat="1" applyFont="1" applyFill="1" applyBorder="1" applyAlignment="1">
      <alignment horizontal="left" vertical="center"/>
    </xf>
    <xf numFmtId="0" fontId="3" fillId="6" borderId="0" xfId="0" applyFont="1" applyFill="1" applyAlignment="1" applyProtection="1">
      <alignment horizontal="center" vertical="center"/>
      <protection locked="0"/>
    </xf>
    <xf numFmtId="0" fontId="3" fillId="6" borderId="0" xfId="0" applyFont="1" applyFill="1" applyAlignment="1" applyProtection="1">
      <alignment horizontal="center"/>
      <protection locked="0"/>
    </xf>
    <xf numFmtId="37" fontId="4" fillId="3" borderId="0" xfId="32" applyNumberFormat="1" applyFont="1" applyFill="1" applyAlignment="1">
      <alignment horizontal="left" vertical="center"/>
    </xf>
    <xf numFmtId="175" fontId="3" fillId="12" borderId="10" xfId="62" applyNumberFormat="1" applyFont="1" applyFill="1" applyBorder="1" applyAlignment="1">
      <alignment horizontal="center"/>
    </xf>
    <xf numFmtId="0" fontId="3" fillId="11" borderId="0" xfId="0" applyFont="1" applyFill="1" applyAlignment="1">
      <alignment horizontal="center" vertical="center"/>
    </xf>
    <xf numFmtId="37" fontId="3" fillId="11" borderId="0" xfId="0" applyNumberFormat="1" applyFont="1" applyFill="1" applyAlignment="1">
      <alignment horizontal="left" vertical="center"/>
    </xf>
    <xf numFmtId="165" fontId="3" fillId="11" borderId="8" xfId="0" applyNumberFormat="1" applyFont="1" applyFill="1" applyBorder="1" applyAlignment="1">
      <alignment horizontal="center" vertical="center"/>
    </xf>
    <xf numFmtId="165" fontId="3" fillId="11" borderId="0" xfId="0" applyNumberFormat="1" applyFont="1" applyFill="1" applyAlignment="1">
      <alignment horizontal="center" vertical="center"/>
    </xf>
    <xf numFmtId="0" fontId="0" fillId="11" borderId="0" xfId="0" applyFill="1" applyAlignment="1">
      <alignment vertical="center"/>
    </xf>
    <xf numFmtId="0" fontId="0" fillId="11" borderId="0" xfId="0" applyFill="1" applyAlignment="1">
      <alignment horizontal="center" vertical="center"/>
    </xf>
    <xf numFmtId="3" fontId="3" fillId="2" borderId="1" xfId="32" applyNumberFormat="1" applyFont="1" applyFill="1" applyBorder="1" applyAlignment="1" applyProtection="1">
      <alignment vertical="center"/>
      <protection locked="0"/>
    </xf>
    <xf numFmtId="0" fontId="3" fillId="6" borderId="1" xfId="32" applyFont="1" applyFill="1" applyBorder="1" applyAlignment="1" applyProtection="1">
      <alignment vertical="center"/>
      <protection locked="0"/>
    </xf>
    <xf numFmtId="37" fontId="3" fillId="3" borderId="3" xfId="32" applyNumberFormat="1" applyFont="1" applyFill="1" applyBorder="1" applyAlignment="1">
      <alignment horizontal="center" vertical="center"/>
    </xf>
    <xf numFmtId="37" fontId="3" fillId="3" borderId="0" xfId="32" applyNumberFormat="1" applyFont="1" applyFill="1" applyAlignment="1">
      <alignment horizontal="left" vertical="center"/>
    </xf>
    <xf numFmtId="0" fontId="3" fillId="11" borderId="0" xfId="32" applyFont="1" applyFill="1" applyAlignment="1">
      <alignment vertical="center"/>
    </xf>
    <xf numFmtId="0" fontId="3" fillId="11" borderId="0" xfId="32" applyFont="1" applyFill="1" applyAlignment="1" applyProtection="1">
      <alignment vertical="center"/>
      <protection locked="0"/>
    </xf>
    <xf numFmtId="37" fontId="3" fillId="3" borderId="9" xfId="32" applyNumberFormat="1" applyFont="1" applyFill="1" applyBorder="1" applyAlignment="1">
      <alignment horizontal="left" vertical="center"/>
    </xf>
    <xf numFmtId="0" fontId="3" fillId="11" borderId="18" xfId="0" applyFont="1" applyFill="1" applyBorder="1" applyAlignment="1">
      <alignment vertical="center"/>
    </xf>
    <xf numFmtId="0" fontId="3" fillId="3" borderId="12" xfId="0" applyFont="1" applyFill="1" applyBorder="1" applyAlignment="1">
      <alignment vertical="center"/>
    </xf>
    <xf numFmtId="0" fontId="3" fillId="3" borderId="4" xfId="0" applyFont="1" applyFill="1" applyBorder="1" applyAlignment="1">
      <alignment vertical="center"/>
    </xf>
    <xf numFmtId="37" fontId="3" fillId="3" borderId="18" xfId="0" applyNumberFormat="1" applyFont="1" applyFill="1" applyBorder="1" applyAlignment="1">
      <alignment vertical="center"/>
    </xf>
    <xf numFmtId="37" fontId="3" fillId="3" borderId="17" xfId="0" applyNumberFormat="1" applyFont="1" applyFill="1" applyBorder="1" applyAlignment="1">
      <alignment horizontal="left" vertical="center"/>
    </xf>
    <xf numFmtId="37" fontId="4" fillId="3" borderId="12" xfId="0" applyNumberFormat="1" applyFont="1" applyFill="1" applyBorder="1" applyAlignment="1">
      <alignment horizontal="left" vertical="center"/>
    </xf>
    <xf numFmtId="37" fontId="4" fillId="3" borderId="18" xfId="0" applyNumberFormat="1" applyFont="1" applyFill="1" applyBorder="1" applyAlignment="1">
      <alignment horizontal="left" vertical="center"/>
    </xf>
    <xf numFmtId="37" fontId="4" fillId="3" borderId="6" xfId="0" applyNumberFormat="1" applyFont="1" applyFill="1" applyBorder="1" applyAlignment="1">
      <alignment horizontal="left" vertical="center"/>
    </xf>
    <xf numFmtId="37" fontId="4" fillId="3" borderId="17" xfId="0" applyNumberFormat="1" applyFont="1" applyFill="1" applyBorder="1" applyAlignment="1">
      <alignment horizontal="left" vertical="center"/>
    </xf>
    <xf numFmtId="37" fontId="4" fillId="3" borderId="13" xfId="0" applyNumberFormat="1" applyFont="1" applyFill="1" applyBorder="1" applyAlignment="1">
      <alignment horizontal="left" vertical="center"/>
    </xf>
    <xf numFmtId="37" fontId="4" fillId="3" borderId="10" xfId="0" applyNumberFormat="1" applyFont="1" applyFill="1" applyBorder="1" applyAlignment="1">
      <alignment horizontal="left" vertical="center"/>
    </xf>
    <xf numFmtId="0" fontId="3" fillId="3" borderId="18" xfId="0" applyFont="1" applyFill="1" applyBorder="1" applyAlignment="1">
      <alignment horizontal="right" vertical="center"/>
    </xf>
    <xf numFmtId="0" fontId="3" fillId="3" borderId="6" xfId="0" applyFont="1" applyFill="1" applyBorder="1" applyAlignment="1">
      <alignment horizontal="right" vertical="center"/>
    </xf>
    <xf numFmtId="0" fontId="3" fillId="3" borderId="13" xfId="0" applyFont="1" applyFill="1" applyBorder="1" applyAlignment="1">
      <alignment horizontal="right" vertical="center"/>
    </xf>
    <xf numFmtId="37" fontId="3" fillId="3" borderId="4" xfId="0" applyNumberFormat="1" applyFont="1" applyFill="1" applyBorder="1" applyAlignment="1">
      <alignment horizontal="right" vertical="center"/>
    </xf>
    <xf numFmtId="37" fontId="3" fillId="3" borderId="10" xfId="0" applyNumberFormat="1" applyFont="1" applyFill="1" applyBorder="1" applyAlignment="1">
      <alignment vertical="center"/>
    </xf>
    <xf numFmtId="0" fontId="3" fillId="3" borderId="8" xfId="0" applyFont="1" applyFill="1" applyBorder="1" applyAlignment="1">
      <alignment horizontal="right" vertical="center"/>
    </xf>
    <xf numFmtId="0" fontId="3" fillId="3" borderId="10" xfId="0" applyFont="1" applyFill="1" applyBorder="1" applyAlignment="1">
      <alignment horizontal="right" vertical="center"/>
    </xf>
    <xf numFmtId="0" fontId="17" fillId="3" borderId="6" xfId="0" applyFont="1" applyFill="1" applyBorder="1" applyAlignment="1">
      <alignment horizontal="center" vertical="center"/>
    </xf>
    <xf numFmtId="0" fontId="3" fillId="3" borderId="17" xfId="0" applyFont="1" applyFill="1" applyBorder="1" applyAlignment="1">
      <alignment horizontal="right" vertical="center"/>
    </xf>
    <xf numFmtId="0" fontId="17" fillId="3" borderId="13" xfId="0" applyFont="1" applyFill="1" applyBorder="1" applyAlignment="1">
      <alignment horizontal="center" vertical="center"/>
    </xf>
    <xf numFmtId="0" fontId="3" fillId="3" borderId="4" xfId="0" applyFont="1" applyFill="1" applyBorder="1" applyAlignment="1">
      <alignment horizontal="right" vertical="center"/>
    </xf>
    <xf numFmtId="0" fontId="17" fillId="3" borderId="8" xfId="0" applyFont="1" applyFill="1" applyBorder="1" applyAlignment="1">
      <alignment horizontal="center" vertical="center"/>
    </xf>
    <xf numFmtId="0" fontId="3" fillId="3" borderId="12" xfId="0" applyFont="1" applyFill="1" applyBorder="1" applyAlignment="1">
      <alignment horizontal="left" vertical="center"/>
    </xf>
    <xf numFmtId="0" fontId="17" fillId="3" borderId="6" xfId="0" applyFont="1" applyFill="1" applyBorder="1" applyAlignment="1">
      <alignment horizontal="center"/>
    </xf>
    <xf numFmtId="0" fontId="3" fillId="3" borderId="17" xfId="0" applyFont="1" applyFill="1" applyBorder="1" applyAlignment="1">
      <alignment horizontal="right"/>
    </xf>
    <xf numFmtId="0" fontId="17" fillId="3" borderId="13" xfId="0" applyFont="1" applyFill="1" applyBorder="1" applyAlignment="1">
      <alignment horizontal="center"/>
    </xf>
    <xf numFmtId="0" fontId="3" fillId="3" borderId="4" xfId="0" applyFont="1" applyFill="1" applyBorder="1" applyAlignment="1">
      <alignment horizontal="right"/>
    </xf>
    <xf numFmtId="0" fontId="3" fillId="3" borderId="10" xfId="0" applyFont="1" applyFill="1" applyBorder="1"/>
    <xf numFmtId="0" fontId="3" fillId="3" borderId="12" xfId="0" applyFont="1" applyFill="1" applyBorder="1" applyAlignment="1">
      <alignment horizontal="left"/>
    </xf>
    <xf numFmtId="3" fontId="3" fillId="3" borderId="18" xfId="0" applyNumberFormat="1" applyFont="1" applyFill="1" applyBorder="1" applyAlignment="1">
      <alignment vertical="center"/>
    </xf>
    <xf numFmtId="3" fontId="3" fillId="3" borderId="8" xfId="0" applyNumberFormat="1" applyFont="1" applyFill="1" applyBorder="1" applyAlignment="1">
      <alignment vertical="center"/>
    </xf>
    <xf numFmtId="0" fontId="43" fillId="0" borderId="0" xfId="18" applyFont="1" applyAlignment="1" applyProtection="1"/>
    <xf numFmtId="37" fontId="19" fillId="3" borderId="0" xfId="0" applyNumberFormat="1" applyFont="1" applyFill="1" applyAlignment="1">
      <alignment horizontal="left" vertical="center"/>
    </xf>
    <xf numFmtId="0" fontId="29" fillId="0" borderId="0" xfId="0" applyFont="1" applyAlignment="1">
      <alignment horizontal="center" vertical="center" wrapText="1"/>
    </xf>
    <xf numFmtId="0" fontId="42" fillId="0" borderId="0" xfId="0" applyFont="1" applyAlignment="1">
      <alignment horizontal="center" vertical="center" wrapText="1"/>
    </xf>
    <xf numFmtId="0" fontId="50" fillId="0" borderId="0" xfId="0" applyFont="1" applyAlignment="1">
      <alignment vertical="center" wrapText="1"/>
    </xf>
    <xf numFmtId="0" fontId="51"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indent="2"/>
    </xf>
    <xf numFmtId="0" fontId="3" fillId="0" borderId="0" xfId="0" applyFont="1" applyAlignment="1">
      <alignment horizontal="left" vertical="center" wrapText="1"/>
    </xf>
    <xf numFmtId="0" fontId="3" fillId="0" borderId="0" xfId="0" applyFont="1" applyAlignment="1">
      <alignment horizontal="left" vertical="center" indent="2"/>
    </xf>
    <xf numFmtId="0" fontId="52" fillId="0" borderId="0" xfId="0" applyFont="1" applyAlignment="1">
      <alignment horizontal="left" vertical="center" wrapText="1" indent="4"/>
    </xf>
    <xf numFmtId="0" fontId="12" fillId="0" borderId="0" xfId="0" applyFont="1" applyAlignment="1">
      <alignment vertical="center" wrapText="1"/>
    </xf>
    <xf numFmtId="0" fontId="8" fillId="0" borderId="0" xfId="487"/>
    <xf numFmtId="0" fontId="3" fillId="0" borderId="0" xfId="487" applyFont="1"/>
    <xf numFmtId="0" fontId="3" fillId="0" borderId="0" xfId="487" applyFont="1" applyAlignment="1">
      <alignment horizontal="right"/>
    </xf>
    <xf numFmtId="49" fontId="3" fillId="0" borderId="0" xfId="487" applyNumberFormat="1" applyFont="1" applyAlignment="1" applyProtection="1">
      <alignment horizontal="left" vertical="center"/>
      <protection locked="0"/>
    </xf>
    <xf numFmtId="0" fontId="8" fillId="0" borderId="0" xfId="487" applyAlignment="1">
      <alignment horizontal="left"/>
    </xf>
    <xf numFmtId="0" fontId="8" fillId="0" borderId="0" xfId="487" applyAlignment="1">
      <alignment horizontal="right"/>
    </xf>
    <xf numFmtId="0" fontId="3" fillId="0" borderId="0" xfId="487" applyFont="1" applyAlignment="1">
      <alignment horizontal="right" vertical="center"/>
    </xf>
    <xf numFmtId="0" fontId="19" fillId="0" borderId="0" xfId="487" applyFont="1" applyAlignment="1">
      <alignment horizontal="left" vertical="center"/>
    </xf>
    <xf numFmtId="0" fontId="5" fillId="0" borderId="0" xfId="0" applyFont="1" applyAlignment="1">
      <alignment vertical="center" wrapText="1"/>
    </xf>
    <xf numFmtId="0" fontId="3" fillId="0" borderId="8" xfId="0" applyFont="1" applyBorder="1"/>
    <xf numFmtId="0" fontId="3" fillId="0" borderId="0" xfId="0" applyFont="1" applyAlignment="1">
      <alignment horizontal="left" wrapText="1"/>
    </xf>
    <xf numFmtId="173" fontId="3" fillId="3" borderId="1" xfId="0" applyNumberFormat="1" applyFont="1" applyFill="1" applyBorder="1" applyAlignment="1">
      <alignment vertical="center"/>
    </xf>
    <xf numFmtId="173" fontId="3" fillId="2" borderId="1" xfId="0" applyNumberFormat="1" applyFont="1" applyFill="1" applyBorder="1" applyAlignment="1" applyProtection="1">
      <alignment vertical="center"/>
      <protection locked="0"/>
    </xf>
    <xf numFmtId="37" fontId="4" fillId="3" borderId="19" xfId="0" applyNumberFormat="1" applyFont="1" applyFill="1" applyBorder="1" applyAlignment="1">
      <alignment horizontal="left" vertical="center"/>
    </xf>
    <xf numFmtId="0" fontId="3" fillId="3" borderId="20" xfId="0" applyFont="1" applyFill="1" applyBorder="1" applyAlignment="1">
      <alignment vertical="center"/>
    </xf>
    <xf numFmtId="37" fontId="3" fillId="3" borderId="20" xfId="0" applyNumberFormat="1" applyFont="1" applyFill="1" applyBorder="1" applyAlignment="1">
      <alignment horizontal="fill" vertical="center"/>
    </xf>
    <xf numFmtId="37" fontId="3" fillId="3" borderId="7" xfId="0" applyNumberFormat="1" applyFont="1" applyFill="1" applyBorder="1" applyAlignment="1">
      <alignment vertical="center"/>
    </xf>
    <xf numFmtId="3" fontId="4" fillId="3" borderId="0" xfId="0" applyNumberFormat="1" applyFont="1" applyFill="1" applyAlignment="1">
      <alignment horizontal="center" vertical="center"/>
    </xf>
    <xf numFmtId="0" fontId="4" fillId="14" borderId="0" xfId="0" applyFont="1" applyFill="1" applyAlignment="1">
      <alignment vertical="center"/>
    </xf>
    <xf numFmtId="0" fontId="14" fillId="11" borderId="0" xfId="0" applyFont="1" applyFill="1" applyAlignment="1">
      <alignment horizontal="center" vertical="center"/>
    </xf>
    <xf numFmtId="37" fontId="3" fillId="11" borderId="0" xfId="0" applyNumberFormat="1" applyFont="1" applyFill="1" applyAlignment="1">
      <alignment vertical="center"/>
    </xf>
    <xf numFmtId="37" fontId="3" fillId="3" borderId="5" xfId="0" applyNumberFormat="1" applyFont="1" applyFill="1" applyBorder="1" applyAlignment="1">
      <alignment horizontal="left" vertical="center"/>
    </xf>
    <xf numFmtId="172" fontId="3" fillId="3" borderId="1" xfId="0" applyNumberFormat="1" applyFont="1" applyFill="1" applyBorder="1" applyAlignment="1">
      <alignment horizontal="centerContinuous" vertical="center"/>
    </xf>
    <xf numFmtId="172" fontId="3" fillId="3" borderId="1" xfId="0" applyNumberFormat="1" applyFont="1" applyFill="1" applyBorder="1" applyAlignment="1">
      <alignment horizontal="center" vertical="center"/>
    </xf>
    <xf numFmtId="49" fontId="3" fillId="3" borderId="0" xfId="0" applyNumberFormat="1" applyFont="1" applyFill="1" applyAlignment="1" applyProtection="1">
      <alignment horizontal="left" vertical="center"/>
      <protection locked="0"/>
    </xf>
    <xf numFmtId="172" fontId="3" fillId="11" borderId="1" xfId="0" applyNumberFormat="1" applyFont="1" applyFill="1" applyBorder="1" applyAlignment="1">
      <alignment horizontal="center" vertical="center"/>
    </xf>
    <xf numFmtId="170" fontId="3" fillId="3" borderId="14" xfId="0" applyNumberFormat="1" applyFont="1" applyFill="1" applyBorder="1" applyAlignment="1">
      <alignment vertical="center"/>
    </xf>
    <xf numFmtId="37" fontId="3" fillId="3" borderId="19" xfId="0" applyNumberFormat="1" applyFont="1" applyFill="1" applyBorder="1" applyAlignment="1">
      <alignment horizontal="left" vertical="center"/>
    </xf>
    <xf numFmtId="37" fontId="3" fillId="3" borderId="14" xfId="0" applyNumberFormat="1" applyFont="1" applyFill="1" applyBorder="1" applyAlignment="1">
      <alignment horizontal="fill" vertical="center"/>
    </xf>
    <xf numFmtId="37" fontId="3" fillId="3" borderId="14" xfId="0" applyNumberFormat="1" applyFont="1" applyFill="1" applyBorder="1" applyAlignment="1">
      <alignment horizontal="center" vertical="center"/>
    </xf>
    <xf numFmtId="0" fontId="3" fillId="3" borderId="2" xfId="0" applyFont="1" applyFill="1" applyBorder="1" applyAlignment="1" applyProtection="1">
      <alignment vertical="center"/>
      <protection locked="0"/>
    </xf>
    <xf numFmtId="0" fontId="3" fillId="6" borderId="7"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4" fillId="3" borderId="14" xfId="0" applyFont="1" applyFill="1" applyBorder="1" applyAlignment="1">
      <alignment horizontal="center" vertical="center"/>
    </xf>
    <xf numFmtId="3" fontId="4" fillId="3" borderId="14" xfId="0" applyNumberFormat="1" applyFont="1" applyFill="1" applyBorder="1" applyAlignment="1">
      <alignment horizontal="center" vertical="center"/>
    </xf>
    <xf numFmtId="1" fontId="4" fillId="3" borderId="14" xfId="0" applyNumberFormat="1" applyFont="1" applyFill="1" applyBorder="1" applyAlignment="1">
      <alignment horizontal="center" vertical="center"/>
    </xf>
    <xf numFmtId="37" fontId="4" fillId="3" borderId="14" xfId="0" applyNumberFormat="1" applyFont="1" applyFill="1" applyBorder="1" applyAlignment="1">
      <alignment horizontal="center" vertical="center"/>
    </xf>
    <xf numFmtId="3" fontId="4" fillId="12" borderId="14" xfId="0" applyNumberFormat="1" applyFont="1" applyFill="1" applyBorder="1" applyAlignment="1">
      <alignment vertical="center"/>
    </xf>
    <xf numFmtId="37" fontId="3" fillId="3" borderId="14" xfId="0" applyNumberFormat="1"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173" fontId="19" fillId="3" borderId="3" xfId="0" applyNumberFormat="1" applyFont="1" applyFill="1" applyBorder="1" applyAlignment="1">
      <alignment vertical="center"/>
    </xf>
    <xf numFmtId="37" fontId="3" fillId="3" borderId="14" xfId="0" applyNumberFormat="1" applyFont="1" applyFill="1" applyBorder="1" applyAlignment="1">
      <alignment horizontal="left" vertical="center"/>
    </xf>
    <xf numFmtId="170" fontId="3" fillId="3" borderId="14" xfId="0" applyNumberFormat="1" applyFont="1" applyFill="1" applyBorder="1" applyAlignment="1" applyProtection="1">
      <alignment vertical="center"/>
      <protection locked="0"/>
    </xf>
    <xf numFmtId="37" fontId="3" fillId="3" borderId="14"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top"/>
    </xf>
    <xf numFmtId="173" fontId="11" fillId="12" borderId="4" xfId="0" applyNumberFormat="1" applyFont="1" applyFill="1" applyBorder="1" applyAlignment="1">
      <alignment horizontal="center" vertical="center"/>
    </xf>
    <xf numFmtId="0" fontId="39" fillId="11" borderId="0" xfId="0" applyFont="1" applyFill="1" applyAlignment="1">
      <alignment horizontal="center" vertical="center"/>
    </xf>
    <xf numFmtId="0" fontId="0" fillId="11" borderId="13" xfId="0" applyFill="1" applyBorder="1" applyAlignment="1">
      <alignment vertical="center"/>
    </xf>
    <xf numFmtId="173" fontId="11" fillId="11" borderId="4" xfId="0" applyNumberFormat="1" applyFont="1" applyFill="1" applyBorder="1" applyAlignment="1">
      <alignment horizontal="center" vertical="center"/>
    </xf>
    <xf numFmtId="173" fontId="41" fillId="11" borderId="4" xfId="0" applyNumberFormat="1" applyFont="1" applyFill="1" applyBorder="1" applyAlignment="1">
      <alignment horizontal="center" vertical="center"/>
    </xf>
    <xf numFmtId="0" fontId="41" fillId="11" borderId="0" xfId="0" applyFont="1" applyFill="1" applyAlignment="1">
      <alignment horizontal="left" vertical="center"/>
    </xf>
    <xf numFmtId="173" fontId="11" fillId="11" borderId="2" xfId="0" applyNumberFormat="1" applyFont="1" applyFill="1" applyBorder="1" applyAlignment="1">
      <alignment horizontal="center" vertical="center"/>
    </xf>
    <xf numFmtId="0" fontId="12" fillId="0" borderId="0" xfId="0" applyFont="1" applyAlignment="1">
      <alignment horizontal="center"/>
    </xf>
    <xf numFmtId="0" fontId="4" fillId="0" borderId="0" xfId="0" applyFont="1"/>
    <xf numFmtId="0" fontId="3" fillId="0" borderId="0" xfId="0" quotePrefix="1" applyFont="1"/>
    <xf numFmtId="0" fontId="3" fillId="0" borderId="0" xfId="215" applyFont="1"/>
    <xf numFmtId="170" fontId="3" fillId="6" borderId="1" xfId="0" applyNumberFormat="1" applyFont="1" applyFill="1" applyBorder="1" applyAlignment="1" applyProtection="1">
      <alignment vertical="center"/>
      <protection locked="0"/>
    </xf>
    <xf numFmtId="0" fontId="11" fillId="7" borderId="1" xfId="0" applyFont="1" applyFill="1" applyBorder="1" applyAlignment="1">
      <alignment horizontal="center" vertical="center" shrinkToFit="1"/>
    </xf>
    <xf numFmtId="170" fontId="3" fillId="3" borderId="0" xfId="0" applyNumberFormat="1" applyFont="1" applyFill="1" applyAlignment="1">
      <alignment vertical="center"/>
    </xf>
    <xf numFmtId="0" fontId="58" fillId="0" borderId="0" xfId="523" applyFont="1"/>
    <xf numFmtId="0" fontId="58" fillId="0" borderId="0" xfId="523" applyFont="1" applyAlignment="1">
      <alignment horizontal="left" wrapText="1"/>
    </xf>
    <xf numFmtId="0" fontId="58" fillId="0" borderId="0" xfId="523" applyFont="1" applyAlignment="1">
      <alignment horizontal="center" wrapText="1"/>
    </xf>
    <xf numFmtId="0" fontId="58" fillId="0" borderId="0" xfId="523" applyFont="1" applyAlignment="1">
      <alignment horizontal="center"/>
    </xf>
    <xf numFmtId="0" fontId="60" fillId="16" borderId="1" xfId="523" applyFont="1" applyFill="1" applyBorder="1" applyAlignment="1">
      <alignment horizontal="center" vertical="center"/>
    </xf>
    <xf numFmtId="0" fontId="58" fillId="0" borderId="1" xfId="523" applyFont="1" applyBorder="1" applyAlignment="1">
      <alignment horizontal="center"/>
    </xf>
    <xf numFmtId="0" fontId="58" fillId="0" borderId="14" xfId="523" applyFont="1" applyBorder="1" applyAlignment="1">
      <alignment horizontal="center"/>
    </xf>
    <xf numFmtId="0" fontId="61" fillId="0" borderId="3" xfId="523" applyFont="1" applyBorder="1" applyAlignment="1">
      <alignment horizontal="center" vertical="center"/>
    </xf>
    <xf numFmtId="0" fontId="58" fillId="0" borderId="0" xfId="523" applyFont="1" applyAlignment="1">
      <alignment horizontal="right" wrapText="1"/>
    </xf>
    <xf numFmtId="0" fontId="58" fillId="0" borderId="0" xfId="523" applyFont="1" applyAlignment="1">
      <alignment wrapText="1"/>
    </xf>
    <xf numFmtId="0" fontId="64" fillId="0" borderId="0" xfId="0" applyFont="1"/>
    <xf numFmtId="0" fontId="65" fillId="0" borderId="0" xfId="0" applyFont="1"/>
    <xf numFmtId="0" fontId="66" fillId="0" borderId="0" xfId="0" applyFont="1" applyAlignment="1">
      <alignment horizontal="left" vertical="center" readingOrder="1"/>
    </xf>
    <xf numFmtId="0" fontId="67" fillId="0" borderId="0" xfId="0" applyFont="1" applyAlignment="1">
      <alignment horizontal="left" vertical="center" indent="2" readingOrder="1"/>
    </xf>
    <xf numFmtId="0" fontId="67" fillId="0" borderId="8" xfId="0" applyFont="1" applyBorder="1" applyAlignment="1">
      <alignment horizontal="center" vertical="center" readingOrder="1"/>
    </xf>
    <xf numFmtId="0" fontId="68" fillId="0" borderId="0" xfId="0" applyFont="1" applyAlignment="1">
      <alignment horizontal="left" vertical="center" readingOrder="1"/>
    </xf>
    <xf numFmtId="0" fontId="0" fillId="17" borderId="0" xfId="0" applyFill="1"/>
    <xf numFmtId="0" fontId="66" fillId="17" borderId="0" xfId="0" applyFont="1" applyFill="1" applyAlignment="1">
      <alignment horizontal="left" vertical="center" readingOrder="1"/>
    </xf>
    <xf numFmtId="0" fontId="70" fillId="0" borderId="0" xfId="0" applyFont="1" applyAlignment="1">
      <alignment wrapText="1"/>
    </xf>
    <xf numFmtId="0" fontId="1" fillId="0" borderId="0" xfId="0" applyFont="1"/>
    <xf numFmtId="0" fontId="71" fillId="0" borderId="0" xfId="0" applyFont="1" applyAlignment="1">
      <alignment horizontal="left"/>
    </xf>
    <xf numFmtId="0" fontId="58" fillId="0" borderId="0" xfId="0" applyFont="1"/>
    <xf numFmtId="0" fontId="5" fillId="0" borderId="0" xfId="32" applyFont="1" applyAlignment="1">
      <alignment wrapText="1"/>
    </xf>
    <xf numFmtId="0" fontId="3" fillId="0" borderId="0" xfId="32" applyFont="1" applyAlignment="1">
      <alignment vertical="center" wrapText="1"/>
    </xf>
    <xf numFmtId="0" fontId="5" fillId="0" borderId="0" xfId="0" applyFont="1" applyAlignment="1">
      <alignment wrapText="1"/>
    </xf>
    <xf numFmtId="0" fontId="5" fillId="0" borderId="0" xfId="104" applyFont="1" applyAlignment="1">
      <alignment vertical="center" wrapText="1"/>
    </xf>
    <xf numFmtId="0" fontId="3" fillId="0" borderId="0" xfId="104" applyFont="1" applyAlignment="1">
      <alignment vertical="center" wrapText="1"/>
    </xf>
    <xf numFmtId="0" fontId="3" fillId="0" borderId="0" xfId="134" applyFont="1" applyAlignment="1">
      <alignment vertical="center" wrapText="1"/>
    </xf>
    <xf numFmtId="0" fontId="3" fillId="0" borderId="0" xfId="109" applyFont="1" applyAlignment="1">
      <alignment vertical="center" wrapText="1"/>
    </xf>
    <xf numFmtId="0" fontId="3" fillId="0" borderId="0" xfId="481" applyFont="1" applyAlignment="1">
      <alignment vertical="center" wrapText="1"/>
    </xf>
    <xf numFmtId="0" fontId="3" fillId="0" borderId="0" xfId="0" applyFont="1" applyAlignment="1">
      <alignment vertical="top" wrapText="1"/>
    </xf>
    <xf numFmtId="0" fontId="3" fillId="3" borderId="12" xfId="32" applyFont="1" applyFill="1" applyBorder="1" applyAlignment="1">
      <alignment vertical="center" wrapText="1"/>
    </xf>
    <xf numFmtId="0" fontId="2" fillId="0" borderId="6" xfId="32" applyBorder="1" applyAlignment="1">
      <alignment vertical="center" wrapText="1"/>
    </xf>
    <xf numFmtId="0" fontId="2" fillId="0" borderId="17" xfId="32" applyBorder="1" applyAlignment="1">
      <alignment vertical="center" wrapText="1"/>
    </xf>
    <xf numFmtId="0" fontId="2" fillId="0" borderId="13" xfId="32" applyBorder="1" applyAlignment="1">
      <alignment vertical="center" wrapText="1"/>
    </xf>
    <xf numFmtId="0" fontId="2" fillId="0" borderId="4" xfId="32" applyBorder="1" applyAlignment="1">
      <alignment vertical="center" wrapText="1"/>
    </xf>
    <xf numFmtId="0" fontId="2" fillId="0" borderId="10" xfId="32" applyBorder="1" applyAlignment="1">
      <alignment vertical="center" wrapText="1"/>
    </xf>
    <xf numFmtId="0" fontId="3" fillId="6" borderId="2" xfId="0" applyFont="1" applyFill="1" applyBorder="1" applyAlignment="1" applyProtection="1">
      <alignment horizontal="center" vertical="center"/>
      <protection locked="0"/>
    </xf>
    <xf numFmtId="0" fontId="3" fillId="6" borderId="9"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protection locked="0"/>
    </xf>
    <xf numFmtId="37" fontId="3" fillId="3" borderId="0" xfId="0" applyNumberFormat="1" applyFont="1" applyFill="1" applyAlignment="1">
      <alignment horizontal="center" vertical="center" wrapText="1"/>
    </xf>
    <xf numFmtId="0" fontId="0" fillId="3" borderId="0" xfId="0" applyFill="1" applyAlignment="1">
      <alignment horizontal="center" vertical="center" wrapText="1"/>
    </xf>
    <xf numFmtId="37" fontId="3" fillId="7" borderId="7" xfId="0" applyNumberFormat="1" applyFont="1" applyFill="1" applyBorder="1" applyAlignment="1">
      <alignment horizontal="center" vertical="center" wrapText="1"/>
    </xf>
    <xf numFmtId="0" fontId="0" fillId="7" borderId="3" xfId="0" applyFill="1" applyBorder="1" applyAlignment="1">
      <alignment horizontal="center" vertical="center" wrapText="1"/>
    </xf>
    <xf numFmtId="37" fontId="12" fillId="3" borderId="0" xfId="0" applyNumberFormat="1" applyFont="1" applyFill="1" applyAlignment="1">
      <alignment horizontal="center" vertical="center"/>
    </xf>
    <xf numFmtId="0" fontId="1" fillId="0" borderId="0" xfId="0" applyFont="1" applyAlignment="1">
      <alignment horizontal="center" vertical="center"/>
    </xf>
    <xf numFmtId="37" fontId="17" fillId="3" borderId="0" xfId="0" applyNumberFormat="1" applyFont="1" applyFill="1" applyAlignment="1">
      <alignment horizontal="center" vertical="center"/>
    </xf>
    <xf numFmtId="0" fontId="21" fillId="0" borderId="0" xfId="0" applyFont="1" applyAlignment="1">
      <alignment horizontal="center" vertical="center"/>
    </xf>
    <xf numFmtId="37" fontId="4" fillId="3" borderId="0" xfId="32" applyNumberFormat="1" applyFont="1" applyFill="1" applyAlignment="1">
      <alignment vertical="center" wrapText="1"/>
    </xf>
    <xf numFmtId="0" fontId="4" fillId="7" borderId="2" xfId="0" applyFont="1" applyFill="1" applyBorder="1" applyAlignment="1">
      <alignment horizontal="center" vertical="center"/>
    </xf>
    <xf numFmtId="0" fontId="1" fillId="7" borderId="5" xfId="0" applyFont="1" applyFill="1" applyBorder="1" applyAlignment="1">
      <alignment horizontal="center" vertical="center"/>
    </xf>
    <xf numFmtId="0" fontId="3" fillId="7" borderId="7"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14" fillId="3" borderId="0" xfId="0" applyFont="1" applyFill="1" applyAlignment="1">
      <alignment vertical="center"/>
    </xf>
    <xf numFmtId="0" fontId="16" fillId="0" borderId="0" xfId="0" applyFont="1" applyAlignment="1">
      <alignment vertical="center"/>
    </xf>
    <xf numFmtId="0" fontId="54" fillId="15" borderId="0" xfId="487" applyFont="1" applyFill="1" applyAlignment="1">
      <alignment horizontal="center" vertical="center"/>
    </xf>
    <xf numFmtId="0" fontId="55" fillId="15" borderId="0" xfId="487" applyFont="1" applyFill="1" applyAlignment="1">
      <alignment horizontal="center" vertical="center" wrapText="1"/>
    </xf>
    <xf numFmtId="0" fontId="3" fillId="0" borderId="0" xfId="487" applyFont="1" applyAlignment="1">
      <alignment horizontal="center" vertical="center" wrapText="1"/>
    </xf>
    <xf numFmtId="49" fontId="3" fillId="6" borderId="2" xfId="487" applyNumberFormat="1" applyFont="1" applyFill="1" applyBorder="1" applyAlignment="1" applyProtection="1">
      <alignment horizontal="left" vertical="center"/>
      <protection locked="0"/>
    </xf>
    <xf numFmtId="49" fontId="3" fillId="6" borderId="9" xfId="487" applyNumberFormat="1" applyFont="1" applyFill="1" applyBorder="1" applyAlignment="1" applyProtection="1">
      <alignment horizontal="left" vertical="center"/>
      <protection locked="0"/>
    </xf>
    <xf numFmtId="49" fontId="3" fillId="6" borderId="5" xfId="487" applyNumberFormat="1" applyFont="1" applyFill="1" applyBorder="1" applyAlignment="1" applyProtection="1">
      <alignment horizontal="left" vertical="center"/>
      <protection locked="0"/>
    </xf>
    <xf numFmtId="0" fontId="19" fillId="0" borderId="0" xfId="487" applyFont="1" applyAlignment="1">
      <alignment horizontal="center" vertical="top" wrapText="1"/>
    </xf>
    <xf numFmtId="0" fontId="3" fillId="6" borderId="2" xfId="487" applyFont="1" applyFill="1" applyBorder="1" applyAlignment="1" applyProtection="1">
      <alignment horizontal="left" vertical="center"/>
      <protection locked="0"/>
    </xf>
    <xf numFmtId="0" fontId="3" fillId="6" borderId="9" xfId="487" applyFont="1" applyFill="1" applyBorder="1" applyAlignment="1" applyProtection="1">
      <alignment horizontal="left" vertical="center"/>
      <protection locked="0"/>
    </xf>
    <xf numFmtId="0" fontId="3" fillId="6" borderId="5" xfId="487" applyFont="1" applyFill="1" applyBorder="1" applyAlignment="1" applyProtection="1">
      <alignment horizontal="left" vertical="center"/>
      <protection locked="0"/>
    </xf>
    <xf numFmtId="0" fontId="4" fillId="14" borderId="0" xfId="0" applyFont="1" applyFill="1" applyAlignment="1">
      <alignment horizontal="left" vertical="top" wrapText="1"/>
    </xf>
    <xf numFmtId="0" fontId="4" fillId="3" borderId="0" xfId="0" applyFont="1" applyFill="1" applyAlignment="1">
      <alignment horizontal="center" vertical="center"/>
    </xf>
    <xf numFmtId="37" fontId="3" fillId="3" borderId="7" xfId="0" applyNumberFormat="1" applyFont="1" applyFill="1" applyBorder="1" applyAlignment="1">
      <alignment horizontal="center" vertical="center" wrapText="1"/>
    </xf>
    <xf numFmtId="0" fontId="32" fillId="0" borderId="0" xfId="0" applyFont="1" applyAlignment="1">
      <alignment horizontal="center" vertical="center"/>
    </xf>
    <xf numFmtId="37" fontId="3" fillId="3" borderId="0" xfId="0" applyNumberFormat="1" applyFont="1" applyFill="1" applyAlignment="1">
      <alignment horizontal="center" vertical="center"/>
    </xf>
    <xf numFmtId="0" fontId="0" fillId="0" borderId="0" xfId="0" applyAlignment="1">
      <alignment horizontal="center" vertical="center"/>
    </xf>
    <xf numFmtId="37" fontId="3" fillId="3" borderId="1" xfId="0" applyNumberFormat="1" applyFont="1" applyFill="1" applyBorder="1" applyAlignment="1">
      <alignment horizontal="left" vertical="center"/>
    </xf>
    <xf numFmtId="37" fontId="3" fillId="3" borderId="7" xfId="62" applyNumberFormat="1" applyFont="1" applyFill="1" applyBorder="1" applyAlignment="1">
      <alignment horizontal="center" vertical="center" wrapText="1"/>
    </xf>
    <xf numFmtId="37" fontId="3" fillId="3" borderId="3" xfId="62" applyNumberFormat="1" applyFont="1" applyFill="1" applyBorder="1" applyAlignment="1">
      <alignment horizontal="center" vertical="center" wrapText="1"/>
    </xf>
    <xf numFmtId="37" fontId="3" fillId="3" borderId="3" xfId="0" applyNumberFormat="1" applyFont="1" applyFill="1" applyBorder="1" applyAlignment="1">
      <alignment horizontal="center" vertical="center" wrapText="1"/>
    </xf>
    <xf numFmtId="37" fontId="3" fillId="3" borderId="12" xfId="0" applyNumberFormat="1" applyFont="1" applyFill="1" applyBorder="1" applyAlignment="1">
      <alignment horizontal="left" vertical="center"/>
    </xf>
    <xf numFmtId="37" fontId="3" fillId="3" borderId="6" xfId="0" applyNumberFormat="1" applyFont="1" applyFill="1" applyBorder="1" applyAlignment="1">
      <alignment horizontal="left" vertical="center"/>
    </xf>
    <xf numFmtId="3" fontId="3" fillId="6" borderId="7" xfId="0" applyNumberFormat="1" applyFont="1" applyFill="1" applyBorder="1" applyAlignment="1" applyProtection="1">
      <alignment horizontal="center" vertical="center"/>
      <protection locked="0"/>
    </xf>
    <xf numFmtId="3" fontId="3" fillId="6" borderId="3" xfId="0" applyNumberFormat="1" applyFont="1" applyFill="1" applyBorder="1" applyAlignment="1" applyProtection="1">
      <alignment horizontal="center" vertical="center"/>
      <protection locked="0"/>
    </xf>
    <xf numFmtId="0" fontId="3" fillId="3" borderId="0" xfId="0" applyFont="1" applyFill="1" applyAlignment="1">
      <alignment horizontal="center" vertical="center"/>
    </xf>
    <xf numFmtId="37" fontId="3" fillId="3" borderId="2" xfId="0" applyNumberFormat="1" applyFont="1" applyFill="1" applyBorder="1" applyAlignment="1">
      <alignment horizontal="left" vertical="center"/>
    </xf>
    <xf numFmtId="37" fontId="3" fillId="3" borderId="5" xfId="0" applyNumberFormat="1" applyFont="1" applyFill="1" applyBorder="1" applyAlignment="1">
      <alignment horizontal="left" vertical="center"/>
    </xf>
    <xf numFmtId="0" fontId="11" fillId="7" borderId="7" xfId="0" applyFont="1" applyFill="1" applyBorder="1" applyAlignment="1">
      <alignment horizontal="center" vertical="center" wrapText="1"/>
    </xf>
    <xf numFmtId="0" fontId="11" fillId="7" borderId="3" xfId="0" applyFont="1" applyFill="1" applyBorder="1" applyAlignment="1">
      <alignment horizontal="center" vertical="center" wrapText="1"/>
    </xf>
    <xf numFmtId="37" fontId="3" fillId="3" borderId="12" xfId="0" applyNumberFormat="1" applyFont="1" applyFill="1" applyBorder="1" applyAlignment="1">
      <alignment horizontal="center" vertical="center" wrapText="1"/>
    </xf>
    <xf numFmtId="37" fontId="3" fillId="3" borderId="2" xfId="0" applyNumberFormat="1" applyFont="1" applyFill="1" applyBorder="1" applyAlignment="1">
      <alignment horizontal="center" vertical="center"/>
    </xf>
    <xf numFmtId="37" fontId="3" fillId="3" borderId="9" xfId="0" applyNumberFormat="1" applyFont="1" applyFill="1"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37" fontId="4" fillId="3" borderId="0" xfId="32" applyNumberFormat="1" applyFont="1" applyFill="1" applyAlignment="1">
      <alignment horizontal="center" vertical="center"/>
    </xf>
    <xf numFmtId="37" fontId="4" fillId="3" borderId="0" xfId="0" applyNumberFormat="1" applyFont="1" applyFill="1" applyAlignment="1">
      <alignment horizontal="center" vertical="center"/>
    </xf>
    <xf numFmtId="0" fontId="3" fillId="3" borderId="4" xfId="0" applyFont="1" applyFill="1" applyBorder="1" applyAlignment="1">
      <alignment horizontal="center" vertical="center"/>
    </xf>
    <xf numFmtId="0" fontId="0" fillId="0" borderId="10" xfId="0" applyBorder="1" applyAlignment="1">
      <alignment vertical="center"/>
    </xf>
    <xf numFmtId="1" fontId="3" fillId="3" borderId="4" xfId="0" applyNumberFormat="1" applyFont="1" applyFill="1" applyBorder="1" applyAlignment="1">
      <alignment horizontal="center" vertical="center"/>
    </xf>
    <xf numFmtId="0" fontId="0" fillId="0" borderId="10" xfId="0" applyBorder="1" applyAlignment="1">
      <alignment horizontal="center" vertical="center"/>
    </xf>
    <xf numFmtId="0" fontId="3" fillId="8" borderId="0" xfId="521" applyFont="1" applyFill="1" applyAlignment="1">
      <alignment horizontal="center" vertical="center"/>
    </xf>
    <xf numFmtId="0" fontId="3" fillId="11" borderId="0" xfId="0" applyFont="1" applyFill="1" applyAlignment="1">
      <alignment horizontal="center" vertical="center"/>
    </xf>
    <xf numFmtId="0" fontId="39" fillId="3" borderId="12" xfId="42" applyFont="1" applyFill="1" applyBorder="1" applyAlignment="1">
      <alignment horizontal="center" vertical="center"/>
    </xf>
    <xf numFmtId="0" fontId="40" fillId="0" borderId="18" xfId="42" applyFont="1" applyBorder="1" applyAlignment="1">
      <alignment horizontal="center" vertical="center"/>
    </xf>
    <xf numFmtId="0" fontId="2" fillId="0" borderId="6" xfId="42" applyBorder="1" applyAlignment="1">
      <alignment vertical="center"/>
    </xf>
    <xf numFmtId="0" fontId="3" fillId="3" borderId="0" xfId="0" applyFont="1" applyFill="1" applyAlignment="1">
      <alignment horizontal="right" vertical="center"/>
    </xf>
    <xf numFmtId="0" fontId="0" fillId="0" borderId="0" xfId="0" applyAlignment="1">
      <alignment horizontal="right" vertical="center"/>
    </xf>
    <xf numFmtId="3" fontId="3" fillId="3" borderId="18" xfId="66" applyNumberFormat="1" applyFont="1" applyFill="1" applyBorder="1" applyAlignment="1">
      <alignment horizontal="right" vertical="center"/>
    </xf>
    <xf numFmtId="0" fontId="2" fillId="0" borderId="6" xfId="66" applyBorder="1" applyAlignment="1">
      <alignment horizontal="right" vertical="center"/>
    </xf>
    <xf numFmtId="0" fontId="3" fillId="3" borderId="0" xfId="66" applyFont="1" applyFill="1" applyAlignment="1">
      <alignment horizontal="right" vertical="center"/>
    </xf>
    <xf numFmtId="0" fontId="3" fillId="0" borderId="13" xfId="66" applyFont="1" applyBorder="1" applyAlignment="1">
      <alignment horizontal="right" vertical="center"/>
    </xf>
    <xf numFmtId="0" fontId="39" fillId="11" borderId="12" xfId="0" applyFont="1" applyFill="1" applyBorder="1" applyAlignment="1">
      <alignment horizontal="center" vertical="center"/>
    </xf>
    <xf numFmtId="0" fontId="0" fillId="0" borderId="18" xfId="0" applyBorder="1" applyAlignment="1">
      <alignment vertical="center"/>
    </xf>
    <xf numFmtId="0" fontId="0" fillId="0" borderId="6" xfId="0" applyBorder="1" applyAlignment="1">
      <alignment vertical="center"/>
    </xf>
    <xf numFmtId="173" fontId="39" fillId="11" borderId="12" xfId="0" applyNumberFormat="1" applyFont="1" applyFill="1" applyBorder="1" applyAlignment="1">
      <alignment horizontal="center" wrapText="1"/>
    </xf>
    <xf numFmtId="173" fontId="39" fillId="11" borderId="18" xfId="0" applyNumberFormat="1" applyFont="1" applyFill="1" applyBorder="1" applyAlignment="1">
      <alignment horizontal="center" wrapText="1"/>
    </xf>
    <xf numFmtId="173" fontId="39" fillId="11" borderId="6" xfId="0" applyNumberFormat="1" applyFont="1" applyFill="1" applyBorder="1" applyAlignment="1">
      <alignment horizontal="center" wrapText="1"/>
    </xf>
    <xf numFmtId="173" fontId="39" fillId="11" borderId="17" xfId="0" applyNumberFormat="1" applyFont="1" applyFill="1" applyBorder="1" applyAlignment="1">
      <alignment horizontal="center" wrapText="1"/>
    </xf>
    <xf numFmtId="173" fontId="39" fillId="11" borderId="0" xfId="0" applyNumberFormat="1" applyFont="1" applyFill="1" applyAlignment="1">
      <alignment horizontal="center" wrapText="1"/>
    </xf>
    <xf numFmtId="173" fontId="39" fillId="11" borderId="13" xfId="0" applyNumberFormat="1" applyFont="1" applyFill="1" applyBorder="1" applyAlignment="1">
      <alignment horizontal="center" wrapText="1"/>
    </xf>
    <xf numFmtId="0" fontId="3" fillId="11" borderId="17" xfId="0" applyFont="1" applyFill="1" applyBorder="1" applyAlignment="1">
      <alignment horizontal="center" vertical="center" wrapText="1"/>
    </xf>
    <xf numFmtId="0" fontId="3" fillId="11" borderId="0" xfId="0" applyFont="1" applyFill="1" applyAlignment="1">
      <alignment horizontal="center" vertical="center" wrapText="1"/>
    </xf>
    <xf numFmtId="0" fontId="3" fillId="11" borderId="4" xfId="0" applyFont="1" applyFill="1" applyBorder="1" applyAlignment="1">
      <alignment horizontal="center" vertical="center" wrapText="1"/>
    </xf>
    <xf numFmtId="0" fontId="3" fillId="11" borderId="8" xfId="0" applyFont="1" applyFill="1" applyBorder="1" applyAlignment="1">
      <alignment horizontal="center" vertical="center" wrapText="1"/>
    </xf>
    <xf numFmtId="49" fontId="56" fillId="11" borderId="13" xfId="0" applyNumberFormat="1" applyFont="1" applyFill="1" applyBorder="1" applyAlignment="1">
      <alignment horizontal="center" vertical="center"/>
    </xf>
    <xf numFmtId="49" fontId="56" fillId="11" borderId="10" xfId="0" applyNumberFormat="1" applyFont="1" applyFill="1" applyBorder="1" applyAlignment="1">
      <alignment horizontal="center" vertical="center"/>
    </xf>
    <xf numFmtId="0" fontId="53" fillId="0" borderId="18" xfId="0" applyFont="1" applyBorder="1" applyAlignment="1" applyProtection="1">
      <alignment horizontal="center" vertical="center" wrapText="1"/>
      <protection locked="0"/>
    </xf>
    <xf numFmtId="0" fontId="53" fillId="0" borderId="0" xfId="0" applyFont="1" applyAlignment="1" applyProtection="1">
      <alignment horizontal="center" vertical="center" wrapText="1"/>
      <protection locked="0"/>
    </xf>
    <xf numFmtId="0" fontId="14" fillId="8" borderId="0" xfId="0" applyFont="1" applyFill="1" applyAlignment="1">
      <alignment horizontal="center" vertical="center"/>
    </xf>
    <xf numFmtId="0" fontId="3" fillId="8" borderId="0" xfId="0" applyFont="1" applyFill="1" applyAlignment="1">
      <alignment horizontal="center" vertical="center"/>
    </xf>
    <xf numFmtId="0" fontId="0" fillId="0" borderId="18" xfId="0" applyBorder="1" applyAlignment="1">
      <alignment horizontal="center" vertical="center"/>
    </xf>
    <xf numFmtId="0" fontId="0" fillId="0" borderId="6" xfId="0" applyBorder="1"/>
    <xf numFmtId="0" fontId="46" fillId="0" borderId="18" xfId="0" applyFont="1" applyBorder="1" applyAlignment="1">
      <alignment horizontal="center" vertical="center"/>
    </xf>
    <xf numFmtId="0" fontId="3" fillId="8" borderId="0" xfId="0" applyFont="1" applyFill="1" applyAlignment="1">
      <alignment horizontal="right"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4" fillId="14" borderId="0" xfId="0" applyFont="1" applyFill="1" applyAlignment="1">
      <alignment horizontal="center" vertical="center"/>
    </xf>
    <xf numFmtId="0" fontId="12" fillId="11" borderId="12" xfId="62" applyFont="1" applyFill="1" applyBorder="1" applyAlignment="1">
      <alignment horizontal="center"/>
    </xf>
    <xf numFmtId="0" fontId="0" fillId="0" borderId="18" xfId="0" applyBorder="1" applyAlignment="1">
      <alignment horizontal="center"/>
    </xf>
    <xf numFmtId="0" fontId="0" fillId="0" borderId="6" xfId="0" applyBorder="1" applyAlignment="1">
      <alignment horizontal="center"/>
    </xf>
    <xf numFmtId="0" fontId="19" fillId="3" borderId="4" xfId="0" applyFont="1" applyFill="1" applyBorder="1" applyAlignment="1">
      <alignment horizontal="right" vertical="center"/>
    </xf>
    <xf numFmtId="0" fontId="19" fillId="3" borderId="8" xfId="0" applyFont="1" applyFill="1" applyBorder="1" applyAlignment="1">
      <alignment horizontal="right" vertical="center"/>
    </xf>
    <xf numFmtId="0" fontId="19" fillId="3" borderId="10" xfId="0" applyFont="1" applyFill="1" applyBorder="1" applyAlignment="1">
      <alignment horizontal="right"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37" fontId="3" fillId="3" borderId="7" xfId="42" applyNumberFormat="1" applyFont="1" applyFill="1" applyBorder="1" applyAlignment="1">
      <alignment horizontal="center" vertical="center" wrapText="1"/>
    </xf>
    <xf numFmtId="37" fontId="3" fillId="3" borderId="3" xfId="42" applyNumberFormat="1" applyFont="1" applyFill="1" applyBorder="1" applyAlignment="1">
      <alignment horizontal="center" vertical="center" wrapText="1"/>
    </xf>
    <xf numFmtId="0" fontId="54" fillId="11" borderId="6" xfId="0" applyFont="1" applyFill="1" applyBorder="1" applyAlignment="1">
      <alignment horizontal="center" vertical="center" wrapText="1"/>
    </xf>
    <xf numFmtId="0" fontId="55" fillId="11" borderId="10" xfId="0" applyFont="1" applyFill="1" applyBorder="1" applyAlignment="1">
      <alignment horizontal="center" vertical="center" wrapText="1"/>
    </xf>
    <xf numFmtId="37" fontId="3" fillId="3" borderId="18" xfId="0" applyNumberFormat="1" applyFont="1" applyFill="1" applyBorder="1" applyAlignment="1">
      <alignment horizontal="center" vertical="center"/>
    </xf>
    <xf numFmtId="0" fontId="12" fillId="11" borderId="18" xfId="62" applyFont="1" applyFill="1" applyBorder="1" applyAlignment="1">
      <alignment horizontal="center"/>
    </xf>
    <xf numFmtId="0" fontId="12" fillId="11" borderId="6" xfId="62" applyFont="1" applyFill="1" applyBorder="1" applyAlignment="1">
      <alignment horizontal="center"/>
    </xf>
    <xf numFmtId="37" fontId="3" fillId="3" borderId="8" xfId="0" applyNumberFormat="1" applyFont="1" applyFill="1" applyBorder="1" applyAlignment="1" applyProtection="1">
      <alignment horizontal="center" vertical="center"/>
      <protection locked="0"/>
    </xf>
    <xf numFmtId="0" fontId="0" fillId="0" borderId="8" xfId="0" applyBorder="1" applyAlignment="1" applyProtection="1">
      <alignment vertical="center"/>
      <protection locked="0"/>
    </xf>
    <xf numFmtId="0" fontId="4" fillId="11" borderId="12" xfId="0" applyFont="1" applyFill="1" applyBorder="1" applyAlignment="1">
      <alignment horizontal="center" wrapText="1"/>
    </xf>
    <xf numFmtId="0" fontId="12" fillId="11" borderId="18" xfId="0" applyFont="1" applyFill="1" applyBorder="1" applyAlignment="1">
      <alignment horizontal="center" wrapText="1"/>
    </xf>
    <xf numFmtId="0" fontId="12" fillId="11" borderId="4" xfId="0" applyFont="1" applyFill="1" applyBorder="1" applyAlignment="1">
      <alignment horizontal="center" wrapText="1"/>
    </xf>
    <xf numFmtId="0" fontId="12" fillId="11" borderId="8" xfId="0" applyFont="1" applyFill="1" applyBorder="1" applyAlignment="1">
      <alignment horizontal="center" wrapText="1"/>
    </xf>
    <xf numFmtId="37" fontId="3" fillId="3" borderId="18" xfId="0" applyNumberFormat="1" applyFont="1" applyFill="1" applyBorder="1" applyAlignment="1" applyProtection="1">
      <alignment horizontal="center" vertical="center"/>
      <protection locked="0"/>
    </xf>
    <xf numFmtId="0" fontId="0" fillId="0" borderId="18" xfId="0" applyBorder="1" applyAlignment="1" applyProtection="1">
      <alignment vertical="center"/>
      <protection locked="0"/>
    </xf>
    <xf numFmtId="37" fontId="3" fillId="3" borderId="11" xfId="0" applyNumberFormat="1" applyFont="1" applyFill="1" applyBorder="1" applyAlignment="1">
      <alignment horizontal="center" vertical="center" wrapText="1"/>
    </xf>
    <xf numFmtId="37" fontId="3" fillId="3" borderId="1" xfId="0" applyNumberFormat="1" applyFont="1" applyFill="1" applyBorder="1" applyAlignment="1">
      <alignment horizontal="center" vertical="center"/>
    </xf>
    <xf numFmtId="37" fontId="19" fillId="3" borderId="1" xfId="0" applyNumberFormat="1" applyFont="1" applyFill="1" applyBorder="1" applyAlignment="1">
      <alignment horizontal="center" vertical="center" wrapText="1"/>
    </xf>
    <xf numFmtId="37" fontId="4" fillId="3" borderId="7" xfId="0" applyNumberFormat="1" applyFont="1" applyFill="1" applyBorder="1" applyAlignment="1">
      <alignment horizontal="center" vertical="center" wrapText="1"/>
    </xf>
    <xf numFmtId="37" fontId="4" fillId="3" borderId="11" xfId="0" applyNumberFormat="1" applyFont="1" applyFill="1" applyBorder="1" applyAlignment="1">
      <alignment horizontal="center" vertical="center" wrapText="1"/>
    </xf>
    <xf numFmtId="37" fontId="4" fillId="3" borderId="3" xfId="0" applyNumberFormat="1" applyFont="1" applyFill="1" applyBorder="1" applyAlignment="1">
      <alignment horizontal="center" vertical="center" wrapText="1"/>
    </xf>
    <xf numFmtId="37" fontId="3" fillId="3" borderId="7" xfId="42" applyNumberFormat="1" applyFont="1" applyFill="1" applyBorder="1" applyAlignment="1">
      <alignment horizontal="center" wrapText="1"/>
    </xf>
    <xf numFmtId="37" fontId="3" fillId="3" borderId="3" xfId="42" applyNumberFormat="1" applyFont="1" applyFill="1" applyBorder="1" applyAlignment="1">
      <alignment horizontal="center" wrapText="1"/>
    </xf>
    <xf numFmtId="0" fontId="3" fillId="3" borderId="1" xfId="0" applyFont="1" applyFill="1" applyBorder="1" applyAlignment="1">
      <alignment horizontal="center" vertical="center"/>
    </xf>
    <xf numFmtId="49" fontId="3" fillId="3" borderId="0" xfId="0" applyNumberFormat="1" applyFont="1" applyFill="1" applyAlignment="1" applyProtection="1">
      <alignment horizontal="left" vertical="center"/>
      <protection locked="0"/>
    </xf>
    <xf numFmtId="0" fontId="0" fillId="0" borderId="0" xfId="0" applyAlignment="1">
      <alignment vertical="center"/>
    </xf>
    <xf numFmtId="0" fontId="12" fillId="3" borderId="0" xfId="0" applyFont="1" applyFill="1" applyAlignment="1">
      <alignment horizontal="center" vertical="center"/>
    </xf>
    <xf numFmtId="0" fontId="3" fillId="14" borderId="0" xfId="0" applyFont="1" applyFill="1" applyAlignment="1">
      <alignment horizontal="right" vertical="center"/>
    </xf>
    <xf numFmtId="0" fontId="12" fillId="0" borderId="0" xfId="0" applyFont="1" applyAlignment="1">
      <alignment horizontal="center"/>
    </xf>
    <xf numFmtId="0" fontId="4"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center"/>
    </xf>
    <xf numFmtId="0" fontId="58" fillId="0" borderId="2" xfId="523" applyFont="1" applyBorder="1" applyAlignment="1">
      <alignment horizontal="center"/>
    </xf>
    <xf numFmtId="0" fontId="58" fillId="0" borderId="9" xfId="523" applyFont="1" applyBorder="1" applyAlignment="1">
      <alignment horizontal="center"/>
    </xf>
    <xf numFmtId="0" fontId="58" fillId="0" borderId="5" xfId="523" applyFont="1" applyBorder="1" applyAlignment="1">
      <alignment horizontal="center"/>
    </xf>
    <xf numFmtId="0" fontId="57" fillId="0" borderId="0" xfId="523" applyFont="1" applyAlignment="1">
      <alignment horizontal="center"/>
    </xf>
    <xf numFmtId="0" fontId="58" fillId="0" borderId="0" xfId="523" applyFont="1" applyAlignment="1">
      <alignment horizontal="center" wrapText="1"/>
    </xf>
    <xf numFmtId="0" fontId="58" fillId="0" borderId="0" xfId="523" applyFont="1" applyAlignment="1">
      <alignment horizontal="center"/>
    </xf>
    <xf numFmtId="0" fontId="60" fillId="16" borderId="2" xfId="523" applyFont="1" applyFill="1" applyBorder="1" applyAlignment="1">
      <alignment horizontal="center" vertical="center"/>
    </xf>
    <xf numFmtId="0" fontId="60" fillId="16" borderId="9" xfId="523" applyFont="1" applyFill="1" applyBorder="1" applyAlignment="1">
      <alignment horizontal="center" vertical="center"/>
    </xf>
    <xf numFmtId="0" fontId="60" fillId="16" borderId="5" xfId="523" applyFont="1" applyFill="1" applyBorder="1" applyAlignment="1">
      <alignment horizontal="center" vertical="center"/>
    </xf>
    <xf numFmtId="0" fontId="58" fillId="0" borderId="1" xfId="523" applyFont="1" applyBorder="1" applyAlignment="1">
      <alignment horizontal="center"/>
    </xf>
    <xf numFmtId="0" fontId="58" fillId="0" borderId="14" xfId="523" applyFont="1" applyBorder="1" applyAlignment="1">
      <alignment horizontal="center"/>
    </xf>
    <xf numFmtId="0" fontId="61" fillId="0" borderId="3" xfId="523" applyFont="1" applyBorder="1" applyAlignment="1">
      <alignment horizontal="center" vertical="center"/>
    </xf>
    <xf numFmtId="0" fontId="58" fillId="0" borderId="8" xfId="523" applyFont="1" applyBorder="1" applyAlignment="1">
      <alignment horizontal="center" wrapText="1"/>
    </xf>
    <xf numFmtId="0" fontId="3" fillId="0" borderId="0" xfId="0" applyFont="1" applyAlignment="1">
      <alignment horizontal="center" wrapText="1"/>
    </xf>
    <xf numFmtId="0" fontId="4" fillId="0" borderId="0" xfId="0" applyFont="1" applyAlignment="1">
      <alignment wrapText="1"/>
    </xf>
    <xf numFmtId="0" fontId="3" fillId="0" borderId="0" xfId="0" applyFont="1" applyAlignment="1">
      <alignment wrapText="1"/>
    </xf>
    <xf numFmtId="0" fontId="62" fillId="0" borderId="0" xfId="0" quotePrefix="1" applyFont="1" applyAlignment="1">
      <alignment horizontal="center" vertical="center"/>
    </xf>
    <xf numFmtId="0" fontId="62" fillId="0" borderId="0" xfId="0" applyFont="1" applyAlignment="1">
      <alignment horizontal="center" vertical="center"/>
    </xf>
    <xf numFmtId="0" fontId="54" fillId="0" borderId="0" xfId="0" applyFont="1" applyAlignment="1">
      <alignment horizontal="center" vertical="center"/>
    </xf>
    <xf numFmtId="0" fontId="70" fillId="0" borderId="0" xfId="0" applyFont="1" applyAlignment="1">
      <alignment horizontal="center" wrapText="1"/>
    </xf>
    <xf numFmtId="37" fontId="4" fillId="3" borderId="0" xfId="0" applyNumberFormat="1" applyFont="1" applyFill="1" applyAlignment="1">
      <alignment horizontal="right" vertical="center"/>
    </xf>
    <xf numFmtId="37" fontId="3" fillId="3" borderId="0" xfId="0" applyNumberFormat="1" applyFont="1" applyFill="1" applyAlignment="1">
      <alignment horizontal="right" vertical="center"/>
    </xf>
  </cellXfs>
  <cellStyles count="524">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17" xfId="6" xr:uid="{00000000-0005-0000-0000-000005000000}"/>
    <cellStyle name="Comma 2 2" xfId="7" xr:uid="{00000000-0005-0000-0000-000006000000}"/>
    <cellStyle name="Comma 3 2" xfId="8" xr:uid="{00000000-0005-0000-0000-000007000000}"/>
    <cellStyle name="Comma 3 3" xfId="9" xr:uid="{00000000-0005-0000-0000-000008000000}"/>
    <cellStyle name="Comma 4" xfId="10" xr:uid="{00000000-0005-0000-0000-000009000000}"/>
    <cellStyle name="Comma 4 2" xfId="11" xr:uid="{00000000-0005-0000-0000-00000A000000}"/>
    <cellStyle name="Comma 6" xfId="12" xr:uid="{00000000-0005-0000-0000-00000B000000}"/>
    <cellStyle name="Comma 6 2" xfId="13" xr:uid="{00000000-0005-0000-0000-00000C000000}"/>
    <cellStyle name="Comma 7" xfId="14" xr:uid="{00000000-0005-0000-0000-00000D000000}"/>
    <cellStyle name="Comma 7 2" xfId="15" xr:uid="{00000000-0005-0000-0000-00000E000000}"/>
    <cellStyle name="Comma 7 3" xfId="16" xr:uid="{00000000-0005-0000-0000-00000F000000}"/>
    <cellStyle name="Hyperlink 16" xfId="17" xr:uid="{00000000-0005-0000-0000-000010000000}"/>
    <cellStyle name="Hyperlink 2" xfId="18" xr:uid="{00000000-0005-0000-0000-000011000000}"/>
    <cellStyle name="Hyperlink 2 2" xfId="19" xr:uid="{00000000-0005-0000-0000-000012000000}"/>
    <cellStyle name="Hyperlink 2 3" xfId="20" xr:uid="{00000000-0005-0000-0000-000013000000}"/>
    <cellStyle name="Hyperlink 3 2" xfId="21" xr:uid="{00000000-0005-0000-0000-000014000000}"/>
    <cellStyle name="Hyperlink 3 3" xfId="22" xr:uid="{00000000-0005-0000-0000-000015000000}"/>
    <cellStyle name="Hyperlink 3 4" xfId="23" xr:uid="{00000000-0005-0000-0000-000016000000}"/>
    <cellStyle name="Hyperlink 4 2" xfId="24" xr:uid="{00000000-0005-0000-0000-000017000000}"/>
    <cellStyle name="Hyperlink 7" xfId="25" xr:uid="{00000000-0005-0000-0000-000018000000}"/>
    <cellStyle name="Hyperlink 7 2" xfId="26" xr:uid="{00000000-0005-0000-0000-000019000000}"/>
    <cellStyle name="Hyperlink 7 3" xfId="27" xr:uid="{00000000-0005-0000-0000-00001A000000}"/>
    <cellStyle name="Hyperlink 8" xfId="28" xr:uid="{00000000-0005-0000-0000-00001B000000}"/>
    <cellStyle name="Hyperlink 8 2" xfId="29" xr:uid="{00000000-0005-0000-0000-00001C000000}"/>
    <cellStyle name="Normal" xfId="0" builtinId="0"/>
    <cellStyle name="Normal 10" xfId="30" xr:uid="{00000000-0005-0000-0000-00001E000000}"/>
    <cellStyle name="Normal 10 2" xfId="31" xr:uid="{00000000-0005-0000-0000-00001F000000}"/>
    <cellStyle name="Normal 10 2 2" xfId="32" xr:uid="{00000000-0005-0000-0000-000020000000}"/>
    <cellStyle name="Normal 10 2 2 2" xfId="33" xr:uid="{00000000-0005-0000-0000-000021000000}"/>
    <cellStyle name="Normal 10 2 2 3" xfId="34" xr:uid="{00000000-0005-0000-0000-000022000000}"/>
    <cellStyle name="Normal 10 2 3" xfId="35" xr:uid="{00000000-0005-0000-0000-000023000000}"/>
    <cellStyle name="Normal 10 3" xfId="36" xr:uid="{00000000-0005-0000-0000-000024000000}"/>
    <cellStyle name="Normal 10 3 2" xfId="37" xr:uid="{00000000-0005-0000-0000-000025000000}"/>
    <cellStyle name="Normal 10 3 3" xfId="38" xr:uid="{00000000-0005-0000-0000-000026000000}"/>
    <cellStyle name="Normal 10 4" xfId="39" xr:uid="{00000000-0005-0000-0000-000027000000}"/>
    <cellStyle name="Normal 10 4 2" xfId="40" xr:uid="{00000000-0005-0000-0000-000028000000}"/>
    <cellStyle name="Normal 10 4 3" xfId="41" xr:uid="{00000000-0005-0000-0000-000029000000}"/>
    <cellStyle name="Normal 10 5" xfId="42" xr:uid="{00000000-0005-0000-0000-00002A000000}"/>
    <cellStyle name="Normal 10 5 2" xfId="43" xr:uid="{00000000-0005-0000-0000-00002B000000}"/>
    <cellStyle name="Normal 10 5 3" xfId="44" xr:uid="{00000000-0005-0000-0000-00002C000000}"/>
    <cellStyle name="Normal 10 6" xfId="45" xr:uid="{00000000-0005-0000-0000-00002D000000}"/>
    <cellStyle name="Normal 10 6 2" xfId="46" xr:uid="{00000000-0005-0000-0000-00002E000000}"/>
    <cellStyle name="Normal 10 6 3" xfId="47" xr:uid="{00000000-0005-0000-0000-00002F000000}"/>
    <cellStyle name="Normal 10 7" xfId="48" xr:uid="{00000000-0005-0000-0000-000030000000}"/>
    <cellStyle name="Normal 10 7 2" xfId="49" xr:uid="{00000000-0005-0000-0000-000031000000}"/>
    <cellStyle name="Normal 10 7 3" xfId="50" xr:uid="{00000000-0005-0000-0000-000032000000}"/>
    <cellStyle name="Normal 11" xfId="51" xr:uid="{00000000-0005-0000-0000-000033000000}"/>
    <cellStyle name="Normal 11 2" xfId="52" xr:uid="{00000000-0005-0000-0000-000034000000}"/>
    <cellStyle name="Normal 11 2 2" xfId="53" xr:uid="{00000000-0005-0000-0000-000035000000}"/>
    <cellStyle name="Normal 11 2 3" xfId="54" xr:uid="{00000000-0005-0000-0000-000036000000}"/>
    <cellStyle name="Normal 11 3" xfId="55" xr:uid="{00000000-0005-0000-0000-000037000000}"/>
    <cellStyle name="Normal 11 4" xfId="56" xr:uid="{00000000-0005-0000-0000-000038000000}"/>
    <cellStyle name="Normal 11 5" xfId="57" xr:uid="{00000000-0005-0000-0000-000039000000}"/>
    <cellStyle name="Normal 11 5 2" xfId="58" xr:uid="{00000000-0005-0000-0000-00003A000000}"/>
    <cellStyle name="Normal 11 5 3" xfId="59" xr:uid="{00000000-0005-0000-0000-00003B000000}"/>
    <cellStyle name="Normal 11 6" xfId="60" xr:uid="{00000000-0005-0000-0000-00003C000000}"/>
    <cellStyle name="Normal 12" xfId="61" xr:uid="{00000000-0005-0000-0000-00003D000000}"/>
    <cellStyle name="Normal 12 10" xfId="62" xr:uid="{00000000-0005-0000-0000-00003E000000}"/>
    <cellStyle name="Normal 12 11" xfId="63" xr:uid="{00000000-0005-0000-0000-00003F000000}"/>
    <cellStyle name="Normal 12 12" xfId="64" xr:uid="{00000000-0005-0000-0000-000040000000}"/>
    <cellStyle name="Normal 12 13" xfId="65" xr:uid="{00000000-0005-0000-0000-000041000000}"/>
    <cellStyle name="Normal 12 2" xfId="66" xr:uid="{00000000-0005-0000-0000-000042000000}"/>
    <cellStyle name="Normal 12 2 2" xfId="67" xr:uid="{00000000-0005-0000-0000-000043000000}"/>
    <cellStyle name="Normal 12 3" xfId="68" xr:uid="{00000000-0005-0000-0000-000044000000}"/>
    <cellStyle name="Normal 12 4" xfId="69" xr:uid="{00000000-0005-0000-0000-000045000000}"/>
    <cellStyle name="Normal 12 5" xfId="70" xr:uid="{00000000-0005-0000-0000-000046000000}"/>
    <cellStyle name="Normal 12 6" xfId="71" xr:uid="{00000000-0005-0000-0000-000047000000}"/>
    <cellStyle name="Normal 12 7" xfId="72" xr:uid="{00000000-0005-0000-0000-000048000000}"/>
    <cellStyle name="Normal 12 8" xfId="73" xr:uid="{00000000-0005-0000-0000-000049000000}"/>
    <cellStyle name="Normal 12 9" xfId="74" xr:uid="{00000000-0005-0000-0000-00004A000000}"/>
    <cellStyle name="Normal 13" xfId="75" xr:uid="{00000000-0005-0000-0000-00004B000000}"/>
    <cellStyle name="Normal 13 10" xfId="76" xr:uid="{00000000-0005-0000-0000-00004C000000}"/>
    <cellStyle name="Normal 13 11" xfId="77" xr:uid="{00000000-0005-0000-0000-00004D000000}"/>
    <cellStyle name="Normal 13 12" xfId="78" xr:uid="{00000000-0005-0000-0000-00004E000000}"/>
    <cellStyle name="Normal 13 13" xfId="79" xr:uid="{00000000-0005-0000-0000-00004F000000}"/>
    <cellStyle name="Normal 13 2" xfId="80" xr:uid="{00000000-0005-0000-0000-000050000000}"/>
    <cellStyle name="Normal 13 2 2" xfId="81" xr:uid="{00000000-0005-0000-0000-000051000000}"/>
    <cellStyle name="Normal 13 3" xfId="82" xr:uid="{00000000-0005-0000-0000-000052000000}"/>
    <cellStyle name="Normal 13 4" xfId="83" xr:uid="{00000000-0005-0000-0000-000053000000}"/>
    <cellStyle name="Normal 13 5" xfId="84" xr:uid="{00000000-0005-0000-0000-000054000000}"/>
    <cellStyle name="Normal 13 6" xfId="85" xr:uid="{00000000-0005-0000-0000-000055000000}"/>
    <cellStyle name="Normal 13 7" xfId="86" xr:uid="{00000000-0005-0000-0000-000056000000}"/>
    <cellStyle name="Normal 13 8" xfId="87" xr:uid="{00000000-0005-0000-0000-000057000000}"/>
    <cellStyle name="Normal 13 9" xfId="88" xr:uid="{00000000-0005-0000-0000-000058000000}"/>
    <cellStyle name="Normal 14" xfId="89" xr:uid="{00000000-0005-0000-0000-000059000000}"/>
    <cellStyle name="Normal 14 2" xfId="90" xr:uid="{00000000-0005-0000-0000-00005A000000}"/>
    <cellStyle name="Normal 14 3" xfId="91" xr:uid="{00000000-0005-0000-0000-00005B000000}"/>
    <cellStyle name="Normal 14 4" xfId="92" xr:uid="{00000000-0005-0000-0000-00005C000000}"/>
    <cellStyle name="Normal 14 5" xfId="93" xr:uid="{00000000-0005-0000-0000-00005D000000}"/>
    <cellStyle name="Normal 14 6" xfId="94" xr:uid="{00000000-0005-0000-0000-00005E000000}"/>
    <cellStyle name="Normal 14 7" xfId="95" xr:uid="{00000000-0005-0000-0000-00005F000000}"/>
    <cellStyle name="Normal 14 7 2" xfId="96" xr:uid="{00000000-0005-0000-0000-000060000000}"/>
    <cellStyle name="Normal 14 7 3" xfId="97" xr:uid="{00000000-0005-0000-0000-000061000000}"/>
    <cellStyle name="Normal 15" xfId="98" xr:uid="{00000000-0005-0000-0000-000062000000}"/>
    <cellStyle name="Normal 15 2" xfId="99" xr:uid="{00000000-0005-0000-0000-000063000000}"/>
    <cellStyle name="Normal 15 3" xfId="100" xr:uid="{00000000-0005-0000-0000-000064000000}"/>
    <cellStyle name="Normal 15 4" xfId="101" xr:uid="{00000000-0005-0000-0000-000065000000}"/>
    <cellStyle name="Normal 15 5" xfId="102" xr:uid="{00000000-0005-0000-0000-000066000000}"/>
    <cellStyle name="Normal 16" xfId="103" xr:uid="{00000000-0005-0000-0000-000067000000}"/>
    <cellStyle name="Normal 16 2" xfId="104" xr:uid="{00000000-0005-0000-0000-000068000000}"/>
    <cellStyle name="Normal 16 3" xfId="105" xr:uid="{00000000-0005-0000-0000-000069000000}"/>
    <cellStyle name="Normal 16 4" xfId="106" xr:uid="{00000000-0005-0000-0000-00006A000000}"/>
    <cellStyle name="Normal 16 5" xfId="107" xr:uid="{00000000-0005-0000-0000-00006B000000}"/>
    <cellStyle name="Normal 17" xfId="108" xr:uid="{00000000-0005-0000-0000-00006C000000}"/>
    <cellStyle name="Normal 17 2" xfId="109" xr:uid="{00000000-0005-0000-0000-00006D000000}"/>
    <cellStyle name="Normal 17 3" xfId="110" xr:uid="{00000000-0005-0000-0000-00006E000000}"/>
    <cellStyle name="Normal 17 4" xfId="111" xr:uid="{00000000-0005-0000-0000-00006F000000}"/>
    <cellStyle name="Normal 17 5" xfId="112" xr:uid="{00000000-0005-0000-0000-000070000000}"/>
    <cellStyle name="Normal 18 2" xfId="113" xr:uid="{00000000-0005-0000-0000-000071000000}"/>
    <cellStyle name="Normal 18 2 2" xfId="114" xr:uid="{00000000-0005-0000-0000-000072000000}"/>
    <cellStyle name="Normal 18 2 3" xfId="115" xr:uid="{00000000-0005-0000-0000-000073000000}"/>
    <cellStyle name="Normal 18 3" xfId="116" xr:uid="{00000000-0005-0000-0000-000074000000}"/>
    <cellStyle name="Normal 18 4" xfId="117" xr:uid="{00000000-0005-0000-0000-000075000000}"/>
    <cellStyle name="Normal 18 5" xfId="118" xr:uid="{00000000-0005-0000-0000-000076000000}"/>
    <cellStyle name="Normal 18 6" xfId="119" xr:uid="{00000000-0005-0000-0000-000077000000}"/>
    <cellStyle name="Normal 18 7" xfId="120" xr:uid="{00000000-0005-0000-0000-000078000000}"/>
    <cellStyle name="Normal 18 8" xfId="121" xr:uid="{00000000-0005-0000-0000-000079000000}"/>
    <cellStyle name="Normal 18 9" xfId="122" xr:uid="{00000000-0005-0000-0000-00007A000000}"/>
    <cellStyle name="Normal 19" xfId="123" xr:uid="{00000000-0005-0000-0000-00007B000000}"/>
    <cellStyle name="Normal 19 2" xfId="124" xr:uid="{00000000-0005-0000-0000-00007C000000}"/>
    <cellStyle name="Normal 19 2 2" xfId="125" xr:uid="{00000000-0005-0000-0000-00007D000000}"/>
    <cellStyle name="Normal 19 2 3" xfId="126" xr:uid="{00000000-0005-0000-0000-00007E000000}"/>
    <cellStyle name="Normal 19 3" xfId="127" xr:uid="{00000000-0005-0000-0000-00007F000000}"/>
    <cellStyle name="Normal 19 4" xfId="128" xr:uid="{00000000-0005-0000-0000-000080000000}"/>
    <cellStyle name="Normal 19 5" xfId="129" xr:uid="{00000000-0005-0000-0000-000081000000}"/>
    <cellStyle name="Normal 19 6" xfId="130" xr:uid="{00000000-0005-0000-0000-000082000000}"/>
    <cellStyle name="Normal 19 7" xfId="131" xr:uid="{00000000-0005-0000-0000-000083000000}"/>
    <cellStyle name="Normal 19 8" xfId="132" xr:uid="{00000000-0005-0000-0000-000084000000}"/>
    <cellStyle name="Normal 2" xfId="133" xr:uid="{00000000-0005-0000-0000-000085000000}"/>
    <cellStyle name="Normal 2 10" xfId="134" xr:uid="{00000000-0005-0000-0000-000086000000}"/>
    <cellStyle name="Normal 2 10 10" xfId="135" xr:uid="{00000000-0005-0000-0000-000087000000}"/>
    <cellStyle name="Normal 2 10 11" xfId="136" xr:uid="{00000000-0005-0000-0000-000088000000}"/>
    <cellStyle name="Normal 2 10 11 2" xfId="137" xr:uid="{00000000-0005-0000-0000-000089000000}"/>
    <cellStyle name="Normal 2 10 11 2 2" xfId="138" xr:uid="{00000000-0005-0000-0000-00008A000000}"/>
    <cellStyle name="Normal 2 10 11 2 2 2" xfId="139" xr:uid="{00000000-0005-0000-0000-00008B000000}"/>
    <cellStyle name="Normal 2 10 11 2 2 3" xfId="140" xr:uid="{00000000-0005-0000-0000-00008C000000}"/>
    <cellStyle name="Normal 2 10 11 3" xfId="141" xr:uid="{00000000-0005-0000-0000-00008D000000}"/>
    <cellStyle name="Normal 2 10 11 4" xfId="142" xr:uid="{00000000-0005-0000-0000-00008E000000}"/>
    <cellStyle name="Normal 2 10 11 5" xfId="143" xr:uid="{00000000-0005-0000-0000-00008F000000}"/>
    <cellStyle name="Normal 2 10 12" xfId="144" xr:uid="{00000000-0005-0000-0000-000090000000}"/>
    <cellStyle name="Normal 2 10 2" xfId="145" xr:uid="{00000000-0005-0000-0000-000091000000}"/>
    <cellStyle name="Normal 2 10 2 2" xfId="146" xr:uid="{00000000-0005-0000-0000-000092000000}"/>
    <cellStyle name="Normal 2 10 3" xfId="147" xr:uid="{00000000-0005-0000-0000-000093000000}"/>
    <cellStyle name="Normal 2 10 3 2" xfId="148" xr:uid="{00000000-0005-0000-0000-000094000000}"/>
    <cellStyle name="Normal 2 10 4" xfId="149" xr:uid="{00000000-0005-0000-0000-000095000000}"/>
    <cellStyle name="Normal 2 10 4 2" xfId="150" xr:uid="{00000000-0005-0000-0000-000096000000}"/>
    <cellStyle name="Normal 2 10 5" xfId="151" xr:uid="{00000000-0005-0000-0000-000097000000}"/>
    <cellStyle name="Normal 2 10 5 2" xfId="152" xr:uid="{00000000-0005-0000-0000-000098000000}"/>
    <cellStyle name="Normal 2 10 6" xfId="153" xr:uid="{00000000-0005-0000-0000-000099000000}"/>
    <cellStyle name="Normal 2 10 6 2" xfId="154" xr:uid="{00000000-0005-0000-0000-00009A000000}"/>
    <cellStyle name="Normal 2 10 7" xfId="155" xr:uid="{00000000-0005-0000-0000-00009B000000}"/>
    <cellStyle name="Normal 2 10 7 2" xfId="156" xr:uid="{00000000-0005-0000-0000-00009C000000}"/>
    <cellStyle name="Normal 2 10 8" xfId="157" xr:uid="{00000000-0005-0000-0000-00009D000000}"/>
    <cellStyle name="Normal 2 10 8 2" xfId="158" xr:uid="{00000000-0005-0000-0000-00009E000000}"/>
    <cellStyle name="Normal 2 10 9" xfId="159" xr:uid="{00000000-0005-0000-0000-00009F000000}"/>
    <cellStyle name="Normal 2 11" xfId="160" xr:uid="{00000000-0005-0000-0000-0000A0000000}"/>
    <cellStyle name="Normal 2 11 10" xfId="161" xr:uid="{00000000-0005-0000-0000-0000A1000000}"/>
    <cellStyle name="Normal 2 11 11" xfId="162" xr:uid="{00000000-0005-0000-0000-0000A2000000}"/>
    <cellStyle name="Normal 2 11 2" xfId="163" xr:uid="{00000000-0005-0000-0000-0000A3000000}"/>
    <cellStyle name="Normal 2 11 2 2" xfId="164" xr:uid="{00000000-0005-0000-0000-0000A4000000}"/>
    <cellStyle name="Normal 2 11 3" xfId="165" xr:uid="{00000000-0005-0000-0000-0000A5000000}"/>
    <cellStyle name="Normal 2 11 3 2" xfId="166" xr:uid="{00000000-0005-0000-0000-0000A6000000}"/>
    <cellStyle name="Normal 2 11 4" xfId="167" xr:uid="{00000000-0005-0000-0000-0000A7000000}"/>
    <cellStyle name="Normal 2 11 4 2" xfId="168" xr:uid="{00000000-0005-0000-0000-0000A8000000}"/>
    <cellStyle name="Normal 2 11 5" xfId="169" xr:uid="{00000000-0005-0000-0000-0000A9000000}"/>
    <cellStyle name="Normal 2 11 5 2" xfId="170" xr:uid="{00000000-0005-0000-0000-0000AA000000}"/>
    <cellStyle name="Normal 2 11 6" xfId="171" xr:uid="{00000000-0005-0000-0000-0000AB000000}"/>
    <cellStyle name="Normal 2 11 6 2" xfId="172" xr:uid="{00000000-0005-0000-0000-0000AC000000}"/>
    <cellStyle name="Normal 2 11 7" xfId="173" xr:uid="{00000000-0005-0000-0000-0000AD000000}"/>
    <cellStyle name="Normal 2 11 7 2" xfId="174" xr:uid="{00000000-0005-0000-0000-0000AE000000}"/>
    <cellStyle name="Normal 2 11 8" xfId="175" xr:uid="{00000000-0005-0000-0000-0000AF000000}"/>
    <cellStyle name="Normal 2 11 8 2" xfId="176" xr:uid="{00000000-0005-0000-0000-0000B0000000}"/>
    <cellStyle name="Normal 2 11 9" xfId="177" xr:uid="{00000000-0005-0000-0000-0000B1000000}"/>
    <cellStyle name="Normal 2 12" xfId="178" xr:uid="{00000000-0005-0000-0000-0000B2000000}"/>
    <cellStyle name="Normal 2 13" xfId="179" xr:uid="{00000000-0005-0000-0000-0000B3000000}"/>
    <cellStyle name="Normal 2 14" xfId="180" xr:uid="{00000000-0005-0000-0000-0000B4000000}"/>
    <cellStyle name="Normal 2 15" xfId="181" xr:uid="{00000000-0005-0000-0000-0000B5000000}"/>
    <cellStyle name="Normal 2 16" xfId="182" xr:uid="{00000000-0005-0000-0000-0000B6000000}"/>
    <cellStyle name="Normal 2 17" xfId="183" xr:uid="{00000000-0005-0000-0000-0000B7000000}"/>
    <cellStyle name="Normal 2 17 2" xfId="184" xr:uid="{00000000-0005-0000-0000-0000B8000000}"/>
    <cellStyle name="Normal 2 17 3" xfId="185" xr:uid="{00000000-0005-0000-0000-0000B9000000}"/>
    <cellStyle name="Normal 2 2" xfId="186" xr:uid="{00000000-0005-0000-0000-0000BA000000}"/>
    <cellStyle name="Normal 2 2 10" xfId="187" xr:uid="{00000000-0005-0000-0000-0000BB000000}"/>
    <cellStyle name="Normal 2 2 10 2" xfId="188" xr:uid="{00000000-0005-0000-0000-0000BC000000}"/>
    <cellStyle name="Normal 2 2 11" xfId="189" xr:uid="{00000000-0005-0000-0000-0000BD000000}"/>
    <cellStyle name="Normal 2 2 11 2" xfId="190" xr:uid="{00000000-0005-0000-0000-0000BE000000}"/>
    <cellStyle name="Normal 2 2 12" xfId="191" xr:uid="{00000000-0005-0000-0000-0000BF000000}"/>
    <cellStyle name="Normal 2 2 12 2" xfId="192" xr:uid="{00000000-0005-0000-0000-0000C0000000}"/>
    <cellStyle name="Normal 2 2 12 2 2" xfId="193" xr:uid="{00000000-0005-0000-0000-0000C1000000}"/>
    <cellStyle name="Normal 2 2 12 2 3" xfId="194" xr:uid="{00000000-0005-0000-0000-0000C2000000}"/>
    <cellStyle name="Normal 2 2 12 2 4" xfId="195" xr:uid="{00000000-0005-0000-0000-0000C3000000}"/>
    <cellStyle name="Normal 2 2 12 3" xfId="196" xr:uid="{00000000-0005-0000-0000-0000C4000000}"/>
    <cellStyle name="Normal 2 2 12 4" xfId="197" xr:uid="{00000000-0005-0000-0000-0000C5000000}"/>
    <cellStyle name="Normal 2 2 13" xfId="198" xr:uid="{00000000-0005-0000-0000-0000C6000000}"/>
    <cellStyle name="Normal 2 2 13 2" xfId="199" xr:uid="{00000000-0005-0000-0000-0000C7000000}"/>
    <cellStyle name="Normal 2 2 13 2 2" xfId="200" xr:uid="{00000000-0005-0000-0000-0000C8000000}"/>
    <cellStyle name="Normal 2 2 13 2 3" xfId="201" xr:uid="{00000000-0005-0000-0000-0000C9000000}"/>
    <cellStyle name="Normal 2 2 13 2 4" xfId="202" xr:uid="{00000000-0005-0000-0000-0000CA000000}"/>
    <cellStyle name="Normal 2 2 13 3" xfId="203" xr:uid="{00000000-0005-0000-0000-0000CB000000}"/>
    <cellStyle name="Normal 2 2 13 4" xfId="204" xr:uid="{00000000-0005-0000-0000-0000CC000000}"/>
    <cellStyle name="Normal 2 2 14" xfId="205" xr:uid="{00000000-0005-0000-0000-0000CD000000}"/>
    <cellStyle name="Normal 2 2 14 2" xfId="206" xr:uid="{00000000-0005-0000-0000-0000CE000000}"/>
    <cellStyle name="Normal 2 2 15" xfId="207" xr:uid="{00000000-0005-0000-0000-0000CF000000}"/>
    <cellStyle name="Normal 2 2 15 2" xfId="208" xr:uid="{00000000-0005-0000-0000-0000D0000000}"/>
    <cellStyle name="Normal 2 2 16" xfId="209" xr:uid="{00000000-0005-0000-0000-0000D1000000}"/>
    <cellStyle name="Normal 2 2 16 2" xfId="210" xr:uid="{00000000-0005-0000-0000-0000D2000000}"/>
    <cellStyle name="Normal 2 2 16 3" xfId="211" xr:uid="{00000000-0005-0000-0000-0000D3000000}"/>
    <cellStyle name="Normal 2 2 17" xfId="212" xr:uid="{00000000-0005-0000-0000-0000D4000000}"/>
    <cellStyle name="Normal 2 2 18" xfId="213" xr:uid="{00000000-0005-0000-0000-0000D5000000}"/>
    <cellStyle name="Normal 2 2 19" xfId="214" xr:uid="{00000000-0005-0000-0000-0000D6000000}"/>
    <cellStyle name="Normal 2 2 2" xfId="215" xr:uid="{00000000-0005-0000-0000-0000D7000000}"/>
    <cellStyle name="Normal 2 2 2 2" xfId="216" xr:uid="{00000000-0005-0000-0000-0000D8000000}"/>
    <cellStyle name="Normal 2 2 2 2 2" xfId="217" xr:uid="{00000000-0005-0000-0000-0000D9000000}"/>
    <cellStyle name="Normal 2 2 2 2 3" xfId="218" xr:uid="{00000000-0005-0000-0000-0000DA000000}"/>
    <cellStyle name="Normal 2 2 2 2 3 2" xfId="219" xr:uid="{00000000-0005-0000-0000-0000DB000000}"/>
    <cellStyle name="Normal 2 2 2 2 3 3" xfId="220" xr:uid="{00000000-0005-0000-0000-0000DC000000}"/>
    <cellStyle name="Normal 2 2 2 3" xfId="221" xr:uid="{00000000-0005-0000-0000-0000DD000000}"/>
    <cellStyle name="Normal 2 2 2 3 2" xfId="222" xr:uid="{00000000-0005-0000-0000-0000DE000000}"/>
    <cellStyle name="Normal 2 2 2 3 3" xfId="223" xr:uid="{00000000-0005-0000-0000-0000DF000000}"/>
    <cellStyle name="Normal 2 2 2 3 4" xfId="224" xr:uid="{00000000-0005-0000-0000-0000E0000000}"/>
    <cellStyle name="Normal 2 2 2 4" xfId="225" xr:uid="{00000000-0005-0000-0000-0000E1000000}"/>
    <cellStyle name="Normal 2 2 2 4 2" xfId="226" xr:uid="{00000000-0005-0000-0000-0000E2000000}"/>
    <cellStyle name="Normal 2 2 2 5" xfId="227" xr:uid="{00000000-0005-0000-0000-0000E3000000}"/>
    <cellStyle name="Normal 2 2 2 5 2" xfId="228" xr:uid="{00000000-0005-0000-0000-0000E4000000}"/>
    <cellStyle name="Normal 2 2 2 5 3" xfId="229" xr:uid="{00000000-0005-0000-0000-0000E5000000}"/>
    <cellStyle name="Normal 2 2 2 5 4" xfId="230" xr:uid="{00000000-0005-0000-0000-0000E6000000}"/>
    <cellStyle name="Normal 2 2 2 6" xfId="231" xr:uid="{00000000-0005-0000-0000-0000E7000000}"/>
    <cellStyle name="Normal 2 2 2 6 2" xfId="232" xr:uid="{00000000-0005-0000-0000-0000E8000000}"/>
    <cellStyle name="Normal 2 2 2 7" xfId="233" xr:uid="{00000000-0005-0000-0000-0000E9000000}"/>
    <cellStyle name="Normal 2 2 2 7 2" xfId="234" xr:uid="{00000000-0005-0000-0000-0000EA000000}"/>
    <cellStyle name="Normal 2 2 2 7 3" xfId="235" xr:uid="{00000000-0005-0000-0000-0000EB000000}"/>
    <cellStyle name="Normal 2 2 2 8" xfId="236" xr:uid="{00000000-0005-0000-0000-0000EC000000}"/>
    <cellStyle name="Normal 2 2 20" xfId="237" xr:uid="{00000000-0005-0000-0000-0000ED000000}"/>
    <cellStyle name="Normal 2 2 21" xfId="238" xr:uid="{00000000-0005-0000-0000-0000EE000000}"/>
    <cellStyle name="Normal 2 2 22" xfId="239" xr:uid="{00000000-0005-0000-0000-0000EF000000}"/>
    <cellStyle name="Normal 2 2 3" xfId="240" xr:uid="{00000000-0005-0000-0000-0000F0000000}"/>
    <cellStyle name="Normal 2 2 3 2" xfId="241" xr:uid="{00000000-0005-0000-0000-0000F1000000}"/>
    <cellStyle name="Normal 2 2 4" xfId="242" xr:uid="{00000000-0005-0000-0000-0000F2000000}"/>
    <cellStyle name="Normal 2 2 4 2" xfId="243" xr:uid="{00000000-0005-0000-0000-0000F3000000}"/>
    <cellStyle name="Normal 2 2 5" xfId="244" xr:uid="{00000000-0005-0000-0000-0000F4000000}"/>
    <cellStyle name="Normal 2 2 5 2" xfId="245" xr:uid="{00000000-0005-0000-0000-0000F5000000}"/>
    <cellStyle name="Normal 2 2 6" xfId="246" xr:uid="{00000000-0005-0000-0000-0000F6000000}"/>
    <cellStyle name="Normal 2 2 6 2" xfId="247" xr:uid="{00000000-0005-0000-0000-0000F7000000}"/>
    <cellStyle name="Normal 2 2 7" xfId="248" xr:uid="{00000000-0005-0000-0000-0000F8000000}"/>
    <cellStyle name="Normal 2 2 7 2" xfId="249" xr:uid="{00000000-0005-0000-0000-0000F9000000}"/>
    <cellStyle name="Normal 2 2 8" xfId="250" xr:uid="{00000000-0005-0000-0000-0000FA000000}"/>
    <cellStyle name="Normal 2 2 8 2" xfId="251" xr:uid="{00000000-0005-0000-0000-0000FB000000}"/>
    <cellStyle name="Normal 2 2 9" xfId="252" xr:uid="{00000000-0005-0000-0000-0000FC000000}"/>
    <cellStyle name="Normal 2 2 9 2" xfId="253" xr:uid="{00000000-0005-0000-0000-0000FD000000}"/>
    <cellStyle name="Normal 2 3" xfId="254" xr:uid="{00000000-0005-0000-0000-0000FE000000}"/>
    <cellStyle name="Normal 2 3 10" xfId="255" xr:uid="{00000000-0005-0000-0000-0000FF000000}"/>
    <cellStyle name="Normal 2 3 11" xfId="256" xr:uid="{00000000-0005-0000-0000-000000010000}"/>
    <cellStyle name="Normal 2 3 12" xfId="257" xr:uid="{00000000-0005-0000-0000-000001010000}"/>
    <cellStyle name="Normal 2 3 13" xfId="258" xr:uid="{00000000-0005-0000-0000-000002010000}"/>
    <cellStyle name="Normal 2 3 14" xfId="259" xr:uid="{00000000-0005-0000-0000-000003010000}"/>
    <cellStyle name="Normal 2 3 15" xfId="260" xr:uid="{00000000-0005-0000-0000-000004010000}"/>
    <cellStyle name="Normal 2 3 2" xfId="261" xr:uid="{00000000-0005-0000-0000-000005010000}"/>
    <cellStyle name="Normal 2 3 2 2" xfId="262" xr:uid="{00000000-0005-0000-0000-000006010000}"/>
    <cellStyle name="Normal 2 3 2 2 2" xfId="263" xr:uid="{00000000-0005-0000-0000-000007010000}"/>
    <cellStyle name="Normal 2 3 2 2 3" xfId="264" xr:uid="{00000000-0005-0000-0000-000008010000}"/>
    <cellStyle name="Normal 2 3 2 3" xfId="265" xr:uid="{00000000-0005-0000-0000-000009010000}"/>
    <cellStyle name="Normal 2 3 2 4" xfId="266" xr:uid="{00000000-0005-0000-0000-00000A010000}"/>
    <cellStyle name="Normal 2 3 2 5" xfId="267" xr:uid="{00000000-0005-0000-0000-00000B010000}"/>
    <cellStyle name="Normal 2 3 3" xfId="268" xr:uid="{00000000-0005-0000-0000-00000C010000}"/>
    <cellStyle name="Normal 2 3 3 2" xfId="269" xr:uid="{00000000-0005-0000-0000-00000D010000}"/>
    <cellStyle name="Normal 2 3 3 3" xfId="270" xr:uid="{00000000-0005-0000-0000-00000E010000}"/>
    <cellStyle name="Normal 2 3 4" xfId="271" xr:uid="{00000000-0005-0000-0000-00000F010000}"/>
    <cellStyle name="Normal 2 3 5" xfId="272" xr:uid="{00000000-0005-0000-0000-000010010000}"/>
    <cellStyle name="Normal 2 3 6" xfId="273" xr:uid="{00000000-0005-0000-0000-000011010000}"/>
    <cellStyle name="Normal 2 3 7" xfId="274" xr:uid="{00000000-0005-0000-0000-000012010000}"/>
    <cellStyle name="Normal 2 3 8" xfId="275" xr:uid="{00000000-0005-0000-0000-000013010000}"/>
    <cellStyle name="Normal 2 3 9" xfId="276" xr:uid="{00000000-0005-0000-0000-000014010000}"/>
    <cellStyle name="Normal 2 4" xfId="277" xr:uid="{00000000-0005-0000-0000-000015010000}"/>
    <cellStyle name="Normal 2 4 10" xfId="278" xr:uid="{00000000-0005-0000-0000-000016010000}"/>
    <cellStyle name="Normal 2 4 11" xfId="279" xr:uid="{00000000-0005-0000-0000-000017010000}"/>
    <cellStyle name="Normal 2 4 12" xfId="280" xr:uid="{00000000-0005-0000-0000-000018010000}"/>
    <cellStyle name="Normal 2 4 12 2" xfId="281" xr:uid="{00000000-0005-0000-0000-000019010000}"/>
    <cellStyle name="Normal 2 4 12 3" xfId="282" xr:uid="{00000000-0005-0000-0000-00001A010000}"/>
    <cellStyle name="Normal 2 4 13" xfId="283" xr:uid="{00000000-0005-0000-0000-00001B010000}"/>
    <cellStyle name="Normal 2 4 13 2" xfId="284" xr:uid="{00000000-0005-0000-0000-00001C010000}"/>
    <cellStyle name="Normal 2 4 13 3" xfId="285" xr:uid="{00000000-0005-0000-0000-00001D010000}"/>
    <cellStyle name="Normal 2 4 2" xfId="286" xr:uid="{00000000-0005-0000-0000-00001E010000}"/>
    <cellStyle name="Normal 2 4 2 2" xfId="287" xr:uid="{00000000-0005-0000-0000-00001F010000}"/>
    <cellStyle name="Normal 2 4 2 2 2" xfId="288" xr:uid="{00000000-0005-0000-0000-000020010000}"/>
    <cellStyle name="Normal 2 4 2 2 3" xfId="289" xr:uid="{00000000-0005-0000-0000-000021010000}"/>
    <cellStyle name="Normal 2 4 2 3" xfId="290" xr:uid="{00000000-0005-0000-0000-000022010000}"/>
    <cellStyle name="Normal 2 4 2 4" xfId="291" xr:uid="{00000000-0005-0000-0000-000023010000}"/>
    <cellStyle name="Normal 2 4 2 5" xfId="292" xr:uid="{00000000-0005-0000-0000-000024010000}"/>
    <cellStyle name="Normal 2 4 3" xfId="293" xr:uid="{00000000-0005-0000-0000-000025010000}"/>
    <cellStyle name="Normal 2 4 3 2" xfId="294" xr:uid="{00000000-0005-0000-0000-000026010000}"/>
    <cellStyle name="Normal 2 4 3 3" xfId="295" xr:uid="{00000000-0005-0000-0000-000027010000}"/>
    <cellStyle name="Normal 2 4 4" xfId="296" xr:uid="{00000000-0005-0000-0000-000028010000}"/>
    <cellStyle name="Normal 2 4 5" xfId="297" xr:uid="{00000000-0005-0000-0000-000029010000}"/>
    <cellStyle name="Normal 2 4 6" xfId="298" xr:uid="{00000000-0005-0000-0000-00002A010000}"/>
    <cellStyle name="Normal 2 4 7" xfId="299" xr:uid="{00000000-0005-0000-0000-00002B010000}"/>
    <cellStyle name="Normal 2 4 8" xfId="300" xr:uid="{00000000-0005-0000-0000-00002C010000}"/>
    <cellStyle name="Normal 2 4 9" xfId="301" xr:uid="{00000000-0005-0000-0000-00002D010000}"/>
    <cellStyle name="Normal 2 5" xfId="302" xr:uid="{00000000-0005-0000-0000-00002E010000}"/>
    <cellStyle name="Normal 2 5 10" xfId="303" xr:uid="{00000000-0005-0000-0000-00002F010000}"/>
    <cellStyle name="Normal 2 5 11" xfId="304" xr:uid="{00000000-0005-0000-0000-000030010000}"/>
    <cellStyle name="Normal 2 5 12" xfId="305" xr:uid="{00000000-0005-0000-0000-000031010000}"/>
    <cellStyle name="Normal 2 5 12 2" xfId="306" xr:uid="{00000000-0005-0000-0000-000032010000}"/>
    <cellStyle name="Normal 2 5 12 3" xfId="307" xr:uid="{00000000-0005-0000-0000-000033010000}"/>
    <cellStyle name="Normal 2 5 2" xfId="308" xr:uid="{00000000-0005-0000-0000-000034010000}"/>
    <cellStyle name="Normal 2 5 2 2" xfId="309" xr:uid="{00000000-0005-0000-0000-000035010000}"/>
    <cellStyle name="Normal 2 5 3" xfId="310" xr:uid="{00000000-0005-0000-0000-000036010000}"/>
    <cellStyle name="Normal 2 5 3 2" xfId="311" xr:uid="{00000000-0005-0000-0000-000037010000}"/>
    <cellStyle name="Normal 2 5 4" xfId="312" xr:uid="{00000000-0005-0000-0000-000038010000}"/>
    <cellStyle name="Normal 2 5 5" xfId="313" xr:uid="{00000000-0005-0000-0000-000039010000}"/>
    <cellStyle name="Normal 2 5 6" xfId="314" xr:uid="{00000000-0005-0000-0000-00003A010000}"/>
    <cellStyle name="Normal 2 5 7" xfId="315" xr:uid="{00000000-0005-0000-0000-00003B010000}"/>
    <cellStyle name="Normal 2 5 8" xfId="316" xr:uid="{00000000-0005-0000-0000-00003C010000}"/>
    <cellStyle name="Normal 2 5 9" xfId="317" xr:uid="{00000000-0005-0000-0000-00003D010000}"/>
    <cellStyle name="Normal 2 6" xfId="318" xr:uid="{00000000-0005-0000-0000-00003E010000}"/>
    <cellStyle name="Normal 2 6 10" xfId="319" xr:uid="{00000000-0005-0000-0000-00003F010000}"/>
    <cellStyle name="Normal 2 6 11" xfId="320" xr:uid="{00000000-0005-0000-0000-000040010000}"/>
    <cellStyle name="Normal 2 6 12" xfId="321" xr:uid="{00000000-0005-0000-0000-000041010000}"/>
    <cellStyle name="Normal 2 6 2" xfId="322" xr:uid="{00000000-0005-0000-0000-000042010000}"/>
    <cellStyle name="Normal 2 6 2 2" xfId="323" xr:uid="{00000000-0005-0000-0000-000043010000}"/>
    <cellStyle name="Normal 2 6 3" xfId="324" xr:uid="{00000000-0005-0000-0000-000044010000}"/>
    <cellStyle name="Normal 2 6 3 2" xfId="325" xr:uid="{00000000-0005-0000-0000-000045010000}"/>
    <cellStyle name="Normal 2 6 4" xfId="326" xr:uid="{00000000-0005-0000-0000-000046010000}"/>
    <cellStyle name="Normal 2 6 5" xfId="327" xr:uid="{00000000-0005-0000-0000-000047010000}"/>
    <cellStyle name="Normal 2 6 6" xfId="328" xr:uid="{00000000-0005-0000-0000-000048010000}"/>
    <cellStyle name="Normal 2 6 7" xfId="329" xr:uid="{00000000-0005-0000-0000-000049010000}"/>
    <cellStyle name="Normal 2 6 8" xfId="330" xr:uid="{00000000-0005-0000-0000-00004A010000}"/>
    <cellStyle name="Normal 2 6 9" xfId="331" xr:uid="{00000000-0005-0000-0000-00004B010000}"/>
    <cellStyle name="Normal 2 7" xfId="332" xr:uid="{00000000-0005-0000-0000-00004C010000}"/>
    <cellStyle name="Normal 2 7 10" xfId="333" xr:uid="{00000000-0005-0000-0000-00004D010000}"/>
    <cellStyle name="Normal 2 7 11" xfId="334" xr:uid="{00000000-0005-0000-0000-00004E010000}"/>
    <cellStyle name="Normal 2 7 2" xfId="335" xr:uid="{00000000-0005-0000-0000-00004F010000}"/>
    <cellStyle name="Normal 2 7 2 2" xfId="336" xr:uid="{00000000-0005-0000-0000-000050010000}"/>
    <cellStyle name="Normal 2 7 2 3" xfId="337" xr:uid="{00000000-0005-0000-0000-000051010000}"/>
    <cellStyle name="Normal 2 7 3" xfId="338" xr:uid="{00000000-0005-0000-0000-000052010000}"/>
    <cellStyle name="Normal 2 7 3 2" xfId="339" xr:uid="{00000000-0005-0000-0000-000053010000}"/>
    <cellStyle name="Normal 2 7 4" xfId="340" xr:uid="{00000000-0005-0000-0000-000054010000}"/>
    <cellStyle name="Normal 2 7 4 2" xfId="341" xr:uid="{00000000-0005-0000-0000-000055010000}"/>
    <cellStyle name="Normal 2 7 5" xfId="342" xr:uid="{00000000-0005-0000-0000-000056010000}"/>
    <cellStyle name="Normal 2 7 5 2" xfId="343" xr:uid="{00000000-0005-0000-0000-000057010000}"/>
    <cellStyle name="Normal 2 7 6" xfId="344" xr:uid="{00000000-0005-0000-0000-000058010000}"/>
    <cellStyle name="Normal 2 7 6 2" xfId="345" xr:uid="{00000000-0005-0000-0000-000059010000}"/>
    <cellStyle name="Normal 2 7 7" xfId="346" xr:uid="{00000000-0005-0000-0000-00005A010000}"/>
    <cellStyle name="Normal 2 7 7 2" xfId="347" xr:uid="{00000000-0005-0000-0000-00005B010000}"/>
    <cellStyle name="Normal 2 7 8" xfId="348" xr:uid="{00000000-0005-0000-0000-00005C010000}"/>
    <cellStyle name="Normal 2 7 8 2" xfId="349" xr:uid="{00000000-0005-0000-0000-00005D010000}"/>
    <cellStyle name="Normal 2 7 9" xfId="350" xr:uid="{00000000-0005-0000-0000-00005E010000}"/>
    <cellStyle name="Normal 2 8" xfId="351" xr:uid="{00000000-0005-0000-0000-00005F010000}"/>
    <cellStyle name="Normal 2 8 10" xfId="352" xr:uid="{00000000-0005-0000-0000-000060010000}"/>
    <cellStyle name="Normal 2 8 11" xfId="353" xr:uid="{00000000-0005-0000-0000-000061010000}"/>
    <cellStyle name="Normal 2 8 2" xfId="354" xr:uid="{00000000-0005-0000-0000-000062010000}"/>
    <cellStyle name="Normal 2 8 2 2" xfId="355" xr:uid="{00000000-0005-0000-0000-000063010000}"/>
    <cellStyle name="Normal 2 8 3" xfId="356" xr:uid="{00000000-0005-0000-0000-000064010000}"/>
    <cellStyle name="Normal 2 8 3 2" xfId="357" xr:uid="{00000000-0005-0000-0000-000065010000}"/>
    <cellStyle name="Normal 2 8 4" xfId="358" xr:uid="{00000000-0005-0000-0000-000066010000}"/>
    <cellStyle name="Normal 2 8 4 2" xfId="359" xr:uid="{00000000-0005-0000-0000-000067010000}"/>
    <cellStyle name="Normal 2 8 5" xfId="360" xr:uid="{00000000-0005-0000-0000-000068010000}"/>
    <cellStyle name="Normal 2 8 5 2" xfId="361" xr:uid="{00000000-0005-0000-0000-000069010000}"/>
    <cellStyle name="Normal 2 8 6" xfId="362" xr:uid="{00000000-0005-0000-0000-00006A010000}"/>
    <cellStyle name="Normal 2 8 6 2" xfId="363" xr:uid="{00000000-0005-0000-0000-00006B010000}"/>
    <cellStyle name="Normal 2 8 7" xfId="364" xr:uid="{00000000-0005-0000-0000-00006C010000}"/>
    <cellStyle name="Normal 2 8 7 2" xfId="365" xr:uid="{00000000-0005-0000-0000-00006D010000}"/>
    <cellStyle name="Normal 2 8 8" xfId="366" xr:uid="{00000000-0005-0000-0000-00006E010000}"/>
    <cellStyle name="Normal 2 8 8 2" xfId="367" xr:uid="{00000000-0005-0000-0000-00006F010000}"/>
    <cellStyle name="Normal 2 8 9" xfId="368" xr:uid="{00000000-0005-0000-0000-000070010000}"/>
    <cellStyle name="Normal 2 9" xfId="369" xr:uid="{00000000-0005-0000-0000-000071010000}"/>
    <cellStyle name="Normal 2 9 10" xfId="370" xr:uid="{00000000-0005-0000-0000-000072010000}"/>
    <cellStyle name="Normal 2 9 11" xfId="371" xr:uid="{00000000-0005-0000-0000-000073010000}"/>
    <cellStyle name="Normal 2 9 2" xfId="372" xr:uid="{00000000-0005-0000-0000-000074010000}"/>
    <cellStyle name="Normal 2 9 2 2" xfId="373" xr:uid="{00000000-0005-0000-0000-000075010000}"/>
    <cellStyle name="Normal 2 9 3" xfId="374" xr:uid="{00000000-0005-0000-0000-000076010000}"/>
    <cellStyle name="Normal 2 9 3 2" xfId="375" xr:uid="{00000000-0005-0000-0000-000077010000}"/>
    <cellStyle name="Normal 2 9 4" xfId="376" xr:uid="{00000000-0005-0000-0000-000078010000}"/>
    <cellStyle name="Normal 2 9 4 2" xfId="377" xr:uid="{00000000-0005-0000-0000-000079010000}"/>
    <cellStyle name="Normal 2 9 5" xfId="378" xr:uid="{00000000-0005-0000-0000-00007A010000}"/>
    <cellStyle name="Normal 2 9 5 2" xfId="379" xr:uid="{00000000-0005-0000-0000-00007B010000}"/>
    <cellStyle name="Normal 2 9 6" xfId="380" xr:uid="{00000000-0005-0000-0000-00007C010000}"/>
    <cellStyle name="Normal 2 9 6 2" xfId="381" xr:uid="{00000000-0005-0000-0000-00007D010000}"/>
    <cellStyle name="Normal 2 9 7" xfId="382" xr:uid="{00000000-0005-0000-0000-00007E010000}"/>
    <cellStyle name="Normal 2 9 7 2" xfId="383" xr:uid="{00000000-0005-0000-0000-00007F010000}"/>
    <cellStyle name="Normal 2 9 8" xfId="384" xr:uid="{00000000-0005-0000-0000-000080010000}"/>
    <cellStyle name="Normal 2 9 8 2" xfId="385" xr:uid="{00000000-0005-0000-0000-000081010000}"/>
    <cellStyle name="Normal 2 9 9" xfId="386" xr:uid="{00000000-0005-0000-0000-000082010000}"/>
    <cellStyle name="Normal 20" xfId="387" xr:uid="{00000000-0005-0000-0000-000083010000}"/>
    <cellStyle name="Normal 20 2" xfId="388" xr:uid="{00000000-0005-0000-0000-000084010000}"/>
    <cellStyle name="Normal 20 3" xfId="389" xr:uid="{00000000-0005-0000-0000-000085010000}"/>
    <cellStyle name="Normal 21" xfId="390" xr:uid="{00000000-0005-0000-0000-000086010000}"/>
    <cellStyle name="Normal 21 2" xfId="391" xr:uid="{00000000-0005-0000-0000-000087010000}"/>
    <cellStyle name="Normal 21 2 2" xfId="392" xr:uid="{00000000-0005-0000-0000-000088010000}"/>
    <cellStyle name="Normal 21 2 3" xfId="393" xr:uid="{00000000-0005-0000-0000-000089010000}"/>
    <cellStyle name="Normal 21 3" xfId="394" xr:uid="{00000000-0005-0000-0000-00008A010000}"/>
    <cellStyle name="Normal 21 4" xfId="395" xr:uid="{00000000-0005-0000-0000-00008B010000}"/>
    <cellStyle name="Normal 21 5" xfId="396" xr:uid="{00000000-0005-0000-0000-00008C010000}"/>
    <cellStyle name="Normal 22" xfId="397" xr:uid="{00000000-0005-0000-0000-00008D010000}"/>
    <cellStyle name="Normal 22 2" xfId="398" xr:uid="{00000000-0005-0000-0000-00008E010000}"/>
    <cellStyle name="Normal 22 3" xfId="399" xr:uid="{00000000-0005-0000-0000-00008F010000}"/>
    <cellStyle name="Normal 23" xfId="400" xr:uid="{00000000-0005-0000-0000-000090010000}"/>
    <cellStyle name="Normal 23 2" xfId="401" xr:uid="{00000000-0005-0000-0000-000091010000}"/>
    <cellStyle name="Normal 23 3" xfId="402" xr:uid="{00000000-0005-0000-0000-000092010000}"/>
    <cellStyle name="Normal 24" xfId="403" xr:uid="{00000000-0005-0000-0000-000093010000}"/>
    <cellStyle name="Normal 24 2" xfId="404" xr:uid="{00000000-0005-0000-0000-000094010000}"/>
    <cellStyle name="Normal 24 3" xfId="405" xr:uid="{00000000-0005-0000-0000-000095010000}"/>
    <cellStyle name="Normal 25" xfId="406" xr:uid="{00000000-0005-0000-0000-000096010000}"/>
    <cellStyle name="Normal 25 2" xfId="407" xr:uid="{00000000-0005-0000-0000-000097010000}"/>
    <cellStyle name="Normal 25 3" xfId="408" xr:uid="{00000000-0005-0000-0000-000098010000}"/>
    <cellStyle name="Normal 26" xfId="409" xr:uid="{00000000-0005-0000-0000-000099010000}"/>
    <cellStyle name="Normal 27" xfId="410" xr:uid="{00000000-0005-0000-0000-00009A010000}"/>
    <cellStyle name="Normal 27 2" xfId="411" xr:uid="{00000000-0005-0000-0000-00009B010000}"/>
    <cellStyle name="Normal 3" xfId="412" xr:uid="{00000000-0005-0000-0000-00009C010000}"/>
    <cellStyle name="Normal 3 10" xfId="413" xr:uid="{00000000-0005-0000-0000-00009D010000}"/>
    <cellStyle name="Normal 3 10 2" xfId="414" xr:uid="{00000000-0005-0000-0000-00009E010000}"/>
    <cellStyle name="Normal 3 11" xfId="415" xr:uid="{00000000-0005-0000-0000-00009F010000}"/>
    <cellStyle name="Normal 3 12" xfId="416" xr:uid="{00000000-0005-0000-0000-0000A0010000}"/>
    <cellStyle name="Normal 3 13" xfId="417" xr:uid="{00000000-0005-0000-0000-0000A1010000}"/>
    <cellStyle name="Normal 3 14" xfId="418" xr:uid="{00000000-0005-0000-0000-0000A2010000}"/>
    <cellStyle name="Normal 3 15" xfId="419" xr:uid="{00000000-0005-0000-0000-0000A3010000}"/>
    <cellStyle name="Normal 3 2" xfId="420" xr:uid="{00000000-0005-0000-0000-0000A4010000}"/>
    <cellStyle name="Normal 3 2 2" xfId="421" xr:uid="{00000000-0005-0000-0000-0000A5010000}"/>
    <cellStyle name="Normal 3 2 2 2" xfId="422" xr:uid="{00000000-0005-0000-0000-0000A6010000}"/>
    <cellStyle name="Normal 3 2 2 3" xfId="423" xr:uid="{00000000-0005-0000-0000-0000A7010000}"/>
    <cellStyle name="Normal 3 2 3" xfId="424" xr:uid="{00000000-0005-0000-0000-0000A8010000}"/>
    <cellStyle name="Normal 3 2 4" xfId="425" xr:uid="{00000000-0005-0000-0000-0000A9010000}"/>
    <cellStyle name="Normal 3 2 5" xfId="426" xr:uid="{00000000-0005-0000-0000-0000AA010000}"/>
    <cellStyle name="Normal 3 3" xfId="427" xr:uid="{00000000-0005-0000-0000-0000AB010000}"/>
    <cellStyle name="Normal 3 3 2" xfId="428" xr:uid="{00000000-0005-0000-0000-0000AC010000}"/>
    <cellStyle name="Normal 3 3 2 2" xfId="429" xr:uid="{00000000-0005-0000-0000-0000AD010000}"/>
    <cellStyle name="Normal 3 3 2 3" xfId="430" xr:uid="{00000000-0005-0000-0000-0000AE010000}"/>
    <cellStyle name="Normal 3 3 3" xfId="431" xr:uid="{00000000-0005-0000-0000-0000AF010000}"/>
    <cellStyle name="Normal 3 3 4" xfId="432" xr:uid="{00000000-0005-0000-0000-0000B0010000}"/>
    <cellStyle name="Normal 3 4" xfId="433" xr:uid="{00000000-0005-0000-0000-0000B1010000}"/>
    <cellStyle name="Normal 3 5" xfId="434" xr:uid="{00000000-0005-0000-0000-0000B2010000}"/>
    <cellStyle name="Normal 3 6" xfId="435" xr:uid="{00000000-0005-0000-0000-0000B3010000}"/>
    <cellStyle name="Normal 3 7" xfId="436" xr:uid="{00000000-0005-0000-0000-0000B4010000}"/>
    <cellStyle name="Normal 3 7 2" xfId="437" xr:uid="{00000000-0005-0000-0000-0000B5010000}"/>
    <cellStyle name="Normal 3 7 3" xfId="438" xr:uid="{00000000-0005-0000-0000-0000B6010000}"/>
    <cellStyle name="Normal 3 8" xfId="439" xr:uid="{00000000-0005-0000-0000-0000B7010000}"/>
    <cellStyle name="Normal 3 8 2" xfId="440" xr:uid="{00000000-0005-0000-0000-0000B8010000}"/>
    <cellStyle name="Normal 3 8 3" xfId="441" xr:uid="{00000000-0005-0000-0000-0000B9010000}"/>
    <cellStyle name="Normal 3 9" xfId="442" xr:uid="{00000000-0005-0000-0000-0000BA010000}"/>
    <cellStyle name="Normal 3 9 2" xfId="443" xr:uid="{00000000-0005-0000-0000-0000BB010000}"/>
    <cellStyle name="Normal 3 9 3" xfId="444" xr:uid="{00000000-0005-0000-0000-0000BC010000}"/>
    <cellStyle name="Normal 4" xfId="445" xr:uid="{00000000-0005-0000-0000-0000BD010000}"/>
    <cellStyle name="Normal 4 10" xfId="446" xr:uid="{00000000-0005-0000-0000-0000BE010000}"/>
    <cellStyle name="Normal 4 11" xfId="447" xr:uid="{00000000-0005-0000-0000-0000BF010000}"/>
    <cellStyle name="Normal 4 12" xfId="448" xr:uid="{00000000-0005-0000-0000-0000C0010000}"/>
    <cellStyle name="Normal 4 13" xfId="449" xr:uid="{00000000-0005-0000-0000-0000C1010000}"/>
    <cellStyle name="Normal 4 2" xfId="450" xr:uid="{00000000-0005-0000-0000-0000C2010000}"/>
    <cellStyle name="Normal 4 2 2" xfId="451" xr:uid="{00000000-0005-0000-0000-0000C3010000}"/>
    <cellStyle name="Normal 4 2 2 2" xfId="452" xr:uid="{00000000-0005-0000-0000-0000C4010000}"/>
    <cellStyle name="Normal 4 2 2 3" xfId="453" xr:uid="{00000000-0005-0000-0000-0000C5010000}"/>
    <cellStyle name="Normal 4 2 2 3 2" xfId="454" xr:uid="{00000000-0005-0000-0000-0000C6010000}"/>
    <cellStyle name="Normal 4 2 2 3 3" xfId="455" xr:uid="{00000000-0005-0000-0000-0000C7010000}"/>
    <cellStyle name="Normal 4 2 3" xfId="456" xr:uid="{00000000-0005-0000-0000-0000C8010000}"/>
    <cellStyle name="Normal 4 2 4" xfId="457" xr:uid="{00000000-0005-0000-0000-0000C9010000}"/>
    <cellStyle name="Normal 4 2 5" xfId="458" xr:uid="{00000000-0005-0000-0000-0000CA010000}"/>
    <cellStyle name="Normal 4 3" xfId="459" xr:uid="{00000000-0005-0000-0000-0000CB010000}"/>
    <cellStyle name="Normal 4 3 2" xfId="460" xr:uid="{00000000-0005-0000-0000-0000CC010000}"/>
    <cellStyle name="Normal 4 3 3" xfId="461" xr:uid="{00000000-0005-0000-0000-0000CD010000}"/>
    <cellStyle name="Normal 4 4" xfId="462" xr:uid="{00000000-0005-0000-0000-0000CE010000}"/>
    <cellStyle name="Normal 4 5" xfId="463" xr:uid="{00000000-0005-0000-0000-0000CF010000}"/>
    <cellStyle name="Normal 4 5 2" xfId="464" xr:uid="{00000000-0005-0000-0000-0000D0010000}"/>
    <cellStyle name="Normal 4 5 3" xfId="465" xr:uid="{00000000-0005-0000-0000-0000D1010000}"/>
    <cellStyle name="Normal 4 6" xfId="466" xr:uid="{00000000-0005-0000-0000-0000D2010000}"/>
    <cellStyle name="Normal 4 6 2" xfId="467" xr:uid="{00000000-0005-0000-0000-0000D3010000}"/>
    <cellStyle name="Normal 4 6 3" xfId="468" xr:uid="{00000000-0005-0000-0000-0000D4010000}"/>
    <cellStyle name="Normal 4 7" xfId="469" xr:uid="{00000000-0005-0000-0000-0000D5010000}"/>
    <cellStyle name="Normal 4 8" xfId="470" xr:uid="{00000000-0005-0000-0000-0000D6010000}"/>
    <cellStyle name="Normal 4 9" xfId="471" xr:uid="{00000000-0005-0000-0000-0000D7010000}"/>
    <cellStyle name="Normal 5" xfId="523" xr:uid="{A57EA200-B100-4BB9-BBD5-633DFEB90BED}"/>
    <cellStyle name="Normal 5 2" xfId="472" xr:uid="{00000000-0005-0000-0000-0000D8010000}"/>
    <cellStyle name="Normal 5 3" xfId="473" xr:uid="{00000000-0005-0000-0000-0000D9010000}"/>
    <cellStyle name="Normal 5 3 2" xfId="474" xr:uid="{00000000-0005-0000-0000-0000DA010000}"/>
    <cellStyle name="Normal 5 3 3" xfId="475" xr:uid="{00000000-0005-0000-0000-0000DB010000}"/>
    <cellStyle name="Normal 5 4" xfId="476" xr:uid="{00000000-0005-0000-0000-0000DC010000}"/>
    <cellStyle name="Normal 5 5" xfId="477" xr:uid="{00000000-0005-0000-0000-0000DD010000}"/>
    <cellStyle name="Normal 5 5 2" xfId="478" xr:uid="{00000000-0005-0000-0000-0000DE010000}"/>
    <cellStyle name="Normal 5 5 3" xfId="479" xr:uid="{00000000-0005-0000-0000-0000DF010000}"/>
    <cellStyle name="Normal 5 6" xfId="480" xr:uid="{00000000-0005-0000-0000-0000E0010000}"/>
    <cellStyle name="Normal 6" xfId="481" xr:uid="{00000000-0005-0000-0000-0000E1010000}"/>
    <cellStyle name="Normal 6 2" xfId="482" xr:uid="{00000000-0005-0000-0000-0000E2010000}"/>
    <cellStyle name="Normal 6 3" xfId="483" xr:uid="{00000000-0005-0000-0000-0000E3010000}"/>
    <cellStyle name="Normal 6 4" xfId="484" xr:uid="{00000000-0005-0000-0000-0000E4010000}"/>
    <cellStyle name="Normal 6 5" xfId="485" xr:uid="{00000000-0005-0000-0000-0000E5010000}"/>
    <cellStyle name="Normal 7" xfId="486" xr:uid="{00000000-0005-0000-0000-0000E6010000}"/>
    <cellStyle name="Normal 7 2" xfId="487" xr:uid="{00000000-0005-0000-0000-0000E7010000}"/>
    <cellStyle name="Normal 7 2 2" xfId="488" xr:uid="{00000000-0005-0000-0000-0000E8010000}"/>
    <cellStyle name="Normal 7 2 2 2" xfId="489" xr:uid="{00000000-0005-0000-0000-0000E9010000}"/>
    <cellStyle name="Normal 7 2 2 3" xfId="490" xr:uid="{00000000-0005-0000-0000-0000EA010000}"/>
    <cellStyle name="Normal 7 2 3" xfId="491" xr:uid="{00000000-0005-0000-0000-0000EB010000}"/>
    <cellStyle name="Normal 7 2 4" xfId="492" xr:uid="{00000000-0005-0000-0000-0000EC010000}"/>
    <cellStyle name="Normal 7 2 4 2" xfId="493" xr:uid="{00000000-0005-0000-0000-0000ED010000}"/>
    <cellStyle name="Normal 7 2 4 3" xfId="494" xr:uid="{00000000-0005-0000-0000-0000EE010000}"/>
    <cellStyle name="Normal 7 2 5" xfId="495" xr:uid="{00000000-0005-0000-0000-0000EF010000}"/>
    <cellStyle name="Normal 7 3" xfId="496" xr:uid="{00000000-0005-0000-0000-0000F0010000}"/>
    <cellStyle name="Normal 7 4" xfId="497" xr:uid="{00000000-0005-0000-0000-0000F1010000}"/>
    <cellStyle name="Normal 7 4 2" xfId="498" xr:uid="{00000000-0005-0000-0000-0000F2010000}"/>
    <cellStyle name="Normal 7 4 3" xfId="499" xr:uid="{00000000-0005-0000-0000-0000F3010000}"/>
    <cellStyle name="Normal 7 5" xfId="500" xr:uid="{00000000-0005-0000-0000-0000F4010000}"/>
    <cellStyle name="Normal 7 5 2" xfId="501" xr:uid="{00000000-0005-0000-0000-0000F5010000}"/>
    <cellStyle name="Normal 7 5 3" xfId="502" xr:uid="{00000000-0005-0000-0000-0000F6010000}"/>
    <cellStyle name="Normal 7 5 4" xfId="503" xr:uid="{00000000-0005-0000-0000-0000F7010000}"/>
    <cellStyle name="Normal 7 5 5" xfId="504" xr:uid="{00000000-0005-0000-0000-0000F8010000}"/>
    <cellStyle name="Normal 7 6" xfId="505" xr:uid="{00000000-0005-0000-0000-0000F9010000}"/>
    <cellStyle name="Normal 7 7" xfId="506" xr:uid="{00000000-0005-0000-0000-0000FA010000}"/>
    <cellStyle name="Normal 8 2" xfId="507" xr:uid="{00000000-0005-0000-0000-0000FB010000}"/>
    <cellStyle name="Normal 8 3" xfId="508" xr:uid="{00000000-0005-0000-0000-0000FC010000}"/>
    <cellStyle name="Normal 9" xfId="509" xr:uid="{00000000-0005-0000-0000-0000FD010000}"/>
    <cellStyle name="Normal 9 2" xfId="510" xr:uid="{00000000-0005-0000-0000-0000FE010000}"/>
    <cellStyle name="Normal 9 2 2" xfId="511" xr:uid="{00000000-0005-0000-0000-0000FF010000}"/>
    <cellStyle name="Normal 9 2 3" xfId="512" xr:uid="{00000000-0005-0000-0000-000000020000}"/>
    <cellStyle name="Normal 9 3" xfId="513" xr:uid="{00000000-0005-0000-0000-000001020000}"/>
    <cellStyle name="Normal 9 4" xfId="514" xr:uid="{00000000-0005-0000-0000-000002020000}"/>
    <cellStyle name="Normal 9 5" xfId="515" xr:uid="{00000000-0005-0000-0000-000003020000}"/>
    <cellStyle name="Normal 9 5 2" xfId="516" xr:uid="{00000000-0005-0000-0000-000004020000}"/>
    <cellStyle name="Normal 9 5 3" xfId="517" xr:uid="{00000000-0005-0000-0000-000005020000}"/>
    <cellStyle name="Normal 9 6" xfId="518" xr:uid="{00000000-0005-0000-0000-000006020000}"/>
    <cellStyle name="Normal 9 6 2" xfId="519" xr:uid="{00000000-0005-0000-0000-000007020000}"/>
    <cellStyle name="Normal 9 6 3" xfId="520" xr:uid="{00000000-0005-0000-0000-000008020000}"/>
    <cellStyle name="Normal_debt" xfId="521" xr:uid="{00000000-0005-0000-0000-000009020000}"/>
    <cellStyle name="Normal_lpform" xfId="522" xr:uid="{00000000-0005-0000-0000-00000A020000}"/>
  </cellStyles>
  <dxfs count="343">
    <dxf>
      <font>
        <b/>
        <i val="0"/>
        <color rgb="FFFF0000"/>
      </font>
    </dxf>
    <dxf>
      <font>
        <b/>
        <i val="0"/>
        <color rgb="FFFF0000"/>
      </font>
    </dxf>
    <dxf>
      <font>
        <b/>
        <i val="0"/>
        <strike val="0"/>
      </font>
      <fill>
        <patternFill>
          <bgColor rgb="FFFF0000"/>
        </patternFill>
      </fill>
    </dxf>
    <dxf>
      <font>
        <b/>
        <i val="0"/>
        <strike val="0"/>
        <color rgb="FFFF0000"/>
      </font>
    </dxf>
    <dxf>
      <font>
        <b/>
        <i val="0"/>
        <strike val="0"/>
      </font>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patternType="solid">
          <bgColor rgb="FFFF0000"/>
        </patternFill>
      </fill>
    </dxf>
    <dxf>
      <fill>
        <patternFill>
          <bgColor indexed="10"/>
        </patternFill>
      </fill>
    </dxf>
    <dxf>
      <font>
        <b/>
        <i val="0"/>
        <condense val="0"/>
        <extend val="0"/>
      </font>
      <fill>
        <patternFill>
          <bgColor indexed="10"/>
        </patternFill>
      </fill>
    </dxf>
    <dxf>
      <fill>
        <patternFill>
          <bgColor indexed="10"/>
        </patternFill>
      </fill>
    </dxf>
    <dxf>
      <fill>
        <patternFill patternType="solid">
          <bgColor rgb="FFFF0000"/>
        </patternFill>
      </fill>
    </dxf>
    <dxf>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ont>
        <strike val="0"/>
        <condense val="0"/>
        <extend val="0"/>
      </font>
      <fill>
        <patternFill>
          <bgColor indexed="10"/>
        </patternFill>
      </fill>
    </dxf>
    <dxf>
      <font>
        <color auto="1"/>
      </font>
      <fill>
        <patternFill>
          <bgColor rgb="FFFF0000"/>
        </patternFill>
      </fill>
      <border>
        <left/>
        <right/>
        <top/>
        <bottom/>
        <vertical/>
        <horizontal/>
      </border>
    </dxf>
    <dxf>
      <fill>
        <patternFill>
          <bgColor rgb="FFFF000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F8D6E583-19C3-4869-B735-C0582CA2F61F}"/>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3" name="Text Box 5">
          <a:extLst>
            <a:ext uri="{FF2B5EF4-FFF2-40B4-BE49-F238E27FC236}">
              <a16:creationId xmlns:a16="http://schemas.microsoft.com/office/drawing/2014/main" id="{4AED9868-15C7-42B5-ABA8-B17D5E077EC0}"/>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id="{265478FB-E5B5-49DB-91F1-CE7C1F1D8B2A}"/>
            </a:ext>
          </a:extLst>
        </xdr:cNvPr>
        <xdr:cNvSpPr txBox="1"/>
      </xdr:nvSpPr>
      <xdr:spPr>
        <a:xfrm>
          <a:off x="104775" y="7086600"/>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id="{06AE91D2-ADCC-4397-B62D-EE30421A6E3B}"/>
            </a:ext>
          </a:extLst>
        </xdr:cNvPr>
        <xdr:cNvSpPr txBox="1"/>
      </xdr:nvSpPr>
      <xdr:spPr>
        <a:xfrm>
          <a:off x="104775" y="744855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65A56E77-1F3D-4F3C-9FFD-A65A4025F9FB}"/>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C2B99D08-C1D5-462B-8948-3F5E17FB08C8}"/>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69925138-282C-4E9D-92AD-08985219984B}"/>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83C91712-1913-4EA2-BAEE-70EDB2FD81EF}"/>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F5C872FC-98B8-46D0-8B88-140C4E9F0B34}"/>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0B38E662-2930-4A16-BCCF-A7945CC367EB}"/>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521CC6B1-EE05-4BC3-996A-E93E6FFEBEB5}"/>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CD7964CD-EF8E-4FAF-A43B-0E62D6965470}"/>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C38B98F6-89C4-4BEE-B509-97E0E0A757B0}"/>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9.bin"/><Relationship Id="rId1" Type="http://schemas.openxmlformats.org/officeDocument/2006/relationships/hyperlink" Target="https://pooledmoneyinvestmentboard.com/" TargetMode="Externa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ECCE5-9AD5-4C8A-988A-8944DCCD1E06}">
  <sheetPr codeName="Sheet1">
    <tabColor rgb="FFC00000"/>
  </sheetPr>
  <dimension ref="B1:B109"/>
  <sheetViews>
    <sheetView tabSelected="1" zoomScaleNormal="100" workbookViewId="0"/>
  </sheetViews>
  <sheetFormatPr defaultRowHeight="15.75" x14ac:dyDescent="0.2"/>
  <cols>
    <col min="1" max="1" width="1.21875" style="27" customWidth="1"/>
    <col min="2" max="2" width="84.6640625" style="28" customWidth="1"/>
    <col min="3" max="16384" width="8.88671875" style="27"/>
  </cols>
  <sheetData>
    <row r="1" spans="2:2" ht="39" customHeight="1" x14ac:dyDescent="0.2">
      <c r="B1" s="479" t="s">
        <v>402</v>
      </c>
    </row>
    <row r="2" spans="2:2" ht="12.95" customHeight="1" x14ac:dyDescent="0.2"/>
    <row r="3" spans="2:2" ht="34.5" customHeight="1" x14ac:dyDescent="0.2">
      <c r="B3" s="28" t="s">
        <v>403</v>
      </c>
    </row>
    <row r="4" spans="2:2" ht="12.95" customHeight="1" x14ac:dyDescent="0.2"/>
    <row r="5" spans="2:2" ht="66" customHeight="1" x14ac:dyDescent="0.2">
      <c r="B5" s="28" t="s">
        <v>404</v>
      </c>
    </row>
    <row r="6" spans="2:2" ht="14.45" customHeight="1" x14ac:dyDescent="0.2"/>
    <row r="7" spans="2:2" ht="25.5" customHeight="1" x14ac:dyDescent="0.2">
      <c r="B7" s="480" t="s">
        <v>405</v>
      </c>
    </row>
    <row r="8" spans="2:2" ht="12.95" customHeight="1" x14ac:dyDescent="0.2"/>
    <row r="9" spans="2:2" ht="50.25" x14ac:dyDescent="0.2">
      <c r="B9" s="28" t="s">
        <v>406</v>
      </c>
    </row>
    <row r="10" spans="2:2" ht="12.95" customHeight="1" x14ac:dyDescent="0.2"/>
    <row r="11" spans="2:2" ht="31.5" x14ac:dyDescent="0.2">
      <c r="B11" s="28" t="s">
        <v>407</v>
      </c>
    </row>
    <row r="12" spans="2:2" ht="15" customHeight="1" x14ac:dyDescent="0.2"/>
    <row r="13" spans="2:2" ht="25.5" customHeight="1" x14ac:dyDescent="0.2">
      <c r="B13" s="480" t="s">
        <v>408</v>
      </c>
    </row>
    <row r="14" spans="2:2" ht="12.95" customHeight="1" x14ac:dyDescent="0.2"/>
    <row r="15" spans="2:2" ht="39.75" customHeight="1" x14ac:dyDescent="0.2">
      <c r="B15" s="28" t="s">
        <v>409</v>
      </c>
    </row>
    <row r="16" spans="2:2" ht="12.95" customHeight="1" x14ac:dyDescent="0.2"/>
    <row r="17" spans="2:2" x14ac:dyDescent="0.2">
      <c r="B17" s="481" t="s">
        <v>410</v>
      </c>
    </row>
    <row r="18" spans="2:2" ht="12.95" customHeight="1" x14ac:dyDescent="0.2">
      <c r="B18" s="481"/>
    </row>
    <row r="19" spans="2:2" x14ac:dyDescent="0.2">
      <c r="B19" s="28" t="s">
        <v>411</v>
      </c>
    </row>
    <row r="20" spans="2:2" ht="12.95" customHeight="1" x14ac:dyDescent="0.2"/>
    <row r="21" spans="2:2" ht="67.5" customHeight="1" x14ac:dyDescent="0.2">
      <c r="B21" s="28" t="s">
        <v>412</v>
      </c>
    </row>
    <row r="22" spans="2:2" ht="12.95" customHeight="1" x14ac:dyDescent="0.2">
      <c r="B22" s="482"/>
    </row>
    <row r="23" spans="2:2" ht="15.75" customHeight="1" x14ac:dyDescent="0.2">
      <c r="B23" s="28" t="s">
        <v>413</v>
      </c>
    </row>
    <row r="24" spans="2:2" ht="12.95" customHeight="1" x14ac:dyDescent="0.2">
      <c r="B24" s="482"/>
    </row>
    <row r="25" spans="2:2" ht="15.75" customHeight="1" x14ac:dyDescent="0.2">
      <c r="B25" s="28" t="s">
        <v>414</v>
      </c>
    </row>
    <row r="26" spans="2:2" ht="12.95" customHeight="1" x14ac:dyDescent="0.2"/>
    <row r="27" spans="2:2" ht="49.5" customHeight="1" x14ac:dyDescent="0.2">
      <c r="B27" s="28" t="s">
        <v>415</v>
      </c>
    </row>
    <row r="28" spans="2:2" ht="12.95" customHeight="1" x14ac:dyDescent="0.2"/>
    <row r="29" spans="2:2" ht="25.5" customHeight="1" x14ac:dyDescent="0.2">
      <c r="B29" s="480" t="s">
        <v>416</v>
      </c>
    </row>
    <row r="30" spans="2:2" ht="12.95" customHeight="1" x14ac:dyDescent="0.2">
      <c r="B30" s="483"/>
    </row>
    <row r="31" spans="2:2" ht="50.25" customHeight="1" x14ac:dyDescent="0.2">
      <c r="B31" s="28" t="s">
        <v>417</v>
      </c>
    </row>
    <row r="32" spans="2:2" ht="12.95" customHeight="1" x14ac:dyDescent="0.2"/>
    <row r="33" spans="2:2" ht="49.5" customHeight="1" x14ac:dyDescent="0.2">
      <c r="B33" s="269" t="s">
        <v>418</v>
      </c>
    </row>
    <row r="34" spans="2:2" ht="39.75" customHeight="1" x14ac:dyDescent="0.2">
      <c r="B34" s="484" t="s">
        <v>419</v>
      </c>
    </row>
    <row r="35" spans="2:2" ht="60.75" customHeight="1" x14ac:dyDescent="0.2">
      <c r="B35" s="484" t="s">
        <v>420</v>
      </c>
    </row>
    <row r="36" spans="2:2" ht="61.5" customHeight="1" x14ac:dyDescent="0.2">
      <c r="B36" s="484" t="s">
        <v>421</v>
      </c>
    </row>
    <row r="37" spans="2:2" ht="41.25" customHeight="1" x14ac:dyDescent="0.2">
      <c r="B37" s="484" t="s">
        <v>422</v>
      </c>
    </row>
    <row r="38" spans="2:2" ht="12.95" customHeight="1" x14ac:dyDescent="0.2"/>
    <row r="39" spans="2:2" ht="52.5" customHeight="1" x14ac:dyDescent="0.2">
      <c r="B39" s="269" t="s">
        <v>423</v>
      </c>
    </row>
    <row r="40" spans="2:2" ht="27.75" customHeight="1" x14ac:dyDescent="0.2">
      <c r="B40" s="484" t="s">
        <v>424</v>
      </c>
    </row>
    <row r="41" spans="2:2" ht="57" customHeight="1" x14ac:dyDescent="0.2">
      <c r="B41" s="484" t="s">
        <v>425</v>
      </c>
    </row>
    <row r="42" spans="2:2" ht="105" customHeight="1" x14ac:dyDescent="0.2">
      <c r="B42" s="484" t="s">
        <v>426</v>
      </c>
    </row>
    <row r="43" spans="2:2" s="28" customFormat="1" ht="12.95" customHeight="1" x14ac:dyDescent="0.2"/>
    <row r="44" spans="2:2" ht="47.25" x14ac:dyDescent="0.2">
      <c r="B44" s="269" t="s">
        <v>427</v>
      </c>
    </row>
    <row r="45" spans="2:2" ht="66.75" customHeight="1" x14ac:dyDescent="0.2">
      <c r="B45" s="269" t="s">
        <v>428</v>
      </c>
    </row>
    <row r="46" spans="2:2" ht="72.75" customHeight="1" x14ac:dyDescent="0.2">
      <c r="B46" s="484" t="s">
        <v>429</v>
      </c>
    </row>
    <row r="47" spans="2:2" ht="108" customHeight="1" x14ac:dyDescent="0.2">
      <c r="B47" s="484" t="s">
        <v>430</v>
      </c>
    </row>
    <row r="48" spans="2:2" ht="95.25" customHeight="1" x14ac:dyDescent="0.2">
      <c r="B48" s="484" t="s">
        <v>431</v>
      </c>
    </row>
    <row r="49" spans="2:2" ht="12.95" customHeight="1" x14ac:dyDescent="0.2"/>
    <row r="50" spans="2:2" ht="47.25" x14ac:dyDescent="0.2">
      <c r="B50" s="269" t="s">
        <v>432</v>
      </c>
    </row>
    <row r="51" spans="2:2" ht="38.25" customHeight="1" x14ac:dyDescent="0.2">
      <c r="B51" s="484" t="s">
        <v>433</v>
      </c>
    </row>
    <row r="52" spans="2:2" ht="34.5" customHeight="1" x14ac:dyDescent="0.2">
      <c r="B52" s="484" t="s">
        <v>434</v>
      </c>
    </row>
    <row r="53" spans="2:2" ht="12.95" customHeight="1" x14ac:dyDescent="0.2"/>
    <row r="54" spans="2:2" ht="71.25" customHeight="1" x14ac:dyDescent="0.2">
      <c r="B54" s="269" t="s">
        <v>435</v>
      </c>
    </row>
    <row r="55" spans="2:2" ht="21.75" customHeight="1" x14ac:dyDescent="0.2">
      <c r="B55" s="484" t="s">
        <v>436</v>
      </c>
    </row>
    <row r="56" spans="2:2" ht="12.95" customHeight="1" x14ac:dyDescent="0.2">
      <c r="B56" s="485"/>
    </row>
    <row r="57" spans="2:2" ht="57.75" customHeight="1" x14ac:dyDescent="0.2">
      <c r="B57" s="269" t="s">
        <v>437</v>
      </c>
    </row>
    <row r="58" spans="2:2" ht="41.25" customHeight="1" x14ac:dyDescent="0.2">
      <c r="B58" s="484" t="s">
        <v>438</v>
      </c>
    </row>
    <row r="59" spans="2:2" ht="72" customHeight="1" x14ac:dyDescent="0.2">
      <c r="B59" s="484" t="s">
        <v>439</v>
      </c>
    </row>
    <row r="60" spans="2:2" ht="27" customHeight="1" x14ac:dyDescent="0.2">
      <c r="B60" s="484" t="s">
        <v>440</v>
      </c>
    </row>
    <row r="61" spans="2:2" ht="44.25" customHeight="1" x14ac:dyDescent="0.2">
      <c r="B61" s="484" t="s">
        <v>441</v>
      </c>
    </row>
    <row r="62" spans="2:2" ht="12.95" customHeight="1" x14ac:dyDescent="0.2"/>
    <row r="63" spans="2:2" ht="38.25" customHeight="1" x14ac:dyDescent="0.2">
      <c r="B63" s="269" t="s">
        <v>442</v>
      </c>
    </row>
    <row r="64" spans="2:2" s="486" customFormat="1" ht="30.75" customHeight="1" x14ac:dyDescent="0.2">
      <c r="B64" s="484" t="s">
        <v>443</v>
      </c>
    </row>
    <row r="65" spans="2:2" ht="12.95" customHeight="1" x14ac:dyDescent="0.2"/>
    <row r="66" spans="2:2" ht="52.5" customHeight="1" x14ac:dyDescent="0.2">
      <c r="B66" s="269" t="s">
        <v>444</v>
      </c>
    </row>
    <row r="67" spans="2:2" s="486" customFormat="1" ht="39.75" customHeight="1" x14ac:dyDescent="0.2">
      <c r="B67" s="484" t="s">
        <v>445</v>
      </c>
    </row>
    <row r="68" spans="2:2" ht="12.95" customHeight="1" x14ac:dyDescent="0.2"/>
    <row r="69" spans="2:2" ht="68.25" customHeight="1" x14ac:dyDescent="0.2">
      <c r="B69" s="269" t="s">
        <v>446</v>
      </c>
    </row>
    <row r="70" spans="2:2" ht="57" customHeight="1" x14ac:dyDescent="0.2">
      <c r="B70" s="484" t="s">
        <v>447</v>
      </c>
    </row>
    <row r="71" spans="2:2" ht="44.25" customHeight="1" x14ac:dyDescent="0.2">
      <c r="B71" s="484" t="s">
        <v>448</v>
      </c>
    </row>
    <row r="72" spans="2:2" ht="12.95" customHeight="1" x14ac:dyDescent="0.2"/>
    <row r="73" spans="2:2" ht="78.75" x14ac:dyDescent="0.2">
      <c r="B73" s="269" t="s">
        <v>449</v>
      </c>
    </row>
    <row r="74" spans="2:2" ht="72.75" customHeight="1" x14ac:dyDescent="0.2">
      <c r="B74" s="484" t="s">
        <v>450</v>
      </c>
    </row>
    <row r="75" spans="2:2" ht="90" customHeight="1" x14ac:dyDescent="0.2">
      <c r="B75" s="484" t="s">
        <v>451</v>
      </c>
    </row>
    <row r="76" spans="2:2" ht="70.5" customHeight="1" x14ac:dyDescent="0.2">
      <c r="B76" s="484" t="s">
        <v>452</v>
      </c>
    </row>
    <row r="77" spans="2:2" ht="87" customHeight="1" x14ac:dyDescent="0.2">
      <c r="B77" s="484" t="s">
        <v>453</v>
      </c>
    </row>
    <row r="78" spans="2:2" ht="110.25" x14ac:dyDescent="0.2">
      <c r="B78" s="484" t="s">
        <v>454</v>
      </c>
    </row>
    <row r="79" spans="2:2" ht="55.5" customHeight="1" x14ac:dyDescent="0.2">
      <c r="B79" s="484" t="s">
        <v>455</v>
      </c>
    </row>
    <row r="80" spans="2:2" ht="96.75" customHeight="1" x14ac:dyDescent="0.2">
      <c r="B80" s="484" t="s">
        <v>456</v>
      </c>
    </row>
    <row r="81" spans="2:2" ht="111.75" customHeight="1" x14ac:dyDescent="0.2">
      <c r="B81" s="484" t="s">
        <v>457</v>
      </c>
    </row>
    <row r="82" spans="2:2" ht="123.75" customHeight="1" x14ac:dyDescent="0.2">
      <c r="B82" s="484" t="s">
        <v>458</v>
      </c>
    </row>
    <row r="83" spans="2:2" ht="26.25" customHeight="1" x14ac:dyDescent="0.2">
      <c r="B83" s="484" t="s">
        <v>459</v>
      </c>
    </row>
    <row r="84" spans="2:2" ht="57.75" customHeight="1" x14ac:dyDescent="0.2">
      <c r="B84" s="484" t="s">
        <v>460</v>
      </c>
    </row>
    <row r="85" spans="2:2" ht="57.75" customHeight="1" x14ac:dyDescent="0.2">
      <c r="B85" s="484" t="s">
        <v>461</v>
      </c>
    </row>
    <row r="86" spans="2:2" ht="91.5" customHeight="1" x14ac:dyDescent="0.2">
      <c r="B86" s="484" t="s">
        <v>462</v>
      </c>
    </row>
    <row r="87" spans="2:2" ht="75" customHeight="1" x14ac:dyDescent="0.2">
      <c r="B87" s="484" t="s">
        <v>463</v>
      </c>
    </row>
    <row r="88" spans="2:2" ht="69" customHeight="1" x14ac:dyDescent="0.2">
      <c r="B88" s="484" t="s">
        <v>464</v>
      </c>
    </row>
    <row r="89" spans="2:2" ht="39" customHeight="1" x14ac:dyDescent="0.2">
      <c r="B89" s="484" t="s">
        <v>465</v>
      </c>
    </row>
    <row r="90" spans="2:2" ht="12.95" customHeight="1" x14ac:dyDescent="0.2"/>
    <row r="91" spans="2:2" ht="63" x14ac:dyDescent="0.2">
      <c r="B91" s="269" t="s">
        <v>466</v>
      </c>
    </row>
    <row r="92" spans="2:2" ht="75.75" customHeight="1" x14ac:dyDescent="0.2">
      <c r="B92" s="484" t="s">
        <v>467</v>
      </c>
    </row>
    <row r="93" spans="2:2" ht="23.25" customHeight="1" x14ac:dyDescent="0.2">
      <c r="B93" s="484" t="s">
        <v>468</v>
      </c>
    </row>
    <row r="94" spans="2:2" ht="27" customHeight="1" x14ac:dyDescent="0.2">
      <c r="B94" s="484" t="s">
        <v>469</v>
      </c>
    </row>
    <row r="95" spans="2:2" ht="42" customHeight="1" x14ac:dyDescent="0.2">
      <c r="B95" s="487" t="s">
        <v>470</v>
      </c>
    </row>
    <row r="96" spans="2:2" ht="108" customHeight="1" x14ac:dyDescent="0.2">
      <c r="B96" s="487" t="s">
        <v>471</v>
      </c>
    </row>
    <row r="97" spans="2:2" ht="88.5" customHeight="1" x14ac:dyDescent="0.2">
      <c r="B97" s="487" t="s">
        <v>472</v>
      </c>
    </row>
    <row r="98" spans="2:2" ht="98.25" customHeight="1" x14ac:dyDescent="0.2">
      <c r="B98" s="484" t="s">
        <v>473</v>
      </c>
    </row>
    <row r="99" spans="2:2" ht="68.25" customHeight="1" x14ac:dyDescent="0.2">
      <c r="B99" s="484" t="s">
        <v>474</v>
      </c>
    </row>
    <row r="100" spans="2:2" ht="12.95" customHeight="1" x14ac:dyDescent="0.2"/>
    <row r="101" spans="2:2" ht="94.5" x14ac:dyDescent="0.2">
      <c r="B101" s="269" t="s">
        <v>475</v>
      </c>
    </row>
    <row r="102" spans="2:2" ht="78.75" x14ac:dyDescent="0.2">
      <c r="B102" s="488" t="s">
        <v>476</v>
      </c>
    </row>
    <row r="103" spans="2:2" ht="63" x14ac:dyDescent="0.2">
      <c r="B103" s="484" t="s">
        <v>477</v>
      </c>
    </row>
    <row r="104" spans="2:2" ht="39.75" customHeight="1" x14ac:dyDescent="0.2">
      <c r="B104" s="484" t="s">
        <v>478</v>
      </c>
    </row>
    <row r="105" spans="2:2" ht="12.95" customHeight="1" x14ac:dyDescent="0.2">
      <c r="B105" s="27"/>
    </row>
    <row r="106" spans="2:2" ht="47.25" x14ac:dyDescent="0.2">
      <c r="B106" s="269" t="s">
        <v>479</v>
      </c>
    </row>
    <row r="107" spans="2:2" ht="12.95" customHeight="1" x14ac:dyDescent="0.2">
      <c r="B107" s="27"/>
    </row>
    <row r="108" spans="2:2" ht="47.25" x14ac:dyDescent="0.2">
      <c r="B108" s="269" t="s">
        <v>480</v>
      </c>
    </row>
    <row r="109" spans="2:2" x14ac:dyDescent="0.2">
      <c r="B109" s="27"/>
    </row>
  </sheetData>
  <sheetProtection sheet="1" objects="1" scenarios="1"/>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3"/>
  <dimension ref="A1:G48"/>
  <sheetViews>
    <sheetView workbookViewId="0">
      <selection activeCell="E1" sqref="E1"/>
    </sheetView>
  </sheetViews>
  <sheetFormatPr defaultRowHeight="15" x14ac:dyDescent="0.2"/>
  <cols>
    <col min="1" max="1" width="70.44140625" style="23" customWidth="1"/>
    <col min="2" max="16384" width="8.88671875" style="23"/>
  </cols>
  <sheetData>
    <row r="1" spans="1:7" ht="30" customHeight="1" x14ac:dyDescent="0.3">
      <c r="A1" s="272" t="s">
        <v>238</v>
      </c>
      <c r="B1" s="25"/>
      <c r="C1" s="25"/>
      <c r="D1" s="25"/>
      <c r="E1" s="25"/>
      <c r="F1" s="25"/>
      <c r="G1" s="25"/>
    </row>
    <row r="2" spans="1:7" ht="15.75" customHeight="1" x14ac:dyDescent="0.25">
      <c r="A2" s="1"/>
    </row>
    <row r="3" spans="1:7" ht="54" customHeight="1" x14ac:dyDescent="0.25">
      <c r="A3" s="289" t="s">
        <v>311</v>
      </c>
    </row>
    <row r="4" spans="1:7" ht="15.75" customHeight="1" x14ac:dyDescent="0.25">
      <c r="A4" s="1"/>
    </row>
    <row r="5" spans="1:7" ht="52.5" customHeight="1" x14ac:dyDescent="0.25">
      <c r="A5" s="289" t="s">
        <v>312</v>
      </c>
    </row>
    <row r="6" spans="1:7" ht="15.75" customHeight="1" x14ac:dyDescent="0.25">
      <c r="A6" s="1"/>
    </row>
    <row r="7" spans="1:7" s="26" customFormat="1" ht="45.75" customHeight="1" x14ac:dyDescent="0.25">
      <c r="A7" s="273" t="s">
        <v>262</v>
      </c>
    </row>
    <row r="8" spans="1:7" ht="15.75" customHeight="1" x14ac:dyDescent="0.25">
      <c r="A8" s="1"/>
    </row>
    <row r="9" spans="1:7" ht="46.5" customHeight="1" x14ac:dyDescent="0.25">
      <c r="A9" s="273" t="s">
        <v>263</v>
      </c>
    </row>
    <row r="10" spans="1:7" ht="15.75" customHeight="1" x14ac:dyDescent="0.2"/>
    <row r="11" spans="1:7" ht="45.75" customHeight="1" x14ac:dyDescent="0.25">
      <c r="A11" s="273" t="s">
        <v>264</v>
      </c>
    </row>
    <row r="12" spans="1:7" ht="15.75" customHeight="1" x14ac:dyDescent="0.25">
      <c r="A12" s="1"/>
    </row>
    <row r="13" spans="1:7" ht="62.25" customHeight="1" x14ac:dyDescent="0.25">
      <c r="A13" s="273" t="s">
        <v>265</v>
      </c>
    </row>
    <row r="14" spans="1:7" ht="15.75" customHeight="1" x14ac:dyDescent="0.25">
      <c r="A14" s="1"/>
    </row>
    <row r="15" spans="1:7" ht="32.25" customHeight="1" x14ac:dyDescent="0.25">
      <c r="A15" s="273" t="s">
        <v>266</v>
      </c>
    </row>
    <row r="16" spans="1:7" ht="15.75" customHeight="1" x14ac:dyDescent="0.2"/>
    <row r="17" spans="1:1" ht="67.5" customHeight="1" x14ac:dyDescent="0.25">
      <c r="A17" s="274" t="s">
        <v>313</v>
      </c>
    </row>
    <row r="18" spans="1:1" ht="15.75" customHeight="1" x14ac:dyDescent="0.2"/>
    <row r="19" spans="1:1" ht="81" customHeight="1" x14ac:dyDescent="0.25">
      <c r="A19" s="274" t="s">
        <v>267</v>
      </c>
    </row>
    <row r="20" spans="1:1" ht="15.75" customHeight="1" x14ac:dyDescent="0.25">
      <c r="A20" s="1"/>
    </row>
    <row r="21" spans="1:1" ht="78" customHeight="1" x14ac:dyDescent="0.25">
      <c r="A21" s="273" t="s">
        <v>268</v>
      </c>
    </row>
    <row r="22" spans="1:1" ht="15.75" customHeight="1" x14ac:dyDescent="0.25">
      <c r="A22" s="1"/>
    </row>
    <row r="23" spans="1:1" ht="44.25" customHeight="1" x14ac:dyDescent="0.25">
      <c r="A23" s="273" t="s">
        <v>269</v>
      </c>
    </row>
    <row r="24" spans="1:1" ht="15.75" customHeight="1" x14ac:dyDescent="0.2"/>
    <row r="25" spans="1:1" ht="53.25" customHeight="1" x14ac:dyDescent="0.25">
      <c r="A25" s="274" t="s">
        <v>270</v>
      </c>
    </row>
    <row r="26" spans="1:1" ht="16.5" customHeight="1" x14ac:dyDescent="0.25">
      <c r="A26" s="1"/>
    </row>
    <row r="27" spans="1:1" ht="40.5" customHeight="1" x14ac:dyDescent="0.25">
      <c r="A27" s="289" t="s">
        <v>314</v>
      </c>
    </row>
    <row r="28" spans="1:1" ht="16.5" customHeight="1" x14ac:dyDescent="0.25">
      <c r="A28" s="1"/>
    </row>
    <row r="29" spans="1:1" ht="69.75" customHeight="1" x14ac:dyDescent="0.25">
      <c r="A29" s="273" t="s">
        <v>271</v>
      </c>
    </row>
    <row r="30" spans="1:1" ht="15.75" customHeight="1" x14ac:dyDescent="0.25">
      <c r="A30" s="273"/>
    </row>
    <row r="31" spans="1:1" ht="78" customHeight="1" x14ac:dyDescent="0.25">
      <c r="A31" s="273" t="s">
        <v>351</v>
      </c>
    </row>
    <row r="32" spans="1:1" ht="15.75" customHeight="1" x14ac:dyDescent="0.25">
      <c r="A32" s="1"/>
    </row>
    <row r="33" spans="1:1" ht="58.5" customHeight="1" x14ac:dyDescent="0.25">
      <c r="A33" s="273" t="s">
        <v>272</v>
      </c>
    </row>
    <row r="35" spans="1:1" ht="60.75" customHeight="1" x14ac:dyDescent="0.25">
      <c r="A35" s="273" t="s">
        <v>273</v>
      </c>
    </row>
    <row r="36" spans="1:1" ht="15.75" x14ac:dyDescent="0.25">
      <c r="A36" s="1"/>
    </row>
    <row r="37" spans="1:1" ht="82.5" customHeight="1" x14ac:dyDescent="0.25">
      <c r="A37" s="273" t="s">
        <v>274</v>
      </c>
    </row>
    <row r="38" spans="1:1" ht="15.75" x14ac:dyDescent="0.25">
      <c r="A38" s="271"/>
    </row>
    <row r="39" spans="1:1" ht="15.75" x14ac:dyDescent="0.25">
      <c r="A39" s="271"/>
    </row>
    <row r="41" spans="1:1" ht="15.75" x14ac:dyDescent="0.25">
      <c r="A41" s="271"/>
    </row>
    <row r="42" spans="1:1" ht="15.75" x14ac:dyDescent="0.25">
      <c r="A42" s="271"/>
    </row>
    <row r="44" spans="1:1" ht="15.75" x14ac:dyDescent="0.25">
      <c r="A44" s="1"/>
    </row>
    <row r="45" spans="1:1" ht="15.75" x14ac:dyDescent="0.25">
      <c r="A45" s="271"/>
    </row>
    <row r="47" spans="1:1" ht="15.75" x14ac:dyDescent="0.25">
      <c r="A47" s="271"/>
    </row>
    <row r="48" spans="1:1" ht="15.75" x14ac:dyDescent="0.25">
      <c r="A48" s="271"/>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00B0F0"/>
    <pageSetUpPr fitToPage="1"/>
  </sheetPr>
  <dimension ref="A1:AB52"/>
  <sheetViews>
    <sheetView zoomScale="80" zoomScaleNormal="80" workbookViewId="0">
      <selection activeCell="E1" sqref="E1"/>
    </sheetView>
  </sheetViews>
  <sheetFormatPr defaultRowHeight="15.75" x14ac:dyDescent="0.2"/>
  <cols>
    <col min="1" max="1" width="20.77734375" style="72" customWidth="1"/>
    <col min="2" max="2" width="9" style="72" customWidth="1"/>
    <col min="3" max="3" width="9.109375" style="72" customWidth="1"/>
    <col min="4" max="4" width="8.77734375" style="72" customWidth="1"/>
    <col min="5" max="5" width="12.77734375" style="72" customWidth="1"/>
    <col min="6" max="6" width="14.109375" style="72" customWidth="1"/>
    <col min="7" max="12" width="9.77734375" style="72" customWidth="1"/>
    <col min="13" max="16384" width="8.88671875" style="72"/>
  </cols>
  <sheetData>
    <row r="1" spans="1:12" x14ac:dyDescent="0.2">
      <c r="A1" s="73">
        <f>inputPrYr!$C$3</f>
        <v>0</v>
      </c>
      <c r="B1" s="32"/>
      <c r="C1" s="32"/>
      <c r="D1" s="32"/>
      <c r="E1" s="32"/>
      <c r="F1" s="32"/>
      <c r="G1" s="32"/>
      <c r="H1" s="32"/>
      <c r="I1" s="32"/>
      <c r="J1" s="32"/>
      <c r="K1" s="32"/>
      <c r="L1" s="153">
        <f>inputPrYr!$C$5</f>
        <v>2025</v>
      </c>
    </row>
    <row r="2" spans="1:12" x14ac:dyDescent="0.2">
      <c r="A2" s="73"/>
      <c r="B2" s="32"/>
      <c r="C2" s="32"/>
      <c r="D2" s="32"/>
      <c r="E2" s="32"/>
      <c r="F2" s="32"/>
      <c r="G2" s="32"/>
      <c r="H2" s="32"/>
      <c r="I2" s="32"/>
      <c r="J2" s="32"/>
      <c r="K2" s="32"/>
      <c r="L2" s="63"/>
    </row>
    <row r="3" spans="1:12" x14ac:dyDescent="0.2">
      <c r="A3" s="154" t="s">
        <v>140</v>
      </c>
      <c r="B3" s="37"/>
      <c r="C3" s="37"/>
      <c r="D3" s="37"/>
      <c r="E3" s="37"/>
      <c r="F3" s="37"/>
      <c r="G3" s="37"/>
      <c r="H3" s="37"/>
      <c r="I3" s="37"/>
      <c r="J3" s="37"/>
      <c r="K3" s="37"/>
      <c r="L3" s="37"/>
    </row>
    <row r="4" spans="1:12" x14ac:dyDescent="0.2">
      <c r="A4" s="32"/>
      <c r="B4" s="155"/>
      <c r="C4" s="155"/>
      <c r="D4" s="155"/>
      <c r="E4" s="155"/>
      <c r="F4" s="155"/>
      <c r="G4" s="155"/>
      <c r="H4" s="155"/>
      <c r="I4" s="155"/>
      <c r="J4" s="155"/>
      <c r="K4" s="155"/>
      <c r="L4" s="155"/>
    </row>
    <row r="5" spans="1:12" x14ac:dyDescent="0.2">
      <c r="A5" s="156" t="s">
        <v>343</v>
      </c>
      <c r="B5" s="350" t="s">
        <v>109</v>
      </c>
      <c r="C5" s="156" t="s">
        <v>109</v>
      </c>
      <c r="D5" s="156" t="s">
        <v>123</v>
      </c>
      <c r="E5" s="156"/>
      <c r="F5" s="156" t="s">
        <v>178</v>
      </c>
      <c r="G5" s="32"/>
      <c r="H5" s="32"/>
      <c r="I5" s="157" t="s">
        <v>110</v>
      </c>
      <c r="J5" s="158"/>
      <c r="K5" s="157" t="s">
        <v>110</v>
      </c>
      <c r="L5" s="158"/>
    </row>
    <row r="6" spans="1:12" x14ac:dyDescent="0.2">
      <c r="A6" s="159" t="s">
        <v>111</v>
      </c>
      <c r="B6" s="349" t="s">
        <v>111</v>
      </c>
      <c r="C6" s="159" t="s">
        <v>179</v>
      </c>
      <c r="D6" s="159" t="s">
        <v>112</v>
      </c>
      <c r="E6" s="159" t="s">
        <v>20</v>
      </c>
      <c r="F6" s="159" t="s">
        <v>153</v>
      </c>
      <c r="G6" s="640" t="s">
        <v>113</v>
      </c>
      <c r="H6" s="641"/>
      <c r="I6" s="642">
        <f>L1-1</f>
        <v>2024</v>
      </c>
      <c r="J6" s="643"/>
      <c r="K6" s="642">
        <f>L1</f>
        <v>2025</v>
      </c>
      <c r="L6" s="643"/>
    </row>
    <row r="7" spans="1:12" x14ac:dyDescent="0.2">
      <c r="A7" s="162" t="s">
        <v>342</v>
      </c>
      <c r="B7" s="351" t="s">
        <v>114</v>
      </c>
      <c r="C7" s="162" t="s">
        <v>180</v>
      </c>
      <c r="D7" s="162" t="s">
        <v>46</v>
      </c>
      <c r="E7" s="162" t="s">
        <v>115</v>
      </c>
      <c r="F7" s="160" t="str">
        <f>CONCATENATE("Jan 1, ",L1-1,"")</f>
        <v>Jan 1, 2024</v>
      </c>
      <c r="G7" s="151" t="s">
        <v>123</v>
      </c>
      <c r="H7" s="151" t="s">
        <v>124</v>
      </c>
      <c r="I7" s="151" t="s">
        <v>123</v>
      </c>
      <c r="J7" s="151" t="s">
        <v>124</v>
      </c>
      <c r="K7" s="151" t="s">
        <v>123</v>
      </c>
      <c r="L7" s="151" t="s">
        <v>124</v>
      </c>
    </row>
    <row r="8" spans="1:12" x14ac:dyDescent="0.2">
      <c r="A8" s="161" t="s">
        <v>116</v>
      </c>
      <c r="B8" s="108"/>
      <c r="C8" s="108"/>
      <c r="D8" s="163"/>
      <c r="E8" s="164"/>
      <c r="F8" s="164"/>
      <c r="G8" s="108"/>
      <c r="H8" s="108"/>
      <c r="I8" s="164"/>
      <c r="J8" s="164"/>
      <c r="K8" s="164"/>
      <c r="L8" s="164"/>
    </row>
    <row r="9" spans="1:12" x14ac:dyDescent="0.2">
      <c r="A9" s="165"/>
      <c r="B9" s="280"/>
      <c r="C9" s="280"/>
      <c r="D9" s="166"/>
      <c r="E9" s="167"/>
      <c r="F9" s="168"/>
      <c r="G9" s="169"/>
      <c r="H9" s="169"/>
      <c r="I9" s="168"/>
      <c r="J9" s="168"/>
      <c r="K9" s="168"/>
      <c r="L9" s="168"/>
    </row>
    <row r="10" spans="1:12" x14ac:dyDescent="0.2">
      <c r="A10" s="165"/>
      <c r="B10" s="280"/>
      <c r="C10" s="280"/>
      <c r="D10" s="166"/>
      <c r="E10" s="167"/>
      <c r="F10" s="168"/>
      <c r="G10" s="169"/>
      <c r="H10" s="169"/>
      <c r="I10" s="168"/>
      <c r="J10" s="168"/>
      <c r="K10" s="168"/>
      <c r="L10" s="168"/>
    </row>
    <row r="11" spans="1:12" x14ac:dyDescent="0.2">
      <c r="A11" s="165"/>
      <c r="B11" s="280"/>
      <c r="C11" s="280"/>
      <c r="D11" s="166"/>
      <c r="E11" s="167"/>
      <c r="F11" s="168"/>
      <c r="G11" s="169"/>
      <c r="H11" s="169"/>
      <c r="I11" s="168"/>
      <c r="J11" s="168"/>
      <c r="K11" s="168"/>
      <c r="L11" s="168"/>
    </row>
    <row r="12" spans="1:12" x14ac:dyDescent="0.2">
      <c r="A12" s="165"/>
      <c r="B12" s="280"/>
      <c r="C12" s="280"/>
      <c r="D12" s="166"/>
      <c r="E12" s="167"/>
      <c r="F12" s="168"/>
      <c r="G12" s="169"/>
      <c r="H12" s="169"/>
      <c r="I12" s="168"/>
      <c r="J12" s="168"/>
      <c r="K12" s="168"/>
      <c r="L12" s="168"/>
    </row>
    <row r="13" spans="1:12" x14ac:dyDescent="0.2">
      <c r="A13" s="165"/>
      <c r="B13" s="280"/>
      <c r="C13" s="280"/>
      <c r="D13" s="166"/>
      <c r="E13" s="167"/>
      <c r="F13" s="168"/>
      <c r="G13" s="169"/>
      <c r="H13" s="169"/>
      <c r="I13" s="168"/>
      <c r="J13" s="168"/>
      <c r="K13" s="168"/>
      <c r="L13" s="168"/>
    </row>
    <row r="14" spans="1:12" x14ac:dyDescent="0.2">
      <c r="A14" s="165"/>
      <c r="B14" s="280"/>
      <c r="C14" s="280"/>
      <c r="D14" s="166"/>
      <c r="E14" s="167"/>
      <c r="F14" s="168"/>
      <c r="G14" s="169"/>
      <c r="H14" s="169"/>
      <c r="I14" s="168"/>
      <c r="J14" s="168"/>
      <c r="K14" s="168"/>
      <c r="L14" s="168"/>
    </row>
    <row r="15" spans="1:12" x14ac:dyDescent="0.2">
      <c r="A15" s="165"/>
      <c r="B15" s="280"/>
      <c r="C15" s="280"/>
      <c r="D15" s="166"/>
      <c r="E15" s="167"/>
      <c r="F15" s="168"/>
      <c r="G15" s="169"/>
      <c r="H15" s="169"/>
      <c r="I15" s="168"/>
      <c r="J15" s="168"/>
      <c r="K15" s="168"/>
      <c r="L15" s="168"/>
    </row>
    <row r="16" spans="1:12" x14ac:dyDescent="0.2">
      <c r="A16" s="165"/>
      <c r="B16" s="280"/>
      <c r="C16" s="280"/>
      <c r="D16" s="166"/>
      <c r="E16" s="167"/>
      <c r="F16" s="168"/>
      <c r="G16" s="169"/>
      <c r="H16" s="169"/>
      <c r="I16" s="168"/>
      <c r="J16" s="168"/>
      <c r="K16" s="168"/>
      <c r="L16" s="168"/>
    </row>
    <row r="17" spans="1:12" x14ac:dyDescent="0.2">
      <c r="A17" s="165"/>
      <c r="B17" s="280"/>
      <c r="C17" s="280"/>
      <c r="D17" s="166"/>
      <c r="E17" s="167"/>
      <c r="F17" s="168"/>
      <c r="G17" s="169"/>
      <c r="H17" s="169"/>
      <c r="I17" s="168"/>
      <c r="J17" s="168"/>
      <c r="K17" s="168"/>
      <c r="L17" s="168"/>
    </row>
    <row r="18" spans="1:12" x14ac:dyDescent="0.2">
      <c r="A18" s="165"/>
      <c r="B18" s="280"/>
      <c r="C18" s="280"/>
      <c r="D18" s="166"/>
      <c r="E18" s="167"/>
      <c r="F18" s="168"/>
      <c r="G18" s="169"/>
      <c r="H18" s="169"/>
      <c r="I18" s="168"/>
      <c r="J18" s="168"/>
      <c r="K18" s="168"/>
      <c r="L18" s="168"/>
    </row>
    <row r="19" spans="1:12" x14ac:dyDescent="0.2">
      <c r="A19" s="165"/>
      <c r="B19" s="280"/>
      <c r="C19" s="280"/>
      <c r="D19" s="166"/>
      <c r="E19" s="167"/>
      <c r="F19" s="168"/>
      <c r="G19" s="169"/>
      <c r="H19" s="169"/>
      <c r="I19" s="168"/>
      <c r="J19" s="168"/>
      <c r="K19" s="168"/>
      <c r="L19" s="168"/>
    </row>
    <row r="20" spans="1:12" x14ac:dyDescent="0.2">
      <c r="A20" s="165"/>
      <c r="B20" s="280"/>
      <c r="C20" s="280"/>
      <c r="D20" s="166"/>
      <c r="E20" s="167"/>
      <c r="F20" s="168"/>
      <c r="G20" s="169"/>
      <c r="H20" s="169"/>
      <c r="I20" s="168"/>
      <c r="J20" s="168"/>
      <c r="K20" s="168"/>
      <c r="L20" s="168"/>
    </row>
    <row r="21" spans="1:12" x14ac:dyDescent="0.2">
      <c r="A21" s="165"/>
      <c r="B21" s="280"/>
      <c r="C21" s="280"/>
      <c r="D21" s="166"/>
      <c r="E21" s="167"/>
      <c r="F21" s="168"/>
      <c r="G21" s="169"/>
      <c r="H21" s="169"/>
      <c r="I21" s="168"/>
      <c r="J21" s="168"/>
      <c r="K21" s="168"/>
      <c r="L21" s="168"/>
    </row>
    <row r="22" spans="1:12" x14ac:dyDescent="0.2">
      <c r="A22" s="170" t="s">
        <v>117</v>
      </c>
      <c r="B22" s="171"/>
      <c r="C22" s="171"/>
      <c r="D22" s="172"/>
      <c r="E22" s="173"/>
      <c r="F22" s="179">
        <f>SUM(F9:F21)</f>
        <v>0</v>
      </c>
      <c r="G22" s="177"/>
      <c r="H22" s="177"/>
      <c r="I22" s="179">
        <f>SUM(I9:I21)</f>
        <v>0</v>
      </c>
      <c r="J22" s="179">
        <f>SUM(J9:J21)</f>
        <v>0</v>
      </c>
      <c r="K22" s="179">
        <f>SUM(K9:K21)</f>
        <v>0</v>
      </c>
      <c r="L22" s="179">
        <f>SUM(L9:L21)</f>
        <v>0</v>
      </c>
    </row>
    <row r="23" spans="1:12" x14ac:dyDescent="0.2">
      <c r="A23" s="151" t="s">
        <v>118</v>
      </c>
      <c r="B23" s="174"/>
      <c r="C23" s="174"/>
      <c r="D23" s="175"/>
      <c r="E23" s="176"/>
      <c r="F23" s="176"/>
      <c r="G23" s="177"/>
      <c r="H23" s="177"/>
      <c r="I23" s="176"/>
      <c r="J23" s="176"/>
      <c r="K23" s="176"/>
      <c r="L23" s="176"/>
    </row>
    <row r="24" spans="1:12" x14ac:dyDescent="0.2">
      <c r="A24" s="165"/>
      <c r="B24" s="280"/>
      <c r="C24" s="280"/>
      <c r="D24" s="166"/>
      <c r="E24" s="167"/>
      <c r="F24" s="168"/>
      <c r="G24" s="169"/>
      <c r="H24" s="169"/>
      <c r="I24" s="168"/>
      <c r="J24" s="168"/>
      <c r="K24" s="168"/>
      <c r="L24" s="168"/>
    </row>
    <row r="25" spans="1:12" x14ac:dyDescent="0.2">
      <c r="A25" s="165"/>
      <c r="B25" s="280"/>
      <c r="C25" s="280"/>
      <c r="D25" s="166"/>
      <c r="E25" s="167"/>
      <c r="F25" s="168"/>
      <c r="G25" s="169"/>
      <c r="H25" s="169"/>
      <c r="I25" s="168"/>
      <c r="J25" s="168"/>
      <c r="K25" s="168"/>
      <c r="L25" s="168"/>
    </row>
    <row r="26" spans="1:12" x14ac:dyDescent="0.2">
      <c r="A26" s="165"/>
      <c r="B26" s="280"/>
      <c r="C26" s="280"/>
      <c r="D26" s="166"/>
      <c r="E26" s="167"/>
      <c r="F26" s="168"/>
      <c r="G26" s="169"/>
      <c r="H26" s="169"/>
      <c r="I26" s="168"/>
      <c r="J26" s="168"/>
      <c r="K26" s="168"/>
      <c r="L26" s="168"/>
    </row>
    <row r="27" spans="1:12" x14ac:dyDescent="0.2">
      <c r="A27" s="165"/>
      <c r="B27" s="280"/>
      <c r="C27" s="280"/>
      <c r="D27" s="166"/>
      <c r="E27" s="167"/>
      <c r="F27" s="168"/>
      <c r="G27" s="169"/>
      <c r="H27" s="169"/>
      <c r="I27" s="168"/>
      <c r="J27" s="168"/>
      <c r="K27" s="168"/>
      <c r="L27" s="168"/>
    </row>
    <row r="28" spans="1:12" x14ac:dyDescent="0.2">
      <c r="A28" s="165"/>
      <c r="B28" s="280"/>
      <c r="C28" s="280"/>
      <c r="D28" s="166"/>
      <c r="E28" s="167"/>
      <c r="F28" s="168"/>
      <c r="G28" s="169"/>
      <c r="H28" s="169"/>
      <c r="I28" s="168"/>
      <c r="J28" s="168"/>
      <c r="K28" s="168"/>
      <c r="L28" s="168"/>
    </row>
    <row r="29" spans="1:12" x14ac:dyDescent="0.2">
      <c r="A29" s="165"/>
      <c r="B29" s="280"/>
      <c r="C29" s="280"/>
      <c r="D29" s="166"/>
      <c r="E29" s="167"/>
      <c r="F29" s="168"/>
      <c r="G29" s="169"/>
      <c r="H29" s="169"/>
      <c r="I29" s="168"/>
      <c r="J29" s="168"/>
      <c r="K29" s="168"/>
      <c r="L29" s="168"/>
    </row>
    <row r="30" spans="1:12" x14ac:dyDescent="0.2">
      <c r="A30" s="165"/>
      <c r="B30" s="280"/>
      <c r="C30" s="280"/>
      <c r="D30" s="166"/>
      <c r="E30" s="167"/>
      <c r="F30" s="168"/>
      <c r="G30" s="169"/>
      <c r="H30" s="169"/>
      <c r="I30" s="168"/>
      <c r="J30" s="168"/>
      <c r="K30" s="168"/>
      <c r="L30" s="168"/>
    </row>
    <row r="31" spans="1:12" x14ac:dyDescent="0.2">
      <c r="A31" s="165"/>
      <c r="B31" s="280"/>
      <c r="C31" s="280"/>
      <c r="D31" s="166"/>
      <c r="E31" s="167"/>
      <c r="F31" s="168"/>
      <c r="G31" s="169"/>
      <c r="H31" s="169"/>
      <c r="I31" s="168"/>
      <c r="J31" s="168"/>
      <c r="K31" s="168"/>
      <c r="L31" s="168"/>
    </row>
    <row r="32" spans="1:12" x14ac:dyDescent="0.2">
      <c r="A32" s="165"/>
      <c r="B32" s="280"/>
      <c r="C32" s="280"/>
      <c r="D32" s="166"/>
      <c r="E32" s="167"/>
      <c r="F32" s="168"/>
      <c r="G32" s="169"/>
      <c r="H32" s="169"/>
      <c r="I32" s="168"/>
      <c r="J32" s="168"/>
      <c r="K32" s="168"/>
      <c r="L32" s="168"/>
    </row>
    <row r="33" spans="1:28" x14ac:dyDescent="0.2">
      <c r="A33" s="165"/>
      <c r="B33" s="280"/>
      <c r="C33" s="280"/>
      <c r="D33" s="166"/>
      <c r="E33" s="167"/>
      <c r="F33" s="168"/>
      <c r="G33" s="169"/>
      <c r="H33" s="169"/>
      <c r="I33" s="168"/>
      <c r="J33" s="168"/>
      <c r="K33" s="168"/>
      <c r="L33" s="168"/>
    </row>
    <row r="34" spans="1:28" x14ac:dyDescent="0.2">
      <c r="A34" s="165"/>
      <c r="B34" s="280"/>
      <c r="C34" s="280"/>
      <c r="D34" s="166"/>
      <c r="E34" s="167"/>
      <c r="F34" s="168"/>
      <c r="G34" s="169"/>
      <c r="H34" s="169"/>
      <c r="I34" s="168"/>
      <c r="J34" s="168"/>
      <c r="K34" s="168"/>
      <c r="L34" s="168"/>
    </row>
    <row r="35" spans="1:28" x14ac:dyDescent="0.2">
      <c r="A35" s="170" t="s">
        <v>119</v>
      </c>
      <c r="B35" s="171"/>
      <c r="C35" s="171"/>
      <c r="D35" s="178"/>
      <c r="E35" s="173"/>
      <c r="F35" s="179">
        <f>SUM(F24:F34)</f>
        <v>0</v>
      </c>
      <c r="G35" s="177"/>
      <c r="H35" s="177"/>
      <c r="I35" s="179">
        <f>SUM(I24:I34)</f>
        <v>0</v>
      </c>
      <c r="J35" s="179">
        <f>SUM(J24:J34)</f>
        <v>0</v>
      </c>
      <c r="K35" s="179">
        <f>SUM(K24:K34)</f>
        <v>0</v>
      </c>
      <c r="L35" s="179">
        <f>SUM(L24:L34)</f>
        <v>0</v>
      </c>
    </row>
    <row r="36" spans="1:28" x14ac:dyDescent="0.2">
      <c r="A36" s="151" t="s">
        <v>120</v>
      </c>
      <c r="B36" s="174"/>
      <c r="C36" s="174"/>
      <c r="D36" s="175"/>
      <c r="E36" s="176"/>
      <c r="F36" s="179"/>
      <c r="G36" s="177"/>
      <c r="H36" s="177"/>
      <c r="I36" s="176"/>
      <c r="J36" s="176"/>
      <c r="K36" s="176"/>
      <c r="L36" s="176"/>
    </row>
    <row r="37" spans="1:28" x14ac:dyDescent="0.2">
      <c r="A37" s="165"/>
      <c r="B37" s="280"/>
      <c r="C37" s="280"/>
      <c r="D37" s="166"/>
      <c r="E37" s="167"/>
      <c r="F37" s="168"/>
      <c r="G37" s="169"/>
      <c r="H37" s="169"/>
      <c r="I37" s="168"/>
      <c r="J37" s="168"/>
      <c r="K37" s="168"/>
      <c r="L37" s="168"/>
    </row>
    <row r="38" spans="1:28" x14ac:dyDescent="0.2">
      <c r="A38" s="165"/>
      <c r="B38" s="280"/>
      <c r="C38" s="280"/>
      <c r="D38" s="166"/>
      <c r="E38" s="167"/>
      <c r="F38" s="168"/>
      <c r="G38" s="169"/>
      <c r="H38" s="169"/>
      <c r="I38" s="168"/>
      <c r="J38" s="168"/>
      <c r="K38" s="168"/>
      <c r="L38" s="168"/>
    </row>
    <row r="39" spans="1:28" x14ac:dyDescent="0.2">
      <c r="A39" s="165"/>
      <c r="B39" s="280"/>
      <c r="C39" s="280"/>
      <c r="D39" s="166"/>
      <c r="E39" s="167"/>
      <c r="F39" s="168"/>
      <c r="G39" s="169"/>
      <c r="H39" s="169"/>
      <c r="I39" s="168"/>
      <c r="J39" s="168"/>
      <c r="K39" s="168"/>
      <c r="L39" s="168"/>
    </row>
    <row r="40" spans="1:28" x14ac:dyDescent="0.2">
      <c r="A40" s="165"/>
      <c r="B40" s="280"/>
      <c r="C40" s="280"/>
      <c r="D40" s="166"/>
      <c r="E40" s="167"/>
      <c r="F40" s="168"/>
      <c r="G40" s="169"/>
      <c r="H40" s="169"/>
      <c r="I40" s="168"/>
      <c r="J40" s="168"/>
      <c r="K40" s="168"/>
      <c r="L40" s="168"/>
    </row>
    <row r="41" spans="1:28" x14ac:dyDescent="0.2">
      <c r="A41" s="165"/>
      <c r="B41" s="280"/>
      <c r="C41" s="280"/>
      <c r="D41" s="166"/>
      <c r="E41" s="167"/>
      <c r="F41" s="168"/>
      <c r="G41" s="169"/>
      <c r="H41" s="169"/>
      <c r="I41" s="168"/>
      <c r="J41" s="168"/>
      <c r="K41" s="168"/>
      <c r="L41" s="168"/>
    </row>
    <row r="42" spans="1:28" x14ac:dyDescent="0.2">
      <c r="A42" s="165"/>
      <c r="B42" s="280"/>
      <c r="C42" s="280"/>
      <c r="D42" s="166"/>
      <c r="E42" s="167"/>
      <c r="F42" s="168"/>
      <c r="G42" s="169"/>
      <c r="H42" s="169"/>
      <c r="I42" s="168"/>
      <c r="J42" s="168"/>
      <c r="K42" s="168"/>
      <c r="L42" s="168"/>
    </row>
    <row r="43" spans="1:28" x14ac:dyDescent="0.2">
      <c r="A43" s="165"/>
      <c r="B43" s="280"/>
      <c r="C43" s="280"/>
      <c r="D43" s="166"/>
      <c r="E43" s="167"/>
      <c r="F43" s="168"/>
      <c r="G43" s="169"/>
      <c r="H43" s="169"/>
      <c r="I43" s="168"/>
      <c r="J43" s="168"/>
      <c r="K43" s="168"/>
      <c r="L43" s="168"/>
    </row>
    <row r="44" spans="1:28" x14ac:dyDescent="0.2">
      <c r="A44" s="165"/>
      <c r="B44" s="280"/>
      <c r="C44" s="280"/>
      <c r="D44" s="166"/>
      <c r="E44" s="167"/>
      <c r="F44" s="168"/>
      <c r="G44" s="169"/>
      <c r="H44" s="169"/>
      <c r="I44" s="168"/>
      <c r="J44" s="168"/>
      <c r="K44" s="168"/>
      <c r="L44" s="168"/>
    </row>
    <row r="45" spans="1:28" x14ac:dyDescent="0.2">
      <c r="A45" s="165"/>
      <c r="B45" s="280"/>
      <c r="C45" s="280"/>
      <c r="D45" s="166"/>
      <c r="E45" s="167"/>
      <c r="F45" s="168"/>
      <c r="G45" s="169"/>
      <c r="H45" s="169"/>
      <c r="I45" s="168"/>
      <c r="J45" s="168"/>
      <c r="K45" s="168"/>
      <c r="L45" s="168"/>
      <c r="M45" s="27"/>
      <c r="N45" s="27"/>
      <c r="O45" s="27"/>
      <c r="P45" s="27"/>
      <c r="Q45" s="27"/>
      <c r="R45" s="27"/>
      <c r="S45" s="27"/>
      <c r="T45" s="27"/>
      <c r="U45" s="27"/>
      <c r="V45" s="27"/>
      <c r="W45" s="27"/>
      <c r="X45" s="27"/>
      <c r="Y45" s="27"/>
      <c r="Z45" s="27"/>
      <c r="AA45" s="27"/>
      <c r="AB45" s="27"/>
    </row>
    <row r="46" spans="1:28" x14ac:dyDescent="0.2">
      <c r="A46" s="170" t="s">
        <v>181</v>
      </c>
      <c r="B46" s="170"/>
      <c r="C46" s="170"/>
      <c r="D46" s="178"/>
      <c r="E46" s="173"/>
      <c r="F46" s="179">
        <f>SUM(F37:F45)</f>
        <v>0</v>
      </c>
      <c r="G46" s="173"/>
      <c r="H46" s="173"/>
      <c r="I46" s="179">
        <f>SUM(I37:I45)</f>
        <v>0</v>
      </c>
      <c r="J46" s="179">
        <f>SUM(J37:J45)</f>
        <v>0</v>
      </c>
      <c r="K46" s="179">
        <f>SUM(K37:K45)</f>
        <v>0</v>
      </c>
      <c r="L46" s="179">
        <f>SUM(L37:L45)</f>
        <v>0</v>
      </c>
    </row>
    <row r="47" spans="1:28" ht="16.5" thickBot="1" x14ac:dyDescent="0.25">
      <c r="A47" s="522" t="s">
        <v>121</v>
      </c>
      <c r="B47" s="522"/>
      <c r="C47" s="522"/>
      <c r="D47" s="522"/>
      <c r="E47" s="523"/>
      <c r="F47" s="524">
        <f>SUM(F22+F35+F46)</f>
        <v>0</v>
      </c>
      <c r="G47" s="523"/>
      <c r="H47" s="523"/>
      <c r="I47" s="524">
        <f>SUM(I22+I35+I46)</f>
        <v>0</v>
      </c>
      <c r="J47" s="524">
        <f>SUM(J22+J35+J46)</f>
        <v>0</v>
      </c>
      <c r="K47" s="524">
        <f>SUM(K22+K35+K46)</f>
        <v>0</v>
      </c>
      <c r="L47" s="524">
        <f>SUM(L22+L35+L46)</f>
        <v>0</v>
      </c>
    </row>
    <row r="48" spans="1:28" ht="16.5" thickTop="1" x14ac:dyDescent="0.2">
      <c r="A48" s="27"/>
      <c r="B48" s="27"/>
      <c r="C48" s="27"/>
      <c r="D48" s="27"/>
      <c r="E48" s="27"/>
      <c r="F48" s="27"/>
      <c r="G48" s="27"/>
      <c r="H48" s="27"/>
      <c r="I48" s="27"/>
      <c r="J48" s="27"/>
      <c r="K48" s="27"/>
      <c r="L48" s="27"/>
    </row>
    <row r="49" spans="1:13" x14ac:dyDescent="0.2">
      <c r="E49" s="180"/>
      <c r="F49" s="180"/>
      <c r="I49" s="180"/>
      <c r="J49" s="180"/>
      <c r="K49" s="180"/>
      <c r="L49" s="180"/>
    </row>
    <row r="50" spans="1:13" x14ac:dyDescent="0.2">
      <c r="E50" s="27"/>
      <c r="G50" s="181"/>
      <c r="M50" s="27"/>
    </row>
    <row r="51" spans="1:13" x14ac:dyDescent="0.2">
      <c r="A51" s="27"/>
      <c r="B51" s="27"/>
      <c r="C51" s="27"/>
      <c r="D51" s="27"/>
      <c r="E51" s="27"/>
      <c r="F51" s="27"/>
      <c r="G51" s="27"/>
      <c r="H51" s="27"/>
      <c r="I51" s="27"/>
      <c r="J51" s="27"/>
      <c r="K51" s="27"/>
      <c r="L51" s="27"/>
    </row>
    <row r="52" spans="1:13" x14ac:dyDescent="0.2">
      <c r="A52" s="27"/>
      <c r="B52" s="27"/>
      <c r="C52" s="27"/>
      <c r="D52" s="27"/>
      <c r="E52" s="27"/>
      <c r="F52" s="27"/>
      <c r="G52" s="27"/>
      <c r="H52" s="27"/>
      <c r="I52" s="27"/>
      <c r="J52" s="27"/>
      <c r="K52" s="27"/>
      <c r="L52" s="27"/>
    </row>
  </sheetData>
  <sheetProtection sheet="1"/>
  <mergeCells count="3">
    <mergeCell ref="G6:H6"/>
    <mergeCell ref="I6:J6"/>
    <mergeCell ref="K6:L6"/>
  </mergeCells>
  <phoneticPr fontId="0" type="noConversion"/>
  <pageMargins left="0.48" right="0.5" top="0.78" bottom="0.4" header="0.5" footer="0"/>
  <pageSetup scale="72" orientation="landscape" blackAndWhite="1" horizontalDpi="120" verticalDpi="144" r:id="rId1"/>
  <headerFooter alignWithMargins="0">
    <oddHeader xml:space="preserve">&amp;RState of Kansas
County
</oddHeader>
    <oddFooter>&amp;CPage No. 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00B0F0"/>
    <pageSetUpPr fitToPage="1"/>
  </sheetPr>
  <dimension ref="A1:H48"/>
  <sheetViews>
    <sheetView zoomScale="90" zoomScaleNormal="90" workbookViewId="0">
      <selection activeCell="E1" sqref="E1"/>
    </sheetView>
  </sheetViews>
  <sheetFormatPr defaultRowHeight="15.75" x14ac:dyDescent="0.2"/>
  <cols>
    <col min="1" max="1" width="25.77734375" style="27" customWidth="1"/>
    <col min="2" max="4" width="9.77734375" style="27" customWidth="1"/>
    <col min="5" max="5" width="17.109375" style="27" customWidth="1"/>
    <col min="6" max="8" width="15.77734375" style="27" customWidth="1"/>
    <col min="9" max="16384" width="8.88671875" style="27"/>
  </cols>
  <sheetData>
    <row r="1" spans="1:8" x14ac:dyDescent="0.2">
      <c r="A1" s="73">
        <f>inputPrYr!$C$3</f>
        <v>0</v>
      </c>
      <c r="B1" s="32"/>
      <c r="C1" s="32"/>
      <c r="D1" s="32"/>
      <c r="E1" s="32"/>
      <c r="F1" s="32"/>
      <c r="G1" s="32"/>
      <c r="H1" s="182">
        <f>inputPrYr!C5</f>
        <v>2025</v>
      </c>
    </row>
    <row r="2" spans="1:8" x14ac:dyDescent="0.2">
      <c r="A2" s="32"/>
      <c r="B2" s="32"/>
      <c r="C2" s="32"/>
      <c r="D2" s="32"/>
      <c r="E2" s="32"/>
      <c r="F2" s="32"/>
      <c r="G2" s="32"/>
      <c r="H2" s="63"/>
    </row>
    <row r="3" spans="1:8" x14ac:dyDescent="0.2">
      <c r="A3" s="32"/>
      <c r="B3" s="37"/>
      <c r="C3" s="37"/>
      <c r="D3" s="37"/>
      <c r="E3" s="37"/>
      <c r="F3" s="37"/>
      <c r="G3" s="37"/>
      <c r="H3" s="182"/>
    </row>
    <row r="4" spans="1:8" x14ac:dyDescent="0.2">
      <c r="A4" s="154" t="s">
        <v>558</v>
      </c>
      <c r="B4" s="37"/>
      <c r="C4" s="37"/>
      <c r="D4" s="37"/>
      <c r="E4" s="37"/>
      <c r="F4" s="37"/>
      <c r="G4" s="37"/>
      <c r="H4" s="37"/>
    </row>
    <row r="5" spans="1:8" x14ac:dyDescent="0.2">
      <c r="A5" s="53"/>
      <c r="B5" s="155"/>
      <c r="C5" s="155"/>
      <c r="D5" s="155"/>
      <c r="E5" s="155"/>
      <c r="F5" s="155"/>
      <c r="G5" s="155"/>
      <c r="H5" s="155"/>
    </row>
    <row r="6" spans="1:8" x14ac:dyDescent="0.2">
      <c r="A6" s="183"/>
      <c r="B6" s="134"/>
      <c r="C6" s="134"/>
      <c r="D6" s="134"/>
      <c r="E6" s="156" t="s">
        <v>2</v>
      </c>
      <c r="F6" s="134"/>
      <c r="G6" s="134"/>
      <c r="H6" s="134"/>
    </row>
    <row r="7" spans="1:8" x14ac:dyDescent="0.2">
      <c r="A7" s="183"/>
      <c r="B7" s="159"/>
      <c r="C7" s="159" t="s">
        <v>122</v>
      </c>
      <c r="D7" s="159" t="s">
        <v>123</v>
      </c>
      <c r="E7" s="159" t="s">
        <v>20</v>
      </c>
      <c r="F7" s="159" t="s">
        <v>124</v>
      </c>
      <c r="G7" s="159" t="s">
        <v>125</v>
      </c>
      <c r="H7" s="159" t="s">
        <v>125</v>
      </c>
    </row>
    <row r="8" spans="1:8" x14ac:dyDescent="0.2">
      <c r="A8" s="352" t="s">
        <v>345</v>
      </c>
      <c r="B8" s="159" t="s">
        <v>126</v>
      </c>
      <c r="C8" s="159" t="s">
        <v>127</v>
      </c>
      <c r="D8" s="159" t="s">
        <v>112</v>
      </c>
      <c r="E8" s="159" t="s">
        <v>128</v>
      </c>
      <c r="F8" s="159" t="s">
        <v>146</v>
      </c>
      <c r="G8" s="159" t="s">
        <v>129</v>
      </c>
      <c r="H8" s="159" t="s">
        <v>129</v>
      </c>
    </row>
    <row r="9" spans="1:8" x14ac:dyDescent="0.2">
      <c r="A9" s="283" t="s">
        <v>344</v>
      </c>
      <c r="B9" s="162" t="s">
        <v>109</v>
      </c>
      <c r="C9" s="185" t="s">
        <v>130</v>
      </c>
      <c r="D9" s="162" t="s">
        <v>46</v>
      </c>
      <c r="E9" s="185" t="s">
        <v>154</v>
      </c>
      <c r="F9" s="186" t="str">
        <f>CONCATENATE("Jan 1, ",H1-1,"")</f>
        <v>Jan 1, 2024</v>
      </c>
      <c r="G9" s="162">
        <f>H1-1</f>
        <v>2024</v>
      </c>
      <c r="H9" s="162">
        <f>H1</f>
        <v>2025</v>
      </c>
    </row>
    <row r="10" spans="1:8" x14ac:dyDescent="0.2">
      <c r="A10" s="50"/>
      <c r="B10" s="50"/>
      <c r="C10" s="187"/>
      <c r="D10" s="188"/>
      <c r="E10" s="51"/>
      <c r="F10" s="51"/>
      <c r="G10" s="51"/>
      <c r="H10" s="51"/>
    </row>
    <row r="11" spans="1:8" x14ac:dyDescent="0.2">
      <c r="A11" s="50"/>
      <c r="B11" s="50"/>
      <c r="C11" s="187"/>
      <c r="D11" s="188"/>
      <c r="E11" s="51"/>
      <c r="F11" s="51"/>
      <c r="G11" s="51"/>
      <c r="H11" s="51"/>
    </row>
    <row r="12" spans="1:8" x14ac:dyDescent="0.2">
      <c r="A12" s="50"/>
      <c r="B12" s="50"/>
      <c r="C12" s="187"/>
      <c r="D12" s="188"/>
      <c r="E12" s="51"/>
      <c r="F12" s="51"/>
      <c r="G12" s="51"/>
      <c r="H12" s="51"/>
    </row>
    <row r="13" spans="1:8" x14ac:dyDescent="0.2">
      <c r="A13" s="50"/>
      <c r="B13" s="288"/>
      <c r="C13" s="187"/>
      <c r="D13" s="188"/>
      <c r="E13" s="51"/>
      <c r="F13" s="51"/>
      <c r="G13" s="51"/>
      <c r="H13" s="51"/>
    </row>
    <row r="14" spans="1:8" x14ac:dyDescent="0.2">
      <c r="A14" s="50"/>
      <c r="B14" s="50"/>
      <c r="C14" s="187"/>
      <c r="D14" s="188"/>
      <c r="E14" s="51"/>
      <c r="F14" s="51"/>
      <c r="G14" s="51"/>
      <c r="H14" s="51"/>
    </row>
    <row r="15" spans="1:8" x14ac:dyDescent="0.2">
      <c r="A15" s="50"/>
      <c r="B15" s="50"/>
      <c r="C15" s="187"/>
      <c r="D15" s="188"/>
      <c r="E15" s="51"/>
      <c r="F15" s="51"/>
      <c r="G15" s="51"/>
      <c r="H15" s="51"/>
    </row>
    <row r="16" spans="1:8" x14ac:dyDescent="0.2">
      <c r="A16" s="50"/>
      <c r="B16" s="50"/>
      <c r="C16" s="187"/>
      <c r="D16" s="188"/>
      <c r="E16" s="51"/>
      <c r="F16" s="51"/>
      <c r="G16" s="51"/>
      <c r="H16" s="51"/>
    </row>
    <row r="17" spans="1:8" x14ac:dyDescent="0.2">
      <c r="A17" s="50"/>
      <c r="B17" s="50"/>
      <c r="C17" s="187"/>
      <c r="D17" s="188"/>
      <c r="E17" s="51"/>
      <c r="F17" s="51"/>
      <c r="G17" s="51"/>
      <c r="H17" s="51"/>
    </row>
    <row r="18" spans="1:8" x14ac:dyDescent="0.2">
      <c r="A18" s="50"/>
      <c r="B18" s="50"/>
      <c r="C18" s="187"/>
      <c r="D18" s="188"/>
      <c r="E18" s="51"/>
      <c r="F18" s="51"/>
      <c r="G18" s="51"/>
      <c r="H18" s="51"/>
    </row>
    <row r="19" spans="1:8" x14ac:dyDescent="0.2">
      <c r="A19" s="50"/>
      <c r="B19" s="50"/>
      <c r="C19" s="187"/>
      <c r="D19" s="188"/>
      <c r="E19" s="51"/>
      <c r="F19" s="51"/>
      <c r="G19" s="51"/>
      <c r="H19" s="51"/>
    </row>
    <row r="20" spans="1:8" x14ac:dyDescent="0.2">
      <c r="A20" s="50"/>
      <c r="B20" s="50"/>
      <c r="C20" s="187"/>
      <c r="D20" s="188"/>
      <c r="E20" s="51"/>
      <c r="F20" s="51"/>
      <c r="G20" s="51"/>
      <c r="H20" s="51"/>
    </row>
    <row r="21" spans="1:8" x14ac:dyDescent="0.2">
      <c r="A21" s="50"/>
      <c r="B21" s="50"/>
      <c r="C21" s="187"/>
      <c r="D21" s="188"/>
      <c r="E21" s="51"/>
      <c r="F21" s="51"/>
      <c r="G21" s="51"/>
      <c r="H21" s="51"/>
    </row>
    <row r="22" spans="1:8" x14ac:dyDescent="0.2">
      <c r="A22" s="50"/>
      <c r="B22" s="50"/>
      <c r="C22" s="187"/>
      <c r="D22" s="188"/>
      <c r="E22" s="51"/>
      <c r="F22" s="51"/>
      <c r="G22" s="51"/>
      <c r="H22" s="51"/>
    </row>
    <row r="23" spans="1:8" x14ac:dyDescent="0.2">
      <c r="A23" s="50"/>
      <c r="B23" s="50"/>
      <c r="C23" s="187"/>
      <c r="D23" s="188"/>
      <c r="E23" s="51"/>
      <c r="F23" s="51"/>
      <c r="G23" s="51"/>
      <c r="H23" s="51"/>
    </row>
    <row r="24" spans="1:8" x14ac:dyDescent="0.2">
      <c r="A24" s="50"/>
      <c r="B24" s="50"/>
      <c r="C24" s="187"/>
      <c r="D24" s="188"/>
      <c r="E24" s="51"/>
      <c r="F24" s="51"/>
      <c r="G24" s="51"/>
      <c r="H24" s="51"/>
    </row>
    <row r="25" spans="1:8" x14ac:dyDescent="0.2">
      <c r="A25" s="50"/>
      <c r="B25" s="50"/>
      <c r="C25" s="187"/>
      <c r="D25" s="188"/>
      <c r="E25" s="51"/>
      <c r="F25" s="51"/>
      <c r="G25" s="51"/>
      <c r="H25" s="51"/>
    </row>
    <row r="26" spans="1:8" x14ac:dyDescent="0.2">
      <c r="A26" s="50"/>
      <c r="B26" s="50"/>
      <c r="C26" s="187"/>
      <c r="D26" s="188"/>
      <c r="E26" s="51"/>
      <c r="F26" s="51"/>
      <c r="G26" s="51"/>
      <c r="H26" s="51"/>
    </row>
    <row r="27" spans="1:8" x14ac:dyDescent="0.2">
      <c r="A27" s="50"/>
      <c r="B27" s="50"/>
      <c r="C27" s="187"/>
      <c r="D27" s="188"/>
      <c r="E27" s="51"/>
      <c r="F27" s="51"/>
      <c r="G27" s="51"/>
      <c r="H27" s="51"/>
    </row>
    <row r="28" spans="1:8" x14ac:dyDescent="0.2">
      <c r="A28" s="50"/>
      <c r="B28" s="50"/>
      <c r="C28" s="187"/>
      <c r="D28" s="188"/>
      <c r="E28" s="51"/>
      <c r="F28" s="51"/>
      <c r="G28" s="51"/>
      <c r="H28" s="51"/>
    </row>
    <row r="29" spans="1:8" x14ac:dyDescent="0.2">
      <c r="A29" s="50"/>
      <c r="B29" s="50"/>
      <c r="C29" s="187"/>
      <c r="D29" s="188"/>
      <c r="E29" s="51"/>
      <c r="F29" s="51"/>
      <c r="G29" s="51"/>
      <c r="H29" s="51"/>
    </row>
    <row r="30" spans="1:8" x14ac:dyDescent="0.2">
      <c r="A30" s="50"/>
      <c r="B30" s="50"/>
      <c r="C30" s="187"/>
      <c r="D30" s="188"/>
      <c r="E30" s="51"/>
      <c r="F30" s="51"/>
      <c r="G30" s="51"/>
      <c r="H30" s="51"/>
    </row>
    <row r="31" spans="1:8" x14ac:dyDescent="0.2">
      <c r="A31" s="50"/>
      <c r="B31" s="50"/>
      <c r="C31" s="187"/>
      <c r="D31" s="188"/>
      <c r="E31" s="51"/>
      <c r="F31" s="51"/>
      <c r="G31" s="51"/>
      <c r="H31" s="51"/>
    </row>
    <row r="32" spans="1:8" x14ac:dyDescent="0.2">
      <c r="A32" s="50"/>
      <c r="B32" s="50"/>
      <c r="C32" s="187"/>
      <c r="D32" s="188"/>
      <c r="E32" s="51"/>
      <c r="F32" s="51"/>
      <c r="G32" s="51"/>
      <c r="H32" s="51"/>
    </row>
    <row r="33" spans="1:8" x14ac:dyDescent="0.2">
      <c r="A33" s="50"/>
      <c r="B33" s="50"/>
      <c r="C33" s="187"/>
      <c r="D33" s="188"/>
      <c r="E33" s="51"/>
      <c r="F33" s="51"/>
      <c r="G33" s="51"/>
      <c r="H33" s="51"/>
    </row>
    <row r="34" spans="1:8" x14ac:dyDescent="0.2">
      <c r="A34" s="50"/>
      <c r="B34" s="50"/>
      <c r="C34" s="187"/>
      <c r="D34" s="188"/>
      <c r="E34" s="51"/>
      <c r="F34" s="51"/>
      <c r="G34" s="51"/>
      <c r="H34" s="51"/>
    </row>
    <row r="35" spans="1:8" x14ac:dyDescent="0.2">
      <c r="A35" s="50"/>
      <c r="B35" s="50"/>
      <c r="C35" s="187"/>
      <c r="D35" s="188"/>
      <c r="E35" s="51"/>
      <c r="F35" s="51"/>
      <c r="G35" s="51"/>
      <c r="H35" s="51"/>
    </row>
    <row r="36" spans="1:8" x14ac:dyDescent="0.2">
      <c r="A36" s="50"/>
      <c r="B36" s="50"/>
      <c r="C36" s="187"/>
      <c r="D36" s="188"/>
      <c r="E36" s="51"/>
      <c r="F36" s="51"/>
      <c r="G36" s="51"/>
      <c r="H36" s="51"/>
    </row>
    <row r="37" spans="1:8" ht="16.5" thickBot="1" x14ac:dyDescent="0.25">
      <c r="A37" s="32"/>
      <c r="B37" s="32"/>
      <c r="C37" s="32"/>
      <c r="D37" s="32"/>
      <c r="E37" s="525" t="s">
        <v>27</v>
      </c>
      <c r="F37" s="525">
        <f>SUM(F10:F36)</f>
        <v>0</v>
      </c>
      <c r="G37" s="525">
        <f>SUM(G10:G36)</f>
        <v>0</v>
      </c>
      <c r="H37" s="525">
        <f>SUM(H10:H36)</f>
        <v>0</v>
      </c>
    </row>
    <row r="38" spans="1:8" ht="16.5" thickTop="1" x14ac:dyDescent="0.2">
      <c r="A38" s="32"/>
      <c r="B38" s="32"/>
      <c r="C38" s="32"/>
      <c r="D38" s="32"/>
      <c r="E38" s="32"/>
      <c r="F38" s="32"/>
      <c r="G38" s="73"/>
      <c r="H38" s="73"/>
    </row>
    <row r="39" spans="1:8" x14ac:dyDescent="0.2">
      <c r="A39" s="644" t="s">
        <v>557</v>
      </c>
      <c r="B39" s="644"/>
      <c r="C39" s="644"/>
      <c r="D39" s="644"/>
      <c r="E39" s="644"/>
      <c r="F39" s="644"/>
      <c r="G39" s="644"/>
      <c r="H39" s="644"/>
    </row>
    <row r="40" spans="1:8" x14ac:dyDescent="0.2">
      <c r="A40" s="72"/>
      <c r="B40" s="72"/>
      <c r="C40" s="181"/>
      <c r="D40" s="72"/>
      <c r="E40" s="72"/>
      <c r="F40" s="72"/>
      <c r="G40" s="180"/>
      <c r="H40" s="180"/>
    </row>
    <row r="41" spans="1:8" x14ac:dyDescent="0.2">
      <c r="A41" s="72"/>
      <c r="B41" s="72"/>
      <c r="C41" s="72"/>
      <c r="D41" s="72"/>
      <c r="E41" s="72"/>
      <c r="F41" s="72"/>
      <c r="G41" s="72"/>
      <c r="H41" s="72"/>
    </row>
    <row r="42" spans="1:8" x14ac:dyDescent="0.2">
      <c r="A42" s="72"/>
      <c r="B42" s="72"/>
      <c r="C42" s="72"/>
      <c r="D42" s="72"/>
      <c r="E42" s="72"/>
      <c r="F42" s="72"/>
      <c r="G42" s="72"/>
      <c r="H42" s="72"/>
    </row>
    <row r="43" spans="1:8" x14ac:dyDescent="0.2">
      <c r="A43" s="72"/>
      <c r="B43" s="72"/>
      <c r="C43" s="72"/>
      <c r="D43" s="72"/>
      <c r="E43" s="72"/>
      <c r="F43" s="72"/>
      <c r="G43" s="72"/>
      <c r="H43" s="72"/>
    </row>
    <row r="44" spans="1:8" x14ac:dyDescent="0.2">
      <c r="A44" s="72"/>
      <c r="B44" s="72"/>
      <c r="C44" s="72"/>
      <c r="D44" s="72"/>
      <c r="E44" s="72"/>
      <c r="F44" s="72"/>
      <c r="G44" s="72"/>
      <c r="H44" s="72"/>
    </row>
    <row r="45" spans="1:8" x14ac:dyDescent="0.2">
      <c r="A45" s="72"/>
      <c r="B45" s="72"/>
      <c r="C45" s="72"/>
      <c r="D45" s="72"/>
      <c r="E45" s="72"/>
      <c r="F45" s="72"/>
      <c r="G45" s="72"/>
      <c r="H45" s="72"/>
    </row>
    <row r="46" spans="1:8" x14ac:dyDescent="0.2">
      <c r="A46" s="72"/>
      <c r="B46" s="72"/>
      <c r="C46" s="72"/>
      <c r="D46" s="72"/>
      <c r="E46" s="72"/>
      <c r="F46" s="72"/>
      <c r="G46" s="72"/>
      <c r="H46" s="72"/>
    </row>
    <row r="47" spans="1:8" x14ac:dyDescent="0.2">
      <c r="A47" s="72"/>
      <c r="B47" s="72"/>
      <c r="C47" s="72"/>
      <c r="D47" s="72"/>
      <c r="E47" s="72"/>
      <c r="F47" s="72"/>
      <c r="G47" s="72"/>
      <c r="H47" s="72"/>
    </row>
    <row r="48" spans="1:8" x14ac:dyDescent="0.2">
      <c r="A48" s="72"/>
      <c r="B48" s="72"/>
      <c r="C48" s="72"/>
      <c r="D48" s="72"/>
      <c r="E48" s="72"/>
      <c r="F48" s="72"/>
      <c r="G48" s="72"/>
      <c r="H48" s="72"/>
    </row>
  </sheetData>
  <sheetProtection sheet="1" objects="1" scenarios="1"/>
  <mergeCells count="1">
    <mergeCell ref="A39:H39"/>
  </mergeCells>
  <phoneticPr fontId="0" type="noConversion"/>
  <pageMargins left="0.24" right="0.82" top="0.78" bottom="0.4" header="0.5" footer="0"/>
  <pageSetup scale="82" orientation="landscape" blackAndWhite="1" horizontalDpi="120" verticalDpi="144" r:id="rId1"/>
  <headerFooter alignWithMargins="0">
    <oddHeader xml:space="preserve">&amp;RState of Kansas
County
</oddHeader>
    <oddFooter>&amp;CPage No. 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00B0F0"/>
  </sheetPr>
  <dimension ref="A1:J138"/>
  <sheetViews>
    <sheetView topLeftCell="A87" zoomScaleNormal="100" workbookViewId="0">
      <selection activeCell="A112" sqref="A112"/>
    </sheetView>
  </sheetViews>
  <sheetFormatPr defaultRowHeight="15.75" x14ac:dyDescent="0.2"/>
  <cols>
    <col min="1" max="1" width="31.109375" style="27" customWidth="1"/>
    <col min="2" max="3" width="15.77734375" style="27" customWidth="1"/>
    <col min="4" max="4" width="16.109375" style="27" customWidth="1"/>
    <col min="5" max="5" width="7.44140625" style="27" customWidth="1"/>
    <col min="6" max="6" width="10.21875" style="27" customWidth="1"/>
    <col min="7" max="7" width="8.88671875" style="27"/>
    <col min="8" max="8" width="5.88671875" style="27" customWidth="1"/>
    <col min="9" max="9" width="10" style="27" customWidth="1"/>
    <col min="10" max="16384" width="8.88671875" style="27"/>
  </cols>
  <sheetData>
    <row r="1" spans="1:4" x14ac:dyDescent="0.2">
      <c r="A1" s="73">
        <f>inputPrYr!$C$3</f>
        <v>0</v>
      </c>
      <c r="B1" s="32"/>
      <c r="C1" s="32"/>
      <c r="D1" s="182">
        <f>inputPrYr!C5</f>
        <v>2025</v>
      </c>
    </row>
    <row r="2" spans="1:4" x14ac:dyDescent="0.2">
      <c r="A2" s="32"/>
      <c r="B2" s="32"/>
      <c r="C2" s="32"/>
      <c r="D2" s="63"/>
    </row>
    <row r="3" spans="1:4" x14ac:dyDescent="0.2">
      <c r="A3" s="302" t="s">
        <v>138</v>
      </c>
      <c r="B3" s="32"/>
      <c r="C3" s="32"/>
      <c r="D3" s="189"/>
    </row>
    <row r="4" spans="1:4" x14ac:dyDescent="0.2">
      <c r="A4" s="120" t="s">
        <v>30</v>
      </c>
      <c r="B4" s="353" t="s">
        <v>346</v>
      </c>
      <c r="C4" s="354" t="s">
        <v>347</v>
      </c>
      <c r="D4" s="95" t="s">
        <v>348</v>
      </c>
    </row>
    <row r="5" spans="1:4" x14ac:dyDescent="0.2">
      <c r="A5" s="296" t="str">
        <f>inputPrYr!B17</f>
        <v>General</v>
      </c>
      <c r="B5" s="283" t="str">
        <f>CONCATENATE("Actual for ",D1-2,"")</f>
        <v>Actual for 2023</v>
      </c>
      <c r="C5" s="283" t="str">
        <f>CONCATENATE("Estimate for ",D1-1,"")</f>
        <v>Estimate for 2024</v>
      </c>
      <c r="D5" s="190" t="str">
        <f>CONCATENATE("Year for ",D1,"")</f>
        <v>Year for 2025</v>
      </c>
    </row>
    <row r="6" spans="1:4" x14ac:dyDescent="0.2">
      <c r="A6" s="191" t="s">
        <v>148</v>
      </c>
      <c r="B6" s="193"/>
      <c r="C6" s="282">
        <f>B116</f>
        <v>0</v>
      </c>
      <c r="D6" s="164">
        <f>C116</f>
        <v>0</v>
      </c>
    </row>
    <row r="7" spans="1:4" x14ac:dyDescent="0.2">
      <c r="A7" s="184" t="s">
        <v>150</v>
      </c>
      <c r="B7" s="111"/>
      <c r="C7" s="111"/>
      <c r="D7" s="64"/>
    </row>
    <row r="8" spans="1:4" x14ac:dyDescent="0.2">
      <c r="A8" s="191" t="s">
        <v>31</v>
      </c>
      <c r="B8" s="193"/>
      <c r="C8" s="282">
        <f>IF(inputPrYr!H16&gt;0,inputPrYr!H16,inputPrYr!E17)</f>
        <v>0</v>
      </c>
      <c r="D8" s="128" t="s">
        <v>16</v>
      </c>
    </row>
    <row r="9" spans="1:4" x14ac:dyDescent="0.2">
      <c r="A9" s="191" t="s">
        <v>32</v>
      </c>
      <c r="B9" s="193"/>
      <c r="C9" s="193"/>
      <c r="D9" s="194"/>
    </row>
    <row r="10" spans="1:4" x14ac:dyDescent="0.2">
      <c r="A10" s="191" t="s">
        <v>33</v>
      </c>
      <c r="B10" s="193"/>
      <c r="C10" s="193"/>
      <c r="D10" s="164">
        <f>Mvalloc!D8</f>
        <v>0</v>
      </c>
    </row>
    <row r="11" spans="1:4" x14ac:dyDescent="0.2">
      <c r="A11" s="191" t="s">
        <v>34</v>
      </c>
      <c r="B11" s="193"/>
      <c r="C11" s="193"/>
      <c r="D11" s="164">
        <f>Mvalloc!E8</f>
        <v>0</v>
      </c>
    </row>
    <row r="12" spans="1:4" x14ac:dyDescent="0.2">
      <c r="A12" s="111" t="s">
        <v>143</v>
      </c>
      <c r="B12" s="193"/>
      <c r="C12" s="193"/>
      <c r="D12" s="164">
        <f>Mvalloc!F8</f>
        <v>0</v>
      </c>
    </row>
    <row r="13" spans="1:4" x14ac:dyDescent="0.2">
      <c r="A13" s="191" t="s">
        <v>374</v>
      </c>
      <c r="B13" s="193"/>
      <c r="C13" s="193"/>
      <c r="D13" s="164">
        <f>Mvalloc!G8</f>
        <v>0</v>
      </c>
    </row>
    <row r="14" spans="1:4" x14ac:dyDescent="0.2">
      <c r="A14" s="191" t="s">
        <v>375</v>
      </c>
      <c r="B14" s="193"/>
      <c r="C14" s="193"/>
      <c r="D14" s="164">
        <f>Mvalloc!H8</f>
        <v>0</v>
      </c>
    </row>
    <row r="15" spans="1:4" x14ac:dyDescent="0.2">
      <c r="A15" s="191" t="s">
        <v>145</v>
      </c>
      <c r="B15" s="193"/>
      <c r="C15" s="193"/>
      <c r="D15" s="164">
        <f>inputOth!E11</f>
        <v>0</v>
      </c>
    </row>
    <row r="16" spans="1:4" x14ac:dyDescent="0.2">
      <c r="A16" s="193" t="s">
        <v>37</v>
      </c>
      <c r="B16" s="193"/>
      <c r="C16" s="193"/>
      <c r="D16" s="194"/>
    </row>
    <row r="17" spans="1:4" x14ac:dyDescent="0.2">
      <c r="A17" s="193" t="s">
        <v>35</v>
      </c>
      <c r="B17" s="193"/>
      <c r="C17" s="193"/>
      <c r="D17" s="194"/>
    </row>
    <row r="18" spans="1:4" x14ac:dyDescent="0.2">
      <c r="A18" s="193" t="s">
        <v>315</v>
      </c>
      <c r="B18" s="193"/>
      <c r="C18" s="193"/>
      <c r="D18" s="194"/>
    </row>
    <row r="19" spans="1:4" x14ac:dyDescent="0.2">
      <c r="A19" s="195" t="s">
        <v>316</v>
      </c>
      <c r="B19" s="193"/>
      <c r="C19" s="193"/>
      <c r="D19" s="194"/>
    </row>
    <row r="20" spans="1:4" x14ac:dyDescent="0.2">
      <c r="A20" s="195"/>
      <c r="B20" s="193"/>
      <c r="C20" s="193"/>
      <c r="D20" s="194"/>
    </row>
    <row r="21" spans="1:4" x14ac:dyDescent="0.2">
      <c r="A21" s="195"/>
      <c r="B21" s="193"/>
      <c r="C21" s="193"/>
      <c r="D21" s="194"/>
    </row>
    <row r="22" spans="1:4" x14ac:dyDescent="0.2">
      <c r="A22" s="193"/>
      <c r="B22" s="193"/>
      <c r="C22" s="193"/>
      <c r="D22" s="194"/>
    </row>
    <row r="23" spans="1:4" x14ac:dyDescent="0.2">
      <c r="A23" s="193"/>
      <c r="B23" s="193"/>
      <c r="C23" s="193"/>
      <c r="D23" s="194"/>
    </row>
    <row r="24" spans="1:4" x14ac:dyDescent="0.2">
      <c r="A24" s="193"/>
      <c r="B24" s="193"/>
      <c r="C24" s="193"/>
      <c r="D24" s="194"/>
    </row>
    <row r="25" spans="1:4" x14ac:dyDescent="0.2">
      <c r="A25" s="193"/>
      <c r="B25" s="193"/>
      <c r="C25" s="193"/>
      <c r="D25" s="194"/>
    </row>
    <row r="26" spans="1:4" x14ac:dyDescent="0.2">
      <c r="A26" s="193"/>
      <c r="B26" s="193"/>
      <c r="C26" s="193"/>
      <c r="D26" s="194"/>
    </row>
    <row r="27" spans="1:4" x14ac:dyDescent="0.2">
      <c r="A27" s="193"/>
      <c r="B27" s="193"/>
      <c r="C27" s="193"/>
      <c r="D27" s="194"/>
    </row>
    <row r="28" spans="1:4" x14ac:dyDescent="0.2">
      <c r="A28" s="193"/>
      <c r="B28" s="193"/>
      <c r="C28" s="193"/>
      <c r="D28" s="194"/>
    </row>
    <row r="29" spans="1:4" x14ac:dyDescent="0.2">
      <c r="A29" s="193"/>
      <c r="B29" s="193"/>
      <c r="C29" s="193"/>
      <c r="D29" s="194"/>
    </row>
    <row r="30" spans="1:4" x14ac:dyDescent="0.2">
      <c r="A30" s="193"/>
      <c r="B30" s="193"/>
      <c r="C30" s="193"/>
      <c r="D30" s="194"/>
    </row>
    <row r="31" spans="1:4" x14ac:dyDescent="0.2">
      <c r="A31" s="193"/>
      <c r="B31" s="193"/>
      <c r="C31" s="193"/>
      <c r="D31" s="194"/>
    </row>
    <row r="32" spans="1:4" x14ac:dyDescent="0.2">
      <c r="A32" s="193"/>
      <c r="B32" s="193"/>
      <c r="C32" s="193"/>
      <c r="D32" s="194"/>
    </row>
    <row r="33" spans="1:4" x14ac:dyDescent="0.2">
      <c r="A33" s="193"/>
      <c r="B33" s="193"/>
      <c r="C33" s="193"/>
      <c r="D33" s="194"/>
    </row>
    <row r="34" spans="1:4" x14ac:dyDescent="0.2">
      <c r="A34" s="193"/>
      <c r="B34" s="193"/>
      <c r="C34" s="193"/>
      <c r="D34" s="194"/>
    </row>
    <row r="35" spans="1:4" x14ac:dyDescent="0.2">
      <c r="A35" s="193"/>
      <c r="B35" s="193"/>
      <c r="C35" s="193"/>
      <c r="D35" s="194"/>
    </row>
    <row r="36" spans="1:4" x14ac:dyDescent="0.2">
      <c r="A36" s="193"/>
      <c r="B36" s="193"/>
      <c r="C36" s="193"/>
      <c r="D36" s="194"/>
    </row>
    <row r="37" spans="1:4" x14ac:dyDescent="0.2">
      <c r="A37" s="193"/>
      <c r="B37" s="193"/>
      <c r="C37" s="193"/>
      <c r="D37" s="194"/>
    </row>
    <row r="38" spans="1:4" x14ac:dyDescent="0.2">
      <c r="A38" s="193"/>
      <c r="B38" s="193"/>
      <c r="C38" s="193"/>
      <c r="D38" s="194"/>
    </row>
    <row r="39" spans="1:4" x14ac:dyDescent="0.2">
      <c r="A39" s="193"/>
      <c r="B39" s="193"/>
      <c r="C39" s="193"/>
      <c r="D39" s="194"/>
    </row>
    <row r="40" spans="1:4" x14ac:dyDescent="0.2">
      <c r="A40" s="193"/>
      <c r="B40" s="193"/>
      <c r="C40" s="193"/>
      <c r="D40" s="194"/>
    </row>
    <row r="41" spans="1:4" x14ac:dyDescent="0.2">
      <c r="A41" s="193"/>
      <c r="B41" s="193"/>
      <c r="C41" s="193"/>
      <c r="D41" s="194"/>
    </row>
    <row r="42" spans="1:4" x14ac:dyDescent="0.2">
      <c r="A42" s="193"/>
      <c r="B42" s="193"/>
      <c r="C42" s="193"/>
      <c r="D42" s="194"/>
    </row>
    <row r="43" spans="1:4" x14ac:dyDescent="0.2">
      <c r="A43" s="193"/>
      <c r="B43" s="193"/>
      <c r="C43" s="193"/>
      <c r="D43" s="194"/>
    </row>
    <row r="44" spans="1:4" x14ac:dyDescent="0.2">
      <c r="A44" s="193"/>
      <c r="B44" s="193"/>
      <c r="C44" s="193"/>
      <c r="D44" s="194"/>
    </row>
    <row r="45" spans="1:4" x14ac:dyDescent="0.2">
      <c r="A45" s="193"/>
      <c r="B45" s="193"/>
      <c r="C45" s="193"/>
      <c r="D45" s="194"/>
    </row>
    <row r="46" spans="1:4" x14ac:dyDescent="0.2">
      <c r="A46" s="193"/>
      <c r="B46" s="193"/>
      <c r="C46" s="193"/>
      <c r="D46" s="194"/>
    </row>
    <row r="47" spans="1:4" x14ac:dyDescent="0.2">
      <c r="A47" s="193"/>
      <c r="B47" s="193"/>
      <c r="C47" s="193"/>
      <c r="D47" s="194"/>
    </row>
    <row r="48" spans="1:4" x14ac:dyDescent="0.2">
      <c r="A48" s="193" t="s">
        <v>36</v>
      </c>
      <c r="B48" s="193"/>
      <c r="C48" s="193"/>
      <c r="D48" s="194"/>
    </row>
    <row r="49" spans="1:4" x14ac:dyDescent="0.2">
      <c r="A49" s="195" t="s">
        <v>38</v>
      </c>
      <c r="B49" s="193"/>
      <c r="C49" s="193"/>
      <c r="D49" s="194"/>
    </row>
    <row r="50" spans="1:4" x14ac:dyDescent="0.2">
      <c r="A50" s="196" t="s">
        <v>218</v>
      </c>
      <c r="B50" s="193"/>
      <c r="C50" s="193"/>
      <c r="D50" s="164">
        <f>'NR Rebate'!E6*-1</f>
        <v>0</v>
      </c>
    </row>
    <row r="51" spans="1:4" x14ac:dyDescent="0.2">
      <c r="A51" s="196" t="s">
        <v>219</v>
      </c>
      <c r="B51" s="193"/>
      <c r="C51" s="193"/>
      <c r="D51" s="194"/>
    </row>
    <row r="52" spans="1:4" x14ac:dyDescent="0.2">
      <c r="A52" s="196" t="s">
        <v>317</v>
      </c>
      <c r="B52" s="281" t="str">
        <f>IF(B53*0.1&lt;B51,"Exceed 10% Rule","")</f>
        <v/>
      </c>
      <c r="C52" s="281" t="str">
        <f>IF(C53*0.1&lt;C51,"Exceed 10% Rule","")</f>
        <v/>
      </c>
      <c r="D52" s="217" t="str">
        <f>IF(D53*0.1+D122&lt;D51,"Exceed 10% Rule","")</f>
        <v/>
      </c>
    </row>
    <row r="53" spans="1:4" x14ac:dyDescent="0.2">
      <c r="A53" s="198" t="s">
        <v>39</v>
      </c>
      <c r="B53" s="229">
        <f>SUM(B8:B51)</f>
        <v>0</v>
      </c>
      <c r="C53" s="229">
        <f>SUM(C8:C51)</f>
        <v>0</v>
      </c>
      <c r="D53" s="229">
        <f>SUM(D9:D51)</f>
        <v>0</v>
      </c>
    </row>
    <row r="54" spans="1:4" x14ac:dyDescent="0.2">
      <c r="A54" s="198" t="s">
        <v>40</v>
      </c>
      <c r="B54" s="229">
        <f>B6+B53</f>
        <v>0</v>
      </c>
      <c r="C54" s="229">
        <f>C6+C53</f>
        <v>0</v>
      </c>
      <c r="D54" s="229">
        <f>D6+D53</f>
        <v>0</v>
      </c>
    </row>
    <row r="55" spans="1:4" x14ac:dyDescent="0.2">
      <c r="A55" s="80"/>
      <c r="B55" s="80"/>
      <c r="C55" s="80"/>
      <c r="D55" s="80"/>
    </row>
    <row r="56" spans="1:4" x14ac:dyDescent="0.2">
      <c r="A56" s="450" t="s">
        <v>380</v>
      </c>
      <c r="B56" s="451"/>
      <c r="C56" s="451"/>
      <c r="D56" s="452"/>
    </row>
    <row r="57" spans="1:4" x14ac:dyDescent="0.2">
      <c r="A57" s="453"/>
      <c r="B57" s="80"/>
      <c r="C57" s="80"/>
      <c r="D57" s="454"/>
    </row>
    <row r="58" spans="1:4" x14ac:dyDescent="0.2">
      <c r="A58" s="115"/>
      <c r="B58" s="96"/>
      <c r="C58" s="96"/>
      <c r="D58" s="455"/>
    </row>
    <row r="59" spans="1:4" x14ac:dyDescent="0.2">
      <c r="A59" s="645" t="s">
        <v>384</v>
      </c>
      <c r="B59" s="645"/>
      <c r="C59" s="645"/>
      <c r="D59" s="645"/>
    </row>
    <row r="60" spans="1:4" x14ac:dyDescent="0.2">
      <c r="A60" s="645"/>
      <c r="B60" s="645"/>
      <c r="C60" s="645"/>
      <c r="D60" s="645"/>
    </row>
    <row r="61" spans="1:4" x14ac:dyDescent="0.2">
      <c r="A61" s="73">
        <f>inputPrYr!C3</f>
        <v>0</v>
      </c>
      <c r="B61" s="73"/>
      <c r="C61" s="73"/>
      <c r="D61" s="182">
        <f>D1</f>
        <v>2025</v>
      </c>
    </row>
    <row r="62" spans="1:4" x14ac:dyDescent="0.2">
      <c r="A62" s="32"/>
      <c r="B62" s="73"/>
      <c r="C62" s="73"/>
      <c r="D62" s="63"/>
    </row>
    <row r="63" spans="1:4" x14ac:dyDescent="0.2">
      <c r="A63" s="199" t="s">
        <v>135</v>
      </c>
      <c r="B63" s="200"/>
      <c r="C63" s="200"/>
      <c r="D63" s="200"/>
    </row>
    <row r="64" spans="1:4" x14ac:dyDescent="0.2">
      <c r="A64" s="32" t="s">
        <v>30</v>
      </c>
      <c r="B64" s="324" t="str">
        <f t="shared" ref="B64:D65" si="0">B4</f>
        <v xml:space="preserve">Prior Year </v>
      </c>
      <c r="C64" s="325" t="str">
        <f t="shared" si="0"/>
        <v xml:space="preserve">Current Year </v>
      </c>
      <c r="D64" s="323" t="str">
        <f t="shared" si="0"/>
        <v xml:space="preserve">Proposed Budget </v>
      </c>
    </row>
    <row r="65" spans="1:4" x14ac:dyDescent="0.2">
      <c r="A65" s="53" t="s">
        <v>42</v>
      </c>
      <c r="B65" s="283" t="str">
        <f t="shared" si="0"/>
        <v>Actual for 2023</v>
      </c>
      <c r="C65" s="283" t="str">
        <f t="shared" si="0"/>
        <v>Estimate for 2024</v>
      </c>
      <c r="D65" s="162" t="str">
        <f t="shared" si="0"/>
        <v>Year for 2025</v>
      </c>
    </row>
    <row r="66" spans="1:4" x14ac:dyDescent="0.2">
      <c r="A66" s="198" t="s">
        <v>40</v>
      </c>
      <c r="B66" s="282">
        <f>B54</f>
        <v>0</v>
      </c>
      <c r="C66" s="282">
        <f>C54</f>
        <v>0</v>
      </c>
      <c r="D66" s="164">
        <f>D54</f>
        <v>0</v>
      </c>
    </row>
    <row r="67" spans="1:4" x14ac:dyDescent="0.2">
      <c r="A67" s="191" t="s">
        <v>43</v>
      </c>
      <c r="B67" s="111"/>
      <c r="C67" s="111"/>
      <c r="D67" s="64"/>
    </row>
    <row r="68" spans="1:4" x14ac:dyDescent="0.2">
      <c r="A68" s="111" t="str">
        <f>'General Detail'!A7</f>
        <v>General Administration</v>
      </c>
      <c r="B68" s="282">
        <f>'General Detail'!B13</f>
        <v>0</v>
      </c>
      <c r="C68" s="282">
        <f>'General Detail'!C13</f>
        <v>0</v>
      </c>
      <c r="D68" s="164">
        <f>'General Detail'!D13</f>
        <v>0</v>
      </c>
    </row>
    <row r="69" spans="1:4" x14ac:dyDescent="0.2">
      <c r="A69" s="111" t="str">
        <f>'General Detail'!A14</f>
        <v>Airport</v>
      </c>
      <c r="B69" s="282">
        <f>'General Detail'!B19</f>
        <v>0</v>
      </c>
      <c r="C69" s="282">
        <f>'General Detail'!C19</f>
        <v>0</v>
      </c>
      <c r="D69" s="164">
        <f>'General Detail'!D19</f>
        <v>0</v>
      </c>
    </row>
    <row r="70" spans="1:4" x14ac:dyDescent="0.2">
      <c r="A70" s="111" t="str">
        <f>'General Detail'!A20</f>
        <v>Alcohol &amp; Drug Abuse</v>
      </c>
      <c r="B70" s="282">
        <f>'General Detail'!B25</f>
        <v>0</v>
      </c>
      <c r="C70" s="282">
        <f>'General Detail'!C25</f>
        <v>0</v>
      </c>
      <c r="D70" s="164">
        <f>'General Detail'!D25</f>
        <v>0</v>
      </c>
    </row>
    <row r="71" spans="1:4" x14ac:dyDescent="0.2">
      <c r="A71" s="111" t="str">
        <f>'General Detail'!A26</f>
        <v>Ambulance</v>
      </c>
      <c r="B71" s="282">
        <f>'General Detail'!B31</f>
        <v>0</v>
      </c>
      <c r="C71" s="282">
        <f>'General Detail'!C31</f>
        <v>0</v>
      </c>
      <c r="D71" s="164">
        <f>'General Detail'!D31</f>
        <v>0</v>
      </c>
    </row>
    <row r="72" spans="1:4" x14ac:dyDescent="0.2">
      <c r="A72" s="111" t="str">
        <f>'General Detail'!A32</f>
        <v>Animal Control</v>
      </c>
      <c r="B72" s="282">
        <f>'General Detail'!B37</f>
        <v>0</v>
      </c>
      <c r="C72" s="282">
        <f>'General Detail'!C37</f>
        <v>0</v>
      </c>
      <c r="D72" s="164">
        <f>'General Detail'!D37</f>
        <v>0</v>
      </c>
    </row>
    <row r="73" spans="1:4" x14ac:dyDescent="0.2">
      <c r="A73" s="111" t="str">
        <f>'General Detail'!A38</f>
        <v>Appraisal</v>
      </c>
      <c r="B73" s="282">
        <f>'General Detail'!B43</f>
        <v>0</v>
      </c>
      <c r="C73" s="282">
        <f>'General Detail'!C43</f>
        <v>0</v>
      </c>
      <c r="D73" s="164">
        <f>'General Detail'!D43</f>
        <v>0</v>
      </c>
    </row>
    <row r="74" spans="1:4" x14ac:dyDescent="0.2">
      <c r="A74" s="111" t="str">
        <f>'General Detail'!A44</f>
        <v>Building</v>
      </c>
      <c r="B74" s="282">
        <f>'General Detail'!B49</f>
        <v>0</v>
      </c>
      <c r="C74" s="282">
        <f>'General Detail'!C49</f>
        <v>0</v>
      </c>
      <c r="D74" s="164">
        <f>'General Detail'!D49</f>
        <v>0</v>
      </c>
    </row>
    <row r="75" spans="1:4" x14ac:dyDescent="0.2">
      <c r="A75" s="111" t="str">
        <f>'General Detail'!A50</f>
        <v>County Attorney/Counselor</v>
      </c>
      <c r="B75" s="282">
        <f>'General Detail'!B55</f>
        <v>0</v>
      </c>
      <c r="C75" s="282">
        <f>'General Detail'!C55</f>
        <v>0</v>
      </c>
      <c r="D75" s="164">
        <f>'General Detail'!D55</f>
        <v>0</v>
      </c>
    </row>
    <row r="76" spans="1:4" x14ac:dyDescent="0.2">
      <c r="A76" s="111" t="str">
        <f>'General Detail'!A67</f>
        <v>County Clerk</v>
      </c>
      <c r="B76" s="282">
        <f>'General Detail'!B72</f>
        <v>0</v>
      </c>
      <c r="C76" s="282">
        <f>'General Detail'!C72</f>
        <v>0</v>
      </c>
      <c r="D76" s="164">
        <f>'General Detail'!D72</f>
        <v>0</v>
      </c>
    </row>
    <row r="77" spans="1:4" x14ac:dyDescent="0.2">
      <c r="A77" s="111" t="str">
        <f>'General Detail'!A73</f>
        <v>County Commission</v>
      </c>
      <c r="B77" s="282">
        <f>'General Detail'!B78</f>
        <v>0</v>
      </c>
      <c r="C77" s="282">
        <f>'General Detail'!C78</f>
        <v>0</v>
      </c>
      <c r="D77" s="164">
        <f>'General Detail'!D78</f>
        <v>0</v>
      </c>
    </row>
    <row r="78" spans="1:4" x14ac:dyDescent="0.2">
      <c r="A78" s="111" t="str">
        <f>'General Detail'!A79</f>
        <v>County Treasurer</v>
      </c>
      <c r="B78" s="282">
        <f>'General Detail'!B84</f>
        <v>0</v>
      </c>
      <c r="C78" s="282">
        <f>'General Detail'!C84</f>
        <v>0</v>
      </c>
      <c r="D78" s="164">
        <f>'General Detail'!D84</f>
        <v>0</v>
      </c>
    </row>
    <row r="79" spans="1:4" x14ac:dyDescent="0.2">
      <c r="A79" s="111" t="str">
        <f>'General Detail'!A85</f>
        <v>Debt Service</v>
      </c>
      <c r="B79" s="282">
        <f>'General Detail'!B90</f>
        <v>0</v>
      </c>
      <c r="C79" s="282">
        <f>'General Detail'!C90</f>
        <v>0</v>
      </c>
      <c r="D79" s="164">
        <f>'General Detail'!D90</f>
        <v>0</v>
      </c>
    </row>
    <row r="80" spans="1:4" x14ac:dyDescent="0.2">
      <c r="A80" s="111" t="str">
        <f>'General Detail'!A91</f>
        <v>District Court</v>
      </c>
      <c r="B80" s="282">
        <f>'General Detail'!B96</f>
        <v>0</v>
      </c>
      <c r="C80" s="282">
        <f>'General Detail'!C96</f>
        <v>0</v>
      </c>
      <c r="D80" s="164">
        <f>'General Detail'!D96</f>
        <v>0</v>
      </c>
    </row>
    <row r="81" spans="1:9" x14ac:dyDescent="0.2">
      <c r="A81" s="111" t="str">
        <f>'General Detail'!A97</f>
        <v>Economic Development</v>
      </c>
      <c r="B81" s="282">
        <f>'General Detail'!B102</f>
        <v>0</v>
      </c>
      <c r="C81" s="282">
        <f>'General Detail'!C102</f>
        <v>0</v>
      </c>
      <c r="D81" s="164">
        <f>'General Detail'!D102</f>
        <v>0</v>
      </c>
    </row>
    <row r="82" spans="1:9" x14ac:dyDescent="0.2">
      <c r="A82" s="111" t="str">
        <f>'General Detail'!A103</f>
        <v>Election</v>
      </c>
      <c r="B82" s="282">
        <f>'General Detail'!B108</f>
        <v>0</v>
      </c>
      <c r="C82" s="282">
        <f>'General Detail'!C108</f>
        <v>0</v>
      </c>
      <c r="D82" s="164">
        <f>'General Detail'!D108</f>
        <v>0</v>
      </c>
    </row>
    <row r="83" spans="1:9" x14ac:dyDescent="0.2">
      <c r="A83" s="111" t="str">
        <f>'General Detail'!A109</f>
        <v>Emergency Services</v>
      </c>
      <c r="B83" s="282">
        <f>'General Detail'!B114</f>
        <v>0</v>
      </c>
      <c r="C83" s="282">
        <f>'General Detail'!C114</f>
        <v>0</v>
      </c>
      <c r="D83" s="164">
        <f>'General Detail'!D114</f>
        <v>0</v>
      </c>
    </row>
    <row r="84" spans="1:9" x14ac:dyDescent="0.2">
      <c r="A84" s="111" t="str">
        <f>'General Detail'!A125</f>
        <v>Employee Benefits</v>
      </c>
      <c r="B84" s="282">
        <f>'General Detail'!B132</f>
        <v>0</v>
      </c>
      <c r="C84" s="282">
        <f>'General Detail'!C132</f>
        <v>0</v>
      </c>
      <c r="D84" s="164">
        <f>'General Detail'!D132</f>
        <v>0</v>
      </c>
    </row>
    <row r="85" spans="1:9" x14ac:dyDescent="0.2">
      <c r="A85" s="111" t="str">
        <f>'General Detail'!A133</f>
        <v>Extension Council</v>
      </c>
      <c r="B85" s="282">
        <f>'General Detail'!B138</f>
        <v>0</v>
      </c>
      <c r="C85" s="282">
        <f>'General Detail'!C138</f>
        <v>0</v>
      </c>
      <c r="D85" s="164">
        <f>'General Detail'!D138</f>
        <v>0</v>
      </c>
    </row>
    <row r="86" spans="1:9" x14ac:dyDescent="0.2">
      <c r="A86" s="111" t="str">
        <f>'General Detail'!A139</f>
        <v>Fair</v>
      </c>
      <c r="B86" s="282">
        <f>'General Detail'!B144</f>
        <v>0</v>
      </c>
      <c r="C86" s="282">
        <f>'General Detail'!C144</f>
        <v>0</v>
      </c>
      <c r="D86" s="164">
        <f>'General Detail'!D144</f>
        <v>0</v>
      </c>
    </row>
    <row r="87" spans="1:9" x14ac:dyDescent="0.2">
      <c r="A87" s="111" t="str">
        <f>'General Detail'!A145</f>
        <v>Fire</v>
      </c>
      <c r="B87" s="282">
        <f>'General Detail'!B150</f>
        <v>0</v>
      </c>
      <c r="C87" s="282">
        <f>'General Detail'!C150</f>
        <v>0</v>
      </c>
      <c r="D87" s="164">
        <f>'General Detail'!D150</f>
        <v>0</v>
      </c>
    </row>
    <row r="88" spans="1:9" x14ac:dyDescent="0.2">
      <c r="A88" s="111" t="str">
        <f>'General Detail'!A151</f>
        <v>Health</v>
      </c>
      <c r="B88" s="282">
        <f>'General Detail'!B156</f>
        <v>0</v>
      </c>
      <c r="C88" s="282">
        <f>'General Detail'!C156</f>
        <v>0</v>
      </c>
      <c r="D88" s="164">
        <f>'General Detail'!D156</f>
        <v>0</v>
      </c>
    </row>
    <row r="89" spans="1:9" x14ac:dyDescent="0.2">
      <c r="A89" s="111" t="str">
        <f>'General Detail'!A157</f>
        <v>Historical</v>
      </c>
      <c r="B89" s="282">
        <f>'General Detail'!B162</f>
        <v>0</v>
      </c>
      <c r="C89" s="282">
        <f>'General Detail'!C162</f>
        <v>0</v>
      </c>
      <c r="D89" s="164">
        <f>'General Detail'!D162</f>
        <v>0</v>
      </c>
    </row>
    <row r="90" spans="1:9" x14ac:dyDescent="0.2">
      <c r="A90" s="111" t="str">
        <f>'General Detail'!A163</f>
        <v>Hospital</v>
      </c>
      <c r="B90" s="282">
        <f>'General Detail'!B168</f>
        <v>0</v>
      </c>
      <c r="C90" s="282">
        <f>'General Detail'!C168</f>
        <v>0</v>
      </c>
      <c r="D90" s="164">
        <f>'General Detail'!D168</f>
        <v>0</v>
      </c>
    </row>
    <row r="91" spans="1:9" x14ac:dyDescent="0.2">
      <c r="A91" s="111" t="str">
        <f>'General Detail'!A169</f>
        <v>Juvenile Detention</v>
      </c>
      <c r="B91" s="282">
        <f>'General Detail'!B174</f>
        <v>0</v>
      </c>
      <c r="C91" s="282">
        <f>'General Detail'!C174</f>
        <v>0</v>
      </c>
      <c r="D91" s="164">
        <f>'General Detail'!D174</f>
        <v>0</v>
      </c>
    </row>
    <row r="92" spans="1:9" x14ac:dyDescent="0.2">
      <c r="A92" s="111" t="str">
        <f>'General Detail'!A185</f>
        <v>Law Enforcement</v>
      </c>
      <c r="B92" s="282">
        <f>'General Detail'!B190</f>
        <v>0</v>
      </c>
      <c r="C92" s="282">
        <f>'General Detail'!C190</f>
        <v>0</v>
      </c>
      <c r="D92" s="164">
        <f>'General Detail'!D190</f>
        <v>0</v>
      </c>
    </row>
    <row r="93" spans="1:9" x14ac:dyDescent="0.2">
      <c r="A93" s="111" t="str">
        <f>'General Detail'!A191</f>
        <v>Library</v>
      </c>
      <c r="B93" s="282">
        <f>'General Detail'!B196</f>
        <v>0</v>
      </c>
      <c r="C93" s="282">
        <f>'General Detail'!C196</f>
        <v>0</v>
      </c>
      <c r="D93" s="164">
        <f>'General Detail'!D196</f>
        <v>0</v>
      </c>
    </row>
    <row r="94" spans="1:9" x14ac:dyDescent="0.2">
      <c r="A94" s="111" t="str">
        <f>'General Detail'!A197</f>
        <v>Memorial</v>
      </c>
      <c r="B94" s="282">
        <f>'General Detail'!B202</f>
        <v>0</v>
      </c>
      <c r="C94" s="282">
        <f>'General Detail'!C202</f>
        <v>0</v>
      </c>
      <c r="D94" s="164">
        <f>'General Detail'!D202</f>
        <v>0</v>
      </c>
      <c r="F94" s="655" t="str">
        <f>CONCATENATE("Desired Carryover Into ",D1+1,"")</f>
        <v>Desired Carryover Into 2026</v>
      </c>
      <c r="G94" s="656"/>
      <c r="H94" s="656"/>
      <c r="I94" s="657"/>
    </row>
    <row r="95" spans="1:9" x14ac:dyDescent="0.2">
      <c r="A95" s="111" t="str">
        <f>'General Detail'!A203</f>
        <v>Mental Health</v>
      </c>
      <c r="B95" s="282">
        <f>'General Detail'!B208</f>
        <v>0</v>
      </c>
      <c r="C95" s="282">
        <f>'General Detail'!C208</f>
        <v>0</v>
      </c>
      <c r="D95" s="164">
        <f>'General Detail'!D208</f>
        <v>0</v>
      </c>
      <c r="F95" s="357"/>
      <c r="G95" s="358"/>
      <c r="H95" s="359"/>
      <c r="I95" s="360"/>
    </row>
    <row r="96" spans="1:9" x14ac:dyDescent="0.2">
      <c r="A96" s="111" t="str">
        <f>'General Detail'!A209</f>
        <v>Mental Retardation</v>
      </c>
      <c r="B96" s="282">
        <f>'General Detail'!B214</f>
        <v>0</v>
      </c>
      <c r="C96" s="282">
        <f>'General Detail'!C214</f>
        <v>0</v>
      </c>
      <c r="D96" s="164">
        <f>'General Detail'!D214</f>
        <v>0</v>
      </c>
      <c r="F96" s="361" t="s">
        <v>327</v>
      </c>
      <c r="G96" s="359"/>
      <c r="H96" s="359"/>
      <c r="I96" s="362">
        <v>0</v>
      </c>
    </row>
    <row r="97" spans="1:10" x14ac:dyDescent="0.2">
      <c r="A97" s="111" t="str">
        <f>'General Detail'!A215</f>
        <v>Noxious Weed Control</v>
      </c>
      <c r="B97" s="282">
        <f>'General Detail'!B220</f>
        <v>0</v>
      </c>
      <c r="C97" s="282">
        <f>'General Detail'!C220</f>
        <v>0</v>
      </c>
      <c r="D97" s="164">
        <f>'General Detail'!D220</f>
        <v>0</v>
      </c>
      <c r="F97" s="357" t="s">
        <v>328</v>
      </c>
      <c r="G97" s="358"/>
      <c r="H97" s="358"/>
      <c r="I97" s="363" t="str">
        <f>IF(I96=0,"",ROUND((I96+D122-F109)/inputOth!E5*1000,3)-F114)</f>
        <v/>
      </c>
    </row>
    <row r="98" spans="1:10" x14ac:dyDescent="0.2">
      <c r="A98" s="111" t="str">
        <f>'General Detail'!A221</f>
        <v>Park &amp; Recreation</v>
      </c>
      <c r="B98" s="282">
        <f>'General Detail'!B222</f>
        <v>0</v>
      </c>
      <c r="C98" s="282">
        <f>'General Detail'!C222</f>
        <v>0</v>
      </c>
      <c r="D98" s="164">
        <f>'General Detail'!D222</f>
        <v>0</v>
      </c>
      <c r="F98" s="364" t="str">
        <f>CONCATENATE("",D1," Tot Exp/Non-Appr Must Be:")</f>
        <v>2025 Tot Exp/Non-Appr Must Be:</v>
      </c>
      <c r="G98" s="365"/>
      <c r="H98" s="366"/>
      <c r="I98" s="367">
        <f>IF(I96&gt;0,IF(D119&lt;D54,IF(I96=F109,D119,((I96-F109)*(1-C121))+D54),D119+(I96-F109)),0)</f>
        <v>0</v>
      </c>
    </row>
    <row r="99" spans="1:10" x14ac:dyDescent="0.2">
      <c r="A99" s="111" t="str">
        <f>'General Detail'!A227</f>
        <v>Register of Deeds</v>
      </c>
      <c r="B99" s="282">
        <f>'General Detail'!B232</f>
        <v>0</v>
      </c>
      <c r="C99" s="282">
        <f>'General Detail'!C232</f>
        <v>0</v>
      </c>
      <c r="D99" s="164">
        <f>'General Detail'!D232</f>
        <v>0</v>
      </c>
      <c r="F99" s="368" t="s">
        <v>349</v>
      </c>
      <c r="G99" s="369"/>
      <c r="H99" s="369"/>
      <c r="I99" s="370">
        <f>IF(I96&gt;0,I98-D119,0)</f>
        <v>0</v>
      </c>
    </row>
    <row r="100" spans="1:10" x14ac:dyDescent="0.2">
      <c r="A100" s="111" t="str">
        <f>'General Detail'!A233</f>
        <v>Road &amp; Bridge</v>
      </c>
      <c r="B100" s="282">
        <f>'General Detail'!B238</f>
        <v>0</v>
      </c>
      <c r="C100" s="282">
        <f>'General Detail'!C238</f>
        <v>0</v>
      </c>
      <c r="D100" s="164">
        <f>'General Detail'!D238</f>
        <v>0</v>
      </c>
    </row>
    <row r="101" spans="1:10" x14ac:dyDescent="0.2">
      <c r="A101" s="111" t="str">
        <f>'General Detail'!A249</f>
        <v>Services for the Aged</v>
      </c>
      <c r="B101" s="282">
        <f>'General Detail'!B254</f>
        <v>0</v>
      </c>
      <c r="C101" s="282">
        <f>'General Detail'!C254</f>
        <v>0</v>
      </c>
      <c r="D101" s="164">
        <f>'General Detail'!D254</f>
        <v>0</v>
      </c>
      <c r="F101" s="646" t="str">
        <f>CONCATENATE("Projected Carryover Into ",D1+1,"")</f>
        <v>Projected Carryover Into 2026</v>
      </c>
      <c r="G101" s="647"/>
      <c r="H101" s="647"/>
      <c r="I101" s="648"/>
    </row>
    <row r="102" spans="1:10" x14ac:dyDescent="0.2">
      <c r="A102" s="111" t="str">
        <f>'General Detail'!A255</f>
        <v>Soil Conservation</v>
      </c>
      <c r="B102" s="282">
        <f>'General Detail'!B260</f>
        <v>0</v>
      </c>
      <c r="C102" s="282">
        <f>'General Detail'!C260</f>
        <v>0</v>
      </c>
      <c r="D102" s="164">
        <f>'General Detail'!D260</f>
        <v>0</v>
      </c>
      <c r="F102" s="307"/>
      <c r="G102" s="306"/>
      <c r="H102" s="306"/>
      <c r="I102" s="308"/>
    </row>
    <row r="103" spans="1:10" x14ac:dyDescent="0.2">
      <c r="A103" s="111" t="str">
        <f>'General Detail'!A261</f>
        <v>Solid Waste</v>
      </c>
      <c r="B103" s="282">
        <f>'General Detail'!B266</f>
        <v>0</v>
      </c>
      <c r="C103" s="282">
        <f>'General Detail'!C266</f>
        <v>0</v>
      </c>
      <c r="D103" s="164">
        <f>'General Detail'!D266</f>
        <v>0</v>
      </c>
      <c r="F103" s="309">
        <f>C116</f>
        <v>0</v>
      </c>
      <c r="G103" s="310" t="str">
        <f>CONCATENATE("",D1-1," Ending Cash Balance (est.)")</f>
        <v>2024 Ending Cash Balance (est.)</v>
      </c>
      <c r="H103" s="311"/>
      <c r="I103" s="308"/>
    </row>
    <row r="104" spans="1:10" x14ac:dyDescent="0.2">
      <c r="A104" s="111" t="str">
        <f>'General Detail'!A267</f>
        <v>Cultural</v>
      </c>
      <c r="B104" s="282">
        <f>'General Detail'!B272</f>
        <v>0</v>
      </c>
      <c r="C104" s="282">
        <f>'General Detail'!C272</f>
        <v>0</v>
      </c>
      <c r="D104" s="164">
        <f>'General Detail'!D272</f>
        <v>0</v>
      </c>
      <c r="F104" s="309">
        <f>D53</f>
        <v>0</v>
      </c>
      <c r="G104" s="312" t="str">
        <f>CONCATENATE("",D1," Non-AV Receipts (est.)")</f>
        <v>2025 Non-AV Receipts (est.)</v>
      </c>
      <c r="H104" s="311"/>
      <c r="I104" s="308"/>
    </row>
    <row r="105" spans="1:10" x14ac:dyDescent="0.2">
      <c r="A105" s="111" t="str">
        <f>'General Detail'!A273</f>
        <v>Tort Liability</v>
      </c>
      <c r="B105" s="282">
        <f>'General Detail'!B276</f>
        <v>0</v>
      </c>
      <c r="C105" s="282">
        <f>'General Detail'!C276</f>
        <v>0</v>
      </c>
      <c r="D105" s="164">
        <f>'General Detail'!D276</f>
        <v>0</v>
      </c>
      <c r="F105" s="313">
        <f>IF(D121&gt;0,D120,D122)</f>
        <v>0</v>
      </c>
      <c r="G105" s="312" t="str">
        <f>CONCATENATE("",D1," Ad Valorem Tax (est.)")</f>
        <v>2025 Ad Valorem Tax (est.)</v>
      </c>
      <c r="H105" s="311"/>
      <c r="I105" s="308"/>
      <c r="J105" s="394" t="str">
        <f>IF(F105=D122,"","Note: Does not include Delinquent Taxes")</f>
        <v/>
      </c>
    </row>
    <row r="106" spans="1:10" x14ac:dyDescent="0.2">
      <c r="A106" s="111">
        <f>'General Detail'!A277</f>
        <v>0</v>
      </c>
      <c r="B106" s="282">
        <f>'General Detail'!B282</f>
        <v>0</v>
      </c>
      <c r="C106" s="282">
        <f>'General Detail'!C282</f>
        <v>0</v>
      </c>
      <c r="D106" s="164">
        <f>'General Detail'!D282</f>
        <v>0</v>
      </c>
      <c r="F106" s="309">
        <f>SUM(F103:F105)</f>
        <v>0</v>
      </c>
      <c r="G106" s="312" t="str">
        <f>CONCATENATE("Total ",D1," Resources Available")</f>
        <v>Total 2025 Resources Available</v>
      </c>
      <c r="H106" s="311"/>
      <c r="I106" s="308"/>
    </row>
    <row r="107" spans="1:10" x14ac:dyDescent="0.2">
      <c r="A107" s="111">
        <f>'General Detail'!A283</f>
        <v>0</v>
      </c>
      <c r="B107" s="282">
        <f>'General Detail'!B288</f>
        <v>0</v>
      </c>
      <c r="C107" s="282">
        <f>'General Detail'!C288</f>
        <v>0</v>
      </c>
      <c r="D107" s="164">
        <f>'General Detail'!D288</f>
        <v>0</v>
      </c>
      <c r="F107" s="314"/>
      <c r="G107" s="312"/>
      <c r="H107" s="312"/>
      <c r="I107" s="308"/>
    </row>
    <row r="108" spans="1:10" x14ac:dyDescent="0.2">
      <c r="A108" s="201" t="s">
        <v>200</v>
      </c>
      <c r="B108" s="287">
        <f>SUM(B68:B107)</f>
        <v>0</v>
      </c>
      <c r="C108" s="287">
        <f>SUM(C68:C107)</f>
        <v>0</v>
      </c>
      <c r="D108" s="219">
        <f>SUM(D68:D107)</f>
        <v>0</v>
      </c>
      <c r="F108" s="313">
        <f>B115*0.05+B115</f>
        <v>0</v>
      </c>
      <c r="G108" s="312" t="str">
        <f>CONCATENATE("Less ",D1-2," Expenditures + 5%")</f>
        <v>Less 2023 Expenditures + 5%</v>
      </c>
      <c r="H108" s="311"/>
      <c r="I108" s="308"/>
    </row>
    <row r="109" spans="1:10" x14ac:dyDescent="0.2">
      <c r="A109" s="203"/>
      <c r="B109" s="193"/>
      <c r="C109" s="193"/>
      <c r="D109" s="204"/>
      <c r="F109" s="318">
        <f>F106-F108</f>
        <v>0</v>
      </c>
      <c r="G109" s="315" t="str">
        <f>CONCATENATE("Projected ",D1," Carryover (est.)")</f>
        <v>Projected 2025 Carryover (est.)</v>
      </c>
      <c r="H109" s="316"/>
      <c r="I109" s="317"/>
    </row>
    <row r="110" spans="1:10" x14ac:dyDescent="0.2">
      <c r="A110" s="205"/>
      <c r="B110" s="193"/>
      <c r="C110" s="193"/>
      <c r="D110" s="194"/>
      <c r="F110" s="305"/>
      <c r="G110" s="305"/>
      <c r="H110" s="305"/>
      <c r="I110" s="305"/>
    </row>
    <row r="111" spans="1:10" x14ac:dyDescent="0.2">
      <c r="A111" s="205"/>
      <c r="B111" s="193"/>
      <c r="C111" s="193"/>
      <c r="D111" s="194"/>
      <c r="F111" s="658" t="s">
        <v>569</v>
      </c>
      <c r="G111" s="659"/>
      <c r="H111" s="659"/>
      <c r="I111" s="660"/>
    </row>
    <row r="112" spans="1:10" x14ac:dyDescent="0.2">
      <c r="A112" s="196" t="str">
        <f>CONCATENATE("Cash Reserve (",D1," column)")</f>
        <v>Cash Reserve (2025 column)</v>
      </c>
      <c r="B112" s="193"/>
      <c r="C112" s="193"/>
      <c r="D112" s="194"/>
      <c r="F112" s="661"/>
      <c r="G112" s="662"/>
      <c r="H112" s="662"/>
      <c r="I112" s="663"/>
    </row>
    <row r="113" spans="1:9" x14ac:dyDescent="0.2">
      <c r="A113" s="196" t="s">
        <v>219</v>
      </c>
      <c r="B113" s="300"/>
      <c r="C113" s="300"/>
      <c r="D113" s="51"/>
      <c r="F113" s="534" t="str">
        <f>'Budget Hearing Notice'!H16</f>
        <v xml:space="preserve">  </v>
      </c>
      <c r="G113" s="374" t="str">
        <f>CONCATENATE("",D1," Estimated Fund Mill Rate")</f>
        <v>2025 Estimated Fund Mill Rate</v>
      </c>
      <c r="H113" s="535"/>
      <c r="I113" s="536"/>
    </row>
    <row r="114" spans="1:9" x14ac:dyDescent="0.2">
      <c r="A114" s="196" t="s">
        <v>318</v>
      </c>
      <c r="B114" s="281" t="str">
        <f>IF(B115*0.1&lt;B113,"Exceed 10% Rule","")</f>
        <v/>
      </c>
      <c r="C114" s="281" t="str">
        <f>IF(C115*0.1&lt;C113,"Exceed 10% Rule","")</f>
        <v/>
      </c>
      <c r="D114" s="217" t="str">
        <f>IF(D115*0.1&lt;D113,"Exceed 10% Rule","")</f>
        <v/>
      </c>
      <c r="F114" s="537" t="str">
        <f>'Budget Hearing Notice'!E16</f>
        <v xml:space="preserve">  </v>
      </c>
      <c r="G114" s="374" t="str">
        <f>CONCATENATE("",D1-1," Fund Mill Rate")</f>
        <v>2024 Fund Mill Rate</v>
      </c>
      <c r="H114" s="535"/>
      <c r="I114" s="536"/>
    </row>
    <row r="115" spans="1:9" x14ac:dyDescent="0.2">
      <c r="A115" s="198" t="s">
        <v>44</v>
      </c>
      <c r="B115" s="229">
        <f>SUM(B108:B113)</f>
        <v>0</v>
      </c>
      <c r="C115" s="229">
        <f>SUM(C108:C113)</f>
        <v>0</v>
      </c>
      <c r="D115" s="229">
        <f>SUM(D108:D113)</f>
        <v>0</v>
      </c>
      <c r="F115" s="538">
        <f>'Budget Hearing Notice'!H53</f>
        <v>0</v>
      </c>
      <c r="G115" s="539" t="s">
        <v>570</v>
      </c>
      <c r="H115" s="535"/>
      <c r="I115" s="536"/>
    </row>
    <row r="116" spans="1:9" x14ac:dyDescent="0.2">
      <c r="A116" s="98" t="s">
        <v>149</v>
      </c>
      <c r="B116" s="164">
        <f>B54-B115</f>
        <v>0</v>
      </c>
      <c r="C116" s="164">
        <f>C54-C115</f>
        <v>0</v>
      </c>
      <c r="D116" s="128" t="s">
        <v>16</v>
      </c>
      <c r="F116" s="534">
        <f>'Budget Hearing Notice'!H52</f>
        <v>0</v>
      </c>
      <c r="G116" s="374" t="str">
        <f>CONCATENATE(D1," Estimated Total Mill Rate")</f>
        <v>2025 Estimated Total Mill Rate</v>
      </c>
      <c r="H116" s="535"/>
      <c r="I116" s="536"/>
    </row>
    <row r="117" spans="1:9" x14ac:dyDescent="0.2">
      <c r="A117" s="120" t="str">
        <f>CONCATENATE("",D1-2,"/",D1-1,"/",D1," Budget Authority Amount:")</f>
        <v>2023/2024/2025 Budget Authority Amount:</v>
      </c>
      <c r="B117" s="214">
        <f>inputOth!B32</f>
        <v>0</v>
      </c>
      <c r="C117" s="214">
        <f>inputPrYr!D17</f>
        <v>0</v>
      </c>
      <c r="D117" s="164">
        <f>D115</f>
        <v>0</v>
      </c>
      <c r="F117" s="540">
        <f>'Budget Hearing Notice'!E52</f>
        <v>0</v>
      </c>
      <c r="G117" s="374" t="str">
        <f>CONCATENATE(D1-1," Total Mill Rate")</f>
        <v>2024 Total Mill Rate</v>
      </c>
      <c r="H117" s="535"/>
      <c r="I117" s="536"/>
    </row>
    <row r="118" spans="1:9" x14ac:dyDescent="0.2">
      <c r="A118" s="182"/>
      <c r="B118" s="651" t="s">
        <v>319</v>
      </c>
      <c r="C118" s="652"/>
      <c r="D118" s="51"/>
      <c r="F118" s="382"/>
      <c r="G118" s="358"/>
      <c r="H118" s="358"/>
      <c r="I118" s="385"/>
    </row>
    <row r="119" spans="1:9" x14ac:dyDescent="0.2">
      <c r="A119" s="304" t="str">
        <f>CONCATENATE(B136,"     ",C136)</f>
        <v xml:space="preserve">     </v>
      </c>
      <c r="B119" s="653" t="s">
        <v>320</v>
      </c>
      <c r="C119" s="654"/>
      <c r="D119" s="164">
        <f>D115+D118</f>
        <v>0</v>
      </c>
      <c r="F119" s="664" t="s">
        <v>571</v>
      </c>
      <c r="G119" s="665"/>
      <c r="H119" s="665"/>
      <c r="I119" s="668" t="str">
        <f>IF(F116&gt;F115, "Yes", "No")</f>
        <v>No</v>
      </c>
    </row>
    <row r="120" spans="1:9" x14ac:dyDescent="0.2">
      <c r="A120" s="304" t="str">
        <f>CONCATENATE(B137,"     ",C137)</f>
        <v xml:space="preserve">     </v>
      </c>
      <c r="B120" s="207"/>
      <c r="C120" s="63" t="s">
        <v>45</v>
      </c>
      <c r="D120" s="164">
        <f>IF(D119-D54&gt;0,D119-D54,0)</f>
        <v>0</v>
      </c>
      <c r="F120" s="666"/>
      <c r="G120" s="667"/>
      <c r="H120" s="667"/>
      <c r="I120" s="669"/>
    </row>
    <row r="121" spans="1:9" x14ac:dyDescent="0.2">
      <c r="A121" s="182"/>
      <c r="B121" s="293" t="s">
        <v>321</v>
      </c>
      <c r="C121" s="396">
        <f>inputOth!$E$25</f>
        <v>0</v>
      </c>
      <c r="D121" s="164">
        <f>IF(C121&gt;0,(D120*C121),0)</f>
        <v>0</v>
      </c>
      <c r="E121" s="206"/>
      <c r="F121" s="670" t="str">
        <f>IF(I119="Yes", "Follow procedure prescribed by KSA 79-2988 to exceed the Revenue Neutral Rate.", " ")</f>
        <v xml:space="preserve"> </v>
      </c>
      <c r="G121" s="670"/>
      <c r="H121" s="670"/>
      <c r="I121" s="670"/>
    </row>
    <row r="122" spans="1:9" x14ac:dyDescent="0.2">
      <c r="A122" s="32"/>
      <c r="B122" s="649" t="str">
        <f>CONCATENATE("Amount of  ",$D$1-1," Ad Valorem Tax")</f>
        <v>Amount of  2024 Ad Valorem Tax</v>
      </c>
      <c r="C122" s="650"/>
      <c r="D122" s="164">
        <f>D120+D121</f>
        <v>0</v>
      </c>
      <c r="E122" s="303" t="str">
        <f>IF(D115/0.95-D115&lt;D118,"Exceeds 5%","")</f>
        <v/>
      </c>
      <c r="F122" s="671"/>
      <c r="G122" s="671"/>
      <c r="H122" s="671"/>
      <c r="I122" s="671"/>
    </row>
    <row r="123" spans="1:9" x14ac:dyDescent="0.2">
      <c r="A123" s="32"/>
      <c r="B123" s="182"/>
      <c r="C123" s="182"/>
      <c r="D123" s="182"/>
      <c r="F123" s="671"/>
      <c r="G123" s="671"/>
      <c r="H123" s="671"/>
      <c r="I123" s="671"/>
    </row>
    <row r="124" spans="1:9" x14ac:dyDescent="0.2">
      <c r="A124" s="446" t="s">
        <v>380</v>
      </c>
      <c r="B124" s="456"/>
      <c r="C124" s="456"/>
      <c r="D124" s="457"/>
    </row>
    <row r="125" spans="1:9" x14ac:dyDescent="0.2">
      <c r="A125" s="183"/>
      <c r="B125" s="182"/>
      <c r="C125" s="182"/>
      <c r="D125" s="458"/>
    </row>
    <row r="126" spans="1:9" x14ac:dyDescent="0.2">
      <c r="A126" s="447"/>
      <c r="B126" s="53"/>
      <c r="C126" s="53"/>
      <c r="D126" s="60"/>
    </row>
    <row r="127" spans="1:9" x14ac:dyDescent="0.2">
      <c r="A127" s="645" t="s">
        <v>391</v>
      </c>
      <c r="B127" s="645"/>
      <c r="C127" s="645"/>
      <c r="D127" s="645"/>
    </row>
    <row r="136" spans="2:3" x14ac:dyDescent="0.2">
      <c r="B136" s="27" t="str">
        <f>IF(B115&gt;B117,"See Tab A","")</f>
        <v/>
      </c>
      <c r="C136" s="27" t="str">
        <f>IF(C115&gt;C117,"See Tab C","")</f>
        <v/>
      </c>
    </row>
    <row r="137" spans="2:3" hidden="1" x14ac:dyDescent="0.2">
      <c r="B137" s="27" t="str">
        <f>IF(B116&lt;0,"See Tab B","")</f>
        <v/>
      </c>
      <c r="C137" s="27" t="str">
        <f>IF(C116&lt;0,"See Tab D","")</f>
        <v/>
      </c>
    </row>
    <row r="138" spans="2:3" hidden="1" x14ac:dyDescent="0.2"/>
  </sheetData>
  <sheetProtection sheet="1" objects="1" scenarios="1"/>
  <mergeCells count="12">
    <mergeCell ref="A59:D59"/>
    <mergeCell ref="F101:I101"/>
    <mergeCell ref="A127:D127"/>
    <mergeCell ref="A60:D60"/>
    <mergeCell ref="B122:C122"/>
    <mergeCell ref="B118:C118"/>
    <mergeCell ref="B119:C119"/>
    <mergeCell ref="F94:I94"/>
    <mergeCell ref="F111:I112"/>
    <mergeCell ref="F119:H120"/>
    <mergeCell ref="I119:I120"/>
    <mergeCell ref="F121:I123"/>
  </mergeCells>
  <phoneticPr fontId="0" type="noConversion"/>
  <conditionalFormatting sqref="B51">
    <cfRule type="cellIs" dxfId="342" priority="11" stopIfTrue="1" operator="greaterThan">
      <formula>$B$53*0.1</formula>
    </cfRule>
  </conditionalFormatting>
  <conditionalFormatting sqref="B113">
    <cfRule type="cellIs" dxfId="341" priority="14" stopIfTrue="1" operator="greaterThan">
      <formula>$B$115*0.1</formula>
    </cfRule>
  </conditionalFormatting>
  <conditionalFormatting sqref="B115">
    <cfRule type="cellIs" dxfId="340" priority="2" stopIfTrue="1" operator="greaterThan">
      <formula>$B$117</formula>
    </cfRule>
  </conditionalFormatting>
  <conditionalFormatting sqref="B116">
    <cfRule type="cellIs" dxfId="339" priority="4" stopIfTrue="1" operator="lessThan">
      <formula>0</formula>
    </cfRule>
  </conditionalFormatting>
  <conditionalFormatting sqref="C51">
    <cfRule type="cellIs" dxfId="338" priority="10" stopIfTrue="1" operator="greaterThan">
      <formula>$C$53*0.1</formula>
    </cfRule>
  </conditionalFormatting>
  <conditionalFormatting sqref="C113">
    <cfRule type="cellIs" dxfId="337" priority="13" stopIfTrue="1" operator="greaterThan">
      <formula>$C$115*0.1</formula>
    </cfRule>
  </conditionalFormatting>
  <conditionalFormatting sqref="C115">
    <cfRule type="cellIs" dxfId="336" priority="1" stopIfTrue="1" operator="greaterThan">
      <formula>$C$117</formula>
    </cfRule>
  </conditionalFormatting>
  <conditionalFormatting sqref="C116">
    <cfRule type="cellIs" dxfId="335" priority="3" stopIfTrue="1" operator="lessThan">
      <formula>0</formula>
    </cfRule>
  </conditionalFormatting>
  <conditionalFormatting sqref="D51">
    <cfRule type="cellIs" dxfId="334" priority="9" stopIfTrue="1" operator="greaterThan">
      <formula>$D$53*0.1+D122</formula>
    </cfRule>
  </conditionalFormatting>
  <conditionalFormatting sqref="D113">
    <cfRule type="cellIs" dxfId="333" priority="8" stopIfTrue="1" operator="greaterThan">
      <formula>$D$115*0.1</formula>
    </cfRule>
  </conditionalFormatting>
  <conditionalFormatting sqref="D118">
    <cfRule type="cellIs" dxfId="332" priority="7" stopIfTrue="1" operator="greaterThan">
      <formula>$D$115/0.95-$D$115</formula>
    </cfRule>
  </conditionalFormatting>
  <conditionalFormatting sqref="I119">
    <cfRule type="containsText" dxfId="331" priority="5" operator="containsText" text="Yes">
      <formula>NOT(ISERROR(SEARCH("Yes",I119)))</formula>
    </cfRule>
  </conditionalFormatting>
  <pageMargins left="1" right="0.5" top="0.81" bottom="0.36" header="0.5" footer="0"/>
  <pageSetup scale="65" fitToHeight="2" orientation="portrait" blackAndWhite="1" horizontalDpi="120" verticalDpi="144" r:id="rId1"/>
  <headerFooter alignWithMargins="0">
    <oddHeader xml:space="preserve">&amp;RState of Kansas
County
</oddHeader>
  </headerFooter>
  <rowBreaks count="1" manualBreakCount="1">
    <brk id="61" max="16383" man="1"/>
  </rowBreaks>
  <colBreaks count="1" manualBreakCount="1">
    <brk id="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B0F0"/>
  </sheetPr>
  <dimension ref="A1:D405"/>
  <sheetViews>
    <sheetView zoomScaleNormal="100" workbookViewId="0">
      <selection activeCell="B68" sqref="B68:D70"/>
    </sheetView>
  </sheetViews>
  <sheetFormatPr defaultRowHeight="15.75" x14ac:dyDescent="0.2"/>
  <cols>
    <col min="1" max="1" width="30.77734375" style="27" customWidth="1"/>
    <col min="2" max="4" width="15.77734375" style="27" customWidth="1"/>
    <col min="5" max="16384" width="8.88671875" style="27"/>
  </cols>
  <sheetData>
    <row r="1" spans="1:4" x14ac:dyDescent="0.2">
      <c r="A1" s="73">
        <f>inputPrYr!C3</f>
        <v>0</v>
      </c>
      <c r="B1" s="32"/>
      <c r="C1" s="120"/>
      <c r="D1" s="32">
        <f>inputPrYr!C5</f>
        <v>2025</v>
      </c>
    </row>
    <row r="2" spans="1:4" x14ac:dyDescent="0.2">
      <c r="A2" s="32"/>
      <c r="B2" s="32"/>
      <c r="C2" s="32"/>
      <c r="D2" s="120"/>
    </row>
    <row r="3" spans="1:4" x14ac:dyDescent="0.2">
      <c r="A3" s="133" t="s">
        <v>136</v>
      </c>
      <c r="B3" s="200"/>
      <c r="C3" s="200"/>
      <c r="D3" s="200"/>
    </row>
    <row r="4" spans="1:4" x14ac:dyDescent="0.2">
      <c r="A4" s="120" t="s">
        <v>30</v>
      </c>
      <c r="B4" s="220" t="s">
        <v>346</v>
      </c>
      <c r="C4" s="95" t="s">
        <v>347</v>
      </c>
      <c r="D4" s="95" t="s">
        <v>348</v>
      </c>
    </row>
    <row r="5" spans="1:4" x14ac:dyDescent="0.2">
      <c r="A5" s="295" t="s">
        <v>323</v>
      </c>
      <c r="B5" s="162" t="str">
        <f>CONCATENATE("Actual for ",D1-2,"")</f>
        <v>Actual for 2023</v>
      </c>
      <c r="C5" s="162" t="str">
        <f>CONCATENATE("Estimate for ",D1-1,"")</f>
        <v>Estimate for 2024</v>
      </c>
      <c r="D5" s="162" t="str">
        <f>CONCATENATE("Year for ",D1,"")</f>
        <v>Year for 2025</v>
      </c>
    </row>
    <row r="6" spans="1:4" x14ac:dyDescent="0.2">
      <c r="A6" s="161" t="s">
        <v>43</v>
      </c>
      <c r="B6" s="64"/>
      <c r="C6" s="64"/>
      <c r="D6" s="64"/>
    </row>
    <row r="7" spans="1:4" x14ac:dyDescent="0.2">
      <c r="A7" s="221" t="s">
        <v>48</v>
      </c>
      <c r="B7" s="64"/>
      <c r="C7" s="64"/>
      <c r="D7" s="64"/>
    </row>
    <row r="8" spans="1:4" x14ac:dyDescent="0.2">
      <c r="A8" s="222" t="s">
        <v>49</v>
      </c>
      <c r="B8" s="194"/>
      <c r="C8" s="194"/>
      <c r="D8" s="194"/>
    </row>
    <row r="9" spans="1:4" x14ac:dyDescent="0.2">
      <c r="A9" s="222" t="s">
        <v>50</v>
      </c>
      <c r="B9" s="194"/>
      <c r="C9" s="194"/>
      <c r="D9" s="194"/>
    </row>
    <row r="10" spans="1:4" x14ac:dyDescent="0.2">
      <c r="A10" s="222" t="s">
        <v>51</v>
      </c>
      <c r="B10" s="194"/>
      <c r="C10" s="194"/>
      <c r="D10" s="194"/>
    </row>
    <row r="11" spans="1:4" x14ac:dyDescent="0.2">
      <c r="A11" s="222" t="s">
        <v>52</v>
      </c>
      <c r="B11" s="194"/>
      <c r="C11" s="194"/>
      <c r="D11" s="194"/>
    </row>
    <row r="12" spans="1:4" x14ac:dyDescent="0.2">
      <c r="A12" s="50"/>
      <c r="B12" s="194"/>
      <c r="C12" s="194"/>
      <c r="D12" s="194"/>
    </row>
    <row r="13" spans="1:4" x14ac:dyDescent="0.2">
      <c r="A13" s="120" t="s">
        <v>2</v>
      </c>
      <c r="B13" s="164">
        <f>SUM(B8:B12)</f>
        <v>0</v>
      </c>
      <c r="C13" s="164">
        <f>SUM(C8:C12)</f>
        <v>0</v>
      </c>
      <c r="D13" s="164">
        <f>SUM(D8:D12)</f>
        <v>0</v>
      </c>
    </row>
    <row r="14" spans="1:4" x14ac:dyDescent="0.2">
      <c r="A14" s="221" t="s">
        <v>53</v>
      </c>
      <c r="B14" s="64"/>
      <c r="C14" s="64"/>
      <c r="D14" s="64"/>
    </row>
    <row r="15" spans="1:4" x14ac:dyDescent="0.2">
      <c r="A15" s="222" t="s">
        <v>49</v>
      </c>
      <c r="B15" s="194"/>
      <c r="C15" s="194"/>
      <c r="D15" s="194"/>
    </row>
    <row r="16" spans="1:4" x14ac:dyDescent="0.2">
      <c r="A16" s="222" t="s">
        <v>50</v>
      </c>
      <c r="B16" s="194"/>
      <c r="C16" s="194"/>
      <c r="D16" s="194"/>
    </row>
    <row r="17" spans="1:4" x14ac:dyDescent="0.2">
      <c r="A17" s="222" t="s">
        <v>51</v>
      </c>
      <c r="B17" s="194"/>
      <c r="C17" s="194"/>
      <c r="D17" s="194"/>
    </row>
    <row r="18" spans="1:4" x14ac:dyDescent="0.2">
      <c r="A18" s="222" t="s">
        <v>52</v>
      </c>
      <c r="B18" s="194"/>
      <c r="C18" s="194"/>
      <c r="D18" s="194"/>
    </row>
    <row r="19" spans="1:4" x14ac:dyDescent="0.2">
      <c r="A19" s="120" t="s">
        <v>2</v>
      </c>
      <c r="B19" s="164">
        <f>SUM(B15:B18)</f>
        <v>0</v>
      </c>
      <c r="C19" s="164">
        <f>SUM(C15:C18)</f>
        <v>0</v>
      </c>
      <c r="D19" s="164">
        <f>SUM(D15:D18)</f>
        <v>0</v>
      </c>
    </row>
    <row r="20" spans="1:4" x14ac:dyDescent="0.2">
      <c r="A20" s="221" t="s">
        <v>54</v>
      </c>
      <c r="B20" s="64"/>
      <c r="C20" s="64"/>
      <c r="D20" s="64"/>
    </row>
    <row r="21" spans="1:4" x14ac:dyDescent="0.2">
      <c r="A21" s="222" t="s">
        <v>49</v>
      </c>
      <c r="B21" s="194"/>
      <c r="C21" s="194"/>
      <c r="D21" s="194"/>
    </row>
    <row r="22" spans="1:4" x14ac:dyDescent="0.2">
      <c r="A22" s="222" t="s">
        <v>50</v>
      </c>
      <c r="B22" s="194"/>
      <c r="C22" s="194"/>
      <c r="D22" s="194"/>
    </row>
    <row r="23" spans="1:4" x14ac:dyDescent="0.2">
      <c r="A23" s="222" t="s">
        <v>51</v>
      </c>
      <c r="B23" s="194"/>
      <c r="C23" s="194"/>
      <c r="D23" s="194"/>
    </row>
    <row r="24" spans="1:4" x14ac:dyDescent="0.2">
      <c r="A24" s="222" t="s">
        <v>52</v>
      </c>
      <c r="B24" s="194"/>
      <c r="C24" s="194"/>
      <c r="D24" s="194"/>
    </row>
    <row r="25" spans="1:4" x14ac:dyDescent="0.2">
      <c r="A25" s="120" t="s">
        <v>2</v>
      </c>
      <c r="B25" s="164">
        <f>SUM(B21:B24)</f>
        <v>0</v>
      </c>
      <c r="C25" s="164">
        <f>SUM(C21:C24)</f>
        <v>0</v>
      </c>
      <c r="D25" s="164">
        <f>SUM(D21:D24)</f>
        <v>0</v>
      </c>
    </row>
    <row r="26" spans="1:4" x14ac:dyDescent="0.2">
      <c r="A26" s="221" t="s">
        <v>55</v>
      </c>
      <c r="B26" s="64"/>
      <c r="C26" s="64"/>
      <c r="D26" s="64"/>
    </row>
    <row r="27" spans="1:4" x14ac:dyDescent="0.2">
      <c r="A27" s="222" t="s">
        <v>49</v>
      </c>
      <c r="B27" s="194"/>
      <c r="C27" s="194"/>
      <c r="D27" s="194"/>
    </row>
    <row r="28" spans="1:4" x14ac:dyDescent="0.2">
      <c r="A28" s="222" t="s">
        <v>50</v>
      </c>
      <c r="B28" s="194"/>
      <c r="C28" s="194"/>
      <c r="D28" s="194"/>
    </row>
    <row r="29" spans="1:4" x14ac:dyDescent="0.2">
      <c r="A29" s="222" t="s">
        <v>51</v>
      </c>
      <c r="B29" s="194"/>
      <c r="C29" s="194"/>
      <c r="D29" s="194"/>
    </row>
    <row r="30" spans="1:4" x14ac:dyDescent="0.2">
      <c r="A30" s="222" t="s">
        <v>52</v>
      </c>
      <c r="B30" s="194"/>
      <c r="C30" s="194"/>
      <c r="D30" s="194"/>
    </row>
    <row r="31" spans="1:4" x14ac:dyDescent="0.2">
      <c r="A31" s="120" t="s">
        <v>2</v>
      </c>
      <c r="B31" s="164">
        <f>SUM(B27:B30)</f>
        <v>0</v>
      </c>
      <c r="C31" s="164">
        <f>SUM(C27:C30)</f>
        <v>0</v>
      </c>
      <c r="D31" s="164">
        <f>SUM(D27:D30)</f>
        <v>0</v>
      </c>
    </row>
    <row r="32" spans="1:4" x14ac:dyDescent="0.2">
      <c r="A32" s="221" t="s">
        <v>56</v>
      </c>
      <c r="B32" s="64"/>
      <c r="C32" s="64"/>
      <c r="D32" s="64"/>
    </row>
    <row r="33" spans="1:4" x14ac:dyDescent="0.2">
      <c r="A33" s="222" t="s">
        <v>49</v>
      </c>
      <c r="B33" s="194"/>
      <c r="C33" s="194"/>
      <c r="D33" s="194"/>
    </row>
    <row r="34" spans="1:4" x14ac:dyDescent="0.2">
      <c r="A34" s="222" t="s">
        <v>50</v>
      </c>
      <c r="B34" s="194"/>
      <c r="C34" s="194"/>
      <c r="D34" s="194"/>
    </row>
    <row r="35" spans="1:4" x14ac:dyDescent="0.2">
      <c r="A35" s="222" t="s">
        <v>51</v>
      </c>
      <c r="B35" s="194"/>
      <c r="C35" s="194"/>
      <c r="D35" s="194"/>
    </row>
    <row r="36" spans="1:4" x14ac:dyDescent="0.2">
      <c r="A36" s="195" t="s">
        <v>52</v>
      </c>
      <c r="B36" s="194"/>
      <c r="C36" s="194"/>
      <c r="D36" s="194"/>
    </row>
    <row r="37" spans="1:4" x14ac:dyDescent="0.2">
      <c r="A37" s="120" t="s">
        <v>2</v>
      </c>
      <c r="B37" s="164">
        <f>SUM(B33:B36)</f>
        <v>0</v>
      </c>
      <c r="C37" s="164">
        <f>SUM(C33:C36)</f>
        <v>0</v>
      </c>
      <c r="D37" s="164">
        <f>SUM(D33:D36)</f>
        <v>0</v>
      </c>
    </row>
    <row r="38" spans="1:4" x14ac:dyDescent="0.2">
      <c r="A38" s="221" t="s">
        <v>57</v>
      </c>
      <c r="B38" s="64"/>
      <c r="C38" s="64"/>
      <c r="D38" s="64"/>
    </row>
    <row r="39" spans="1:4" x14ac:dyDescent="0.2">
      <c r="A39" s="222" t="s">
        <v>49</v>
      </c>
      <c r="B39" s="194"/>
      <c r="C39" s="194"/>
      <c r="D39" s="194"/>
    </row>
    <row r="40" spans="1:4" x14ac:dyDescent="0.2">
      <c r="A40" s="222" t="s">
        <v>50</v>
      </c>
      <c r="B40" s="194"/>
      <c r="C40" s="194"/>
      <c r="D40" s="194"/>
    </row>
    <row r="41" spans="1:4" x14ac:dyDescent="0.2">
      <c r="A41" s="222" t="s">
        <v>51</v>
      </c>
      <c r="B41" s="194"/>
      <c r="C41" s="194"/>
      <c r="D41" s="194"/>
    </row>
    <row r="42" spans="1:4" x14ac:dyDescent="0.2">
      <c r="A42" s="222" t="s">
        <v>52</v>
      </c>
      <c r="B42" s="194"/>
      <c r="C42" s="194"/>
      <c r="D42" s="194"/>
    </row>
    <row r="43" spans="1:4" x14ac:dyDescent="0.2">
      <c r="A43" s="120" t="s">
        <v>2</v>
      </c>
      <c r="B43" s="164">
        <f>SUM(B39:B42)</f>
        <v>0</v>
      </c>
      <c r="C43" s="164">
        <f>SUM(C39:C42)</f>
        <v>0</v>
      </c>
      <c r="D43" s="164">
        <f>SUM(D39:D42)</f>
        <v>0</v>
      </c>
    </row>
    <row r="44" spans="1:4" x14ac:dyDescent="0.2">
      <c r="A44" s="221" t="s">
        <v>58</v>
      </c>
      <c r="B44" s="64"/>
      <c r="C44" s="64"/>
      <c r="D44" s="64"/>
    </row>
    <row r="45" spans="1:4" x14ac:dyDescent="0.2">
      <c r="A45" s="222" t="s">
        <v>49</v>
      </c>
      <c r="B45" s="194"/>
      <c r="C45" s="194"/>
      <c r="D45" s="194"/>
    </row>
    <row r="46" spans="1:4" x14ac:dyDescent="0.2">
      <c r="A46" s="222" t="s">
        <v>50</v>
      </c>
      <c r="B46" s="194"/>
      <c r="C46" s="194"/>
      <c r="D46" s="194"/>
    </row>
    <row r="47" spans="1:4" x14ac:dyDescent="0.2">
      <c r="A47" s="222" t="s">
        <v>51</v>
      </c>
      <c r="B47" s="194"/>
      <c r="C47" s="194"/>
      <c r="D47" s="194"/>
    </row>
    <row r="48" spans="1:4" x14ac:dyDescent="0.2">
      <c r="A48" s="222" t="s">
        <v>52</v>
      </c>
      <c r="B48" s="194"/>
      <c r="C48" s="194"/>
      <c r="D48" s="194"/>
    </row>
    <row r="49" spans="1:4" x14ac:dyDescent="0.2">
      <c r="A49" s="120" t="s">
        <v>2</v>
      </c>
      <c r="B49" s="164">
        <f>SUM(B45:B48)</f>
        <v>0</v>
      </c>
      <c r="C49" s="164">
        <f>SUM(C45:C48)</f>
        <v>0</v>
      </c>
      <c r="D49" s="164">
        <f>SUM(D45:D48)</f>
        <v>0</v>
      </c>
    </row>
    <row r="50" spans="1:4" x14ac:dyDescent="0.2">
      <c r="A50" s="221" t="s">
        <v>59</v>
      </c>
      <c r="B50" s="64"/>
      <c r="C50" s="64"/>
      <c r="D50" s="64"/>
    </row>
    <row r="51" spans="1:4" x14ac:dyDescent="0.2">
      <c r="A51" s="222" t="s">
        <v>49</v>
      </c>
      <c r="B51" s="194"/>
      <c r="C51" s="194"/>
      <c r="D51" s="194"/>
    </row>
    <row r="52" spans="1:4" x14ac:dyDescent="0.2">
      <c r="A52" s="222" t="s">
        <v>50</v>
      </c>
      <c r="B52" s="194"/>
      <c r="C52" s="194"/>
      <c r="D52" s="194"/>
    </row>
    <row r="53" spans="1:4" x14ac:dyDescent="0.2">
      <c r="A53" s="222" t="s">
        <v>51</v>
      </c>
      <c r="B53" s="194"/>
      <c r="C53" s="194"/>
      <c r="D53" s="194"/>
    </row>
    <row r="54" spans="1:4" x14ac:dyDescent="0.2">
      <c r="A54" s="222" t="s">
        <v>52</v>
      </c>
      <c r="B54" s="194"/>
      <c r="C54" s="194"/>
      <c r="D54" s="194"/>
    </row>
    <row r="55" spans="1:4" x14ac:dyDescent="0.2">
      <c r="A55" s="120" t="s">
        <v>2</v>
      </c>
      <c r="B55" s="164">
        <f>SUM(B51:B54)</f>
        <v>0</v>
      </c>
      <c r="C55" s="164">
        <f>SUM(C51:C54)</f>
        <v>0</v>
      </c>
      <c r="D55" s="164">
        <f>SUM(D51:D54)</f>
        <v>0</v>
      </c>
    </row>
    <row r="56" spans="1:4" x14ac:dyDescent="0.2">
      <c r="A56" s="32"/>
      <c r="B56" s="64"/>
      <c r="C56" s="64"/>
      <c r="D56" s="64"/>
    </row>
    <row r="57" spans="1:4" x14ac:dyDescent="0.2">
      <c r="A57" s="120" t="s">
        <v>559</v>
      </c>
      <c r="B57" s="229">
        <f>B13+B19+B25+B31+B37+B43+B49+B55</f>
        <v>0</v>
      </c>
      <c r="C57" s="229">
        <f>C13+C19+C25+C31+C37+C43+C49+C55</f>
        <v>0</v>
      </c>
      <c r="D57" s="229">
        <f>D13+D19+D25+D31+D37+D43+D49+D55</f>
        <v>0</v>
      </c>
    </row>
    <row r="58" spans="1:4" x14ac:dyDescent="0.2">
      <c r="A58" s="32"/>
      <c r="B58" s="73"/>
      <c r="C58" s="73"/>
      <c r="D58" s="73"/>
    </row>
    <row r="59" spans="1:4" x14ac:dyDescent="0.2">
      <c r="A59" s="618" t="s">
        <v>392</v>
      </c>
      <c r="B59" s="618"/>
      <c r="C59" s="618"/>
      <c r="D59" s="618"/>
    </row>
    <row r="60" spans="1:4" x14ac:dyDescent="0.2">
      <c r="A60" s="32"/>
      <c r="B60" s="73"/>
      <c r="C60" s="73"/>
      <c r="D60" s="73"/>
    </row>
    <row r="61" spans="1:4" x14ac:dyDescent="0.2">
      <c r="A61" s="73">
        <f>inputPrYr!C3</f>
        <v>0</v>
      </c>
      <c r="B61" s="73"/>
      <c r="C61" s="31"/>
      <c r="D61" s="32">
        <f>D1</f>
        <v>2025</v>
      </c>
    </row>
    <row r="62" spans="1:4" x14ac:dyDescent="0.2">
      <c r="A62" s="32"/>
      <c r="B62" s="73"/>
      <c r="C62" s="73"/>
      <c r="D62" s="31"/>
    </row>
    <row r="63" spans="1:4" x14ac:dyDescent="0.2">
      <c r="A63" s="199" t="s">
        <v>135</v>
      </c>
      <c r="B63" s="91"/>
      <c r="C63" s="91"/>
      <c r="D63" s="91"/>
    </row>
    <row r="64" spans="1:4" x14ac:dyDescent="0.2">
      <c r="A64" s="32" t="s">
        <v>30</v>
      </c>
      <c r="B64" s="322" t="str">
        <f t="shared" ref="B64:D65" si="0">B4</f>
        <v xml:space="preserve">Prior Year </v>
      </c>
      <c r="C64" s="323" t="str">
        <f t="shared" si="0"/>
        <v xml:space="preserve">Current Year </v>
      </c>
      <c r="D64" s="323" t="str">
        <f t="shared" si="0"/>
        <v xml:space="preserve">Proposed Budget </v>
      </c>
    </row>
    <row r="65" spans="1:4" x14ac:dyDescent="0.2">
      <c r="A65" s="53" t="s">
        <v>47</v>
      </c>
      <c r="B65" s="162" t="str">
        <f t="shared" si="0"/>
        <v>Actual for 2023</v>
      </c>
      <c r="C65" s="162" t="str">
        <f t="shared" si="0"/>
        <v>Estimate for 2024</v>
      </c>
      <c r="D65" s="162" t="str">
        <f t="shared" si="0"/>
        <v>Year for 2025</v>
      </c>
    </row>
    <row r="66" spans="1:4" x14ac:dyDescent="0.2">
      <c r="A66" s="120" t="s">
        <v>43</v>
      </c>
      <c r="B66" s="64"/>
      <c r="C66" s="64"/>
      <c r="D66" s="64"/>
    </row>
    <row r="67" spans="1:4" x14ac:dyDescent="0.2">
      <c r="A67" s="221" t="s">
        <v>19</v>
      </c>
      <c r="B67" s="64"/>
      <c r="C67" s="64"/>
      <c r="D67" s="64"/>
    </row>
    <row r="68" spans="1:4" x14ac:dyDescent="0.2">
      <c r="A68" s="222" t="s">
        <v>49</v>
      </c>
      <c r="B68" s="194"/>
      <c r="C68" s="194"/>
      <c r="D68" s="194"/>
    </row>
    <row r="69" spans="1:4" x14ac:dyDescent="0.2">
      <c r="A69" s="222" t="s">
        <v>50</v>
      </c>
      <c r="B69" s="194"/>
      <c r="C69" s="194"/>
      <c r="D69" s="194"/>
    </row>
    <row r="70" spans="1:4" x14ac:dyDescent="0.2">
      <c r="A70" s="222" t="s">
        <v>51</v>
      </c>
      <c r="B70" s="194"/>
      <c r="C70" s="194"/>
      <c r="D70" s="194"/>
    </row>
    <row r="71" spans="1:4" x14ac:dyDescent="0.2">
      <c r="A71" s="222" t="s">
        <v>52</v>
      </c>
      <c r="B71" s="194"/>
      <c r="C71" s="194"/>
      <c r="D71" s="194"/>
    </row>
    <row r="72" spans="1:4" x14ac:dyDescent="0.2">
      <c r="A72" s="120" t="s">
        <v>2</v>
      </c>
      <c r="B72" s="164">
        <f>SUM(B68:B71)</f>
        <v>0</v>
      </c>
      <c r="C72" s="164">
        <f>SUM(C68:C71)</f>
        <v>0</v>
      </c>
      <c r="D72" s="164">
        <f>SUM(D68:D71)</f>
        <v>0</v>
      </c>
    </row>
    <row r="73" spans="1:4" x14ac:dyDescent="0.2">
      <c r="A73" s="221" t="s">
        <v>60</v>
      </c>
      <c r="B73" s="64"/>
      <c r="C73" s="64"/>
      <c r="D73" s="64"/>
    </row>
    <row r="74" spans="1:4" x14ac:dyDescent="0.2">
      <c r="A74" s="222" t="s">
        <v>49</v>
      </c>
      <c r="B74" s="194"/>
      <c r="C74" s="194"/>
      <c r="D74" s="194"/>
    </row>
    <row r="75" spans="1:4" x14ac:dyDescent="0.2">
      <c r="A75" s="222" t="s">
        <v>50</v>
      </c>
      <c r="B75" s="194"/>
      <c r="C75" s="194"/>
      <c r="D75" s="194"/>
    </row>
    <row r="76" spans="1:4" x14ac:dyDescent="0.2">
      <c r="A76" s="222" t="s">
        <v>51</v>
      </c>
      <c r="B76" s="194"/>
      <c r="C76" s="194"/>
      <c r="D76" s="194"/>
    </row>
    <row r="77" spans="1:4" x14ac:dyDescent="0.2">
      <c r="A77" s="222" t="s">
        <v>52</v>
      </c>
      <c r="B77" s="194"/>
      <c r="C77" s="194"/>
      <c r="D77" s="194"/>
    </row>
    <row r="78" spans="1:4" x14ac:dyDescent="0.2">
      <c r="A78" s="120" t="s">
        <v>2</v>
      </c>
      <c r="B78" s="164">
        <f>SUM(B74:B77)</f>
        <v>0</v>
      </c>
      <c r="C78" s="164">
        <f>SUM(C74:C77)</f>
        <v>0</v>
      </c>
      <c r="D78" s="164">
        <f>SUM(D74:D77)</f>
        <v>0</v>
      </c>
    </row>
    <row r="79" spans="1:4" x14ac:dyDescent="0.2">
      <c r="A79" s="221" t="s">
        <v>61</v>
      </c>
      <c r="B79" s="64"/>
      <c r="C79" s="64"/>
      <c r="D79" s="64"/>
    </row>
    <row r="80" spans="1:4" x14ac:dyDescent="0.2">
      <c r="A80" s="222" t="s">
        <v>49</v>
      </c>
      <c r="B80" s="194"/>
      <c r="C80" s="194"/>
      <c r="D80" s="194"/>
    </row>
    <row r="81" spans="1:4" x14ac:dyDescent="0.2">
      <c r="A81" s="222" t="s">
        <v>50</v>
      </c>
      <c r="B81" s="194"/>
      <c r="C81" s="194"/>
      <c r="D81" s="194"/>
    </row>
    <row r="82" spans="1:4" x14ac:dyDescent="0.2">
      <c r="A82" s="222" t="s">
        <v>51</v>
      </c>
      <c r="B82" s="194"/>
      <c r="C82" s="194"/>
      <c r="D82" s="194"/>
    </row>
    <row r="83" spans="1:4" x14ac:dyDescent="0.2">
      <c r="A83" s="222" t="s">
        <v>52</v>
      </c>
      <c r="B83" s="194"/>
      <c r="C83" s="194"/>
      <c r="D83" s="194"/>
    </row>
    <row r="84" spans="1:4" x14ac:dyDescent="0.2">
      <c r="A84" s="120" t="s">
        <v>2</v>
      </c>
      <c r="B84" s="164">
        <f>SUM(B80:B83)</f>
        <v>0</v>
      </c>
      <c r="C84" s="164">
        <f>SUM(C80:C83)</f>
        <v>0</v>
      </c>
      <c r="D84" s="164">
        <f>SUM(D80:D83)</f>
        <v>0</v>
      </c>
    </row>
    <row r="85" spans="1:4" x14ac:dyDescent="0.2">
      <c r="A85" s="221" t="s">
        <v>62</v>
      </c>
      <c r="B85" s="64"/>
      <c r="C85" s="64"/>
      <c r="D85" s="64"/>
    </row>
    <row r="86" spans="1:4" x14ac:dyDescent="0.2">
      <c r="A86" s="222" t="s">
        <v>63</v>
      </c>
      <c r="B86" s="194"/>
      <c r="C86" s="194"/>
      <c r="D86" s="194"/>
    </row>
    <row r="87" spans="1:4" x14ac:dyDescent="0.2">
      <c r="A87" s="222" t="s">
        <v>64</v>
      </c>
      <c r="B87" s="194"/>
      <c r="C87" s="194"/>
      <c r="D87" s="194"/>
    </row>
    <row r="88" spans="1:4" x14ac:dyDescent="0.2">
      <c r="A88" s="222" t="s">
        <v>65</v>
      </c>
      <c r="B88" s="194"/>
      <c r="C88" s="194"/>
      <c r="D88" s="194"/>
    </row>
    <row r="89" spans="1:4" x14ac:dyDescent="0.2">
      <c r="A89" s="50"/>
      <c r="B89" s="194"/>
      <c r="C89" s="194"/>
      <c r="D89" s="194"/>
    </row>
    <row r="90" spans="1:4" x14ac:dyDescent="0.2">
      <c r="A90" s="120" t="s">
        <v>2</v>
      </c>
      <c r="B90" s="164">
        <f>SUM(B86:B89)</f>
        <v>0</v>
      </c>
      <c r="C90" s="164">
        <f>SUM(C86:C89)</f>
        <v>0</v>
      </c>
      <c r="D90" s="164">
        <f>SUM(D86:D89)</f>
        <v>0</v>
      </c>
    </row>
    <row r="91" spans="1:4" x14ac:dyDescent="0.2">
      <c r="A91" s="221" t="s">
        <v>28</v>
      </c>
      <c r="B91" s="64"/>
      <c r="C91" s="64"/>
      <c r="D91" s="64"/>
    </row>
    <row r="92" spans="1:4" x14ac:dyDescent="0.2">
      <c r="A92" s="222" t="s">
        <v>49</v>
      </c>
      <c r="B92" s="194"/>
      <c r="C92" s="194"/>
      <c r="D92" s="194"/>
    </row>
    <row r="93" spans="1:4" x14ac:dyDescent="0.2">
      <c r="A93" s="222" t="s">
        <v>50</v>
      </c>
      <c r="B93" s="194"/>
      <c r="C93" s="194"/>
      <c r="D93" s="194"/>
    </row>
    <row r="94" spans="1:4" x14ac:dyDescent="0.2">
      <c r="A94" s="222" t="s">
        <v>51</v>
      </c>
      <c r="B94" s="194"/>
      <c r="C94" s="194"/>
      <c r="D94" s="194"/>
    </row>
    <row r="95" spans="1:4" x14ac:dyDescent="0.2">
      <c r="A95" s="222" t="s">
        <v>52</v>
      </c>
      <c r="B95" s="194"/>
      <c r="C95" s="194"/>
      <c r="D95" s="194"/>
    </row>
    <row r="96" spans="1:4" x14ac:dyDescent="0.2">
      <c r="A96" s="120" t="s">
        <v>2</v>
      </c>
      <c r="B96" s="164">
        <f>SUM(B92:B95)</f>
        <v>0</v>
      </c>
      <c r="C96" s="164">
        <f>SUM(C92:C95)</f>
        <v>0</v>
      </c>
      <c r="D96" s="164">
        <f>SUM(D92:D95)</f>
        <v>0</v>
      </c>
    </row>
    <row r="97" spans="1:4" x14ac:dyDescent="0.2">
      <c r="A97" s="221" t="s">
        <v>66</v>
      </c>
      <c r="B97" s="64"/>
      <c r="C97" s="64"/>
      <c r="D97" s="64"/>
    </row>
    <row r="98" spans="1:4" x14ac:dyDescent="0.2">
      <c r="A98" s="222" t="s">
        <v>49</v>
      </c>
      <c r="B98" s="194"/>
      <c r="C98" s="194"/>
      <c r="D98" s="194"/>
    </row>
    <row r="99" spans="1:4" x14ac:dyDescent="0.2">
      <c r="A99" s="222" t="s">
        <v>50</v>
      </c>
      <c r="B99" s="194"/>
      <c r="C99" s="194"/>
      <c r="D99" s="194"/>
    </row>
    <row r="100" spans="1:4" x14ac:dyDescent="0.2">
      <c r="A100" s="222" t="s">
        <v>51</v>
      </c>
      <c r="B100" s="194"/>
      <c r="C100" s="194"/>
      <c r="D100" s="194"/>
    </row>
    <row r="101" spans="1:4" x14ac:dyDescent="0.2">
      <c r="A101" s="222" t="s">
        <v>52</v>
      </c>
      <c r="B101" s="194"/>
      <c r="C101" s="194"/>
      <c r="D101" s="194"/>
    </row>
    <row r="102" spans="1:4" x14ac:dyDescent="0.2">
      <c r="A102" s="120" t="s">
        <v>2</v>
      </c>
      <c r="B102" s="164">
        <f>SUM(B98:B101)</f>
        <v>0</v>
      </c>
      <c r="C102" s="164">
        <f>SUM(C98:C101)</f>
        <v>0</v>
      </c>
      <c r="D102" s="164">
        <f>SUM(D98:D101)</f>
        <v>0</v>
      </c>
    </row>
    <row r="103" spans="1:4" x14ac:dyDescent="0.2">
      <c r="A103" s="221" t="s">
        <v>67</v>
      </c>
      <c r="B103" s="64"/>
      <c r="C103" s="64"/>
      <c r="D103" s="64"/>
    </row>
    <row r="104" spans="1:4" x14ac:dyDescent="0.2">
      <c r="A104" s="222" t="s">
        <v>49</v>
      </c>
      <c r="B104" s="194"/>
      <c r="C104" s="194"/>
      <c r="D104" s="194"/>
    </row>
    <row r="105" spans="1:4" x14ac:dyDescent="0.2">
      <c r="A105" s="222" t="s">
        <v>50</v>
      </c>
      <c r="B105" s="194"/>
      <c r="C105" s="194"/>
      <c r="D105" s="194"/>
    </row>
    <row r="106" spans="1:4" x14ac:dyDescent="0.2">
      <c r="A106" s="222" t="s">
        <v>51</v>
      </c>
      <c r="B106" s="194"/>
      <c r="C106" s="194"/>
      <c r="D106" s="194"/>
    </row>
    <row r="107" spans="1:4" x14ac:dyDescent="0.2">
      <c r="A107" s="222" t="s">
        <v>52</v>
      </c>
      <c r="B107" s="194"/>
      <c r="C107" s="194"/>
      <c r="D107" s="194"/>
    </row>
    <row r="108" spans="1:4" x14ac:dyDescent="0.2">
      <c r="A108" s="120" t="s">
        <v>2</v>
      </c>
      <c r="B108" s="164">
        <f>SUM(B104:B107)</f>
        <v>0</v>
      </c>
      <c r="C108" s="164">
        <f>SUM(C104:C107)</f>
        <v>0</v>
      </c>
      <c r="D108" s="164">
        <f>SUM(D104:D107)</f>
        <v>0</v>
      </c>
    </row>
    <row r="109" spans="1:4" x14ac:dyDescent="0.2">
      <c r="A109" s="221" t="s">
        <v>68</v>
      </c>
      <c r="B109" s="64"/>
      <c r="C109" s="64"/>
      <c r="D109" s="64"/>
    </row>
    <row r="110" spans="1:4" x14ac:dyDescent="0.2">
      <c r="A110" s="222" t="s">
        <v>49</v>
      </c>
      <c r="B110" s="194"/>
      <c r="C110" s="194"/>
      <c r="D110" s="194"/>
    </row>
    <row r="111" spans="1:4" x14ac:dyDescent="0.2">
      <c r="A111" s="222" t="s">
        <v>50</v>
      </c>
      <c r="B111" s="194"/>
      <c r="C111" s="194"/>
      <c r="D111" s="194"/>
    </row>
    <row r="112" spans="1:4" x14ac:dyDescent="0.2">
      <c r="A112" s="222" t="s">
        <v>51</v>
      </c>
      <c r="B112" s="194"/>
      <c r="C112" s="194"/>
      <c r="D112" s="194"/>
    </row>
    <row r="113" spans="1:4" x14ac:dyDescent="0.2">
      <c r="A113" s="222" t="s">
        <v>52</v>
      </c>
      <c r="B113" s="194"/>
      <c r="C113" s="194"/>
      <c r="D113" s="194"/>
    </row>
    <row r="114" spans="1:4" x14ac:dyDescent="0.2">
      <c r="A114" s="120" t="s">
        <v>2</v>
      </c>
      <c r="B114" s="164">
        <f>SUM(B110:B113)</f>
        <v>0</v>
      </c>
      <c r="C114" s="164">
        <f>SUM(C110:C113)</f>
        <v>0</v>
      </c>
      <c r="D114" s="164">
        <f>SUM(D110:D113)</f>
        <v>0</v>
      </c>
    </row>
    <row r="115" spans="1:4" x14ac:dyDescent="0.2">
      <c r="A115" s="32"/>
      <c r="B115" s="64"/>
      <c r="C115" s="64"/>
      <c r="D115" s="64"/>
    </row>
    <row r="116" spans="1:4" x14ac:dyDescent="0.2">
      <c r="A116" s="120" t="s">
        <v>398</v>
      </c>
      <c r="B116" s="229">
        <f>B72+B78+B84+B90+B96+B102+B108+B114</f>
        <v>0</v>
      </c>
      <c r="C116" s="229">
        <f>C72+C78+C84+C90+C96+C102+C108+C114</f>
        <v>0</v>
      </c>
      <c r="D116" s="229">
        <f>D72+D78+D84+D90+D96+D102+D108+D114</f>
        <v>0</v>
      </c>
    </row>
    <row r="117" spans="1:4" x14ac:dyDescent="0.2">
      <c r="A117" s="32"/>
      <c r="B117" s="73"/>
      <c r="C117" s="73"/>
      <c r="D117" s="73"/>
    </row>
    <row r="118" spans="1:4" x14ac:dyDescent="0.2">
      <c r="A118" s="618" t="s">
        <v>393</v>
      </c>
      <c r="B118" s="618"/>
      <c r="C118" s="618"/>
      <c r="D118" s="618"/>
    </row>
    <row r="119" spans="1:4" x14ac:dyDescent="0.2">
      <c r="A119" s="73">
        <f>inputPrYr!C3</f>
        <v>0</v>
      </c>
      <c r="B119" s="73"/>
      <c r="C119" s="31"/>
      <c r="D119" s="32">
        <f>D1</f>
        <v>2025</v>
      </c>
    </row>
    <row r="120" spans="1:4" x14ac:dyDescent="0.2">
      <c r="A120" s="32"/>
      <c r="B120" s="73"/>
      <c r="C120" s="73"/>
      <c r="D120" s="31"/>
    </row>
    <row r="121" spans="1:4" x14ac:dyDescent="0.2">
      <c r="A121" s="199" t="s">
        <v>135</v>
      </c>
      <c r="B121" s="91"/>
      <c r="C121" s="91"/>
      <c r="D121" s="91"/>
    </row>
    <row r="122" spans="1:4" x14ac:dyDescent="0.2">
      <c r="A122" s="32" t="s">
        <v>30</v>
      </c>
      <c r="B122" s="322" t="str">
        <f t="shared" ref="B122:D123" si="1">B4</f>
        <v xml:space="preserve">Prior Year </v>
      </c>
      <c r="C122" s="323" t="str">
        <f t="shared" si="1"/>
        <v xml:space="preserve">Current Year </v>
      </c>
      <c r="D122" s="323" t="str">
        <f t="shared" si="1"/>
        <v xml:space="preserve">Proposed Budget </v>
      </c>
    </row>
    <row r="123" spans="1:4" x14ac:dyDescent="0.2">
      <c r="A123" s="53" t="s">
        <v>47</v>
      </c>
      <c r="B123" s="162" t="str">
        <f t="shared" si="1"/>
        <v>Actual for 2023</v>
      </c>
      <c r="C123" s="162" t="str">
        <f t="shared" si="1"/>
        <v>Estimate for 2024</v>
      </c>
      <c r="D123" s="162" t="str">
        <f t="shared" si="1"/>
        <v>Year for 2025</v>
      </c>
    </row>
    <row r="124" spans="1:4" x14ac:dyDescent="0.2">
      <c r="A124" s="120" t="s">
        <v>43</v>
      </c>
      <c r="B124" s="64"/>
      <c r="C124" s="64"/>
      <c r="D124" s="64"/>
    </row>
    <row r="125" spans="1:4" x14ac:dyDescent="0.2">
      <c r="A125" s="221" t="s">
        <v>69</v>
      </c>
      <c r="B125" s="64"/>
      <c r="C125" s="64"/>
      <c r="D125" s="64"/>
    </row>
    <row r="126" spans="1:4" x14ac:dyDescent="0.2">
      <c r="A126" s="222" t="s">
        <v>70</v>
      </c>
      <c r="B126" s="194"/>
      <c r="C126" s="194"/>
      <c r="D126" s="194"/>
    </row>
    <row r="127" spans="1:4" x14ac:dyDescent="0.2">
      <c r="A127" s="222" t="s">
        <v>71</v>
      </c>
      <c r="B127" s="194"/>
      <c r="C127" s="194"/>
      <c r="D127" s="194"/>
    </row>
    <row r="128" spans="1:4" x14ac:dyDescent="0.2">
      <c r="A128" s="222" t="s">
        <v>72</v>
      </c>
      <c r="B128" s="194"/>
      <c r="C128" s="194"/>
      <c r="D128" s="194"/>
    </row>
    <row r="129" spans="1:4" x14ac:dyDescent="0.2">
      <c r="A129" s="222" t="s">
        <v>73</v>
      </c>
      <c r="B129" s="194"/>
      <c r="C129" s="194"/>
      <c r="D129" s="194"/>
    </row>
    <row r="130" spans="1:4" x14ac:dyDescent="0.2">
      <c r="A130" s="222" t="s">
        <v>74</v>
      </c>
      <c r="B130" s="194"/>
      <c r="C130" s="194"/>
      <c r="D130" s="194"/>
    </row>
    <row r="131" spans="1:4" x14ac:dyDescent="0.2">
      <c r="A131" s="222" t="s">
        <v>75</v>
      </c>
      <c r="B131" s="194"/>
      <c r="C131" s="194"/>
      <c r="D131" s="194"/>
    </row>
    <row r="132" spans="1:4" x14ac:dyDescent="0.2">
      <c r="A132" s="120" t="s">
        <v>2</v>
      </c>
      <c r="B132" s="164">
        <f>SUM(B126:B131)</f>
        <v>0</v>
      </c>
      <c r="C132" s="164">
        <f>SUM(C126:C131)</f>
        <v>0</v>
      </c>
      <c r="D132" s="164">
        <f>SUM(D126:D131)</f>
        <v>0</v>
      </c>
    </row>
    <row r="133" spans="1:4" x14ac:dyDescent="0.2">
      <c r="A133" s="221" t="s">
        <v>76</v>
      </c>
      <c r="B133" s="64"/>
      <c r="C133" s="64"/>
      <c r="D133" s="64"/>
    </row>
    <row r="134" spans="1:4" x14ac:dyDescent="0.2">
      <c r="A134" s="222" t="s">
        <v>49</v>
      </c>
      <c r="B134" s="194"/>
      <c r="C134" s="194"/>
      <c r="D134" s="194"/>
    </row>
    <row r="135" spans="1:4" x14ac:dyDescent="0.2">
      <c r="A135" s="222" t="s">
        <v>50</v>
      </c>
      <c r="B135" s="194"/>
      <c r="C135" s="194"/>
      <c r="D135" s="194"/>
    </row>
    <row r="136" spans="1:4" x14ac:dyDescent="0.2">
      <c r="A136" s="222" t="s">
        <v>51</v>
      </c>
      <c r="B136" s="194"/>
      <c r="C136" s="194"/>
      <c r="D136" s="194"/>
    </row>
    <row r="137" spans="1:4" x14ac:dyDescent="0.2">
      <c r="A137" s="222" t="s">
        <v>52</v>
      </c>
      <c r="B137" s="194"/>
      <c r="C137" s="194"/>
      <c r="D137" s="194"/>
    </row>
    <row r="138" spans="1:4" x14ac:dyDescent="0.2">
      <c r="A138" s="120" t="s">
        <v>2</v>
      </c>
      <c r="B138" s="164">
        <f>SUM(B134:B137)</f>
        <v>0</v>
      </c>
      <c r="C138" s="164">
        <f>SUM(C134:C137)</f>
        <v>0</v>
      </c>
      <c r="D138" s="164">
        <f>SUM(D134:D137)</f>
        <v>0</v>
      </c>
    </row>
    <row r="139" spans="1:4" x14ac:dyDescent="0.2">
      <c r="A139" s="221" t="s">
        <v>77</v>
      </c>
      <c r="B139" s="64"/>
      <c r="C139" s="64"/>
      <c r="D139" s="64"/>
    </row>
    <row r="140" spans="1:4" x14ac:dyDescent="0.2">
      <c r="A140" s="222" t="s">
        <v>49</v>
      </c>
      <c r="B140" s="194"/>
      <c r="C140" s="194"/>
      <c r="D140" s="194"/>
    </row>
    <row r="141" spans="1:4" x14ac:dyDescent="0.2">
      <c r="A141" s="222" t="s">
        <v>50</v>
      </c>
      <c r="B141" s="194"/>
      <c r="C141" s="194"/>
      <c r="D141" s="194"/>
    </row>
    <row r="142" spans="1:4" x14ac:dyDescent="0.2">
      <c r="A142" s="222" t="s">
        <v>51</v>
      </c>
      <c r="B142" s="194"/>
      <c r="C142" s="194"/>
      <c r="D142" s="194"/>
    </row>
    <row r="143" spans="1:4" x14ac:dyDescent="0.2">
      <c r="A143" s="222" t="s">
        <v>52</v>
      </c>
      <c r="B143" s="194"/>
      <c r="C143" s="194"/>
      <c r="D143" s="194"/>
    </row>
    <row r="144" spans="1:4" x14ac:dyDescent="0.2">
      <c r="A144" s="120" t="s">
        <v>2</v>
      </c>
      <c r="B144" s="164">
        <f>SUM(B140:B143)</f>
        <v>0</v>
      </c>
      <c r="C144" s="164">
        <f>SUM(C140:C143)</f>
        <v>0</v>
      </c>
      <c r="D144" s="164">
        <f>SUM(D140:D143)</f>
        <v>0</v>
      </c>
    </row>
    <row r="145" spans="1:4" x14ac:dyDescent="0.2">
      <c r="A145" s="221" t="s">
        <v>78</v>
      </c>
      <c r="B145" s="64"/>
      <c r="C145" s="64"/>
      <c r="D145" s="64"/>
    </row>
    <row r="146" spans="1:4" x14ac:dyDescent="0.2">
      <c r="A146" s="222" t="s">
        <v>49</v>
      </c>
      <c r="B146" s="194"/>
      <c r="C146" s="194"/>
      <c r="D146" s="194"/>
    </row>
    <row r="147" spans="1:4" x14ac:dyDescent="0.2">
      <c r="A147" s="222" t="s">
        <v>50</v>
      </c>
      <c r="B147" s="194"/>
      <c r="C147" s="194"/>
      <c r="D147" s="194"/>
    </row>
    <row r="148" spans="1:4" x14ac:dyDescent="0.2">
      <c r="A148" s="222" t="s">
        <v>51</v>
      </c>
      <c r="B148" s="194"/>
      <c r="C148" s="194"/>
      <c r="D148" s="194"/>
    </row>
    <row r="149" spans="1:4" x14ac:dyDescent="0.2">
      <c r="A149" s="222" t="s">
        <v>52</v>
      </c>
      <c r="B149" s="194"/>
      <c r="C149" s="194"/>
      <c r="D149" s="194"/>
    </row>
    <row r="150" spans="1:4" x14ac:dyDescent="0.2">
      <c r="A150" s="120" t="s">
        <v>2</v>
      </c>
      <c r="B150" s="164">
        <f>SUM(B146:B149)</f>
        <v>0</v>
      </c>
      <c r="C150" s="164">
        <f>SUM(C146:C149)</f>
        <v>0</v>
      </c>
      <c r="D150" s="164">
        <f>SUM(D146:D149)</f>
        <v>0</v>
      </c>
    </row>
    <row r="151" spans="1:4" x14ac:dyDescent="0.2">
      <c r="A151" s="221" t="s">
        <v>79</v>
      </c>
      <c r="B151" s="64"/>
      <c r="C151" s="64"/>
      <c r="D151" s="64"/>
    </row>
    <row r="152" spans="1:4" x14ac:dyDescent="0.2">
      <c r="A152" s="222" t="s">
        <v>49</v>
      </c>
      <c r="B152" s="194"/>
      <c r="C152" s="194"/>
      <c r="D152" s="194"/>
    </row>
    <row r="153" spans="1:4" x14ac:dyDescent="0.2">
      <c r="A153" s="222" t="s">
        <v>50</v>
      </c>
      <c r="B153" s="194"/>
      <c r="C153" s="194"/>
      <c r="D153" s="194"/>
    </row>
    <row r="154" spans="1:4" x14ac:dyDescent="0.2">
      <c r="A154" s="222" t="s">
        <v>51</v>
      </c>
      <c r="B154" s="194"/>
      <c r="C154" s="194"/>
      <c r="D154" s="194"/>
    </row>
    <row r="155" spans="1:4" x14ac:dyDescent="0.2">
      <c r="A155" s="222" t="s">
        <v>52</v>
      </c>
      <c r="B155" s="194"/>
      <c r="C155" s="194"/>
      <c r="D155" s="194"/>
    </row>
    <row r="156" spans="1:4" x14ac:dyDescent="0.2">
      <c r="A156" s="120" t="s">
        <v>2</v>
      </c>
      <c r="B156" s="164">
        <f>SUM(B152:B155)</f>
        <v>0</v>
      </c>
      <c r="C156" s="164">
        <f>SUM(C152:C155)</f>
        <v>0</v>
      </c>
      <c r="D156" s="164">
        <f>SUM(D152:D155)</f>
        <v>0</v>
      </c>
    </row>
    <row r="157" spans="1:4" x14ac:dyDescent="0.2">
      <c r="A157" s="221" t="s">
        <v>80</v>
      </c>
      <c r="B157" s="64"/>
      <c r="C157" s="64"/>
      <c r="D157" s="64"/>
    </row>
    <row r="158" spans="1:4" x14ac:dyDescent="0.2">
      <c r="A158" s="222" t="s">
        <v>49</v>
      </c>
      <c r="B158" s="194"/>
      <c r="C158" s="194"/>
      <c r="D158" s="194"/>
    </row>
    <row r="159" spans="1:4" x14ac:dyDescent="0.2">
      <c r="A159" s="222" t="s">
        <v>50</v>
      </c>
      <c r="B159" s="194"/>
      <c r="C159" s="194"/>
      <c r="D159" s="194"/>
    </row>
    <row r="160" spans="1:4" x14ac:dyDescent="0.2">
      <c r="A160" s="222" t="s">
        <v>51</v>
      </c>
      <c r="B160" s="194"/>
      <c r="C160" s="194"/>
      <c r="D160" s="194"/>
    </row>
    <row r="161" spans="1:4" x14ac:dyDescent="0.2">
      <c r="A161" s="222" t="s">
        <v>52</v>
      </c>
      <c r="B161" s="194"/>
      <c r="C161" s="194"/>
      <c r="D161" s="194"/>
    </row>
    <row r="162" spans="1:4" x14ac:dyDescent="0.2">
      <c r="A162" s="120" t="s">
        <v>2</v>
      </c>
      <c r="B162" s="164">
        <f>SUM(B158:B161)</f>
        <v>0</v>
      </c>
      <c r="C162" s="164">
        <f>SUM(C158:C161)</f>
        <v>0</v>
      </c>
      <c r="D162" s="164">
        <f>SUM(D158:D161)</f>
        <v>0</v>
      </c>
    </row>
    <row r="163" spans="1:4" x14ac:dyDescent="0.2">
      <c r="A163" s="221" t="s">
        <v>22</v>
      </c>
      <c r="B163" s="64"/>
      <c r="C163" s="64"/>
      <c r="D163" s="64"/>
    </row>
    <row r="164" spans="1:4" x14ac:dyDescent="0.2">
      <c r="A164" s="222" t="s">
        <v>49</v>
      </c>
      <c r="B164" s="194"/>
      <c r="C164" s="194"/>
      <c r="D164" s="194"/>
    </row>
    <row r="165" spans="1:4" x14ac:dyDescent="0.2">
      <c r="A165" s="222" t="s">
        <v>50</v>
      </c>
      <c r="B165" s="194"/>
      <c r="C165" s="194"/>
      <c r="D165" s="194"/>
    </row>
    <row r="166" spans="1:4" x14ac:dyDescent="0.2">
      <c r="A166" s="222" t="s">
        <v>51</v>
      </c>
      <c r="B166" s="194"/>
      <c r="C166" s="194"/>
      <c r="D166" s="194"/>
    </row>
    <row r="167" spans="1:4" x14ac:dyDescent="0.2">
      <c r="A167" s="222" t="s">
        <v>52</v>
      </c>
      <c r="B167" s="194"/>
      <c r="C167" s="194"/>
      <c r="D167" s="194"/>
    </row>
    <row r="168" spans="1:4" x14ac:dyDescent="0.2">
      <c r="A168" s="120" t="s">
        <v>2</v>
      </c>
      <c r="B168" s="164">
        <f>SUM(B164:B167)</f>
        <v>0</v>
      </c>
      <c r="C168" s="164">
        <f>SUM(C164:C167)</f>
        <v>0</v>
      </c>
      <c r="D168" s="164">
        <f>SUM(D164:D167)</f>
        <v>0</v>
      </c>
    </row>
    <row r="169" spans="1:4" x14ac:dyDescent="0.2">
      <c r="A169" s="221" t="s">
        <v>29</v>
      </c>
      <c r="B169" s="64"/>
      <c r="C169" s="64"/>
      <c r="D169" s="64"/>
    </row>
    <row r="170" spans="1:4" x14ac:dyDescent="0.2">
      <c r="A170" s="222" t="s">
        <v>49</v>
      </c>
      <c r="B170" s="194"/>
      <c r="C170" s="194"/>
      <c r="D170" s="194"/>
    </row>
    <row r="171" spans="1:4" x14ac:dyDescent="0.2">
      <c r="A171" s="222" t="s">
        <v>50</v>
      </c>
      <c r="B171" s="194"/>
      <c r="C171" s="194"/>
      <c r="D171" s="194"/>
    </row>
    <row r="172" spans="1:4" x14ac:dyDescent="0.2">
      <c r="A172" s="222" t="s">
        <v>51</v>
      </c>
      <c r="B172" s="194"/>
      <c r="C172" s="194"/>
      <c r="D172" s="194"/>
    </row>
    <row r="173" spans="1:4" x14ac:dyDescent="0.2">
      <c r="A173" s="222" t="s">
        <v>52</v>
      </c>
      <c r="B173" s="194"/>
      <c r="C173" s="194"/>
      <c r="D173" s="194"/>
    </row>
    <row r="174" spans="1:4" x14ac:dyDescent="0.2">
      <c r="A174" s="120" t="s">
        <v>2</v>
      </c>
      <c r="B174" s="164">
        <f>SUM(B170:B173)</f>
        <v>0</v>
      </c>
      <c r="C174" s="164">
        <f>SUM(C170:C173)</f>
        <v>0</v>
      </c>
      <c r="D174" s="164">
        <f>SUM(D170:D173)</f>
        <v>0</v>
      </c>
    </row>
    <row r="175" spans="1:4" x14ac:dyDescent="0.2">
      <c r="A175" s="120"/>
      <c r="B175" s="64"/>
      <c r="C175" s="64"/>
      <c r="D175" s="64"/>
    </row>
    <row r="176" spans="1:4" x14ac:dyDescent="0.2">
      <c r="A176" s="120" t="s">
        <v>399</v>
      </c>
      <c r="B176" s="229">
        <f>B132+B138+B144+B150+B156+B162+B168+B174</f>
        <v>0</v>
      </c>
      <c r="C176" s="229">
        <f>C132+C138+C144+C150+C156+C162+C168+C174</f>
        <v>0</v>
      </c>
      <c r="D176" s="229">
        <f>D132+D138+D144+D150+D156+D162+D168+D174</f>
        <v>0</v>
      </c>
    </row>
    <row r="177" spans="1:4" x14ac:dyDescent="0.2">
      <c r="A177" s="32"/>
      <c r="B177" s="73"/>
      <c r="C177" s="73"/>
      <c r="D177" s="73"/>
    </row>
    <row r="178" spans="1:4" x14ac:dyDescent="0.2">
      <c r="A178" s="618" t="s">
        <v>394</v>
      </c>
      <c r="B178" s="618"/>
      <c r="C178" s="618"/>
      <c r="D178" s="618"/>
    </row>
    <row r="179" spans="1:4" x14ac:dyDescent="0.2">
      <c r="A179" s="73">
        <f>inputPrYr!C3</f>
        <v>0</v>
      </c>
      <c r="B179" s="73"/>
      <c r="C179" s="31"/>
      <c r="D179" s="32">
        <f>D1</f>
        <v>2025</v>
      </c>
    </row>
    <row r="180" spans="1:4" x14ac:dyDescent="0.2">
      <c r="A180" s="32"/>
      <c r="B180" s="73"/>
      <c r="C180" s="73"/>
      <c r="D180" s="31"/>
    </row>
    <row r="181" spans="1:4" x14ac:dyDescent="0.2">
      <c r="A181" s="199" t="s">
        <v>135</v>
      </c>
      <c r="B181" s="91"/>
      <c r="C181" s="91"/>
      <c r="D181" s="91"/>
    </row>
    <row r="182" spans="1:4" x14ac:dyDescent="0.2">
      <c r="A182" s="32" t="s">
        <v>30</v>
      </c>
      <c r="B182" s="322" t="str">
        <f t="shared" ref="B182:D183" si="2">B4</f>
        <v xml:space="preserve">Prior Year </v>
      </c>
      <c r="C182" s="323" t="str">
        <f t="shared" si="2"/>
        <v xml:space="preserve">Current Year </v>
      </c>
      <c r="D182" s="323" t="str">
        <f t="shared" si="2"/>
        <v xml:space="preserve">Proposed Budget </v>
      </c>
    </row>
    <row r="183" spans="1:4" x14ac:dyDescent="0.2">
      <c r="A183" s="53" t="s">
        <v>47</v>
      </c>
      <c r="B183" s="162" t="str">
        <f t="shared" si="2"/>
        <v>Actual for 2023</v>
      </c>
      <c r="C183" s="162" t="str">
        <f t="shared" si="2"/>
        <v>Estimate for 2024</v>
      </c>
      <c r="D183" s="162" t="str">
        <f t="shared" si="2"/>
        <v>Year for 2025</v>
      </c>
    </row>
    <row r="184" spans="1:4" x14ac:dyDescent="0.2">
      <c r="A184" s="120" t="s">
        <v>43</v>
      </c>
      <c r="B184" s="64"/>
      <c r="C184" s="64"/>
      <c r="D184" s="64"/>
    </row>
    <row r="185" spans="1:4" x14ac:dyDescent="0.2">
      <c r="A185" s="221" t="s">
        <v>81</v>
      </c>
      <c r="B185" s="64"/>
      <c r="C185" s="64"/>
      <c r="D185" s="64"/>
    </row>
    <row r="186" spans="1:4" x14ac:dyDescent="0.2">
      <c r="A186" s="222" t="s">
        <v>49</v>
      </c>
      <c r="B186" s="194"/>
      <c r="C186" s="194"/>
      <c r="D186" s="194"/>
    </row>
    <row r="187" spans="1:4" x14ac:dyDescent="0.2">
      <c r="A187" s="222" t="s">
        <v>50</v>
      </c>
      <c r="B187" s="194"/>
      <c r="C187" s="194"/>
      <c r="D187" s="194"/>
    </row>
    <row r="188" spans="1:4" x14ac:dyDescent="0.2">
      <c r="A188" s="222" t="s">
        <v>51</v>
      </c>
      <c r="B188" s="194"/>
      <c r="C188" s="194"/>
      <c r="D188" s="194"/>
    </row>
    <row r="189" spans="1:4" x14ac:dyDescent="0.2">
      <c r="A189" s="222" t="s">
        <v>52</v>
      </c>
      <c r="B189" s="194"/>
      <c r="C189" s="194"/>
      <c r="D189" s="194"/>
    </row>
    <row r="190" spans="1:4" x14ac:dyDescent="0.2">
      <c r="A190" s="120" t="s">
        <v>2</v>
      </c>
      <c r="B190" s="164">
        <f>SUM(B186:B189)</f>
        <v>0</v>
      </c>
      <c r="C190" s="164">
        <f>SUM(C186:C189)</f>
        <v>0</v>
      </c>
      <c r="D190" s="164">
        <f>SUM(D186:D189)</f>
        <v>0</v>
      </c>
    </row>
    <row r="191" spans="1:4" x14ac:dyDescent="0.2">
      <c r="A191" s="221" t="s">
        <v>82</v>
      </c>
      <c r="B191" s="64"/>
      <c r="C191" s="64"/>
      <c r="D191" s="64"/>
    </row>
    <row r="192" spans="1:4" x14ac:dyDescent="0.2">
      <c r="A192" s="222" t="s">
        <v>49</v>
      </c>
      <c r="B192" s="194"/>
      <c r="C192" s="194"/>
      <c r="D192" s="194"/>
    </row>
    <row r="193" spans="1:4" x14ac:dyDescent="0.2">
      <c r="A193" s="222" t="s">
        <v>50</v>
      </c>
      <c r="B193" s="194"/>
      <c r="C193" s="194"/>
      <c r="D193" s="194"/>
    </row>
    <row r="194" spans="1:4" x14ac:dyDescent="0.2">
      <c r="A194" s="222" t="s">
        <v>51</v>
      </c>
      <c r="B194" s="194"/>
      <c r="C194" s="194"/>
      <c r="D194" s="194"/>
    </row>
    <row r="195" spans="1:4" x14ac:dyDescent="0.2">
      <c r="A195" s="222" t="s">
        <v>52</v>
      </c>
      <c r="B195" s="194"/>
      <c r="C195" s="194"/>
      <c r="D195" s="194"/>
    </row>
    <row r="196" spans="1:4" x14ac:dyDescent="0.2">
      <c r="A196" s="120" t="s">
        <v>2</v>
      </c>
      <c r="B196" s="164">
        <f>SUM(B192:B195)</f>
        <v>0</v>
      </c>
      <c r="C196" s="164">
        <f>SUM(C192:C195)</f>
        <v>0</v>
      </c>
      <c r="D196" s="164">
        <f>SUM(D192:D195)</f>
        <v>0</v>
      </c>
    </row>
    <row r="197" spans="1:4" x14ac:dyDescent="0.2">
      <c r="A197" s="221" t="s">
        <v>83</v>
      </c>
      <c r="B197" s="64"/>
      <c r="C197" s="64"/>
      <c r="D197" s="64"/>
    </row>
    <row r="198" spans="1:4" x14ac:dyDescent="0.2">
      <c r="A198" s="222" t="s">
        <v>49</v>
      </c>
      <c r="B198" s="194"/>
      <c r="C198" s="194"/>
      <c r="D198" s="194"/>
    </row>
    <row r="199" spans="1:4" x14ac:dyDescent="0.2">
      <c r="A199" s="222" t="s">
        <v>50</v>
      </c>
      <c r="B199" s="194"/>
      <c r="C199" s="194"/>
      <c r="D199" s="194"/>
    </row>
    <row r="200" spans="1:4" x14ac:dyDescent="0.2">
      <c r="A200" s="222" t="s">
        <v>51</v>
      </c>
      <c r="B200" s="194"/>
      <c r="C200" s="194"/>
      <c r="D200" s="194"/>
    </row>
    <row r="201" spans="1:4" x14ac:dyDescent="0.2">
      <c r="A201" s="222" t="s">
        <v>52</v>
      </c>
      <c r="B201" s="194"/>
      <c r="C201" s="194"/>
      <c r="D201" s="194"/>
    </row>
    <row r="202" spans="1:4" x14ac:dyDescent="0.2">
      <c r="A202" s="120" t="s">
        <v>2</v>
      </c>
      <c r="B202" s="164">
        <f>SUM(B198:B201)</f>
        <v>0</v>
      </c>
      <c r="C202" s="164">
        <f>SUM(C198:C201)</f>
        <v>0</v>
      </c>
      <c r="D202" s="164">
        <f>SUM(D198:D201)</f>
        <v>0</v>
      </c>
    </row>
    <row r="203" spans="1:4" x14ac:dyDescent="0.2">
      <c r="A203" s="221" t="s">
        <v>21</v>
      </c>
      <c r="B203" s="64"/>
      <c r="C203" s="64"/>
      <c r="D203" s="64"/>
    </row>
    <row r="204" spans="1:4" x14ac:dyDescent="0.2">
      <c r="A204" s="222" t="s">
        <v>49</v>
      </c>
      <c r="B204" s="194"/>
      <c r="C204" s="194"/>
      <c r="D204" s="194"/>
    </row>
    <row r="205" spans="1:4" x14ac:dyDescent="0.2">
      <c r="A205" s="222" t="s">
        <v>50</v>
      </c>
      <c r="B205" s="194"/>
      <c r="C205" s="194"/>
      <c r="D205" s="194"/>
    </row>
    <row r="206" spans="1:4" x14ac:dyDescent="0.2">
      <c r="A206" s="222" t="s">
        <v>51</v>
      </c>
      <c r="B206" s="194"/>
      <c r="C206" s="194"/>
      <c r="D206" s="194"/>
    </row>
    <row r="207" spans="1:4" x14ac:dyDescent="0.2">
      <c r="A207" s="222" t="s">
        <v>52</v>
      </c>
      <c r="B207" s="194"/>
      <c r="C207" s="194"/>
      <c r="D207" s="194"/>
    </row>
    <row r="208" spans="1:4" x14ac:dyDescent="0.2">
      <c r="A208" s="120" t="s">
        <v>2</v>
      </c>
      <c r="B208" s="164">
        <f>SUM(B204:B207)</f>
        <v>0</v>
      </c>
      <c r="C208" s="164">
        <f>SUM(C204:C207)</f>
        <v>0</v>
      </c>
      <c r="D208" s="164">
        <f>SUM(D204:D207)</f>
        <v>0</v>
      </c>
    </row>
    <row r="209" spans="1:4" x14ac:dyDescent="0.2">
      <c r="A209" s="221" t="s">
        <v>84</v>
      </c>
      <c r="B209" s="64"/>
      <c r="C209" s="64"/>
      <c r="D209" s="64"/>
    </row>
    <row r="210" spans="1:4" x14ac:dyDescent="0.2">
      <c r="A210" s="222" t="s">
        <v>49</v>
      </c>
      <c r="B210" s="194"/>
      <c r="C210" s="194"/>
      <c r="D210" s="194"/>
    </row>
    <row r="211" spans="1:4" x14ac:dyDescent="0.2">
      <c r="A211" s="222" t="s">
        <v>50</v>
      </c>
      <c r="B211" s="194"/>
      <c r="C211" s="194"/>
      <c r="D211" s="194"/>
    </row>
    <row r="212" spans="1:4" x14ac:dyDescent="0.2">
      <c r="A212" s="222" t="s">
        <v>51</v>
      </c>
      <c r="B212" s="194"/>
      <c r="C212" s="194"/>
      <c r="D212" s="194"/>
    </row>
    <row r="213" spans="1:4" x14ac:dyDescent="0.2">
      <c r="A213" s="222" t="s">
        <v>52</v>
      </c>
      <c r="B213" s="194"/>
      <c r="C213" s="194"/>
      <c r="D213" s="194"/>
    </row>
    <row r="214" spans="1:4" x14ac:dyDescent="0.2">
      <c r="A214" s="120" t="s">
        <v>2</v>
      </c>
      <c r="B214" s="164">
        <f>SUM(B210:B213)</f>
        <v>0</v>
      </c>
      <c r="C214" s="164">
        <f>SUM(C210:C213)</f>
        <v>0</v>
      </c>
      <c r="D214" s="164">
        <f>SUM(D210:D213)</f>
        <v>0</v>
      </c>
    </row>
    <row r="215" spans="1:4" x14ac:dyDescent="0.2">
      <c r="A215" s="221" t="s">
        <v>85</v>
      </c>
      <c r="B215" s="64"/>
      <c r="C215" s="64"/>
      <c r="D215" s="64"/>
    </row>
    <row r="216" spans="1:4" x14ac:dyDescent="0.2">
      <c r="A216" s="222" t="s">
        <v>49</v>
      </c>
      <c r="B216" s="194"/>
      <c r="C216" s="194"/>
      <c r="D216" s="194"/>
    </row>
    <row r="217" spans="1:4" x14ac:dyDescent="0.2">
      <c r="A217" s="222" t="s">
        <v>50</v>
      </c>
      <c r="B217" s="194"/>
      <c r="C217" s="194"/>
      <c r="D217" s="194"/>
    </row>
    <row r="218" spans="1:4" x14ac:dyDescent="0.2">
      <c r="A218" s="222" t="s">
        <v>51</v>
      </c>
      <c r="B218" s="194"/>
      <c r="C218" s="194"/>
      <c r="D218" s="194"/>
    </row>
    <row r="219" spans="1:4" x14ac:dyDescent="0.2">
      <c r="A219" s="222" t="s">
        <v>52</v>
      </c>
      <c r="B219" s="194"/>
      <c r="C219" s="194"/>
      <c r="D219" s="194"/>
    </row>
    <row r="220" spans="1:4" x14ac:dyDescent="0.2">
      <c r="A220" s="120" t="s">
        <v>2</v>
      </c>
      <c r="B220" s="164">
        <f>SUM(B216:B219)</f>
        <v>0</v>
      </c>
      <c r="C220" s="164">
        <f>SUM(C216:C219)</f>
        <v>0</v>
      </c>
      <c r="D220" s="164">
        <f>SUM(D216:D219)</f>
        <v>0</v>
      </c>
    </row>
    <row r="221" spans="1:4" x14ac:dyDescent="0.2">
      <c r="A221" s="221" t="s">
        <v>86</v>
      </c>
      <c r="B221" s="64"/>
      <c r="C221" s="64"/>
      <c r="D221" s="64"/>
    </row>
    <row r="222" spans="1:4" x14ac:dyDescent="0.2">
      <c r="A222" s="222" t="s">
        <v>49</v>
      </c>
      <c r="B222" s="194"/>
      <c r="C222" s="194"/>
      <c r="D222" s="194"/>
    </row>
    <row r="223" spans="1:4" x14ac:dyDescent="0.2">
      <c r="A223" s="222" t="s">
        <v>50</v>
      </c>
      <c r="B223" s="194"/>
      <c r="C223" s="194"/>
      <c r="D223" s="194"/>
    </row>
    <row r="224" spans="1:4" x14ac:dyDescent="0.2">
      <c r="A224" s="222" t="s">
        <v>51</v>
      </c>
      <c r="B224" s="194"/>
      <c r="C224" s="194"/>
      <c r="D224" s="194"/>
    </row>
    <row r="225" spans="1:4" x14ac:dyDescent="0.2">
      <c r="A225" s="222" t="s">
        <v>52</v>
      </c>
      <c r="B225" s="194"/>
      <c r="C225" s="194"/>
      <c r="D225" s="194"/>
    </row>
    <row r="226" spans="1:4" x14ac:dyDescent="0.2">
      <c r="A226" s="120" t="s">
        <v>2</v>
      </c>
      <c r="B226" s="164">
        <f>SUM(B222:B225)</f>
        <v>0</v>
      </c>
      <c r="C226" s="164">
        <f>SUM(C222:C225)</f>
        <v>0</v>
      </c>
      <c r="D226" s="164">
        <f>SUM(D222:D225)</f>
        <v>0</v>
      </c>
    </row>
    <row r="227" spans="1:4" x14ac:dyDescent="0.2">
      <c r="A227" s="221" t="s">
        <v>87</v>
      </c>
      <c r="B227" s="64"/>
      <c r="C227" s="64"/>
      <c r="D227" s="64"/>
    </row>
    <row r="228" spans="1:4" x14ac:dyDescent="0.2">
      <c r="A228" s="222" t="s">
        <v>49</v>
      </c>
      <c r="B228" s="194"/>
      <c r="C228" s="194"/>
      <c r="D228" s="194"/>
    </row>
    <row r="229" spans="1:4" x14ac:dyDescent="0.2">
      <c r="A229" s="222" t="s">
        <v>50</v>
      </c>
      <c r="B229" s="194"/>
      <c r="C229" s="194"/>
      <c r="D229" s="194"/>
    </row>
    <row r="230" spans="1:4" x14ac:dyDescent="0.2">
      <c r="A230" s="222" t="s">
        <v>51</v>
      </c>
      <c r="B230" s="194"/>
      <c r="C230" s="194"/>
      <c r="D230" s="194"/>
    </row>
    <row r="231" spans="1:4" x14ac:dyDescent="0.2">
      <c r="A231" s="222" t="s">
        <v>52</v>
      </c>
      <c r="B231" s="194"/>
      <c r="C231" s="194"/>
      <c r="D231" s="194"/>
    </row>
    <row r="232" spans="1:4" x14ac:dyDescent="0.2">
      <c r="A232" s="120" t="s">
        <v>2</v>
      </c>
      <c r="B232" s="164">
        <f>SUM(B228:B231)</f>
        <v>0</v>
      </c>
      <c r="C232" s="164">
        <f>SUM(C228:C231)</f>
        <v>0</v>
      </c>
      <c r="D232" s="164">
        <f>SUM(D228:D231)</f>
        <v>0</v>
      </c>
    </row>
    <row r="233" spans="1:4" x14ac:dyDescent="0.2">
      <c r="A233" s="221" t="s">
        <v>88</v>
      </c>
      <c r="B233" s="64"/>
      <c r="C233" s="64"/>
      <c r="D233" s="64"/>
    </row>
    <row r="234" spans="1:4" x14ac:dyDescent="0.2">
      <c r="A234" s="222" t="s">
        <v>49</v>
      </c>
      <c r="B234" s="194"/>
      <c r="C234" s="194"/>
      <c r="D234" s="194"/>
    </row>
    <row r="235" spans="1:4" x14ac:dyDescent="0.2">
      <c r="A235" s="222" t="s">
        <v>50</v>
      </c>
      <c r="B235" s="194"/>
      <c r="C235" s="194"/>
      <c r="D235" s="194"/>
    </row>
    <row r="236" spans="1:4" x14ac:dyDescent="0.2">
      <c r="A236" s="222" t="s">
        <v>51</v>
      </c>
      <c r="B236" s="194"/>
      <c r="C236" s="194"/>
      <c r="D236" s="194"/>
    </row>
    <row r="237" spans="1:4" x14ac:dyDescent="0.2">
      <c r="A237" s="222" t="s">
        <v>52</v>
      </c>
      <c r="B237" s="194"/>
      <c r="C237" s="194"/>
      <c r="D237" s="194"/>
    </row>
    <row r="238" spans="1:4" x14ac:dyDescent="0.2">
      <c r="A238" s="120" t="s">
        <v>2</v>
      </c>
      <c r="B238" s="164">
        <f>SUM(B234:B237)</f>
        <v>0</v>
      </c>
      <c r="C238" s="164">
        <f>SUM(C234:C237)</f>
        <v>0</v>
      </c>
      <c r="D238" s="164">
        <f>SUM(D234:D237)</f>
        <v>0</v>
      </c>
    </row>
    <row r="239" spans="1:4" x14ac:dyDescent="0.2">
      <c r="A239" s="120"/>
      <c r="B239" s="64"/>
      <c r="C239" s="64"/>
      <c r="D239" s="64"/>
    </row>
    <row r="240" spans="1:4" x14ac:dyDescent="0.2">
      <c r="A240" s="120" t="s">
        <v>400</v>
      </c>
      <c r="B240" s="229">
        <f>B190+B196+B202+B208+B214+B220+B222+B232+B238</f>
        <v>0</v>
      </c>
      <c r="C240" s="229">
        <f>C190+C196+C202+C208+C214+C220+C222+C232+C238</f>
        <v>0</v>
      </c>
      <c r="D240" s="229">
        <f>D190+D196+D202+D208+D214+D220+D222+D232+D238</f>
        <v>0</v>
      </c>
    </row>
    <row r="241" spans="1:4" x14ac:dyDescent="0.2">
      <c r="A241" s="32"/>
      <c r="B241" s="73"/>
      <c r="C241" s="73"/>
      <c r="D241" s="73"/>
    </row>
    <row r="242" spans="1:4" x14ac:dyDescent="0.2">
      <c r="A242" s="618" t="s">
        <v>395</v>
      </c>
      <c r="B242" s="618"/>
      <c r="C242" s="618"/>
      <c r="D242" s="618"/>
    </row>
    <row r="243" spans="1:4" x14ac:dyDescent="0.2">
      <c r="A243" s="73">
        <f>inputPrYr!C3</f>
        <v>0</v>
      </c>
      <c r="B243" s="73"/>
      <c r="C243" s="31"/>
      <c r="D243" s="32">
        <f>D1</f>
        <v>2025</v>
      </c>
    </row>
    <row r="244" spans="1:4" x14ac:dyDescent="0.2">
      <c r="A244" s="32"/>
      <c r="B244" s="73"/>
      <c r="C244" s="73"/>
      <c r="D244" s="31"/>
    </row>
    <row r="245" spans="1:4" x14ac:dyDescent="0.2">
      <c r="A245" s="199" t="s">
        <v>135</v>
      </c>
      <c r="B245" s="91"/>
      <c r="C245" s="91"/>
      <c r="D245" s="91"/>
    </row>
    <row r="246" spans="1:4" x14ac:dyDescent="0.2">
      <c r="A246" s="32" t="s">
        <v>30</v>
      </c>
      <c r="B246" s="322" t="str">
        <f t="shared" ref="B246:D247" si="3">B4</f>
        <v xml:space="preserve">Prior Year </v>
      </c>
      <c r="C246" s="323" t="str">
        <f t="shared" si="3"/>
        <v xml:space="preserve">Current Year </v>
      </c>
      <c r="D246" s="323" t="str">
        <f t="shared" si="3"/>
        <v xml:space="preserve">Proposed Budget </v>
      </c>
    </row>
    <row r="247" spans="1:4" x14ac:dyDescent="0.2">
      <c r="A247" s="53" t="s">
        <v>47</v>
      </c>
      <c r="B247" s="162" t="str">
        <f t="shared" si="3"/>
        <v>Actual for 2023</v>
      </c>
      <c r="C247" s="162" t="str">
        <f t="shared" si="3"/>
        <v>Estimate for 2024</v>
      </c>
      <c r="D247" s="162" t="str">
        <f t="shared" si="3"/>
        <v>Year for 2025</v>
      </c>
    </row>
    <row r="248" spans="1:4" x14ac:dyDescent="0.2">
      <c r="A248" s="161" t="s">
        <v>43</v>
      </c>
      <c r="B248" s="64"/>
      <c r="C248" s="64"/>
      <c r="D248" s="64"/>
    </row>
    <row r="249" spans="1:4" x14ac:dyDescent="0.2">
      <c r="A249" s="221" t="s">
        <v>89</v>
      </c>
      <c r="B249" s="64"/>
      <c r="C249" s="64"/>
      <c r="D249" s="64"/>
    </row>
    <row r="250" spans="1:4" x14ac:dyDescent="0.2">
      <c r="A250" s="222" t="s">
        <v>49</v>
      </c>
      <c r="B250" s="194"/>
      <c r="C250" s="194"/>
      <c r="D250" s="194"/>
    </row>
    <row r="251" spans="1:4" x14ac:dyDescent="0.2">
      <c r="A251" s="222" t="s">
        <v>50</v>
      </c>
      <c r="B251" s="194"/>
      <c r="C251" s="194"/>
      <c r="D251" s="194"/>
    </row>
    <row r="252" spans="1:4" x14ac:dyDescent="0.2">
      <c r="A252" s="222" t="s">
        <v>51</v>
      </c>
      <c r="B252" s="194"/>
      <c r="C252" s="194"/>
      <c r="D252" s="194"/>
    </row>
    <row r="253" spans="1:4" x14ac:dyDescent="0.2">
      <c r="A253" s="222" t="s">
        <v>52</v>
      </c>
      <c r="B253" s="194"/>
      <c r="C253" s="194"/>
      <c r="D253" s="194"/>
    </row>
    <row r="254" spans="1:4" x14ac:dyDescent="0.2">
      <c r="A254" s="120" t="s">
        <v>2</v>
      </c>
      <c r="B254" s="164">
        <f>SUM(B250:B253)</f>
        <v>0</v>
      </c>
      <c r="C254" s="164">
        <f>SUM(C250:C253)</f>
        <v>0</v>
      </c>
      <c r="D254" s="164">
        <f>SUM(D250:D253)</f>
        <v>0</v>
      </c>
    </row>
    <row r="255" spans="1:4" x14ac:dyDescent="0.2">
      <c r="A255" s="221" t="s">
        <v>90</v>
      </c>
      <c r="B255" s="64"/>
      <c r="C255" s="64"/>
      <c r="D255" s="64"/>
    </row>
    <row r="256" spans="1:4" x14ac:dyDescent="0.2">
      <c r="A256" s="222" t="s">
        <v>49</v>
      </c>
      <c r="B256" s="194"/>
      <c r="C256" s="194"/>
      <c r="D256" s="194"/>
    </row>
    <row r="257" spans="1:4" x14ac:dyDescent="0.2">
      <c r="A257" s="222" t="s">
        <v>50</v>
      </c>
      <c r="B257" s="194"/>
      <c r="C257" s="194"/>
      <c r="D257" s="194"/>
    </row>
    <row r="258" spans="1:4" x14ac:dyDescent="0.2">
      <c r="A258" s="222" t="s">
        <v>51</v>
      </c>
      <c r="B258" s="194"/>
      <c r="C258" s="194"/>
      <c r="D258" s="194"/>
    </row>
    <row r="259" spans="1:4" x14ac:dyDescent="0.2">
      <c r="A259" s="222" t="s">
        <v>52</v>
      </c>
      <c r="B259" s="194"/>
      <c r="C259" s="194"/>
      <c r="D259" s="194"/>
    </row>
    <row r="260" spans="1:4" x14ac:dyDescent="0.2">
      <c r="A260" s="120" t="s">
        <v>2</v>
      </c>
      <c r="B260" s="164">
        <f>SUM(B256:B259)</f>
        <v>0</v>
      </c>
      <c r="C260" s="164">
        <f>SUM(C256:C259)</f>
        <v>0</v>
      </c>
      <c r="D260" s="164">
        <f>SUM(D256:D259)</f>
        <v>0</v>
      </c>
    </row>
    <row r="261" spans="1:4" x14ac:dyDescent="0.2">
      <c r="A261" s="221" t="s">
        <v>91</v>
      </c>
      <c r="B261" s="64"/>
      <c r="C261" s="64"/>
      <c r="D261" s="64"/>
    </row>
    <row r="262" spans="1:4" x14ac:dyDescent="0.2">
      <c r="A262" s="222" t="s">
        <v>49</v>
      </c>
      <c r="B262" s="194"/>
      <c r="C262" s="194"/>
      <c r="D262" s="194"/>
    </row>
    <row r="263" spans="1:4" x14ac:dyDescent="0.2">
      <c r="A263" s="222" t="s">
        <v>50</v>
      </c>
      <c r="B263" s="194"/>
      <c r="C263" s="194"/>
      <c r="D263" s="194"/>
    </row>
    <row r="264" spans="1:4" x14ac:dyDescent="0.2">
      <c r="A264" s="222" t="s">
        <v>51</v>
      </c>
      <c r="B264" s="194"/>
      <c r="C264" s="194"/>
      <c r="D264" s="194"/>
    </row>
    <row r="265" spans="1:4" x14ac:dyDescent="0.2">
      <c r="A265" s="222" t="s">
        <v>52</v>
      </c>
      <c r="B265" s="194"/>
      <c r="C265" s="194"/>
      <c r="D265" s="194"/>
    </row>
    <row r="266" spans="1:4" x14ac:dyDescent="0.2">
      <c r="A266" s="120" t="s">
        <v>2</v>
      </c>
      <c r="B266" s="164">
        <f>SUM(B262:B265)</f>
        <v>0</v>
      </c>
      <c r="C266" s="164">
        <f>SUM(C262:C265)</f>
        <v>0</v>
      </c>
      <c r="D266" s="164">
        <f>SUM(D262:D265)</f>
        <v>0</v>
      </c>
    </row>
    <row r="267" spans="1:4" x14ac:dyDescent="0.2">
      <c r="A267" s="221" t="s">
        <v>94</v>
      </c>
      <c r="B267" s="64"/>
      <c r="C267" s="64"/>
      <c r="D267" s="64"/>
    </row>
    <row r="268" spans="1:4" x14ac:dyDescent="0.2">
      <c r="A268" s="222" t="s">
        <v>49</v>
      </c>
      <c r="B268" s="194"/>
      <c r="C268" s="194"/>
      <c r="D268" s="194"/>
    </row>
    <row r="269" spans="1:4" x14ac:dyDescent="0.2">
      <c r="A269" s="222" t="s">
        <v>50</v>
      </c>
      <c r="B269" s="194"/>
      <c r="C269" s="194"/>
      <c r="D269" s="194"/>
    </row>
    <row r="270" spans="1:4" x14ac:dyDescent="0.2">
      <c r="A270" s="222" t="s">
        <v>51</v>
      </c>
      <c r="B270" s="194"/>
      <c r="C270" s="194"/>
      <c r="D270" s="194"/>
    </row>
    <row r="271" spans="1:4" x14ac:dyDescent="0.2">
      <c r="A271" s="222" t="s">
        <v>52</v>
      </c>
      <c r="B271" s="194"/>
      <c r="C271" s="194"/>
      <c r="D271" s="194"/>
    </row>
    <row r="272" spans="1:4" x14ac:dyDescent="0.2">
      <c r="A272" s="120" t="s">
        <v>2</v>
      </c>
      <c r="B272" s="164">
        <f>SUM(B268:B271)</f>
        <v>0</v>
      </c>
      <c r="C272" s="164">
        <f>SUM(C268:C271)</f>
        <v>0</v>
      </c>
      <c r="D272" s="164">
        <f>SUM(D268:D271)</f>
        <v>0</v>
      </c>
    </row>
    <row r="273" spans="1:4" x14ac:dyDescent="0.2">
      <c r="A273" s="221" t="s">
        <v>92</v>
      </c>
      <c r="B273" s="64"/>
      <c r="C273" s="64"/>
      <c r="D273" s="64"/>
    </row>
    <row r="274" spans="1:4" x14ac:dyDescent="0.2">
      <c r="A274" s="222" t="s">
        <v>50</v>
      </c>
      <c r="B274" s="194"/>
      <c r="C274" s="194"/>
      <c r="D274" s="194"/>
    </row>
    <row r="275" spans="1:4" x14ac:dyDescent="0.2">
      <c r="A275" s="222" t="s">
        <v>93</v>
      </c>
      <c r="B275" s="194"/>
      <c r="C275" s="194"/>
      <c r="D275" s="194"/>
    </row>
    <row r="276" spans="1:4" x14ac:dyDescent="0.2">
      <c r="A276" s="120" t="s">
        <v>2</v>
      </c>
      <c r="B276" s="164">
        <f>SUM(B274:B275)</f>
        <v>0</v>
      </c>
      <c r="C276" s="164">
        <f>SUM(C274:C275)</f>
        <v>0</v>
      </c>
      <c r="D276" s="164">
        <f>SUM(D274:D275)</f>
        <v>0</v>
      </c>
    </row>
    <row r="277" spans="1:4" x14ac:dyDescent="0.2">
      <c r="A277" s="221"/>
      <c r="B277" s="64"/>
      <c r="C277" s="64"/>
      <c r="D277" s="64"/>
    </row>
    <row r="278" spans="1:4" x14ac:dyDescent="0.2">
      <c r="A278" s="222" t="s">
        <v>49</v>
      </c>
      <c r="B278" s="194"/>
      <c r="C278" s="194"/>
      <c r="D278" s="194"/>
    </row>
    <row r="279" spans="1:4" x14ac:dyDescent="0.2">
      <c r="A279" s="222" t="s">
        <v>50</v>
      </c>
      <c r="B279" s="194"/>
      <c r="C279" s="194"/>
      <c r="D279" s="194"/>
    </row>
    <row r="280" spans="1:4" x14ac:dyDescent="0.2">
      <c r="A280" s="222" t="s">
        <v>51</v>
      </c>
      <c r="B280" s="194"/>
      <c r="C280" s="194"/>
      <c r="D280" s="194"/>
    </row>
    <row r="281" spans="1:4" x14ac:dyDescent="0.2">
      <c r="A281" s="222" t="s">
        <v>52</v>
      </c>
      <c r="B281" s="194"/>
      <c r="C281" s="194"/>
      <c r="D281" s="194"/>
    </row>
    <row r="282" spans="1:4" x14ac:dyDescent="0.2">
      <c r="A282" s="120" t="s">
        <v>2</v>
      </c>
      <c r="B282" s="164">
        <f>SUM(B278:B281)</f>
        <v>0</v>
      </c>
      <c r="C282" s="164">
        <f>SUM(C278:C281)</f>
        <v>0</v>
      </c>
      <c r="D282" s="164">
        <f>SUM(D278:D281)</f>
        <v>0</v>
      </c>
    </row>
    <row r="283" spans="1:4" x14ac:dyDescent="0.2">
      <c r="A283" s="221"/>
      <c r="B283" s="64"/>
      <c r="C283" s="64"/>
      <c r="D283" s="64"/>
    </row>
    <row r="284" spans="1:4" x14ac:dyDescent="0.2">
      <c r="A284" s="222" t="s">
        <v>49</v>
      </c>
      <c r="B284" s="194"/>
      <c r="C284" s="194"/>
      <c r="D284" s="194"/>
    </row>
    <row r="285" spans="1:4" x14ac:dyDescent="0.2">
      <c r="A285" s="222" t="s">
        <v>50</v>
      </c>
      <c r="B285" s="194"/>
      <c r="C285" s="194"/>
      <c r="D285" s="194"/>
    </row>
    <row r="286" spans="1:4" x14ac:dyDescent="0.2">
      <c r="A286" s="222" t="s">
        <v>51</v>
      </c>
      <c r="B286" s="194"/>
      <c r="C286" s="194"/>
      <c r="D286" s="194"/>
    </row>
    <row r="287" spans="1:4" x14ac:dyDescent="0.2">
      <c r="A287" s="222" t="s">
        <v>52</v>
      </c>
      <c r="B287" s="194"/>
      <c r="C287" s="194"/>
      <c r="D287" s="194"/>
    </row>
    <row r="288" spans="1:4" x14ac:dyDescent="0.2">
      <c r="A288" s="192" t="s">
        <v>2</v>
      </c>
      <c r="B288" s="164">
        <f>SUM(B284:B287)</f>
        <v>0</v>
      </c>
      <c r="C288" s="164">
        <f>SUM(C284:C287)</f>
        <v>0</v>
      </c>
      <c r="D288" s="164">
        <f>SUM(D284:D287)</f>
        <v>0</v>
      </c>
    </row>
    <row r="289" spans="1:4" x14ac:dyDescent="0.2">
      <c r="A289" s="120"/>
      <c r="B289" s="64"/>
      <c r="C289" s="64"/>
      <c r="D289" s="64"/>
    </row>
    <row r="290" spans="1:4" x14ac:dyDescent="0.2">
      <c r="A290" s="120" t="s">
        <v>396</v>
      </c>
      <c r="B290" s="164">
        <f>B254+B260+B266+B272+B276+B282+B288</f>
        <v>0</v>
      </c>
      <c r="C290" s="164">
        <f>C254+C260+C266+C272+C276+C282+C288</f>
        <v>0</v>
      </c>
      <c r="D290" s="164">
        <f>D254+D260+D266+D272+D276+D282+D288</f>
        <v>0</v>
      </c>
    </row>
    <row r="291" spans="1:4" x14ac:dyDescent="0.2">
      <c r="A291" s="120"/>
      <c r="B291" s="64"/>
      <c r="C291" s="64"/>
      <c r="D291" s="64"/>
    </row>
    <row r="292" spans="1:4" x14ac:dyDescent="0.2">
      <c r="A292" s="120" t="s">
        <v>397</v>
      </c>
      <c r="B292" s="164">
        <f>B57</f>
        <v>0</v>
      </c>
      <c r="C292" s="164">
        <f>C57</f>
        <v>0</v>
      </c>
      <c r="D292" s="164">
        <f>D57</f>
        <v>0</v>
      </c>
    </row>
    <row r="293" spans="1:4" x14ac:dyDescent="0.2">
      <c r="A293" s="32"/>
      <c r="B293" s="64"/>
      <c r="C293" s="64"/>
      <c r="D293" s="64"/>
    </row>
    <row r="294" spans="1:4" x14ac:dyDescent="0.2">
      <c r="A294" s="120" t="s">
        <v>398</v>
      </c>
      <c r="B294" s="164">
        <f>B116</f>
        <v>0</v>
      </c>
      <c r="C294" s="164">
        <f>C116</f>
        <v>0</v>
      </c>
      <c r="D294" s="164">
        <f>D116</f>
        <v>0</v>
      </c>
    </row>
    <row r="295" spans="1:4" x14ac:dyDescent="0.2">
      <c r="A295" s="32"/>
      <c r="B295" s="64"/>
      <c r="C295" s="64"/>
      <c r="D295" s="64"/>
    </row>
    <row r="296" spans="1:4" x14ac:dyDescent="0.2">
      <c r="A296" s="120" t="s">
        <v>399</v>
      </c>
      <c r="B296" s="164">
        <f>B176</f>
        <v>0</v>
      </c>
      <c r="C296" s="164">
        <f>C176</f>
        <v>0</v>
      </c>
      <c r="D296" s="164">
        <f>D176</f>
        <v>0</v>
      </c>
    </row>
    <row r="297" spans="1:4" x14ac:dyDescent="0.2">
      <c r="A297" s="32"/>
      <c r="B297" s="64"/>
      <c r="C297" s="64"/>
      <c r="D297" s="64"/>
    </row>
    <row r="298" spans="1:4" x14ac:dyDescent="0.2">
      <c r="A298" s="120" t="s">
        <v>400</v>
      </c>
      <c r="B298" s="164">
        <f>B240</f>
        <v>0</v>
      </c>
      <c r="C298" s="164">
        <f>C240</f>
        <v>0</v>
      </c>
      <c r="D298" s="164">
        <f>D240</f>
        <v>0</v>
      </c>
    </row>
    <row r="299" spans="1:4" x14ac:dyDescent="0.2">
      <c r="A299" s="32"/>
      <c r="B299" s="64"/>
      <c r="C299" s="64"/>
      <c r="D299" s="64"/>
    </row>
    <row r="300" spans="1:4" ht="16.5" thickBot="1" x14ac:dyDescent="0.25">
      <c r="A300" s="120" t="s">
        <v>202</v>
      </c>
      <c r="B300" s="526">
        <f>SUM(B290:B299)</f>
        <v>0</v>
      </c>
      <c r="C300" s="526">
        <f>SUM(C290:C299)</f>
        <v>0</v>
      </c>
      <c r="D300" s="526">
        <f>SUM(D290:D299)</f>
        <v>0</v>
      </c>
    </row>
    <row r="301" spans="1:4" ht="16.5" thickTop="1" x14ac:dyDescent="0.2">
      <c r="A301" s="672" t="s">
        <v>201</v>
      </c>
      <c r="B301" s="672"/>
      <c r="C301" s="672"/>
      <c r="D301" s="672"/>
    </row>
    <row r="302" spans="1:4" x14ac:dyDescent="0.2">
      <c r="A302" s="618" t="s">
        <v>401</v>
      </c>
      <c r="B302" s="618"/>
      <c r="C302" s="618"/>
      <c r="D302" s="618"/>
    </row>
    <row r="303" spans="1:4" x14ac:dyDescent="0.2">
      <c r="B303" s="223"/>
      <c r="C303" s="223"/>
      <c r="D303" s="223"/>
    </row>
    <row r="304" spans="1:4" x14ac:dyDescent="0.2">
      <c r="B304" s="223"/>
      <c r="C304" s="223"/>
      <c r="D304" s="223"/>
    </row>
    <row r="305" spans="2:4" x14ac:dyDescent="0.2">
      <c r="B305" s="223"/>
      <c r="C305" s="223"/>
      <c r="D305" s="223"/>
    </row>
    <row r="306" spans="2:4" x14ac:dyDescent="0.2">
      <c r="B306" s="223"/>
      <c r="C306" s="223"/>
      <c r="D306" s="223"/>
    </row>
    <row r="307" spans="2:4" x14ac:dyDescent="0.2">
      <c r="B307" s="223"/>
      <c r="C307" s="223"/>
      <c r="D307" s="223"/>
    </row>
    <row r="308" spans="2:4" x14ac:dyDescent="0.2">
      <c r="B308" s="223"/>
      <c r="C308" s="223"/>
      <c r="D308" s="223"/>
    </row>
    <row r="309" spans="2:4" x14ac:dyDescent="0.2">
      <c r="B309" s="223"/>
      <c r="C309" s="223"/>
      <c r="D309" s="223"/>
    </row>
    <row r="310" spans="2:4" x14ac:dyDescent="0.2">
      <c r="B310" s="223"/>
      <c r="C310" s="223"/>
      <c r="D310" s="223"/>
    </row>
    <row r="311" spans="2:4" x14ac:dyDescent="0.2">
      <c r="B311" s="223"/>
      <c r="C311" s="223"/>
      <c r="D311" s="223"/>
    </row>
    <row r="312" spans="2:4" x14ac:dyDescent="0.2">
      <c r="B312" s="223"/>
      <c r="C312" s="223"/>
      <c r="D312" s="223"/>
    </row>
    <row r="313" spans="2:4" x14ac:dyDescent="0.2">
      <c r="B313" s="223"/>
      <c r="C313" s="223"/>
      <c r="D313" s="223"/>
    </row>
    <row r="314" spans="2:4" x14ac:dyDescent="0.2">
      <c r="B314" s="223"/>
      <c r="C314" s="223"/>
      <c r="D314" s="223"/>
    </row>
    <row r="315" spans="2:4" x14ac:dyDescent="0.2">
      <c r="B315" s="223"/>
      <c r="C315" s="223"/>
      <c r="D315" s="223"/>
    </row>
    <row r="316" spans="2:4" x14ac:dyDescent="0.2">
      <c r="B316" s="223"/>
      <c r="C316" s="223"/>
      <c r="D316" s="223"/>
    </row>
    <row r="317" spans="2:4" x14ac:dyDescent="0.2">
      <c r="B317" s="223"/>
      <c r="C317" s="223"/>
      <c r="D317" s="223"/>
    </row>
    <row r="318" spans="2:4" x14ac:dyDescent="0.2">
      <c r="B318" s="223"/>
      <c r="C318" s="223"/>
      <c r="D318" s="223"/>
    </row>
    <row r="319" spans="2:4" x14ac:dyDescent="0.2">
      <c r="B319" s="223"/>
      <c r="C319" s="223"/>
      <c r="D319" s="223"/>
    </row>
    <row r="320" spans="2:4" x14ac:dyDescent="0.2">
      <c r="B320" s="223"/>
      <c r="C320" s="223"/>
      <c r="D320" s="223"/>
    </row>
    <row r="321" spans="2:4" x14ac:dyDescent="0.2">
      <c r="B321" s="223"/>
      <c r="C321" s="223"/>
      <c r="D321" s="223"/>
    </row>
    <row r="322" spans="2:4" x14ac:dyDescent="0.2">
      <c r="B322" s="223"/>
      <c r="C322" s="223"/>
      <c r="D322" s="223"/>
    </row>
    <row r="323" spans="2:4" x14ac:dyDescent="0.2">
      <c r="B323" s="223"/>
      <c r="C323" s="223"/>
      <c r="D323" s="223"/>
    </row>
    <row r="324" spans="2:4" x14ac:dyDescent="0.2">
      <c r="B324" s="223"/>
      <c r="C324" s="223"/>
      <c r="D324" s="223"/>
    </row>
    <row r="325" spans="2:4" x14ac:dyDescent="0.2">
      <c r="B325" s="223"/>
      <c r="C325" s="223"/>
      <c r="D325" s="223"/>
    </row>
    <row r="326" spans="2:4" x14ac:dyDescent="0.2">
      <c r="B326" s="223"/>
      <c r="C326" s="223"/>
      <c r="D326" s="223"/>
    </row>
    <row r="327" spans="2:4" x14ac:dyDescent="0.2">
      <c r="B327" s="223"/>
      <c r="C327" s="223"/>
      <c r="D327" s="223"/>
    </row>
    <row r="328" spans="2:4" x14ac:dyDescent="0.2">
      <c r="B328" s="223"/>
      <c r="C328" s="223"/>
      <c r="D328" s="223"/>
    </row>
    <row r="329" spans="2:4" x14ac:dyDescent="0.2">
      <c r="B329" s="223"/>
      <c r="C329" s="223"/>
      <c r="D329" s="223"/>
    </row>
    <row r="330" spans="2:4" x14ac:dyDescent="0.2">
      <c r="B330" s="223"/>
      <c r="C330" s="223"/>
      <c r="D330" s="223"/>
    </row>
    <row r="331" spans="2:4" x14ac:dyDescent="0.2">
      <c r="B331" s="223"/>
      <c r="C331" s="223"/>
      <c r="D331" s="223"/>
    </row>
    <row r="332" spans="2:4" x14ac:dyDescent="0.2">
      <c r="B332" s="223"/>
      <c r="C332" s="223"/>
      <c r="D332" s="223"/>
    </row>
    <row r="333" spans="2:4" x14ac:dyDescent="0.2">
      <c r="B333" s="223"/>
      <c r="C333" s="223"/>
      <c r="D333" s="223"/>
    </row>
    <row r="334" spans="2:4" x14ac:dyDescent="0.2">
      <c r="B334" s="223"/>
      <c r="C334" s="223"/>
      <c r="D334" s="223"/>
    </row>
    <row r="335" spans="2:4" x14ac:dyDescent="0.2">
      <c r="B335" s="223"/>
      <c r="C335" s="223"/>
      <c r="D335" s="223"/>
    </row>
    <row r="336" spans="2:4" x14ac:dyDescent="0.2">
      <c r="B336" s="223"/>
      <c r="C336" s="223"/>
      <c r="D336" s="223"/>
    </row>
    <row r="337" spans="2:4" x14ac:dyDescent="0.2">
      <c r="B337" s="223"/>
      <c r="C337" s="223"/>
      <c r="D337" s="223"/>
    </row>
    <row r="338" spans="2:4" x14ac:dyDescent="0.2">
      <c r="B338" s="223"/>
      <c r="C338" s="223"/>
      <c r="D338" s="223"/>
    </row>
    <row r="339" spans="2:4" x14ac:dyDescent="0.2">
      <c r="B339" s="223"/>
      <c r="C339" s="223"/>
      <c r="D339" s="223"/>
    </row>
    <row r="340" spans="2:4" x14ac:dyDescent="0.2">
      <c r="B340" s="223"/>
      <c r="C340" s="223"/>
      <c r="D340" s="223"/>
    </row>
    <row r="341" spans="2:4" x14ac:dyDescent="0.2">
      <c r="B341" s="223"/>
      <c r="C341" s="223"/>
      <c r="D341" s="223"/>
    </row>
    <row r="342" spans="2:4" x14ac:dyDescent="0.2">
      <c r="B342" s="223"/>
      <c r="C342" s="223"/>
      <c r="D342" s="223"/>
    </row>
    <row r="343" spans="2:4" x14ac:dyDescent="0.2">
      <c r="B343" s="223"/>
      <c r="C343" s="223"/>
      <c r="D343" s="223"/>
    </row>
    <row r="344" spans="2:4" x14ac:dyDescent="0.2">
      <c r="B344" s="223"/>
      <c r="C344" s="223"/>
      <c r="D344" s="223"/>
    </row>
    <row r="345" spans="2:4" x14ac:dyDescent="0.2">
      <c r="B345" s="223"/>
      <c r="C345" s="223"/>
      <c r="D345" s="223"/>
    </row>
    <row r="346" spans="2:4" x14ac:dyDescent="0.2">
      <c r="B346" s="223"/>
      <c r="C346" s="223"/>
      <c r="D346" s="223"/>
    </row>
    <row r="347" spans="2:4" x14ac:dyDescent="0.2">
      <c r="B347" s="223"/>
      <c r="C347" s="223"/>
      <c r="D347" s="223"/>
    </row>
    <row r="348" spans="2:4" x14ac:dyDescent="0.2">
      <c r="B348" s="223"/>
      <c r="C348" s="223"/>
      <c r="D348" s="223"/>
    </row>
    <row r="349" spans="2:4" x14ac:dyDescent="0.2">
      <c r="B349" s="223"/>
      <c r="C349" s="223"/>
      <c r="D349" s="223"/>
    </row>
    <row r="350" spans="2:4" x14ac:dyDescent="0.2">
      <c r="B350" s="223"/>
      <c r="C350" s="223"/>
      <c r="D350" s="223"/>
    </row>
    <row r="351" spans="2:4" x14ac:dyDescent="0.2">
      <c r="B351" s="223"/>
      <c r="C351" s="223"/>
      <c r="D351" s="223"/>
    </row>
    <row r="352" spans="2:4" x14ac:dyDescent="0.2">
      <c r="B352" s="223"/>
      <c r="C352" s="223"/>
      <c r="D352" s="223"/>
    </row>
    <row r="353" spans="2:4" x14ac:dyDescent="0.2">
      <c r="B353" s="223"/>
      <c r="C353" s="223"/>
      <c r="D353" s="223"/>
    </row>
    <row r="354" spans="2:4" x14ac:dyDescent="0.2">
      <c r="B354" s="223"/>
      <c r="C354" s="223"/>
      <c r="D354" s="223"/>
    </row>
    <row r="355" spans="2:4" x14ac:dyDescent="0.2">
      <c r="B355" s="223"/>
      <c r="C355" s="223"/>
      <c r="D355" s="223"/>
    </row>
    <row r="356" spans="2:4" x14ac:dyDescent="0.2">
      <c r="B356" s="223"/>
      <c r="C356" s="223"/>
      <c r="D356" s="223"/>
    </row>
    <row r="357" spans="2:4" x14ac:dyDescent="0.2">
      <c r="B357" s="223"/>
      <c r="C357" s="223"/>
      <c r="D357" s="223"/>
    </row>
    <row r="358" spans="2:4" x14ac:dyDescent="0.2">
      <c r="B358" s="223"/>
      <c r="C358" s="223"/>
      <c r="D358" s="223"/>
    </row>
    <row r="359" spans="2:4" x14ac:dyDescent="0.2">
      <c r="B359" s="223"/>
      <c r="C359" s="223"/>
      <c r="D359" s="223"/>
    </row>
    <row r="360" spans="2:4" x14ac:dyDescent="0.2">
      <c r="B360" s="223"/>
      <c r="C360" s="223"/>
      <c r="D360" s="223"/>
    </row>
    <row r="361" spans="2:4" x14ac:dyDescent="0.2">
      <c r="B361" s="223"/>
      <c r="C361" s="223"/>
      <c r="D361" s="223"/>
    </row>
    <row r="362" spans="2:4" x14ac:dyDescent="0.2">
      <c r="B362" s="223"/>
      <c r="C362" s="223"/>
      <c r="D362" s="223"/>
    </row>
    <row r="363" spans="2:4" x14ac:dyDescent="0.2">
      <c r="B363" s="223"/>
      <c r="C363" s="223"/>
      <c r="D363" s="223"/>
    </row>
    <row r="364" spans="2:4" x14ac:dyDescent="0.2">
      <c r="B364" s="223"/>
      <c r="C364" s="223"/>
      <c r="D364" s="223"/>
    </row>
    <row r="365" spans="2:4" x14ac:dyDescent="0.2">
      <c r="B365" s="223"/>
      <c r="C365" s="223"/>
      <c r="D365" s="223"/>
    </row>
    <row r="366" spans="2:4" x14ac:dyDescent="0.2">
      <c r="B366" s="223"/>
      <c r="C366" s="223"/>
      <c r="D366" s="223"/>
    </row>
    <row r="367" spans="2:4" x14ac:dyDescent="0.2">
      <c r="B367" s="223"/>
      <c r="C367" s="223"/>
      <c r="D367" s="223"/>
    </row>
    <row r="368" spans="2:4" x14ac:dyDescent="0.2">
      <c r="B368" s="223"/>
      <c r="C368" s="223"/>
      <c r="D368" s="223"/>
    </row>
    <row r="369" spans="2:4" x14ac:dyDescent="0.2">
      <c r="B369" s="223"/>
      <c r="C369" s="223"/>
      <c r="D369" s="223"/>
    </row>
    <row r="370" spans="2:4" x14ac:dyDescent="0.2">
      <c r="B370" s="223"/>
      <c r="C370" s="223"/>
      <c r="D370" s="223"/>
    </row>
    <row r="371" spans="2:4" x14ac:dyDescent="0.2">
      <c r="B371" s="223"/>
      <c r="C371" s="223"/>
      <c r="D371" s="223"/>
    </row>
    <row r="372" spans="2:4" x14ac:dyDescent="0.2">
      <c r="B372" s="223"/>
      <c r="C372" s="223"/>
      <c r="D372" s="223"/>
    </row>
    <row r="373" spans="2:4" x14ac:dyDescent="0.2">
      <c r="B373" s="223"/>
      <c r="C373" s="223"/>
      <c r="D373" s="223"/>
    </row>
    <row r="374" spans="2:4" x14ac:dyDescent="0.2">
      <c r="B374" s="223"/>
      <c r="C374" s="223"/>
      <c r="D374" s="223"/>
    </row>
    <row r="375" spans="2:4" x14ac:dyDescent="0.2">
      <c r="B375" s="223"/>
      <c r="C375" s="223"/>
      <c r="D375" s="223"/>
    </row>
    <row r="376" spans="2:4" x14ac:dyDescent="0.2">
      <c r="B376" s="223"/>
      <c r="C376" s="223"/>
      <c r="D376" s="223"/>
    </row>
    <row r="377" spans="2:4" x14ac:dyDescent="0.2">
      <c r="B377" s="223"/>
      <c r="C377" s="223"/>
      <c r="D377" s="223"/>
    </row>
    <row r="378" spans="2:4" x14ac:dyDescent="0.2">
      <c r="B378" s="223"/>
      <c r="C378" s="223"/>
      <c r="D378" s="223"/>
    </row>
    <row r="379" spans="2:4" x14ac:dyDescent="0.2">
      <c r="B379" s="223"/>
      <c r="C379" s="223"/>
      <c r="D379" s="223"/>
    </row>
    <row r="380" spans="2:4" x14ac:dyDescent="0.2">
      <c r="B380" s="223"/>
      <c r="C380" s="223"/>
      <c r="D380" s="223"/>
    </row>
    <row r="381" spans="2:4" x14ac:dyDescent="0.2">
      <c r="B381" s="223"/>
      <c r="C381" s="223"/>
      <c r="D381" s="223"/>
    </row>
    <row r="382" spans="2:4" x14ac:dyDescent="0.2">
      <c r="B382" s="223"/>
      <c r="C382" s="223"/>
      <c r="D382" s="223"/>
    </row>
    <row r="383" spans="2:4" x14ac:dyDescent="0.2">
      <c r="B383" s="223"/>
      <c r="C383" s="223"/>
      <c r="D383" s="223"/>
    </row>
    <row r="384" spans="2:4" x14ac:dyDescent="0.2">
      <c r="B384" s="223"/>
      <c r="C384" s="223"/>
      <c r="D384" s="223"/>
    </row>
    <row r="385" spans="2:4" x14ac:dyDescent="0.2">
      <c r="B385" s="223"/>
      <c r="C385" s="223"/>
      <c r="D385" s="223"/>
    </row>
    <row r="386" spans="2:4" x14ac:dyDescent="0.2">
      <c r="B386" s="223"/>
      <c r="C386" s="223"/>
      <c r="D386" s="223"/>
    </row>
    <row r="387" spans="2:4" x14ac:dyDescent="0.2">
      <c r="B387" s="223"/>
      <c r="C387" s="223"/>
      <c r="D387" s="223"/>
    </row>
    <row r="388" spans="2:4" x14ac:dyDescent="0.2">
      <c r="B388" s="223"/>
      <c r="C388" s="223"/>
      <c r="D388" s="223"/>
    </row>
    <row r="389" spans="2:4" x14ac:dyDescent="0.2">
      <c r="B389" s="223"/>
      <c r="C389" s="223"/>
      <c r="D389" s="223"/>
    </row>
    <row r="390" spans="2:4" x14ac:dyDescent="0.2">
      <c r="B390" s="223"/>
      <c r="C390" s="223"/>
      <c r="D390" s="223"/>
    </row>
    <row r="391" spans="2:4" x14ac:dyDescent="0.2">
      <c r="B391" s="223"/>
      <c r="C391" s="223"/>
      <c r="D391" s="223"/>
    </row>
    <row r="392" spans="2:4" x14ac:dyDescent="0.2">
      <c r="B392" s="223"/>
      <c r="C392" s="223"/>
      <c r="D392" s="223"/>
    </row>
    <row r="393" spans="2:4" x14ac:dyDescent="0.2">
      <c r="B393" s="223"/>
      <c r="C393" s="223"/>
      <c r="D393" s="223"/>
    </row>
    <row r="394" spans="2:4" x14ac:dyDescent="0.2">
      <c r="B394" s="223"/>
      <c r="C394" s="223"/>
      <c r="D394" s="223"/>
    </row>
    <row r="395" spans="2:4" x14ac:dyDescent="0.2">
      <c r="B395" s="223"/>
      <c r="C395" s="223"/>
      <c r="D395" s="223"/>
    </row>
    <row r="396" spans="2:4" x14ac:dyDescent="0.2">
      <c r="B396" s="223"/>
      <c r="C396" s="223"/>
      <c r="D396" s="223"/>
    </row>
    <row r="397" spans="2:4" x14ac:dyDescent="0.2">
      <c r="B397" s="223"/>
      <c r="C397" s="223"/>
      <c r="D397" s="223"/>
    </row>
    <row r="398" spans="2:4" x14ac:dyDescent="0.2">
      <c r="B398" s="223"/>
      <c r="C398" s="223"/>
      <c r="D398" s="223"/>
    </row>
    <row r="399" spans="2:4" x14ac:dyDescent="0.2">
      <c r="B399" s="223"/>
      <c r="C399" s="223"/>
      <c r="D399" s="223"/>
    </row>
    <row r="400" spans="2:4" x14ac:dyDescent="0.2">
      <c r="B400" s="223"/>
      <c r="C400" s="223"/>
      <c r="D400" s="223"/>
    </row>
    <row r="401" spans="2:4" x14ac:dyDescent="0.2">
      <c r="B401" s="223"/>
      <c r="C401" s="223"/>
      <c r="D401" s="223"/>
    </row>
    <row r="402" spans="2:4" x14ac:dyDescent="0.2">
      <c r="B402" s="223"/>
      <c r="C402" s="223"/>
      <c r="D402" s="223"/>
    </row>
    <row r="403" spans="2:4" x14ac:dyDescent="0.2">
      <c r="B403" s="223"/>
      <c r="C403" s="223"/>
      <c r="D403" s="223"/>
    </row>
    <row r="404" spans="2:4" x14ac:dyDescent="0.2">
      <c r="B404" s="223"/>
      <c r="C404" s="223"/>
      <c r="D404" s="223"/>
    </row>
    <row r="405" spans="2:4" x14ac:dyDescent="0.2">
      <c r="B405" s="223"/>
      <c r="C405" s="223"/>
      <c r="D405" s="223"/>
    </row>
  </sheetData>
  <sheetProtection sheet="1" objects="1" scenarios="1"/>
  <mergeCells count="6">
    <mergeCell ref="A302:D302"/>
    <mergeCell ref="A59:D59"/>
    <mergeCell ref="A118:D118"/>
    <mergeCell ref="A178:D178"/>
    <mergeCell ref="A242:D242"/>
    <mergeCell ref="A301:D301"/>
  </mergeCells>
  <phoneticPr fontId="0" type="noConversion"/>
  <pageMargins left="1.1200000000000001" right="0.5" top="0.74" bottom="0.34" header="0.5" footer="0"/>
  <pageSetup scale="67" orientation="portrait" blackAndWhite="1" horizontalDpi="120" verticalDpi="144" r:id="rId1"/>
  <headerFooter alignWithMargins="0">
    <oddHeader xml:space="preserve">&amp;RState of Kansas
County
</oddHeader>
  </headerFooter>
  <rowBreaks count="4" manualBreakCount="4">
    <brk id="59" max="16383" man="1"/>
    <brk id="118" max="3" man="1"/>
    <brk id="178" max="16383" man="1"/>
    <brk id="2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4">
    <tabColor rgb="FF00B0F0"/>
    <pageSetUpPr fitToPage="1"/>
  </sheetPr>
  <dimension ref="B1:K74"/>
  <sheetViews>
    <sheetView workbookViewId="0">
      <selection activeCell="B1" sqref="B1"/>
    </sheetView>
  </sheetViews>
  <sheetFormatPr defaultRowHeight="15.75" x14ac:dyDescent="0.2"/>
  <cols>
    <col min="1" max="1" width="2.44140625" style="72" customWidth="1"/>
    <col min="2" max="2" width="31.109375" style="72" customWidth="1"/>
    <col min="3" max="4" width="15.77734375" style="72" customWidth="1"/>
    <col min="5" max="5" width="16.44140625" style="72" customWidth="1"/>
    <col min="6" max="6" width="7.5546875" style="72" customWidth="1"/>
    <col min="7" max="7" width="9.109375" style="72" customWidth="1"/>
    <col min="8" max="8" width="8.88671875" style="72"/>
    <col min="9" max="9" width="6.88671875" style="72" customWidth="1"/>
    <col min="10" max="16384" width="8.88671875" style="72"/>
  </cols>
  <sheetData>
    <row r="1" spans="2:5" x14ac:dyDescent="0.2">
      <c r="B1" s="73">
        <f>inputPrYr!C3</f>
        <v>0</v>
      </c>
      <c r="C1" s="32"/>
      <c r="D1" s="32"/>
      <c r="E1" s="153">
        <f>inputPrYr!$C$5</f>
        <v>2025</v>
      </c>
    </row>
    <row r="2" spans="2:5" x14ac:dyDescent="0.2">
      <c r="B2" s="133"/>
      <c r="C2" s="208"/>
      <c r="D2" s="208"/>
      <c r="E2" s="209"/>
    </row>
    <row r="3" spans="2:5" x14ac:dyDescent="0.2">
      <c r="B3" s="302" t="s">
        <v>138</v>
      </c>
      <c r="C3" s="91"/>
      <c r="D3" s="91"/>
      <c r="E3" s="91"/>
    </row>
    <row r="4" spans="2:5" x14ac:dyDescent="0.2">
      <c r="B4" s="31" t="s">
        <v>30</v>
      </c>
      <c r="C4" s="353" t="s">
        <v>346</v>
      </c>
      <c r="D4" s="354" t="s">
        <v>347</v>
      </c>
      <c r="E4" s="95" t="s">
        <v>348</v>
      </c>
    </row>
    <row r="5" spans="2:5" x14ac:dyDescent="0.2">
      <c r="B5" s="296" t="str">
        <f>inputPrYr!B18</f>
        <v>Debt Service</v>
      </c>
      <c r="C5" s="160" t="str">
        <f>CONCATENATE("Actual for ",E1-2,"")</f>
        <v>Actual for 2023</v>
      </c>
      <c r="D5" s="160" t="str">
        <f>CONCATENATE("Estimate for ",E1-1,"")</f>
        <v>Estimate for 2024</v>
      </c>
      <c r="E5" s="190" t="str">
        <f>CONCATENATE("Year for ",E1,"")</f>
        <v>Year for 2025</v>
      </c>
    </row>
    <row r="6" spans="2:5" x14ac:dyDescent="0.2">
      <c r="B6" s="98" t="s">
        <v>148</v>
      </c>
      <c r="C6" s="298"/>
      <c r="D6" s="284">
        <f>C53</f>
        <v>0</v>
      </c>
      <c r="E6" s="210">
        <f>D53</f>
        <v>0</v>
      </c>
    </row>
    <row r="7" spans="2:5" x14ac:dyDescent="0.2">
      <c r="B7" s="116" t="s">
        <v>150</v>
      </c>
      <c r="C7" s="299"/>
      <c r="D7" s="284"/>
      <c r="E7" s="210"/>
    </row>
    <row r="8" spans="2:5" x14ac:dyDescent="0.2">
      <c r="B8" s="98" t="s">
        <v>31</v>
      </c>
      <c r="C8" s="300"/>
      <c r="D8" s="299">
        <f>IF(inputPrYr!H17&gt;0,inputPrYr!H17,inputPrYr!E18)</f>
        <v>0</v>
      </c>
      <c r="E8" s="212" t="s">
        <v>16</v>
      </c>
    </row>
    <row r="9" spans="2:5" x14ac:dyDescent="0.2">
      <c r="B9" s="98" t="s">
        <v>32</v>
      </c>
      <c r="C9" s="300"/>
      <c r="D9" s="300"/>
      <c r="E9" s="213"/>
    </row>
    <row r="10" spans="2:5" x14ac:dyDescent="0.2">
      <c r="B10" s="98" t="s">
        <v>33</v>
      </c>
      <c r="C10" s="300"/>
      <c r="D10" s="300"/>
      <c r="E10" s="214" t="str">
        <f>Mvalloc!D9</f>
        <v xml:space="preserve"> </v>
      </c>
    </row>
    <row r="11" spans="2:5" x14ac:dyDescent="0.2">
      <c r="B11" s="98" t="s">
        <v>34</v>
      </c>
      <c r="C11" s="300"/>
      <c r="D11" s="300"/>
      <c r="E11" s="214" t="str">
        <f>Mvalloc!E9</f>
        <v xml:space="preserve"> </v>
      </c>
    </row>
    <row r="12" spans="2:5" x14ac:dyDescent="0.2">
      <c r="B12" s="191" t="s">
        <v>143</v>
      </c>
      <c r="C12" s="300"/>
      <c r="D12" s="300"/>
      <c r="E12" s="214" t="str">
        <f>Mvalloc!F9</f>
        <v xml:space="preserve"> </v>
      </c>
    </row>
    <row r="13" spans="2:5" x14ac:dyDescent="0.2">
      <c r="B13" s="191" t="s">
        <v>374</v>
      </c>
      <c r="C13" s="300"/>
      <c r="D13" s="300"/>
      <c r="E13" s="214" t="str">
        <f>Mvalloc!G9</f>
        <v xml:space="preserve"> </v>
      </c>
    </row>
    <row r="14" spans="2:5" x14ac:dyDescent="0.2">
      <c r="B14" s="191" t="s">
        <v>375</v>
      </c>
      <c r="C14" s="300"/>
      <c r="D14" s="300"/>
      <c r="E14" s="214" t="str">
        <f>Mvalloc!H9</f>
        <v xml:space="preserve"> </v>
      </c>
    </row>
    <row r="15" spans="2:5" x14ac:dyDescent="0.2">
      <c r="B15" s="195"/>
      <c r="C15" s="300"/>
      <c r="D15" s="300"/>
      <c r="E15" s="213"/>
    </row>
    <row r="16" spans="2:5" x14ac:dyDescent="0.2">
      <c r="B16" s="195"/>
      <c r="C16" s="300"/>
      <c r="D16" s="300"/>
      <c r="E16" s="215"/>
    </row>
    <row r="17" spans="2:10" x14ac:dyDescent="0.2">
      <c r="B17" s="195"/>
      <c r="C17" s="300"/>
      <c r="D17" s="300"/>
      <c r="E17" s="213"/>
    </row>
    <row r="18" spans="2:10" x14ac:dyDescent="0.2">
      <c r="B18" s="195"/>
      <c r="C18" s="300"/>
      <c r="D18" s="300"/>
      <c r="E18" s="213"/>
    </row>
    <row r="19" spans="2:10" x14ac:dyDescent="0.2">
      <c r="B19" s="195"/>
      <c r="C19" s="300"/>
      <c r="D19" s="300"/>
      <c r="E19" s="213"/>
    </row>
    <row r="20" spans="2:10" x14ac:dyDescent="0.2">
      <c r="B20" s="195"/>
      <c r="C20" s="300"/>
      <c r="D20" s="300"/>
      <c r="E20" s="213"/>
    </row>
    <row r="21" spans="2:10" x14ac:dyDescent="0.2">
      <c r="B21" s="195"/>
      <c r="C21" s="300"/>
      <c r="D21" s="300"/>
      <c r="E21" s="213"/>
    </row>
    <row r="22" spans="2:10" x14ac:dyDescent="0.2">
      <c r="B22" s="195"/>
      <c r="C22" s="300"/>
      <c r="D22" s="300"/>
      <c r="E22" s="213"/>
    </row>
    <row r="23" spans="2:10" x14ac:dyDescent="0.2">
      <c r="B23" s="195"/>
      <c r="C23" s="300"/>
      <c r="D23" s="300"/>
      <c r="E23" s="213"/>
    </row>
    <row r="24" spans="2:10" x14ac:dyDescent="0.2">
      <c r="B24" s="195" t="s">
        <v>174</v>
      </c>
      <c r="C24" s="300"/>
      <c r="D24" s="300"/>
      <c r="E24" s="213"/>
    </row>
    <row r="25" spans="2:10" x14ac:dyDescent="0.2">
      <c r="B25" s="216" t="s">
        <v>38</v>
      </c>
      <c r="C25" s="300"/>
      <c r="D25" s="300"/>
      <c r="E25" s="213"/>
    </row>
    <row r="26" spans="2:10" x14ac:dyDescent="0.2">
      <c r="B26" s="196" t="s">
        <v>218</v>
      </c>
      <c r="C26" s="300"/>
      <c r="D26" s="300"/>
      <c r="E26" s="218">
        <f>'NR Rebate'!E7*-1</f>
        <v>0</v>
      </c>
      <c r="G26" s="655" t="str">
        <f>CONCATENATE("Desired Carryover Into ",E1+1,"")</f>
        <v>Desired Carryover Into 2026</v>
      </c>
      <c r="H26" s="656"/>
      <c r="I26" s="656"/>
      <c r="J26" s="657"/>
    </row>
    <row r="27" spans="2:10" x14ac:dyDescent="0.2">
      <c r="B27" s="196" t="s">
        <v>219</v>
      </c>
      <c r="C27" s="300"/>
      <c r="D27" s="300"/>
      <c r="E27" s="213"/>
      <c r="G27" s="357"/>
      <c r="H27" s="358"/>
      <c r="I27" s="359"/>
      <c r="J27" s="360"/>
    </row>
    <row r="28" spans="2:10" x14ac:dyDescent="0.2">
      <c r="B28" s="196" t="s">
        <v>317</v>
      </c>
      <c r="C28" s="281" t="str">
        <f>IF(C29*0.1&lt;C27,"Exceed 10% Rule","")</f>
        <v/>
      </c>
      <c r="D28" s="281" t="str">
        <f>IF(D29*0.1&lt;D27,"Exceed 10% Rule","")</f>
        <v/>
      </c>
      <c r="E28" s="217" t="str">
        <f>IF(E29*0.1+E59&lt;E27,"Exceed 10% Rule","")</f>
        <v/>
      </c>
      <c r="G28" s="361" t="s">
        <v>327</v>
      </c>
      <c r="H28" s="359"/>
      <c r="I28" s="359"/>
      <c r="J28" s="362">
        <v>0</v>
      </c>
    </row>
    <row r="29" spans="2:10" x14ac:dyDescent="0.2">
      <c r="B29" s="198" t="s">
        <v>39</v>
      </c>
      <c r="C29" s="229">
        <f>SUM(C8:C27)</f>
        <v>0</v>
      </c>
      <c r="D29" s="229">
        <f>SUM(D8:D27)</f>
        <v>0</v>
      </c>
      <c r="E29" s="229">
        <f>SUM(E8:E27)</f>
        <v>0</v>
      </c>
      <c r="G29" s="357" t="s">
        <v>328</v>
      </c>
      <c r="H29" s="358"/>
      <c r="I29" s="358"/>
      <c r="J29" s="363" t="str">
        <f>IF(J28=0,"",ROUND((J28+E59-G41)/inputOth!E5*1000,3)-G46)</f>
        <v/>
      </c>
    </row>
    <row r="30" spans="2:10" x14ac:dyDescent="0.2">
      <c r="B30" s="198" t="s">
        <v>40</v>
      </c>
      <c r="C30" s="229">
        <f>C6+C29</f>
        <v>0</v>
      </c>
      <c r="D30" s="229">
        <f>D6+D29</f>
        <v>0</v>
      </c>
      <c r="E30" s="229">
        <f>E6+E29</f>
        <v>0</v>
      </c>
      <c r="G30" s="364" t="str">
        <f>CONCATENATE("",E1," Tot Exp/Non-Appr Must Be:")</f>
        <v>2025 Tot Exp/Non-Appr Must Be:</v>
      </c>
      <c r="H30" s="365"/>
      <c r="I30" s="366"/>
      <c r="J30" s="367">
        <f>IF(J28&gt;0,IF(E56&lt;E30,IF(J28=G41,E56,((J28-G41)*(1-D59))+E30),E56+(J28-G41)),0)</f>
        <v>0</v>
      </c>
    </row>
    <row r="31" spans="2:10" x14ac:dyDescent="0.2">
      <c r="B31" s="116" t="s">
        <v>43</v>
      </c>
      <c r="C31" s="299"/>
      <c r="D31" s="299"/>
      <c r="E31" s="214"/>
      <c r="G31" s="368" t="s">
        <v>349</v>
      </c>
      <c r="H31" s="369"/>
      <c r="I31" s="369"/>
      <c r="J31" s="370">
        <f>IF(J28&gt;0,J30-E56,0)</f>
        <v>0</v>
      </c>
    </row>
    <row r="32" spans="2:10" x14ac:dyDescent="0.2">
      <c r="B32" s="205"/>
      <c r="C32" s="300"/>
      <c r="D32" s="300"/>
      <c r="E32" s="213"/>
    </row>
    <row r="33" spans="2:11" x14ac:dyDescent="0.2">
      <c r="B33" s="205"/>
      <c r="C33" s="300"/>
      <c r="D33" s="300"/>
      <c r="E33" s="213"/>
      <c r="G33" s="646" t="str">
        <f>CONCATENATE("Projected Carryover Into ",E1+1,"")</f>
        <v>Projected Carryover Into 2026</v>
      </c>
      <c r="H33" s="656"/>
      <c r="I33" s="656"/>
      <c r="J33" s="657"/>
    </row>
    <row r="34" spans="2:11" x14ac:dyDescent="0.2">
      <c r="B34" s="205"/>
      <c r="C34" s="300"/>
      <c r="D34" s="300"/>
      <c r="E34" s="213"/>
      <c r="G34" s="319"/>
      <c r="H34" s="312"/>
      <c r="I34" s="312"/>
      <c r="J34" s="114"/>
    </row>
    <row r="35" spans="2:11" x14ac:dyDescent="0.2">
      <c r="B35" s="205"/>
      <c r="C35" s="300"/>
      <c r="D35" s="300"/>
      <c r="E35" s="213"/>
      <c r="G35" s="309">
        <f>D53</f>
        <v>0</v>
      </c>
      <c r="H35" s="310" t="str">
        <f>CONCATENATE("",E1-1," Ending Cash Balance (est.)")</f>
        <v>2024 Ending Cash Balance (est.)</v>
      </c>
      <c r="I35" s="311"/>
      <c r="J35" s="392"/>
    </row>
    <row r="36" spans="2:11" x14ac:dyDescent="0.2">
      <c r="B36" s="205"/>
      <c r="C36" s="300"/>
      <c r="D36" s="300"/>
      <c r="E36" s="213"/>
      <c r="G36" s="309">
        <f>E29</f>
        <v>0</v>
      </c>
      <c r="H36" s="312" t="str">
        <f>CONCATENATE("",E1," Non-AV Receipts (est.)")</f>
        <v>2025 Non-AV Receipts (est.)</v>
      </c>
      <c r="I36" s="312"/>
      <c r="J36" s="114"/>
    </row>
    <row r="37" spans="2:11" x14ac:dyDescent="0.2">
      <c r="B37" s="205"/>
      <c r="C37" s="300"/>
      <c r="D37" s="300"/>
      <c r="E37" s="213"/>
      <c r="G37" s="313">
        <f>IF(E58&gt;0,E57,E59)</f>
        <v>0</v>
      </c>
      <c r="H37" s="312" t="str">
        <f>CONCATENATE("",E1," Ad Valorem Tax (est.)")</f>
        <v>2025 Ad Valorem Tax (est.)</v>
      </c>
      <c r="I37" s="312"/>
      <c r="J37" s="114"/>
      <c r="K37" s="394" t="str">
        <f>IF(G37=E59,"","Note: Does not include Delinquent Taxes")</f>
        <v/>
      </c>
    </row>
    <row r="38" spans="2:11" x14ac:dyDescent="0.2">
      <c r="B38" s="205"/>
      <c r="C38" s="300"/>
      <c r="D38" s="300"/>
      <c r="E38" s="213"/>
      <c r="G38" s="309">
        <f>SUM(G35:G37)</f>
        <v>0</v>
      </c>
      <c r="H38" s="312" t="str">
        <f>CONCATENATE("Total ",E1," Resources Available")</f>
        <v>Total 2025 Resources Available</v>
      </c>
      <c r="I38" s="311"/>
      <c r="J38" s="392"/>
    </row>
    <row r="39" spans="2:11" x14ac:dyDescent="0.2">
      <c r="B39" s="205"/>
      <c r="C39" s="300"/>
      <c r="D39" s="300"/>
      <c r="E39" s="213"/>
      <c r="G39" s="314"/>
      <c r="H39" s="312"/>
      <c r="I39" s="312"/>
      <c r="J39" s="114"/>
    </row>
    <row r="40" spans="2:11" x14ac:dyDescent="0.2">
      <c r="B40" s="205"/>
      <c r="C40" s="300"/>
      <c r="D40" s="300"/>
      <c r="E40" s="213"/>
      <c r="G40" s="313">
        <f>C52</f>
        <v>0</v>
      </c>
      <c r="H40" s="312" t="str">
        <f>CONCATENATE("Less ",E1-2," Expenditures")</f>
        <v>Less 2023 Expenditures</v>
      </c>
      <c r="I40" s="312"/>
      <c r="J40" s="114"/>
    </row>
    <row r="41" spans="2:11" x14ac:dyDescent="0.2">
      <c r="B41" s="205"/>
      <c r="C41" s="300"/>
      <c r="D41" s="300"/>
      <c r="E41" s="213"/>
      <c r="G41" s="398">
        <f>G38-G40</f>
        <v>0</v>
      </c>
      <c r="H41" s="320" t="str">
        <f>CONCATENATE("Projected ",E1+1," carryover (est.)")</f>
        <v>Projected 2026 carryover (est.)</v>
      </c>
      <c r="I41" s="316"/>
      <c r="J41" s="399"/>
    </row>
    <row r="42" spans="2:11" x14ac:dyDescent="0.2">
      <c r="B42" s="205"/>
      <c r="C42" s="300"/>
      <c r="D42" s="300"/>
      <c r="E42" s="213"/>
    </row>
    <row r="43" spans="2:11" x14ac:dyDescent="0.2">
      <c r="B43" s="205"/>
      <c r="C43" s="300"/>
      <c r="D43" s="300"/>
      <c r="E43" s="213"/>
      <c r="G43" s="658" t="s">
        <v>569</v>
      </c>
      <c r="H43" s="659"/>
      <c r="I43" s="659"/>
      <c r="J43" s="660"/>
    </row>
    <row r="44" spans="2:11" x14ac:dyDescent="0.2">
      <c r="B44" s="205"/>
      <c r="C44" s="300"/>
      <c r="D44" s="300"/>
      <c r="E44" s="213"/>
      <c r="G44" s="661"/>
      <c r="H44" s="662"/>
      <c r="I44" s="662"/>
      <c r="J44" s="663"/>
    </row>
    <row r="45" spans="2:11" x14ac:dyDescent="0.2">
      <c r="B45" s="205"/>
      <c r="C45" s="300"/>
      <c r="D45" s="300"/>
      <c r="E45" s="213"/>
      <c r="G45" s="534" t="str">
        <f>'Budget Hearing Notice'!H17</f>
        <v xml:space="preserve">  </v>
      </c>
      <c r="H45" s="374" t="str">
        <f>CONCATENATE("",E1," Estimated Fund Mill Rate")</f>
        <v>2025 Estimated Fund Mill Rate</v>
      </c>
      <c r="I45" s="535"/>
      <c r="J45" s="536"/>
    </row>
    <row r="46" spans="2:11" x14ac:dyDescent="0.2">
      <c r="B46" s="205"/>
      <c r="C46" s="300"/>
      <c r="D46" s="300"/>
      <c r="E46" s="213"/>
      <c r="G46" s="537" t="str">
        <f>'Budget Hearing Notice'!E17</f>
        <v xml:space="preserve">  </v>
      </c>
      <c r="H46" s="374" t="str">
        <f>CONCATENATE("",E1-1," Fund Mill Rate")</f>
        <v>2024 Fund Mill Rate</v>
      </c>
      <c r="I46" s="535"/>
      <c r="J46" s="536"/>
    </row>
    <row r="47" spans="2:11" x14ac:dyDescent="0.2">
      <c r="B47" s="205"/>
      <c r="C47" s="300"/>
      <c r="D47" s="300"/>
      <c r="E47" s="213"/>
      <c r="G47" s="538">
        <f>'Budget Hearing Notice'!H53</f>
        <v>0</v>
      </c>
      <c r="H47" s="539" t="s">
        <v>570</v>
      </c>
      <c r="I47" s="535"/>
      <c r="J47" s="536"/>
    </row>
    <row r="48" spans="2:11" x14ac:dyDescent="0.2">
      <c r="B48" s="205"/>
      <c r="C48" s="300"/>
      <c r="D48" s="300"/>
      <c r="E48" s="213"/>
      <c r="G48" s="534">
        <f>'Budget Hearing Notice'!H52</f>
        <v>0</v>
      </c>
      <c r="H48" s="374" t="str">
        <f>CONCATENATE(E1," Estimated Total Mill Rate")</f>
        <v>2025 Estimated Total Mill Rate</v>
      </c>
      <c r="I48" s="535"/>
      <c r="J48" s="536"/>
    </row>
    <row r="49" spans="2:10" x14ac:dyDescent="0.2">
      <c r="B49" s="196" t="str">
        <f>CONCATENATE("Cash Reserve (",E1," column)")</f>
        <v>Cash Reserve (2025 column)</v>
      </c>
      <c r="C49" s="300"/>
      <c r="D49" s="300"/>
      <c r="E49" s="213"/>
      <c r="G49" s="540">
        <f>'Budget Hearing Notice'!E52</f>
        <v>0</v>
      </c>
      <c r="H49" s="374" t="str">
        <f>CONCATENATE(E1-1," Total Mill Rate")</f>
        <v>2024 Total Mill Rate</v>
      </c>
      <c r="I49" s="535"/>
      <c r="J49" s="536"/>
    </row>
    <row r="50" spans="2:10" x14ac:dyDescent="0.2">
      <c r="B50" s="196" t="s">
        <v>219</v>
      </c>
      <c r="C50" s="300"/>
      <c r="D50" s="300"/>
      <c r="E50" s="213"/>
      <c r="G50" s="382"/>
      <c r="H50" s="358"/>
      <c r="I50" s="358"/>
      <c r="J50" s="385"/>
    </row>
    <row r="51" spans="2:10" x14ac:dyDescent="0.2">
      <c r="B51" s="196" t="s">
        <v>318</v>
      </c>
      <c r="C51" s="281" t="str">
        <f>IF(C52*0.1&lt;C50,"Exceed 10% Rule","")</f>
        <v/>
      </c>
      <c r="D51" s="281" t="str">
        <f>IF(D52*0.1&lt;D50,"Exceed 10% Rule","")</f>
        <v/>
      </c>
      <c r="E51" s="217" t="str">
        <f>IF(E52*0.1&lt;E50,"Exceed 10% Rule","")</f>
        <v/>
      </c>
      <c r="G51" s="664" t="s">
        <v>571</v>
      </c>
      <c r="H51" s="665"/>
      <c r="I51" s="665"/>
      <c r="J51" s="668" t="str">
        <f>IF(G48&gt;G47, "Yes", "No")</f>
        <v>No</v>
      </c>
    </row>
    <row r="52" spans="2:10" x14ac:dyDescent="0.2">
      <c r="B52" s="198" t="s">
        <v>44</v>
      </c>
      <c r="C52" s="229">
        <f>SUM(C32:C50)</f>
        <v>0</v>
      </c>
      <c r="D52" s="229">
        <f>SUM(D32:D50)</f>
        <v>0</v>
      </c>
      <c r="E52" s="229">
        <f>SUM(E32:E50)</f>
        <v>0</v>
      </c>
      <c r="G52" s="666"/>
      <c r="H52" s="667"/>
      <c r="I52" s="667"/>
      <c r="J52" s="669"/>
    </row>
    <row r="53" spans="2:10" x14ac:dyDescent="0.2">
      <c r="B53" s="98" t="s">
        <v>149</v>
      </c>
      <c r="C53" s="164">
        <f>C30-C52</f>
        <v>0</v>
      </c>
      <c r="D53" s="164">
        <f>D30-D52</f>
        <v>0</v>
      </c>
      <c r="E53" s="212" t="s">
        <v>16</v>
      </c>
      <c r="G53" s="670" t="str">
        <f>IF(J51="Yes", "Follow procedure prescribed by KSA 79-2988 to exceed the Revenue Neutral Rate.", " ")</f>
        <v xml:space="preserve"> </v>
      </c>
      <c r="H53" s="670"/>
      <c r="I53" s="670"/>
      <c r="J53" s="670"/>
    </row>
    <row r="54" spans="2:10" x14ac:dyDescent="0.2">
      <c r="B54" s="120" t="str">
        <f>CONCATENATE("",E1-2,"/",E1-1,"/",E1," Budget Authority Amount:")</f>
        <v>2023/2024/2025 Budget Authority Amount:</v>
      </c>
      <c r="C54" s="214">
        <f>inputOth!B33</f>
        <v>0</v>
      </c>
      <c r="D54" s="214">
        <f>inputPrYr!D18</f>
        <v>0</v>
      </c>
      <c r="E54" s="164">
        <f>E52</f>
        <v>0</v>
      </c>
      <c r="F54" s="206"/>
      <c r="G54" s="671"/>
      <c r="H54" s="671"/>
      <c r="I54" s="671"/>
      <c r="J54" s="671"/>
    </row>
    <row r="55" spans="2:10" x14ac:dyDescent="0.2">
      <c r="B55" s="182"/>
      <c r="C55" s="651" t="s">
        <v>319</v>
      </c>
      <c r="D55" s="652"/>
      <c r="E55" s="51"/>
      <c r="F55" s="303" t="str">
        <f>IF(E52/0.95-E52&lt;E55,"Exceeds 5%","")</f>
        <v/>
      </c>
      <c r="G55" s="671"/>
      <c r="H55" s="671"/>
      <c r="I55" s="671"/>
      <c r="J55" s="671"/>
    </row>
    <row r="56" spans="2:10" x14ac:dyDescent="0.2">
      <c r="B56" s="304" t="str">
        <f>CONCATENATE(C73,"     ",D73)</f>
        <v xml:space="preserve">     </v>
      </c>
      <c r="C56" s="653" t="s">
        <v>320</v>
      </c>
      <c r="D56" s="654"/>
      <c r="E56" s="164">
        <f>E52+E55</f>
        <v>0</v>
      </c>
    </row>
    <row r="57" spans="2:10" x14ac:dyDescent="0.2">
      <c r="B57" s="304" t="str">
        <f>CONCATENATE(C74,"     ",D74)</f>
        <v xml:space="preserve">     </v>
      </c>
      <c r="C57" s="207"/>
      <c r="D57" s="63" t="s">
        <v>45</v>
      </c>
      <c r="E57" s="164">
        <f>IF(E56-E30&gt;0,E56-E30,0)</f>
        <v>0</v>
      </c>
    </row>
    <row r="58" spans="2:10" x14ac:dyDescent="0.2">
      <c r="B58" s="63"/>
      <c r="C58" s="293" t="s">
        <v>321</v>
      </c>
      <c r="D58" s="396">
        <f>inputOth!$E$25</f>
        <v>0</v>
      </c>
      <c r="E58" s="164">
        <f>ROUND(IF(D58&gt;0,(E57*D58),0),0)</f>
        <v>0</v>
      </c>
    </row>
    <row r="59" spans="2:10" x14ac:dyDescent="0.2">
      <c r="B59" s="32"/>
      <c r="C59" s="649" t="str">
        <f>CONCATENATE("Amount of  ",$E$1-1," Ad Valorem Tax")</f>
        <v>Amount of  2024 Ad Valorem Tax</v>
      </c>
      <c r="D59" s="650"/>
      <c r="E59" s="164">
        <f>E57+E58</f>
        <v>0</v>
      </c>
    </row>
    <row r="60" spans="2:10" x14ac:dyDescent="0.2">
      <c r="B60" s="32"/>
      <c r="C60" s="182"/>
      <c r="D60" s="182"/>
      <c r="E60" s="182"/>
    </row>
    <row r="61" spans="2:10" x14ac:dyDescent="0.2">
      <c r="B61" s="446" t="s">
        <v>380</v>
      </c>
      <c r="C61" s="456"/>
      <c r="D61" s="456"/>
      <c r="E61" s="457"/>
    </row>
    <row r="62" spans="2:10" x14ac:dyDescent="0.2">
      <c r="B62" s="183"/>
      <c r="C62" s="182"/>
      <c r="D62" s="182"/>
      <c r="E62" s="458"/>
    </row>
    <row r="63" spans="2:10" x14ac:dyDescent="0.2">
      <c r="B63" s="459"/>
      <c r="C63" s="53"/>
      <c r="D63" s="53"/>
      <c r="E63" s="60"/>
    </row>
    <row r="64" spans="2:10" x14ac:dyDescent="0.2">
      <c r="B64" s="182" t="s">
        <v>96</v>
      </c>
      <c r="C64" s="428"/>
      <c r="D64" s="32"/>
      <c r="E64" s="32"/>
    </row>
    <row r="70" spans="3:4" hidden="1" x14ac:dyDescent="0.2"/>
    <row r="71" spans="3:4" hidden="1" x14ac:dyDescent="0.2"/>
    <row r="73" spans="3:4" x14ac:dyDescent="0.2">
      <c r="C73" s="72" t="str">
        <f>IF(C52&gt;C54,"See Tab A","")</f>
        <v/>
      </c>
      <c r="D73" s="72" t="str">
        <f>IF(D52&gt;D54,"See Tab C","")</f>
        <v/>
      </c>
    </row>
    <row r="74" spans="3:4" x14ac:dyDescent="0.2">
      <c r="C74" s="72" t="str">
        <f>IF(C53&lt;0,"See Tab B","")</f>
        <v/>
      </c>
      <c r="D74" s="72" t="str">
        <f>IF(D53&lt;0,"See Tab D","")</f>
        <v/>
      </c>
    </row>
  </sheetData>
  <sheetProtection sheet="1"/>
  <mergeCells count="9">
    <mergeCell ref="C55:D55"/>
    <mergeCell ref="C56:D56"/>
    <mergeCell ref="C59:D59"/>
    <mergeCell ref="G26:J26"/>
    <mergeCell ref="G33:J33"/>
    <mergeCell ref="G43:J44"/>
    <mergeCell ref="G51:I52"/>
    <mergeCell ref="J51:J52"/>
    <mergeCell ref="G53:J55"/>
  </mergeCells>
  <phoneticPr fontId="10" type="noConversion"/>
  <conditionalFormatting sqref="C27">
    <cfRule type="cellIs" dxfId="330" priority="11" stopIfTrue="1" operator="greaterThan">
      <formula>$C$29*0.1</formula>
    </cfRule>
  </conditionalFormatting>
  <conditionalFormatting sqref="C50">
    <cfRule type="cellIs" dxfId="329" priority="12" stopIfTrue="1" operator="greaterThan">
      <formula>$C$52*0.1</formula>
    </cfRule>
  </conditionalFormatting>
  <conditionalFormatting sqref="C52">
    <cfRule type="cellIs" dxfId="328" priority="2" stopIfTrue="1" operator="greaterThan">
      <formula>$C$54</formula>
    </cfRule>
  </conditionalFormatting>
  <conditionalFormatting sqref="C53:D53">
    <cfRule type="cellIs" dxfId="327" priority="3" stopIfTrue="1" operator="lessThan">
      <formula>0</formula>
    </cfRule>
  </conditionalFormatting>
  <conditionalFormatting sqref="D27">
    <cfRule type="cellIs" dxfId="326" priority="10" stopIfTrue="1" operator="greaterThan">
      <formula>$D$29*0.1</formula>
    </cfRule>
  </conditionalFormatting>
  <conditionalFormatting sqref="D50">
    <cfRule type="cellIs" dxfId="325" priority="13" stopIfTrue="1" operator="greaterThan">
      <formula>$D$52*0.1</formula>
    </cfRule>
  </conditionalFormatting>
  <conditionalFormatting sqref="D52">
    <cfRule type="cellIs" dxfId="324" priority="1" stopIfTrue="1" operator="greaterThan">
      <formula>$D$54</formula>
    </cfRule>
  </conditionalFormatting>
  <conditionalFormatting sqref="E27">
    <cfRule type="cellIs" dxfId="323" priority="9" stopIfTrue="1" operator="greaterThan">
      <formula>$E$29*0.1+E59</formula>
    </cfRule>
  </conditionalFormatting>
  <conditionalFormatting sqref="E50">
    <cfRule type="cellIs" dxfId="322" priority="8" stopIfTrue="1" operator="greaterThan">
      <formula>$E$52*0.1</formula>
    </cfRule>
  </conditionalFormatting>
  <conditionalFormatting sqref="E55">
    <cfRule type="cellIs" dxfId="321" priority="7" stopIfTrue="1" operator="greaterThan">
      <formula>$E$52/0.95-$E$52</formula>
    </cfRule>
  </conditionalFormatting>
  <conditionalFormatting sqref="J51">
    <cfRule type="containsText" dxfId="320" priority="5" operator="containsText" text="Yes">
      <formula>NOT(ISERROR(SEARCH("Yes",J51)))</formula>
    </cfRule>
  </conditionalFormatting>
  <pageMargins left="0.75" right="0.75" top="1" bottom="1" header="0.5" footer="0.5"/>
  <pageSetup scale="65"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5">
    <tabColor rgb="FF00B0F0"/>
  </sheetPr>
  <dimension ref="B1:K133"/>
  <sheetViews>
    <sheetView zoomScaleNormal="100" workbookViewId="0">
      <selection activeCell="C109" sqref="C109:E109"/>
    </sheetView>
  </sheetViews>
  <sheetFormatPr defaultRowHeight="15.75" x14ac:dyDescent="0.2"/>
  <cols>
    <col min="1" max="1" width="2.44140625" style="27" customWidth="1"/>
    <col min="2" max="2" width="31.109375" style="27" customWidth="1"/>
    <col min="3" max="4" width="15.77734375" style="27" customWidth="1"/>
    <col min="5" max="5" width="16.5546875" style="27" customWidth="1"/>
    <col min="6" max="6" width="8.88671875" style="27"/>
    <col min="7" max="7" width="10.21875" style="27" customWidth="1"/>
    <col min="8" max="8" width="8.88671875" style="27"/>
    <col min="9" max="9" width="5.77734375" style="27" customWidth="1"/>
    <col min="10" max="10" width="10" style="27" customWidth="1"/>
    <col min="11" max="16384" width="8.88671875" style="27"/>
  </cols>
  <sheetData>
    <row r="1" spans="2:5" x14ac:dyDescent="0.2">
      <c r="B1" s="73">
        <f>inputPrYr!C3</f>
        <v>0</v>
      </c>
      <c r="C1" s="32"/>
      <c r="D1" s="32"/>
      <c r="E1" s="182">
        <f>inputPrYr!C5</f>
        <v>2025</v>
      </c>
    </row>
    <row r="2" spans="2:5" x14ac:dyDescent="0.2">
      <c r="B2" s="32"/>
      <c r="C2" s="32"/>
      <c r="D2" s="32"/>
      <c r="E2" s="63"/>
    </row>
    <row r="3" spans="2:5" x14ac:dyDescent="0.2">
      <c r="B3" s="302" t="s">
        <v>138</v>
      </c>
      <c r="C3" s="32"/>
      <c r="D3" s="32"/>
      <c r="E3" s="189"/>
    </row>
    <row r="4" spans="2:5" x14ac:dyDescent="0.2">
      <c r="B4" s="120" t="s">
        <v>30</v>
      </c>
      <c r="C4" s="353" t="s">
        <v>346</v>
      </c>
      <c r="D4" s="354" t="s">
        <v>347</v>
      </c>
      <c r="E4" s="95" t="s">
        <v>348</v>
      </c>
    </row>
    <row r="5" spans="2:5" x14ac:dyDescent="0.2">
      <c r="B5" s="296" t="str">
        <f>inputPrYr!B19</f>
        <v>Road &amp; Bridge</v>
      </c>
      <c r="C5" s="283" t="str">
        <f>CONCATENATE("Actual for ",E1-2,"")</f>
        <v>Actual for 2023</v>
      </c>
      <c r="D5" s="283" t="str">
        <f>CONCATENATE("Estimate for ",E1-1,"")</f>
        <v>Estimate for 2024</v>
      </c>
      <c r="E5" s="190" t="str">
        <f>CONCATENATE("Year for ",E1,"")</f>
        <v>Year for 2025</v>
      </c>
    </row>
    <row r="6" spans="2:5" x14ac:dyDescent="0.2">
      <c r="B6" s="191" t="s">
        <v>148</v>
      </c>
      <c r="C6" s="300"/>
      <c r="D6" s="282">
        <f>C112</f>
        <v>0</v>
      </c>
      <c r="E6" s="164">
        <f>D112</f>
        <v>0</v>
      </c>
    </row>
    <row r="7" spans="2:5" x14ac:dyDescent="0.2">
      <c r="B7" s="184" t="s">
        <v>150</v>
      </c>
      <c r="C7" s="111"/>
      <c r="D7" s="111"/>
      <c r="E7" s="64"/>
    </row>
    <row r="8" spans="2:5" x14ac:dyDescent="0.2">
      <c r="B8" s="191" t="s">
        <v>31</v>
      </c>
      <c r="C8" s="300"/>
      <c r="D8" s="282">
        <f>IF(inputPrYr!H18&gt;0,inputPrYr!H18,inputPrYr!E19)</f>
        <v>0</v>
      </c>
      <c r="E8" s="128" t="s">
        <v>16</v>
      </c>
    </row>
    <row r="9" spans="2:5" x14ac:dyDescent="0.2">
      <c r="B9" s="191" t="s">
        <v>32</v>
      </c>
      <c r="C9" s="300"/>
      <c r="D9" s="300"/>
      <c r="E9" s="51"/>
    </row>
    <row r="10" spans="2:5" x14ac:dyDescent="0.2">
      <c r="B10" s="191" t="s">
        <v>33</v>
      </c>
      <c r="C10" s="300"/>
      <c r="D10" s="300"/>
      <c r="E10" s="164" t="str">
        <f>Mvalloc!D10</f>
        <v xml:space="preserve"> </v>
      </c>
    </row>
    <row r="11" spans="2:5" x14ac:dyDescent="0.2">
      <c r="B11" s="191" t="s">
        <v>34</v>
      </c>
      <c r="C11" s="300"/>
      <c r="D11" s="300"/>
      <c r="E11" s="164" t="str">
        <f>Mvalloc!E10</f>
        <v xml:space="preserve"> </v>
      </c>
    </row>
    <row r="12" spans="2:5" x14ac:dyDescent="0.2">
      <c r="B12" s="111" t="s">
        <v>143</v>
      </c>
      <c r="C12" s="300"/>
      <c r="D12" s="300"/>
      <c r="E12" s="164" t="str">
        <f>Mvalloc!F10</f>
        <v xml:space="preserve"> </v>
      </c>
    </row>
    <row r="13" spans="2:5" x14ac:dyDescent="0.2">
      <c r="B13" s="191" t="s">
        <v>374</v>
      </c>
      <c r="C13" s="300"/>
      <c r="D13" s="300"/>
      <c r="E13" s="164" t="str">
        <f>Mvalloc!G10</f>
        <v xml:space="preserve"> </v>
      </c>
    </row>
    <row r="14" spans="2:5" x14ac:dyDescent="0.2">
      <c r="B14" s="191" t="s">
        <v>375</v>
      </c>
      <c r="C14" s="300"/>
      <c r="D14" s="300"/>
      <c r="E14" s="164" t="str">
        <f>Mvalloc!H10</f>
        <v xml:space="preserve"> </v>
      </c>
    </row>
    <row r="15" spans="2:5" x14ac:dyDescent="0.2">
      <c r="B15" s="224" t="s">
        <v>183</v>
      </c>
      <c r="C15" s="300"/>
      <c r="D15" s="300"/>
      <c r="E15" s="46"/>
    </row>
    <row r="16" spans="2:5" x14ac:dyDescent="0.2">
      <c r="B16" s="224" t="s">
        <v>184</v>
      </c>
      <c r="C16" s="300"/>
      <c r="D16" s="300"/>
      <c r="E16" s="46"/>
    </row>
    <row r="17" spans="2:5" x14ac:dyDescent="0.2">
      <c r="B17" s="225"/>
      <c r="C17" s="300"/>
      <c r="D17" s="300"/>
      <c r="E17" s="46"/>
    </row>
    <row r="18" spans="2:5" x14ac:dyDescent="0.2">
      <c r="B18" s="225"/>
      <c r="C18" s="300"/>
      <c r="D18" s="300"/>
      <c r="E18" s="46"/>
    </row>
    <row r="19" spans="2:5" x14ac:dyDescent="0.2">
      <c r="B19" s="193"/>
      <c r="C19" s="300"/>
      <c r="D19" s="300"/>
      <c r="E19" s="51"/>
    </row>
    <row r="20" spans="2:5" x14ac:dyDescent="0.2">
      <c r="B20" s="193"/>
      <c r="C20" s="300"/>
      <c r="D20" s="300"/>
      <c r="E20" s="51"/>
    </row>
    <row r="21" spans="2:5" x14ac:dyDescent="0.2">
      <c r="B21" s="193"/>
      <c r="C21" s="300"/>
      <c r="D21" s="300"/>
      <c r="E21" s="51"/>
    </row>
    <row r="22" spans="2:5" x14ac:dyDescent="0.2">
      <c r="B22" s="195"/>
      <c r="C22" s="300"/>
      <c r="D22" s="300"/>
      <c r="E22" s="51"/>
    </row>
    <row r="23" spans="2:5" x14ac:dyDescent="0.2">
      <c r="B23" s="195"/>
      <c r="C23" s="300"/>
      <c r="D23" s="300"/>
      <c r="E23" s="51"/>
    </row>
    <row r="24" spans="2:5" x14ac:dyDescent="0.2">
      <c r="B24" s="193"/>
      <c r="C24" s="300"/>
      <c r="D24" s="300"/>
      <c r="E24" s="51"/>
    </row>
    <row r="25" spans="2:5" x14ac:dyDescent="0.2">
      <c r="B25" s="193"/>
      <c r="C25" s="300"/>
      <c r="D25" s="300"/>
      <c r="E25" s="51"/>
    </row>
    <row r="26" spans="2:5" x14ac:dyDescent="0.2">
      <c r="B26" s="193"/>
      <c r="C26" s="300"/>
      <c r="D26" s="300"/>
      <c r="E26" s="51"/>
    </row>
    <row r="27" spans="2:5" x14ac:dyDescent="0.2">
      <c r="B27" s="193"/>
      <c r="C27" s="300"/>
      <c r="D27" s="300"/>
      <c r="E27" s="51"/>
    </row>
    <row r="28" spans="2:5" x14ac:dyDescent="0.2">
      <c r="B28" s="193"/>
      <c r="C28" s="300"/>
      <c r="D28" s="300"/>
      <c r="E28" s="51"/>
    </row>
    <row r="29" spans="2:5" x14ac:dyDescent="0.2">
      <c r="B29" s="193"/>
      <c r="C29" s="300"/>
      <c r="D29" s="300"/>
      <c r="E29" s="51"/>
    </row>
    <row r="30" spans="2:5" x14ac:dyDescent="0.2">
      <c r="B30" s="193"/>
      <c r="C30" s="300"/>
      <c r="D30" s="300"/>
      <c r="E30" s="51"/>
    </row>
    <row r="31" spans="2:5" x14ac:dyDescent="0.2">
      <c r="B31" s="193"/>
      <c r="C31" s="300"/>
      <c r="D31" s="300"/>
      <c r="E31" s="51"/>
    </row>
    <row r="32" spans="2:5" x14ac:dyDescent="0.2">
      <c r="B32" s="193"/>
      <c r="C32" s="300"/>
      <c r="D32" s="300"/>
      <c r="E32" s="51"/>
    </row>
    <row r="33" spans="2:5" x14ac:dyDescent="0.2">
      <c r="B33" s="193"/>
      <c r="C33" s="300"/>
      <c r="D33" s="300"/>
      <c r="E33" s="51"/>
    </row>
    <row r="34" spans="2:5" x14ac:dyDescent="0.2">
      <c r="B34" s="193"/>
      <c r="C34" s="300"/>
      <c r="D34" s="300"/>
      <c r="E34" s="51"/>
    </row>
    <row r="35" spans="2:5" x14ac:dyDescent="0.2">
      <c r="B35" s="193"/>
      <c r="C35" s="300"/>
      <c r="D35" s="300"/>
      <c r="E35" s="51"/>
    </row>
    <row r="36" spans="2:5" x14ac:dyDescent="0.2">
      <c r="B36" s="193"/>
      <c r="C36" s="300"/>
      <c r="D36" s="300"/>
      <c r="E36" s="51"/>
    </row>
    <row r="37" spans="2:5" x14ac:dyDescent="0.2">
      <c r="B37" s="193"/>
      <c r="C37" s="300"/>
      <c r="D37" s="300"/>
      <c r="E37" s="51"/>
    </row>
    <row r="38" spans="2:5" x14ac:dyDescent="0.2">
      <c r="B38" s="193"/>
      <c r="C38" s="300"/>
      <c r="D38" s="300"/>
      <c r="E38" s="51"/>
    </row>
    <row r="39" spans="2:5" x14ac:dyDescent="0.2">
      <c r="B39" s="193"/>
      <c r="C39" s="300"/>
      <c r="D39" s="300"/>
      <c r="E39" s="51"/>
    </row>
    <row r="40" spans="2:5" x14ac:dyDescent="0.2">
      <c r="B40" s="193"/>
      <c r="C40" s="300"/>
      <c r="D40" s="300"/>
      <c r="E40" s="51"/>
    </row>
    <row r="41" spans="2:5" x14ac:dyDescent="0.2">
      <c r="B41" s="193"/>
      <c r="C41" s="300"/>
      <c r="D41" s="300"/>
      <c r="E41" s="51"/>
    </row>
    <row r="42" spans="2:5" x14ac:dyDescent="0.2">
      <c r="B42" s="193"/>
      <c r="C42" s="300"/>
      <c r="D42" s="300"/>
      <c r="E42" s="51"/>
    </row>
    <row r="43" spans="2:5" x14ac:dyDescent="0.2">
      <c r="B43" s="193"/>
      <c r="C43" s="300"/>
      <c r="D43" s="300"/>
      <c r="E43" s="51"/>
    </row>
    <row r="44" spans="2:5" x14ac:dyDescent="0.2">
      <c r="B44" s="193"/>
      <c r="C44" s="300"/>
      <c r="D44" s="300"/>
      <c r="E44" s="51"/>
    </row>
    <row r="45" spans="2:5" x14ac:dyDescent="0.2">
      <c r="B45" s="193"/>
      <c r="C45" s="300"/>
      <c r="D45" s="300"/>
      <c r="E45" s="51"/>
    </row>
    <row r="46" spans="2:5" x14ac:dyDescent="0.2">
      <c r="B46" s="193"/>
      <c r="C46" s="300"/>
      <c r="D46" s="300"/>
      <c r="E46" s="51"/>
    </row>
    <row r="47" spans="2:5" x14ac:dyDescent="0.2">
      <c r="B47" s="193"/>
      <c r="C47" s="300"/>
      <c r="D47" s="300"/>
      <c r="E47" s="51"/>
    </row>
    <row r="48" spans="2:5" x14ac:dyDescent="0.2">
      <c r="B48" s="193"/>
      <c r="C48" s="300"/>
      <c r="D48" s="300"/>
      <c r="E48" s="51"/>
    </row>
    <row r="49" spans="2:5" x14ac:dyDescent="0.2">
      <c r="B49" s="193"/>
      <c r="C49" s="300"/>
      <c r="D49" s="300"/>
      <c r="E49" s="51"/>
    </row>
    <row r="50" spans="2:5" x14ac:dyDescent="0.2">
      <c r="B50" s="193"/>
      <c r="C50" s="300"/>
      <c r="D50" s="300"/>
      <c r="E50" s="51"/>
    </row>
    <row r="51" spans="2:5" x14ac:dyDescent="0.2">
      <c r="B51" s="195" t="s">
        <v>38</v>
      </c>
      <c r="C51" s="300"/>
      <c r="D51" s="300"/>
      <c r="E51" s="51"/>
    </row>
    <row r="52" spans="2:5" x14ac:dyDescent="0.2">
      <c r="B52" s="196" t="s">
        <v>218</v>
      </c>
      <c r="C52" s="300"/>
      <c r="D52" s="300"/>
      <c r="E52" s="164">
        <f>'NR Rebate'!E8*-1</f>
        <v>0</v>
      </c>
    </row>
    <row r="53" spans="2:5" x14ac:dyDescent="0.2">
      <c r="B53" s="196" t="s">
        <v>219</v>
      </c>
      <c r="C53" s="300"/>
      <c r="D53" s="300"/>
      <c r="E53" s="51"/>
    </row>
    <row r="54" spans="2:5" x14ac:dyDescent="0.2">
      <c r="B54" s="196" t="s">
        <v>317</v>
      </c>
      <c r="C54" s="281" t="str">
        <f>IF(C55*0.1&lt;C53,"Exceed 10% Rule","")</f>
        <v/>
      </c>
      <c r="D54" s="281" t="str">
        <f>IF(D55*0.1&lt;D53,"Exceed 10% Rule","")</f>
        <v/>
      </c>
      <c r="E54" s="217" t="str">
        <f>IF(E55*0.1+E118&lt;E53,"Exceed 10% Rule","")</f>
        <v/>
      </c>
    </row>
    <row r="55" spans="2:5" x14ac:dyDescent="0.2">
      <c r="B55" s="198" t="s">
        <v>39</v>
      </c>
      <c r="C55" s="229">
        <f>SUM(C8:C53)</f>
        <v>0</v>
      </c>
      <c r="D55" s="229">
        <f>SUM(D8:D53)</f>
        <v>0</v>
      </c>
      <c r="E55" s="229">
        <f>SUM(E9:E53)</f>
        <v>0</v>
      </c>
    </row>
    <row r="56" spans="2:5" x14ac:dyDescent="0.2">
      <c r="B56" s="198" t="s">
        <v>40</v>
      </c>
      <c r="C56" s="229">
        <f>C6+C55</f>
        <v>0</v>
      </c>
      <c r="D56" s="229">
        <f>D6+D55</f>
        <v>0</v>
      </c>
      <c r="E56" s="229">
        <f>E6+E55</f>
        <v>0</v>
      </c>
    </row>
    <row r="57" spans="2:5" x14ac:dyDescent="0.2">
      <c r="B57" s="80"/>
      <c r="C57" s="80"/>
      <c r="D57" s="80"/>
      <c r="E57" s="80"/>
    </row>
    <row r="58" spans="2:5" x14ac:dyDescent="0.2">
      <c r="B58" s="450" t="s">
        <v>380</v>
      </c>
      <c r="C58" s="451"/>
      <c r="D58" s="451"/>
      <c r="E58" s="452"/>
    </row>
    <row r="59" spans="2:5" x14ac:dyDescent="0.2">
      <c r="B59" s="453"/>
      <c r="C59" s="80"/>
      <c r="D59" s="80"/>
      <c r="E59" s="454"/>
    </row>
    <row r="60" spans="2:5" x14ac:dyDescent="0.2">
      <c r="B60" s="447"/>
      <c r="C60" s="226"/>
      <c r="D60" s="226"/>
      <c r="E60" s="460"/>
    </row>
    <row r="61" spans="2:5" x14ac:dyDescent="0.2">
      <c r="B61" s="182" t="s">
        <v>96</v>
      </c>
      <c r="C61" s="428"/>
      <c r="D61" s="40"/>
      <c r="E61" s="40"/>
    </row>
    <row r="62" spans="2:5" x14ac:dyDescent="0.2">
      <c r="B62" s="40"/>
      <c r="C62" s="40"/>
      <c r="D62" s="40"/>
      <c r="E62" s="40"/>
    </row>
    <row r="63" spans="2:5" x14ac:dyDescent="0.2">
      <c r="B63" s="40"/>
      <c r="C63" s="40"/>
      <c r="D63" s="40"/>
      <c r="E63" s="182">
        <f>E1</f>
        <v>2025</v>
      </c>
    </row>
    <row r="64" spans="2:5" x14ac:dyDescent="0.2">
      <c r="B64" s="73">
        <f>inputPrYr!C3</f>
        <v>0</v>
      </c>
      <c r="C64" s="73"/>
      <c r="D64" s="73"/>
      <c r="E64" s="63"/>
    </row>
    <row r="65" spans="2:5" x14ac:dyDescent="0.2">
      <c r="B65" s="32"/>
      <c r="C65" s="73"/>
      <c r="D65" s="73"/>
      <c r="E65" s="63"/>
    </row>
    <row r="66" spans="2:5" x14ac:dyDescent="0.2">
      <c r="B66" s="199" t="s">
        <v>137</v>
      </c>
      <c r="C66" s="200"/>
      <c r="D66" s="200"/>
      <c r="E66" s="200"/>
    </row>
    <row r="67" spans="2:5" x14ac:dyDescent="0.2">
      <c r="B67" s="32" t="s">
        <v>30</v>
      </c>
      <c r="C67" s="324" t="str">
        <f t="shared" ref="C67:E68" si="0">C4</f>
        <v xml:space="preserve">Prior Year </v>
      </c>
      <c r="D67" s="325" t="str">
        <f t="shared" si="0"/>
        <v xml:space="preserve">Current Year </v>
      </c>
      <c r="E67" s="323" t="str">
        <f t="shared" si="0"/>
        <v xml:space="preserve">Proposed Budget </v>
      </c>
    </row>
    <row r="68" spans="2:5" x14ac:dyDescent="0.2">
      <c r="B68" s="226" t="str">
        <f>B5</f>
        <v>Road &amp; Bridge</v>
      </c>
      <c r="C68" s="283" t="str">
        <f t="shared" si="0"/>
        <v>Actual for 2023</v>
      </c>
      <c r="D68" s="283" t="str">
        <f t="shared" si="0"/>
        <v>Estimate for 2024</v>
      </c>
      <c r="E68" s="162" t="str">
        <f t="shared" si="0"/>
        <v>Year for 2025</v>
      </c>
    </row>
    <row r="69" spans="2:5" x14ac:dyDescent="0.2">
      <c r="B69" s="198" t="s">
        <v>40</v>
      </c>
      <c r="C69" s="282">
        <f>C56</f>
        <v>0</v>
      </c>
      <c r="D69" s="282">
        <f>D56</f>
        <v>0</v>
      </c>
      <c r="E69" s="164">
        <f>E56</f>
        <v>0</v>
      </c>
    </row>
    <row r="70" spans="2:5" x14ac:dyDescent="0.2">
      <c r="B70" s="191" t="s">
        <v>185</v>
      </c>
      <c r="C70" s="282"/>
      <c r="D70" s="282"/>
      <c r="E70" s="164"/>
    </row>
    <row r="71" spans="2:5" x14ac:dyDescent="0.2">
      <c r="B71" s="111" t="str">
        <f>IF(('Road &amp; Bridge Detail'!$A7&gt;" "),('Road &amp; Bridge Detail'!$A7)," ")</f>
        <v>Administration</v>
      </c>
      <c r="C71" s="282">
        <f>'Road &amp; Bridge Detail'!B12</f>
        <v>0</v>
      </c>
      <c r="D71" s="282">
        <f>'Road &amp; Bridge Detail'!C12</f>
        <v>0</v>
      </c>
      <c r="E71" s="164">
        <f>'Road &amp; Bridge Detail'!D12</f>
        <v>0</v>
      </c>
    </row>
    <row r="72" spans="2:5" x14ac:dyDescent="0.2">
      <c r="B72" s="111" t="str">
        <f>IF(('Road &amp; Bridge Detail'!$A13&gt;" "),('Road &amp; Bridge Detail'!$A13)," ")</f>
        <v>Personal</v>
      </c>
      <c r="C72" s="282">
        <f>'Road &amp; Bridge Detail'!B18</f>
        <v>0</v>
      </c>
      <c r="D72" s="282">
        <f>'Road &amp; Bridge Detail'!C18</f>
        <v>0</v>
      </c>
      <c r="E72" s="164">
        <f>'Road &amp; Bridge Detail'!D18</f>
        <v>0</v>
      </c>
    </row>
    <row r="73" spans="2:5" x14ac:dyDescent="0.2">
      <c r="B73" s="111" t="str">
        <f>IF(('Road &amp; Bridge Detail'!$A19&gt;" "),('Road &amp; Bridge Detail'!$A19)," ")</f>
        <v>Rock</v>
      </c>
      <c r="C73" s="282">
        <f>'Road &amp; Bridge Detail'!B24</f>
        <v>0</v>
      </c>
      <c r="D73" s="282">
        <f>'Road &amp; Bridge Detail'!C24</f>
        <v>0</v>
      </c>
      <c r="E73" s="164">
        <f>'Road &amp; Bridge Detail'!D24</f>
        <v>0</v>
      </c>
    </row>
    <row r="74" spans="2:5" x14ac:dyDescent="0.2">
      <c r="B74" s="111" t="str">
        <f>IF(('Road &amp; Bridge Detail'!$A25&gt;" "),('Road &amp; Bridge Detail'!$A25)," ")</f>
        <v>Sealing</v>
      </c>
      <c r="C74" s="282">
        <f>'Road &amp; Bridge Detail'!B30</f>
        <v>0</v>
      </c>
      <c r="D74" s="282">
        <f>'Road &amp; Bridge Detail'!C30</f>
        <v>0</v>
      </c>
      <c r="E74" s="164">
        <f>'Road &amp; Bridge Detail'!D30</f>
        <v>0</v>
      </c>
    </row>
    <row r="75" spans="2:5" x14ac:dyDescent="0.2">
      <c r="B75" s="111" t="str">
        <f>IF(('Road &amp; Bridge Detail'!$A31&gt;" "),('Road &amp; Bridge Detail'!$A31)," ")</f>
        <v>Pavement</v>
      </c>
      <c r="C75" s="282">
        <f>'Road &amp; Bridge Detail'!B36</f>
        <v>0</v>
      </c>
      <c r="D75" s="282">
        <f>'Road &amp; Bridge Detail'!C36</f>
        <v>0</v>
      </c>
      <c r="E75" s="164">
        <f>'Road &amp; Bridge Detail'!D36</f>
        <v>0</v>
      </c>
    </row>
    <row r="76" spans="2:5" x14ac:dyDescent="0.2">
      <c r="B76" s="111" t="str">
        <f>IF(('Road &amp; Bridge Detail'!$A37&gt;" "),('Road &amp; Bridge Detail'!$A37)," ")</f>
        <v>Other</v>
      </c>
      <c r="C76" s="282">
        <f>'Road &amp; Bridge Detail'!B42</f>
        <v>0</v>
      </c>
      <c r="D76" s="282">
        <f>'Road &amp; Bridge Detail'!C42</f>
        <v>0</v>
      </c>
      <c r="E76" s="164">
        <f>'Road &amp; Bridge Detail'!D42</f>
        <v>0</v>
      </c>
    </row>
    <row r="77" spans="2:5" x14ac:dyDescent="0.2">
      <c r="B77" s="111" t="s">
        <v>210</v>
      </c>
      <c r="C77" s="287">
        <f>SUM(C71:C76)</f>
        <v>0</v>
      </c>
      <c r="D77" s="287">
        <f>SUM(D71:D76)</f>
        <v>0</v>
      </c>
      <c r="E77" s="219">
        <f>SUM(E71:E76)</f>
        <v>0</v>
      </c>
    </row>
    <row r="78" spans="2:5" x14ac:dyDescent="0.2">
      <c r="B78" s="227"/>
      <c r="C78" s="300"/>
      <c r="D78" s="300"/>
      <c r="E78" s="46"/>
    </row>
    <row r="79" spans="2:5" x14ac:dyDescent="0.2">
      <c r="B79" s="227"/>
      <c r="C79" s="300"/>
      <c r="D79" s="300"/>
      <c r="E79" s="46"/>
    </row>
    <row r="80" spans="2:5" x14ac:dyDescent="0.2">
      <c r="B80" s="227"/>
      <c r="C80" s="300"/>
      <c r="D80" s="300"/>
      <c r="E80" s="46"/>
    </row>
    <row r="81" spans="2:10" x14ac:dyDescent="0.2">
      <c r="B81" s="227"/>
      <c r="C81" s="300"/>
      <c r="D81" s="300"/>
      <c r="E81" s="46"/>
    </row>
    <row r="82" spans="2:10" x14ac:dyDescent="0.2">
      <c r="B82" s="227"/>
      <c r="C82" s="300"/>
      <c r="D82" s="300"/>
      <c r="E82" s="46"/>
    </row>
    <row r="83" spans="2:10" x14ac:dyDescent="0.2">
      <c r="B83" s="227"/>
      <c r="C83" s="300"/>
      <c r="D83" s="300"/>
      <c r="E83" s="46"/>
    </row>
    <row r="84" spans="2:10" x14ac:dyDescent="0.2">
      <c r="B84" s="227"/>
      <c r="C84" s="300"/>
      <c r="D84" s="300"/>
      <c r="E84" s="46"/>
    </row>
    <row r="85" spans="2:10" x14ac:dyDescent="0.2">
      <c r="B85" s="227"/>
      <c r="C85" s="300"/>
      <c r="D85" s="300"/>
      <c r="E85" s="46"/>
    </row>
    <row r="86" spans="2:10" x14ac:dyDescent="0.2">
      <c r="B86" s="227"/>
      <c r="C86" s="300"/>
      <c r="D86" s="300"/>
      <c r="E86" s="46"/>
    </row>
    <row r="87" spans="2:10" x14ac:dyDescent="0.2">
      <c r="B87" s="227"/>
      <c r="C87" s="300"/>
      <c r="D87" s="300"/>
      <c r="E87" s="46"/>
      <c r="G87" s="655" t="str">
        <f>CONCATENATE("Desired Carryover Into ",E1+1,"")</f>
        <v>Desired Carryover Into 2026</v>
      </c>
      <c r="H87" s="656"/>
      <c r="I87" s="656"/>
      <c r="J87" s="657"/>
    </row>
    <row r="88" spans="2:10" x14ac:dyDescent="0.2">
      <c r="B88" s="227"/>
      <c r="C88" s="300"/>
      <c r="D88" s="300"/>
      <c r="E88" s="46"/>
      <c r="G88" s="357"/>
      <c r="H88" s="358"/>
      <c r="I88" s="359"/>
      <c r="J88" s="360"/>
    </row>
    <row r="89" spans="2:10" x14ac:dyDescent="0.2">
      <c r="B89" s="227"/>
      <c r="C89" s="300"/>
      <c r="D89" s="300"/>
      <c r="E89" s="46"/>
      <c r="G89" s="361" t="s">
        <v>327</v>
      </c>
      <c r="H89" s="359"/>
      <c r="I89" s="359"/>
      <c r="J89" s="362">
        <v>0</v>
      </c>
    </row>
    <row r="90" spans="2:10" x14ac:dyDescent="0.2">
      <c r="B90" s="227"/>
      <c r="C90" s="300"/>
      <c r="D90" s="300"/>
      <c r="E90" s="46"/>
      <c r="G90" s="357" t="s">
        <v>328</v>
      </c>
      <c r="H90" s="358"/>
      <c r="I90" s="358"/>
      <c r="J90" s="363" t="str">
        <f>IF(J89=0,"",ROUND((J89+E118-G102)/inputOth!E5*1000,3)-G107)</f>
        <v/>
      </c>
    </row>
    <row r="91" spans="2:10" x14ac:dyDescent="0.2">
      <c r="B91" s="227"/>
      <c r="C91" s="300"/>
      <c r="D91" s="300"/>
      <c r="E91" s="46"/>
      <c r="G91" s="364" t="str">
        <f>CONCATENATE("",E1," Tot Exp/Non-Appr Must Be:")</f>
        <v>2025 Tot Exp/Non-Appr Must Be:</v>
      </c>
      <c r="H91" s="365"/>
      <c r="I91" s="366"/>
      <c r="J91" s="367">
        <f>IF(J89&gt;0,IF(E115&lt;E56,IF(J89=G102,E115,((J89-G102)*(1-D117))+E56),E115+(J89-G102)),0)</f>
        <v>0</v>
      </c>
    </row>
    <row r="92" spans="2:10" x14ac:dyDescent="0.2">
      <c r="B92" s="227"/>
      <c r="C92" s="300"/>
      <c r="D92" s="300"/>
      <c r="E92" s="46"/>
      <c r="G92" s="368" t="s">
        <v>349</v>
      </c>
      <c r="H92" s="369"/>
      <c r="I92" s="369"/>
      <c r="J92" s="370">
        <f>IF(J89&gt;0,J91-E115,0)</f>
        <v>0</v>
      </c>
    </row>
    <row r="93" spans="2:10" x14ac:dyDescent="0.2">
      <c r="B93" s="227"/>
      <c r="C93" s="300"/>
      <c r="D93" s="300"/>
      <c r="E93" s="46"/>
    </row>
    <row r="94" spans="2:10" x14ac:dyDescent="0.2">
      <c r="B94" s="227"/>
      <c r="C94" s="300"/>
      <c r="D94" s="300"/>
      <c r="E94" s="46"/>
      <c r="G94" s="646" t="str">
        <f>CONCATENATE("Projected Carryover Into ",E1+1,"")</f>
        <v>Projected Carryover Into 2026</v>
      </c>
      <c r="H94" s="647"/>
      <c r="I94" s="647"/>
      <c r="J94" s="648"/>
    </row>
    <row r="95" spans="2:10" x14ac:dyDescent="0.2">
      <c r="B95" s="227"/>
      <c r="C95" s="300"/>
      <c r="D95" s="300"/>
      <c r="E95" s="46"/>
      <c r="G95" s="307"/>
      <c r="H95" s="306"/>
      <c r="I95" s="306"/>
      <c r="J95" s="308"/>
    </row>
    <row r="96" spans="2:10" x14ac:dyDescent="0.2">
      <c r="B96" s="227"/>
      <c r="C96" s="300"/>
      <c r="D96" s="300"/>
      <c r="E96" s="46"/>
      <c r="G96" s="309">
        <f>D112</f>
        <v>0</v>
      </c>
      <c r="H96" s="310" t="str">
        <f>CONCATENATE("",E1-1," Ending Cash Balance (est.)")</f>
        <v>2024 Ending Cash Balance (est.)</v>
      </c>
      <c r="I96" s="311"/>
      <c r="J96" s="308"/>
    </row>
    <row r="97" spans="2:11" x14ac:dyDescent="0.2">
      <c r="B97" s="227"/>
      <c r="C97" s="300"/>
      <c r="D97" s="300"/>
      <c r="E97" s="46"/>
      <c r="G97" s="309">
        <f>E55</f>
        <v>0</v>
      </c>
      <c r="H97" s="312" t="str">
        <f>CONCATENATE("",E1," Non-AV Receipts (est.)")</f>
        <v>2025 Non-AV Receipts (est.)</v>
      </c>
      <c r="I97" s="311"/>
      <c r="J97" s="308"/>
    </row>
    <row r="98" spans="2:11" x14ac:dyDescent="0.2">
      <c r="B98" s="227"/>
      <c r="C98" s="300"/>
      <c r="D98" s="300"/>
      <c r="E98" s="46"/>
      <c r="G98" s="313">
        <f>IF(E117&gt;0,E116,E118)</f>
        <v>0</v>
      </c>
      <c r="H98" s="312" t="str">
        <f>CONCATENATE("",E1," Ad Valorem Tax (est.)")</f>
        <v>2025 Ad Valorem Tax (est.)</v>
      </c>
      <c r="I98" s="311"/>
      <c r="J98" s="308"/>
      <c r="K98" s="394" t="str">
        <f>IF(G98=E118,"","Note: Does not include Delinquent Taxes")</f>
        <v/>
      </c>
    </row>
    <row r="99" spans="2:11" x14ac:dyDescent="0.2">
      <c r="B99" s="227"/>
      <c r="C99" s="300"/>
      <c r="D99" s="300"/>
      <c r="E99" s="46"/>
      <c r="G99" s="309">
        <f>SUM(G96:G98)</f>
        <v>0</v>
      </c>
      <c r="H99" s="312" t="str">
        <f>CONCATENATE("Total ",E1," Resources Available")</f>
        <v>Total 2025 Resources Available</v>
      </c>
      <c r="I99" s="311"/>
      <c r="J99" s="308"/>
    </row>
    <row r="100" spans="2:11" x14ac:dyDescent="0.2">
      <c r="B100" s="227"/>
      <c r="C100" s="300"/>
      <c r="D100" s="300"/>
      <c r="E100" s="46"/>
      <c r="G100" s="314"/>
      <c r="H100" s="312"/>
      <c r="I100" s="312"/>
      <c r="J100" s="308"/>
    </row>
    <row r="101" spans="2:11" x14ac:dyDescent="0.2">
      <c r="B101" s="227"/>
      <c r="C101" s="300"/>
      <c r="D101" s="300"/>
      <c r="E101" s="46"/>
      <c r="G101" s="313">
        <f>C111*0.05+C111</f>
        <v>0</v>
      </c>
      <c r="H101" s="312" t="str">
        <f>CONCATENATE("Less ",E1-2," Expenditures + 5%")</f>
        <v>Less 2023 Expenditures + 5%</v>
      </c>
      <c r="I101" s="311"/>
      <c r="J101" s="308"/>
    </row>
    <row r="102" spans="2:11" x14ac:dyDescent="0.2">
      <c r="B102" s="227"/>
      <c r="C102" s="300"/>
      <c r="D102" s="300"/>
      <c r="E102" s="46"/>
      <c r="G102" s="318">
        <f>G99-G101</f>
        <v>0</v>
      </c>
      <c r="H102" s="315" t="str">
        <f>CONCATENATE("Projected ",E1," Carryover (est.)")</f>
        <v>Projected 2025 Carryover (est.)</v>
      </c>
      <c r="I102" s="316"/>
      <c r="J102" s="317"/>
    </row>
    <row r="103" spans="2:11" x14ac:dyDescent="0.2">
      <c r="B103" s="227"/>
      <c r="C103" s="300"/>
      <c r="D103" s="300"/>
      <c r="E103" s="46"/>
    </row>
    <row r="104" spans="2:11" x14ac:dyDescent="0.2">
      <c r="B104" s="227"/>
      <c r="C104" s="300"/>
      <c r="D104" s="300"/>
      <c r="E104" s="46"/>
      <c r="G104" s="658" t="s">
        <v>569</v>
      </c>
      <c r="H104" s="659"/>
      <c r="I104" s="659"/>
      <c r="J104" s="660"/>
    </row>
    <row r="105" spans="2:11" x14ac:dyDescent="0.2">
      <c r="B105" s="227"/>
      <c r="C105" s="300"/>
      <c r="D105" s="300"/>
      <c r="E105" s="46"/>
      <c r="G105" s="661"/>
      <c r="H105" s="662"/>
      <c r="I105" s="662"/>
      <c r="J105" s="663"/>
    </row>
    <row r="106" spans="2:11" x14ac:dyDescent="0.2">
      <c r="B106" s="227"/>
      <c r="C106" s="300"/>
      <c r="D106" s="300"/>
      <c r="E106" s="46"/>
      <c r="G106" s="534" t="str">
        <f>'Budget Hearing Notice'!H18</f>
        <v xml:space="preserve">  </v>
      </c>
      <c r="H106" s="374" t="str">
        <f>CONCATENATE("",E1," Estimated Fund Mill Rate")</f>
        <v>2025 Estimated Fund Mill Rate</v>
      </c>
      <c r="I106" s="535"/>
      <c r="J106" s="536"/>
    </row>
    <row r="107" spans="2:11" x14ac:dyDescent="0.2">
      <c r="B107" s="227"/>
      <c r="C107" s="300"/>
      <c r="D107" s="300"/>
      <c r="E107" s="46"/>
      <c r="G107" s="537" t="str">
        <f>'Budget Hearing Notice'!E18</f>
        <v xml:space="preserve">  </v>
      </c>
      <c r="H107" s="374" t="str">
        <f>CONCATENATE("",E1-1," Fund Mill Rate")</f>
        <v>2024 Fund Mill Rate</v>
      </c>
      <c r="I107" s="535"/>
      <c r="J107" s="536"/>
    </row>
    <row r="108" spans="2:11" x14ac:dyDescent="0.2">
      <c r="B108" s="196" t="str">
        <f>CONCATENATE("Cash Reserve (",E1," column)")</f>
        <v>Cash Reserve (2025 column)</v>
      </c>
      <c r="C108" s="300"/>
      <c r="D108" s="300"/>
      <c r="E108" s="46"/>
      <c r="G108" s="538">
        <f>'Budget Hearing Notice'!H53</f>
        <v>0</v>
      </c>
      <c r="H108" s="539" t="s">
        <v>570</v>
      </c>
      <c r="I108" s="535"/>
      <c r="J108" s="536"/>
    </row>
    <row r="109" spans="2:11" x14ac:dyDescent="0.2">
      <c r="B109" s="196" t="s">
        <v>219</v>
      </c>
      <c r="C109" s="300"/>
      <c r="D109" s="300"/>
      <c r="E109" s="194"/>
      <c r="G109" s="534">
        <f>'Budget Hearing Notice'!H52</f>
        <v>0</v>
      </c>
      <c r="H109" s="374" t="str">
        <f>CONCATENATE(E1," Estimated Total Mill Rate")</f>
        <v>2025 Estimated Total Mill Rate</v>
      </c>
      <c r="I109" s="535"/>
      <c r="J109" s="536"/>
    </row>
    <row r="110" spans="2:11" x14ac:dyDescent="0.2">
      <c r="B110" s="196" t="s">
        <v>318</v>
      </c>
      <c r="C110" s="281" t="str">
        <f>IF(C111*0.1&lt;C109,"Exceed 10% Rule","")</f>
        <v/>
      </c>
      <c r="D110" s="281" t="str">
        <f>IF(D111*0.1&lt;D109,"Exceed 10% Rule","")</f>
        <v/>
      </c>
      <c r="E110" s="217" t="str">
        <f>IF(E111*0.1&lt;E109,"Exceed 10% Rule","")</f>
        <v/>
      </c>
      <c r="G110" s="540">
        <f>'Budget Hearing Notice'!E52</f>
        <v>0</v>
      </c>
      <c r="H110" s="374" t="str">
        <f>CONCATENATE(E1-1," Total Mill Rate")</f>
        <v>2024 Total Mill Rate</v>
      </c>
      <c r="I110" s="535"/>
      <c r="J110" s="536"/>
    </row>
    <row r="111" spans="2:11" x14ac:dyDescent="0.2">
      <c r="B111" s="198" t="s">
        <v>44</v>
      </c>
      <c r="C111" s="301">
        <f>SUM(C77:C109)</f>
        <v>0</v>
      </c>
      <c r="D111" s="301">
        <f>SUM(D77:D109)</f>
        <v>0</v>
      </c>
      <c r="E111" s="229">
        <f>SUM(E77:E109)</f>
        <v>0</v>
      </c>
      <c r="G111" s="382"/>
      <c r="H111" s="358"/>
      <c r="I111" s="358"/>
      <c r="J111" s="385"/>
    </row>
    <row r="112" spans="2:11" x14ac:dyDescent="0.2">
      <c r="B112" s="98" t="s">
        <v>149</v>
      </c>
      <c r="C112" s="282">
        <f>C56-C111</f>
        <v>0</v>
      </c>
      <c r="D112" s="282">
        <f>D56-D111</f>
        <v>0</v>
      </c>
      <c r="E112" s="128" t="s">
        <v>16</v>
      </c>
      <c r="G112" s="664" t="s">
        <v>571</v>
      </c>
      <c r="H112" s="665"/>
      <c r="I112" s="665"/>
      <c r="J112" s="668" t="str">
        <f>IF(G109&gt;G108, "Yes", "No")</f>
        <v>No</v>
      </c>
    </row>
    <row r="113" spans="2:10" x14ac:dyDescent="0.2">
      <c r="B113" s="120" t="str">
        <f>CONCATENATE("",E1-2,"/",E1-1,"/",E1," Budget Authority Amount:")</f>
        <v>2023/2024/2025 Budget Authority Amount:</v>
      </c>
      <c r="C113" s="214">
        <f>inputOth!B34</f>
        <v>0</v>
      </c>
      <c r="D113" s="214">
        <f>inputPrYr!D19</f>
        <v>0</v>
      </c>
      <c r="E113" s="164">
        <f>E111</f>
        <v>0</v>
      </c>
      <c r="F113" s="206"/>
      <c r="G113" s="666"/>
      <c r="H113" s="667"/>
      <c r="I113" s="667"/>
      <c r="J113" s="669"/>
    </row>
    <row r="114" spans="2:10" x14ac:dyDescent="0.2">
      <c r="B114" s="182"/>
      <c r="C114" s="651" t="s">
        <v>319</v>
      </c>
      <c r="D114" s="652"/>
      <c r="E114" s="51"/>
      <c r="F114" s="303" t="str">
        <f>IF(E111/0.95-E111&lt;E114,"Exceeds 5%","")</f>
        <v/>
      </c>
      <c r="G114" s="670" t="str">
        <f>IF(J112="Yes", "Follow procedure prescribed by KSA 79-2988 to exceed the Revenue Neutral Rate.", " ")</f>
        <v xml:space="preserve"> </v>
      </c>
      <c r="H114" s="670"/>
      <c r="I114" s="670"/>
      <c r="J114" s="670"/>
    </row>
    <row r="115" spans="2:10" x14ac:dyDescent="0.2">
      <c r="B115" s="304" t="str">
        <f>CONCATENATE(C132,"     ",D132)</f>
        <v xml:space="preserve">     </v>
      </c>
      <c r="C115" s="653" t="s">
        <v>320</v>
      </c>
      <c r="D115" s="654"/>
      <c r="E115" s="164">
        <f>E111+E114</f>
        <v>0</v>
      </c>
      <c r="G115" s="671"/>
      <c r="H115" s="671"/>
      <c r="I115" s="671"/>
      <c r="J115" s="671"/>
    </row>
    <row r="116" spans="2:10" x14ac:dyDescent="0.2">
      <c r="B116" s="304" t="str">
        <f>CONCATENATE(C133,"     ",D133)</f>
        <v xml:space="preserve">     </v>
      </c>
      <c r="C116" s="207"/>
      <c r="D116" s="63" t="s">
        <v>45</v>
      </c>
      <c r="E116" s="164">
        <f>IF(E115-E56&gt;0,E115-E56,0)</f>
        <v>0</v>
      </c>
      <c r="G116" s="671"/>
      <c r="H116" s="671"/>
      <c r="I116" s="671"/>
      <c r="J116" s="671"/>
    </row>
    <row r="117" spans="2:10" x14ac:dyDescent="0.2">
      <c r="B117" s="182"/>
      <c r="C117" s="293" t="s">
        <v>321</v>
      </c>
      <c r="D117" s="396">
        <f>inputOth!$E$25</f>
        <v>0</v>
      </c>
      <c r="E117" s="164">
        <f>IF(D117&gt;0,(E116*D117),0)</f>
        <v>0</v>
      </c>
    </row>
    <row r="118" spans="2:10" x14ac:dyDescent="0.2">
      <c r="B118" s="32"/>
      <c r="C118" s="649" t="str">
        <f>CONCATENATE("Amount of  ",$E$1-1," Ad Valorem Tax")</f>
        <v>Amount of  2024 Ad Valorem Tax</v>
      </c>
      <c r="D118" s="650"/>
      <c r="E118" s="164">
        <f>E116+E117</f>
        <v>0</v>
      </c>
    </row>
    <row r="119" spans="2:10" x14ac:dyDescent="0.2">
      <c r="B119" s="32"/>
      <c r="C119" s="182"/>
      <c r="D119" s="182"/>
      <c r="E119" s="182"/>
    </row>
    <row r="120" spans="2:10" x14ac:dyDescent="0.2">
      <c r="B120" s="446" t="s">
        <v>380</v>
      </c>
      <c r="C120" s="456"/>
      <c r="D120" s="456"/>
      <c r="E120" s="457"/>
    </row>
    <row r="121" spans="2:10" x14ac:dyDescent="0.2">
      <c r="B121" s="183"/>
      <c r="C121" s="182"/>
      <c r="D121" s="182"/>
      <c r="E121" s="458"/>
    </row>
    <row r="122" spans="2:10" x14ac:dyDescent="0.2">
      <c r="B122" s="447"/>
      <c r="C122" s="53"/>
      <c r="D122" s="53"/>
      <c r="E122" s="60"/>
    </row>
    <row r="123" spans="2:10" x14ac:dyDescent="0.2">
      <c r="B123" s="40"/>
      <c r="C123" s="40" t="str">
        <f>CONCATENATE("Page No. ",C61,"a")</f>
        <v>Page No. a</v>
      </c>
      <c r="D123" s="120"/>
      <c r="E123" s="40"/>
    </row>
    <row r="129" spans="3:4" hidden="1" x14ac:dyDescent="0.2"/>
    <row r="130" spans="3:4" hidden="1" x14ac:dyDescent="0.2"/>
    <row r="132" spans="3:4" x14ac:dyDescent="0.2">
      <c r="C132" s="27" t="str">
        <f>IF(C111&gt;C113,"See Tab A","")</f>
        <v/>
      </c>
      <c r="D132" s="27" t="str">
        <f>IF(D111&gt;D113,"See Tab C","")</f>
        <v/>
      </c>
    </row>
    <row r="133" spans="3:4" x14ac:dyDescent="0.2">
      <c r="C133" s="27" t="str">
        <f>IF(C112&lt;0,"See Tab B","")</f>
        <v/>
      </c>
      <c r="D133" s="27" t="str">
        <f>IF(D112&lt;0,"See Tab D","")</f>
        <v/>
      </c>
    </row>
  </sheetData>
  <sheetProtection sheet="1" objects="1" scenarios="1"/>
  <mergeCells count="9">
    <mergeCell ref="C114:D114"/>
    <mergeCell ref="C115:D115"/>
    <mergeCell ref="G94:J94"/>
    <mergeCell ref="C118:D118"/>
    <mergeCell ref="G87:J87"/>
    <mergeCell ref="G104:J105"/>
    <mergeCell ref="G112:I113"/>
    <mergeCell ref="J112:J113"/>
    <mergeCell ref="G114:J116"/>
  </mergeCells>
  <phoneticPr fontId="10" type="noConversion"/>
  <conditionalFormatting sqref="C53">
    <cfRule type="cellIs" dxfId="319" priority="4" stopIfTrue="1" operator="greaterThan">
      <formula>$C$55*0.1</formula>
    </cfRule>
  </conditionalFormatting>
  <conditionalFormatting sqref="C109">
    <cfRule type="cellIs" dxfId="318" priority="9" stopIfTrue="1" operator="greaterThan">
      <formula>$C$111*0.1</formula>
    </cfRule>
  </conditionalFormatting>
  <conditionalFormatting sqref="C111">
    <cfRule type="cellIs" dxfId="317" priority="11" stopIfTrue="1" operator="greaterThan">
      <formula>$C$113</formula>
    </cfRule>
  </conditionalFormatting>
  <conditionalFormatting sqref="C112">
    <cfRule type="cellIs" dxfId="316" priority="13" stopIfTrue="1" operator="lessThan">
      <formula>0</formula>
    </cfRule>
  </conditionalFormatting>
  <conditionalFormatting sqref="D53">
    <cfRule type="cellIs" dxfId="315" priority="5" stopIfTrue="1" operator="greaterThan">
      <formula>$D$55*0.1</formula>
    </cfRule>
  </conditionalFormatting>
  <conditionalFormatting sqref="D109">
    <cfRule type="cellIs" dxfId="314" priority="10" stopIfTrue="1" operator="greaterThan">
      <formula>$D$111*0.1</formula>
    </cfRule>
  </conditionalFormatting>
  <conditionalFormatting sqref="D111">
    <cfRule type="cellIs" dxfId="313" priority="12" stopIfTrue="1" operator="greaterThan">
      <formula>$D$113</formula>
    </cfRule>
  </conditionalFormatting>
  <conditionalFormatting sqref="D112">
    <cfRule type="cellIs" dxfId="312" priority="3" stopIfTrue="1" operator="lessThan">
      <formula>0</formula>
    </cfRule>
  </conditionalFormatting>
  <conditionalFormatting sqref="E53">
    <cfRule type="cellIs" dxfId="311" priority="8" stopIfTrue="1" operator="greaterThan">
      <formula>$E$55*0.1+E118</formula>
    </cfRule>
  </conditionalFormatting>
  <conditionalFormatting sqref="E109">
    <cfRule type="cellIs" dxfId="310" priority="6" stopIfTrue="1" operator="greaterThan">
      <formula>$E$111*0.1</formula>
    </cfRule>
  </conditionalFormatting>
  <conditionalFormatting sqref="E111">
    <cfRule type="cellIs" dxfId="309" priority="1" stopIfTrue="1" operator="lessThan">
      <formula>0</formula>
    </cfRule>
  </conditionalFormatting>
  <conditionalFormatting sqref="E114">
    <cfRule type="cellIs" dxfId="308" priority="7" stopIfTrue="1" operator="greaterThan">
      <formula>$E$111/0.95-$E$111</formula>
    </cfRule>
  </conditionalFormatting>
  <conditionalFormatting sqref="J112">
    <cfRule type="containsText" dxfId="307" priority="2" operator="containsText" text="Yes">
      <formula>NOT(ISERROR(SEARCH("Yes",J112)))</formula>
    </cfRule>
  </conditionalFormatting>
  <pageMargins left="0.75" right="0.75" top="1" bottom="1" header="0.5" footer="0.5"/>
  <pageSetup scale="65" fitToHeight="2" orientation="portrait" blackAndWhite="1" r:id="rId1"/>
  <headerFooter alignWithMargins="0">
    <oddHeader>&amp;RState of Kansas
County</oddHeader>
  </headerFooter>
  <rowBreaks count="1" manualBreakCount="1">
    <brk id="6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00B0F0"/>
    <pageSetUpPr fitToPage="1"/>
  </sheetPr>
  <dimension ref="A1:D46"/>
  <sheetViews>
    <sheetView workbookViewId="0">
      <selection activeCell="E1" sqref="E1"/>
    </sheetView>
  </sheetViews>
  <sheetFormatPr defaultRowHeight="15.75" x14ac:dyDescent="0.2"/>
  <cols>
    <col min="1" max="1" width="28.33203125" style="27" customWidth="1"/>
    <col min="2" max="3" width="15.77734375" style="27" customWidth="1"/>
    <col min="4" max="4" width="16.21875" style="27" customWidth="1"/>
    <col min="5" max="16384" width="8.88671875" style="27"/>
  </cols>
  <sheetData>
    <row r="1" spans="1:4" x14ac:dyDescent="0.2">
      <c r="A1" s="73">
        <f>inputPrYr!C3</f>
        <v>0</v>
      </c>
      <c r="B1" s="32"/>
      <c r="C1" s="120"/>
      <c r="D1" s="32">
        <f>inputPrYr!C5</f>
        <v>2025</v>
      </c>
    </row>
    <row r="2" spans="1:4" x14ac:dyDescent="0.2">
      <c r="A2" s="32"/>
      <c r="B2" s="32"/>
      <c r="C2" s="32"/>
      <c r="D2" s="120"/>
    </row>
    <row r="3" spans="1:4" x14ac:dyDescent="0.2">
      <c r="A3" s="133" t="s">
        <v>223</v>
      </c>
      <c r="B3" s="200"/>
      <c r="C3" s="200"/>
      <c r="D3" s="200"/>
    </row>
    <row r="4" spans="1:4" x14ac:dyDescent="0.2">
      <c r="A4" s="120" t="s">
        <v>30</v>
      </c>
      <c r="B4" s="353" t="s">
        <v>346</v>
      </c>
      <c r="C4" s="354" t="s">
        <v>347</v>
      </c>
      <c r="D4" s="95" t="s">
        <v>348</v>
      </c>
    </row>
    <row r="5" spans="1:4" x14ac:dyDescent="0.2">
      <c r="A5" s="297" t="s">
        <v>322</v>
      </c>
      <c r="B5" s="283" t="str">
        <f>CONCATENATE("Actual for ",D1-2,"")</f>
        <v>Actual for 2023</v>
      </c>
      <c r="C5" s="283" t="str">
        <f>CONCATENATE("Estimate for ",D1-1,"")</f>
        <v>Estimate for 2024</v>
      </c>
      <c r="D5" s="190" t="str">
        <f>CONCATENATE("Year for ",D1,"")</f>
        <v>Year for 2025</v>
      </c>
    </row>
    <row r="6" spans="1:4" x14ac:dyDescent="0.2">
      <c r="A6" s="161" t="s">
        <v>43</v>
      </c>
      <c r="B6" s="64"/>
      <c r="C6" s="64"/>
      <c r="D6" s="64"/>
    </row>
    <row r="7" spans="1:4" x14ac:dyDescent="0.2">
      <c r="A7" s="221" t="s">
        <v>224</v>
      </c>
      <c r="B7" s="64"/>
      <c r="C7" s="64"/>
      <c r="D7" s="64"/>
    </row>
    <row r="8" spans="1:4" x14ac:dyDescent="0.2">
      <c r="A8" s="222" t="s">
        <v>49</v>
      </c>
      <c r="B8" s="194"/>
      <c r="C8" s="194"/>
      <c r="D8" s="194"/>
    </row>
    <row r="9" spans="1:4" x14ac:dyDescent="0.2">
      <c r="A9" s="222" t="s">
        <v>50</v>
      </c>
      <c r="B9" s="194"/>
      <c r="C9" s="194"/>
      <c r="D9" s="194"/>
    </row>
    <row r="10" spans="1:4" x14ac:dyDescent="0.2">
      <c r="A10" s="222" t="s">
        <v>51</v>
      </c>
      <c r="B10" s="194"/>
      <c r="C10" s="194"/>
      <c r="D10" s="194"/>
    </row>
    <row r="11" spans="1:4" x14ac:dyDescent="0.2">
      <c r="A11" s="222" t="s">
        <v>52</v>
      </c>
      <c r="B11" s="194"/>
      <c r="C11" s="194"/>
      <c r="D11" s="194"/>
    </row>
    <row r="12" spans="1:4" x14ac:dyDescent="0.2">
      <c r="A12" s="161" t="s">
        <v>2</v>
      </c>
      <c r="B12" s="164">
        <f>SUM(B8:B11)</f>
        <v>0</v>
      </c>
      <c r="C12" s="164">
        <f>SUM(C8:C11)</f>
        <v>0</v>
      </c>
      <c r="D12" s="164">
        <f>SUM(D8:D11)</f>
        <v>0</v>
      </c>
    </row>
    <row r="13" spans="1:4" x14ac:dyDescent="0.2">
      <c r="A13" s="221" t="s">
        <v>225</v>
      </c>
      <c r="B13" s="64"/>
      <c r="C13" s="64"/>
      <c r="D13" s="64"/>
    </row>
    <row r="14" spans="1:4" x14ac:dyDescent="0.2">
      <c r="A14" s="222" t="s">
        <v>49</v>
      </c>
      <c r="B14" s="194"/>
      <c r="C14" s="194"/>
      <c r="D14" s="194"/>
    </row>
    <row r="15" spans="1:4" x14ac:dyDescent="0.2">
      <c r="A15" s="222" t="s">
        <v>50</v>
      </c>
      <c r="B15" s="194"/>
      <c r="C15" s="194"/>
      <c r="D15" s="194"/>
    </row>
    <row r="16" spans="1:4" x14ac:dyDescent="0.2">
      <c r="A16" s="222" t="s">
        <v>51</v>
      </c>
      <c r="B16" s="194"/>
      <c r="C16" s="194"/>
      <c r="D16" s="194"/>
    </row>
    <row r="17" spans="1:4" x14ac:dyDescent="0.2">
      <c r="A17" s="222" t="s">
        <v>52</v>
      </c>
      <c r="B17" s="194"/>
      <c r="C17" s="194"/>
      <c r="D17" s="194"/>
    </row>
    <row r="18" spans="1:4" x14ac:dyDescent="0.2">
      <c r="A18" s="161" t="s">
        <v>2</v>
      </c>
      <c r="B18" s="164">
        <f>SUM(B14:B17)</f>
        <v>0</v>
      </c>
      <c r="C18" s="164">
        <f>SUM(C14:C17)</f>
        <v>0</v>
      </c>
      <c r="D18" s="164">
        <f>SUM(D14:D17)</f>
        <v>0</v>
      </c>
    </row>
    <row r="19" spans="1:4" x14ac:dyDescent="0.2">
      <c r="A19" s="221" t="s">
        <v>226</v>
      </c>
      <c r="B19" s="64"/>
      <c r="C19" s="64"/>
      <c r="D19" s="64"/>
    </row>
    <row r="20" spans="1:4" x14ac:dyDescent="0.2">
      <c r="A20" s="222" t="s">
        <v>49</v>
      </c>
      <c r="B20" s="194"/>
      <c r="C20" s="194"/>
      <c r="D20" s="194"/>
    </row>
    <row r="21" spans="1:4" x14ac:dyDescent="0.2">
      <c r="A21" s="222" t="s">
        <v>50</v>
      </c>
      <c r="B21" s="194"/>
      <c r="C21" s="194"/>
      <c r="D21" s="194"/>
    </row>
    <row r="22" spans="1:4" x14ac:dyDescent="0.2">
      <c r="A22" s="222" t="s">
        <v>51</v>
      </c>
      <c r="B22" s="194"/>
      <c r="C22" s="194"/>
      <c r="D22" s="194"/>
    </row>
    <row r="23" spans="1:4" x14ac:dyDescent="0.2">
      <c r="A23" s="222" t="s">
        <v>52</v>
      </c>
      <c r="B23" s="194"/>
      <c r="C23" s="194"/>
      <c r="D23" s="194"/>
    </row>
    <row r="24" spans="1:4" x14ac:dyDescent="0.2">
      <c r="A24" s="161" t="s">
        <v>2</v>
      </c>
      <c r="B24" s="164">
        <f>SUM(B20:B23)</f>
        <v>0</v>
      </c>
      <c r="C24" s="164">
        <f>SUM(C20:C23)</f>
        <v>0</v>
      </c>
      <c r="D24" s="164">
        <f>SUM(D20:D23)</f>
        <v>0</v>
      </c>
    </row>
    <row r="25" spans="1:4" x14ac:dyDescent="0.2">
      <c r="A25" s="221" t="s">
        <v>227</v>
      </c>
      <c r="B25" s="64"/>
      <c r="C25" s="64"/>
      <c r="D25" s="64"/>
    </row>
    <row r="26" spans="1:4" x14ac:dyDescent="0.2">
      <c r="A26" s="222" t="s">
        <v>49</v>
      </c>
      <c r="B26" s="194"/>
      <c r="C26" s="194"/>
      <c r="D26" s="194"/>
    </row>
    <row r="27" spans="1:4" x14ac:dyDescent="0.2">
      <c r="A27" s="222" t="s">
        <v>50</v>
      </c>
      <c r="B27" s="194"/>
      <c r="C27" s="194"/>
      <c r="D27" s="194"/>
    </row>
    <row r="28" spans="1:4" x14ac:dyDescent="0.2">
      <c r="A28" s="222" t="s">
        <v>51</v>
      </c>
      <c r="B28" s="194"/>
      <c r="C28" s="194"/>
      <c r="D28" s="194"/>
    </row>
    <row r="29" spans="1:4" x14ac:dyDescent="0.2">
      <c r="A29" s="222" t="s">
        <v>52</v>
      </c>
      <c r="B29" s="194"/>
      <c r="C29" s="194"/>
      <c r="D29" s="194"/>
    </row>
    <row r="30" spans="1:4" x14ac:dyDescent="0.2">
      <c r="A30" s="161" t="s">
        <v>2</v>
      </c>
      <c r="B30" s="164">
        <f>SUM(B26:B29)</f>
        <v>0</v>
      </c>
      <c r="C30" s="164">
        <f>SUM(C26:C29)</f>
        <v>0</v>
      </c>
      <c r="D30" s="164">
        <f>SUM(D26:D29)</f>
        <v>0</v>
      </c>
    </row>
    <row r="31" spans="1:4" x14ac:dyDescent="0.2">
      <c r="A31" s="221" t="s">
        <v>228</v>
      </c>
      <c r="B31" s="64"/>
      <c r="C31" s="64"/>
      <c r="D31" s="64"/>
    </row>
    <row r="32" spans="1:4" x14ac:dyDescent="0.2">
      <c r="A32" s="222" t="s">
        <v>49</v>
      </c>
      <c r="B32" s="194"/>
      <c r="C32" s="194"/>
      <c r="D32" s="194"/>
    </row>
    <row r="33" spans="1:4" x14ac:dyDescent="0.2">
      <c r="A33" s="222" t="s">
        <v>50</v>
      </c>
      <c r="B33" s="194"/>
      <c r="C33" s="194"/>
      <c r="D33" s="194"/>
    </row>
    <row r="34" spans="1:4" x14ac:dyDescent="0.2">
      <c r="A34" s="222" t="s">
        <v>51</v>
      </c>
      <c r="B34" s="194"/>
      <c r="C34" s="194"/>
      <c r="D34" s="194"/>
    </row>
    <row r="35" spans="1:4" x14ac:dyDescent="0.2">
      <c r="A35" s="222" t="s">
        <v>52</v>
      </c>
      <c r="B35" s="194"/>
      <c r="C35" s="194"/>
      <c r="D35" s="194"/>
    </row>
    <row r="36" spans="1:4" x14ac:dyDescent="0.2">
      <c r="A36" s="161" t="s">
        <v>2</v>
      </c>
      <c r="B36" s="164">
        <f>SUM(B32:B35)</f>
        <v>0</v>
      </c>
      <c r="C36" s="164">
        <f>SUM(C32:C35)</f>
        <v>0</v>
      </c>
      <c r="D36" s="164">
        <f>SUM(D32:D35)</f>
        <v>0</v>
      </c>
    </row>
    <row r="37" spans="1:4" x14ac:dyDescent="0.2">
      <c r="A37" s="221" t="s">
        <v>95</v>
      </c>
      <c r="B37" s="64"/>
      <c r="C37" s="64"/>
      <c r="D37" s="64"/>
    </row>
    <row r="38" spans="1:4" x14ac:dyDescent="0.2">
      <c r="A38" s="222" t="s">
        <v>49</v>
      </c>
      <c r="B38" s="194"/>
      <c r="C38" s="194"/>
      <c r="D38" s="194"/>
    </row>
    <row r="39" spans="1:4" x14ac:dyDescent="0.2">
      <c r="A39" s="222" t="s">
        <v>50</v>
      </c>
      <c r="B39" s="194"/>
      <c r="C39" s="194"/>
      <c r="D39" s="194"/>
    </row>
    <row r="40" spans="1:4" x14ac:dyDescent="0.2">
      <c r="A40" s="222" t="s">
        <v>51</v>
      </c>
      <c r="B40" s="194"/>
      <c r="C40" s="194"/>
      <c r="D40" s="194"/>
    </row>
    <row r="41" spans="1:4" x14ac:dyDescent="0.2">
      <c r="A41" s="222" t="s">
        <v>52</v>
      </c>
      <c r="B41" s="194"/>
      <c r="C41" s="194"/>
      <c r="D41" s="194"/>
    </row>
    <row r="42" spans="1:4" x14ac:dyDescent="0.2">
      <c r="A42" s="161" t="s">
        <v>2</v>
      </c>
      <c r="B42" s="164">
        <f>SUM(B38:B41)</f>
        <v>0</v>
      </c>
      <c r="C42" s="164">
        <f>SUM(C38:C41)</f>
        <v>0</v>
      </c>
      <c r="D42" s="164">
        <f>SUM(D38:D41)</f>
        <v>0</v>
      </c>
    </row>
    <row r="43" spans="1:4" x14ac:dyDescent="0.2">
      <c r="A43" s="32" t="s">
        <v>203</v>
      </c>
      <c r="B43" s="202">
        <f>SUM(B12+B18+B24+B30+B36+B42)</f>
        <v>0</v>
      </c>
      <c r="C43" s="202">
        <f>SUM(C12+C18+C24+C30+C36+C42)</f>
        <v>0</v>
      </c>
      <c r="D43" s="202">
        <f>SUM(D12+D18+D24+D30+D36+D42)</f>
        <v>0</v>
      </c>
    </row>
    <row r="44" spans="1:4" x14ac:dyDescent="0.2">
      <c r="A44" s="32"/>
      <c r="B44" s="32"/>
      <c r="C44" s="32"/>
      <c r="D44" s="32"/>
    </row>
    <row r="45" spans="1:4" x14ac:dyDescent="0.2">
      <c r="A45" s="673" t="s">
        <v>211</v>
      </c>
      <c r="B45" s="673"/>
      <c r="C45" s="673"/>
      <c r="D45" s="673"/>
    </row>
    <row r="46" spans="1:4" x14ac:dyDescent="0.2">
      <c r="A46" s="182"/>
      <c r="B46" s="42" t="str">
        <f>CONCATENATE("Page No. ",'Road &amp; Bridge'!C61,"b")</f>
        <v>Page No. b</v>
      </c>
      <c r="C46" s="32"/>
      <c r="D46" s="32"/>
    </row>
  </sheetData>
  <sheetProtection sheet="1"/>
  <mergeCells count="1">
    <mergeCell ref="A45:D45"/>
  </mergeCells>
  <phoneticPr fontId="0" type="noConversion"/>
  <pageMargins left="1.1200000000000001" right="0.5" top="0.74" bottom="0.34" header="0.5" footer="0"/>
  <pageSetup scale="93" orientation="portrait" blackAndWhite="1" horizontalDpi="300" verticalDpi="300" r:id="rId1"/>
  <headerFooter alignWithMargins="0">
    <oddHeader xml:space="preserve">&amp;RState of Kansas
County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00B0F0"/>
    <pageSetUpPr fitToPage="1"/>
  </sheetPr>
  <dimension ref="A1:J98"/>
  <sheetViews>
    <sheetView zoomScaleNormal="100" workbookViewId="0">
      <selection activeCell="B73" sqref="B73:D73"/>
    </sheetView>
  </sheetViews>
  <sheetFormatPr defaultRowHeight="15.75" x14ac:dyDescent="0.2"/>
  <cols>
    <col min="1" max="1" width="31.109375" style="27" customWidth="1"/>
    <col min="2" max="3" width="15.77734375" style="27" customWidth="1"/>
    <col min="4" max="4" width="16.44140625" style="27" customWidth="1"/>
    <col min="5" max="5" width="8.109375" style="27" customWidth="1"/>
    <col min="6" max="6" width="10.21875" style="27" customWidth="1"/>
    <col min="7" max="7" width="8.88671875" style="27"/>
    <col min="8" max="8" width="5.77734375" style="27" customWidth="1"/>
    <col min="9" max="9" width="10" style="27" customWidth="1"/>
    <col min="10" max="16384" width="8.88671875" style="27"/>
  </cols>
  <sheetData>
    <row r="1" spans="1:9" x14ac:dyDescent="0.2">
      <c r="A1" s="73">
        <f>(inputPrYr!C3)</f>
        <v>0</v>
      </c>
      <c r="B1" s="32"/>
      <c r="C1" s="32"/>
      <c r="D1" s="182">
        <f>inputPrYr!C5</f>
        <v>2025</v>
      </c>
    </row>
    <row r="2" spans="1:9" x14ac:dyDescent="0.2">
      <c r="A2" s="32"/>
      <c r="B2" s="32"/>
      <c r="C2" s="32"/>
      <c r="D2" s="63"/>
    </row>
    <row r="3" spans="1:9" x14ac:dyDescent="0.2">
      <c r="A3" s="302" t="s">
        <v>138</v>
      </c>
      <c r="B3" s="91"/>
      <c r="C3" s="91"/>
      <c r="D3" s="91"/>
    </row>
    <row r="4" spans="1:9" x14ac:dyDescent="0.2">
      <c r="A4" s="31" t="s">
        <v>30</v>
      </c>
      <c r="B4" s="353" t="s">
        <v>346</v>
      </c>
      <c r="C4" s="354" t="s">
        <v>347</v>
      </c>
      <c r="D4" s="95" t="s">
        <v>348</v>
      </c>
    </row>
    <row r="5" spans="1:9" x14ac:dyDescent="0.2">
      <c r="A5" s="296">
        <f>inputPrYr!$B$20</f>
        <v>0</v>
      </c>
      <c r="B5" s="283" t="str">
        <f>CONCATENATE("Actual for ",D1-2,"")</f>
        <v>Actual for 2023</v>
      </c>
      <c r="C5" s="283" t="str">
        <f>CONCATENATE("Estimate for ",D1-1,"")</f>
        <v>Estimate for 2024</v>
      </c>
      <c r="D5" s="190" t="str">
        <f>CONCATENATE("Year for ",D1,"")</f>
        <v>Year for 2025</v>
      </c>
    </row>
    <row r="6" spans="1:9" x14ac:dyDescent="0.2">
      <c r="A6" s="98" t="s">
        <v>148</v>
      </c>
      <c r="B6" s="300"/>
      <c r="C6" s="282">
        <f>B35</f>
        <v>0</v>
      </c>
      <c r="D6" s="164">
        <f>C35</f>
        <v>0</v>
      </c>
    </row>
    <row r="7" spans="1:9" x14ac:dyDescent="0.2">
      <c r="A7" s="184" t="s">
        <v>150</v>
      </c>
      <c r="B7" s="111"/>
      <c r="C7" s="111"/>
      <c r="D7" s="64"/>
    </row>
    <row r="8" spans="1:9" x14ac:dyDescent="0.2">
      <c r="A8" s="98" t="s">
        <v>31</v>
      </c>
      <c r="B8" s="300"/>
      <c r="C8" s="282">
        <f>IF(inputPrYr!H19&gt;0,inputPrYr!H19,inputPrYr!E20)</f>
        <v>0</v>
      </c>
      <c r="D8" s="212" t="s">
        <v>16</v>
      </c>
    </row>
    <row r="9" spans="1:9" x14ac:dyDescent="0.2">
      <c r="A9" s="98" t="s">
        <v>32</v>
      </c>
      <c r="B9" s="300"/>
      <c r="C9" s="300"/>
      <c r="D9" s="51"/>
    </row>
    <row r="10" spans="1:9" x14ac:dyDescent="0.2">
      <c r="A10" s="98" t="s">
        <v>33</v>
      </c>
      <c r="B10" s="300"/>
      <c r="C10" s="300"/>
      <c r="D10" s="164" t="str">
        <f>Mvalloc!D11</f>
        <v xml:space="preserve"> </v>
      </c>
    </row>
    <row r="11" spans="1:9" x14ac:dyDescent="0.2">
      <c r="A11" s="98" t="s">
        <v>34</v>
      </c>
      <c r="B11" s="300"/>
      <c r="C11" s="300"/>
      <c r="D11" s="164" t="str">
        <f>Mvalloc!E11</f>
        <v xml:space="preserve"> </v>
      </c>
      <c r="F11" s="655" t="str">
        <f>CONCATENATE("Desired Carryover Into ",D1+1,"")</f>
        <v>Desired Carryover Into 2026</v>
      </c>
      <c r="G11" s="656"/>
      <c r="H11" s="656"/>
      <c r="I11" s="657"/>
    </row>
    <row r="12" spans="1:9" x14ac:dyDescent="0.2">
      <c r="A12" s="111" t="s">
        <v>131</v>
      </c>
      <c r="B12" s="300"/>
      <c r="C12" s="300"/>
      <c r="D12" s="164" t="str">
        <f>Mvalloc!F11</f>
        <v xml:space="preserve"> </v>
      </c>
      <c r="F12" s="357"/>
      <c r="G12" s="358"/>
      <c r="H12" s="359"/>
      <c r="I12" s="360"/>
    </row>
    <row r="13" spans="1:9" x14ac:dyDescent="0.2">
      <c r="A13" s="191" t="s">
        <v>374</v>
      </c>
      <c r="B13" s="300"/>
      <c r="C13" s="300"/>
      <c r="D13" s="164" t="str">
        <f>Mvalloc!G11</f>
        <v xml:space="preserve"> </v>
      </c>
      <c r="F13" s="361" t="s">
        <v>327</v>
      </c>
      <c r="G13" s="359"/>
      <c r="H13" s="359"/>
      <c r="I13" s="362">
        <v>0</v>
      </c>
    </row>
    <row r="14" spans="1:9" x14ac:dyDescent="0.2">
      <c r="A14" s="191" t="s">
        <v>375</v>
      </c>
      <c r="B14" s="300"/>
      <c r="C14" s="300"/>
      <c r="D14" s="164" t="str">
        <f>Mvalloc!H11</f>
        <v xml:space="preserve"> </v>
      </c>
      <c r="F14" s="357" t="s">
        <v>328</v>
      </c>
      <c r="G14" s="358"/>
      <c r="H14" s="358"/>
      <c r="I14" s="363" t="str">
        <f>IF(I13=0,"",ROUND((I13+D41-F26)/inputOth!E5*1000,3)-F31)</f>
        <v/>
      </c>
    </row>
    <row r="15" spans="1:9" x14ac:dyDescent="0.2">
      <c r="A15" s="205"/>
      <c r="B15" s="300"/>
      <c r="C15" s="300"/>
      <c r="D15" s="51"/>
      <c r="F15" s="364" t="str">
        <f>CONCATENATE("",D1," Tot Exp/Non-Appr Must Be:")</f>
        <v>2025 Tot Exp/Non-Appr Must Be:</v>
      </c>
      <c r="G15" s="365"/>
      <c r="H15" s="366"/>
      <c r="I15" s="367">
        <f>IF(I13&gt;0,IF(D38&lt;D23,IF(I13=F26,D38,((I13-F26)*(1-C40))+D23),D38+(I13-F26)),0)</f>
        <v>0</v>
      </c>
    </row>
    <row r="16" spans="1:9" x14ac:dyDescent="0.2">
      <c r="A16" s="205"/>
      <c r="B16" s="300"/>
      <c r="C16" s="300"/>
      <c r="D16" s="51"/>
      <c r="F16" s="368" t="s">
        <v>349</v>
      </c>
      <c r="G16" s="369"/>
      <c r="H16" s="369"/>
      <c r="I16" s="370">
        <f>IF(I13&gt;0,I15-D38,0)</f>
        <v>0</v>
      </c>
    </row>
    <row r="17" spans="1:10" x14ac:dyDescent="0.25">
      <c r="A17" s="205"/>
      <c r="B17" s="300"/>
      <c r="C17" s="300"/>
      <c r="D17" s="51"/>
      <c r="F17" s="371"/>
      <c r="G17" s="371"/>
      <c r="H17" s="371"/>
      <c r="I17" s="371"/>
    </row>
    <row r="18" spans="1:10" x14ac:dyDescent="0.2">
      <c r="A18" s="195" t="s">
        <v>38</v>
      </c>
      <c r="B18" s="300"/>
      <c r="C18" s="300"/>
      <c r="D18" s="51"/>
      <c r="F18" s="655" t="str">
        <f>CONCATENATE("Projected Carryover Into ",D1+1,"")</f>
        <v>Projected Carryover Into 2026</v>
      </c>
      <c r="G18" s="674"/>
      <c r="H18" s="674"/>
      <c r="I18" s="675"/>
    </row>
    <row r="19" spans="1:10" x14ac:dyDescent="0.2">
      <c r="A19" s="196" t="s">
        <v>218</v>
      </c>
      <c r="B19" s="300"/>
      <c r="C19" s="300"/>
      <c r="D19" s="164">
        <f>'NR Rebate'!E9*-1</f>
        <v>0</v>
      </c>
      <c r="F19" s="357"/>
      <c r="G19" s="359"/>
      <c r="H19" s="359"/>
      <c r="I19" s="372"/>
    </row>
    <row r="20" spans="1:10" x14ac:dyDescent="0.2">
      <c r="A20" s="196" t="s">
        <v>219</v>
      </c>
      <c r="B20" s="300"/>
      <c r="C20" s="300"/>
      <c r="D20" s="51"/>
      <c r="F20" s="373">
        <f>C35</f>
        <v>0</v>
      </c>
      <c r="G20" s="374" t="str">
        <f>CONCATENATE("",D1-1," Ending Cash Balance (est.)")</f>
        <v>2024 Ending Cash Balance (est.)</v>
      </c>
      <c r="H20" s="375"/>
      <c r="I20" s="372"/>
    </row>
    <row r="21" spans="1:10" x14ac:dyDescent="0.2">
      <c r="A21" s="196" t="s">
        <v>221</v>
      </c>
      <c r="B21" s="281" t="str">
        <f>IF(B22*0.1&lt;B20,"Exceed 10% Rule","")</f>
        <v/>
      </c>
      <c r="C21" s="281" t="str">
        <f>IF(C22*0.1&lt;C20,"Exceed 10% Rule","")</f>
        <v/>
      </c>
      <c r="D21" s="217" t="str">
        <f>IF(D22*0.1+D41&lt;D20,"Exceed 10% Rule","")</f>
        <v/>
      </c>
      <c r="F21" s="373">
        <f>D22</f>
        <v>0</v>
      </c>
      <c r="G21" s="359" t="str">
        <f>CONCATENATE("",D1," Non-AV Receipts (est.)")</f>
        <v>2025 Non-AV Receipts (est.)</v>
      </c>
      <c r="H21" s="375"/>
      <c r="I21" s="372"/>
    </row>
    <row r="22" spans="1:10" x14ac:dyDescent="0.2">
      <c r="A22" s="198" t="s">
        <v>39</v>
      </c>
      <c r="B22" s="229">
        <f>SUM(B8:B20)</f>
        <v>0</v>
      </c>
      <c r="C22" s="229">
        <f>SUM(C8:C20)</f>
        <v>0</v>
      </c>
      <c r="D22" s="229">
        <f>SUM(D8:D20)</f>
        <v>0</v>
      </c>
      <c r="F22" s="376">
        <f>IF(D40&gt;0,D39,D41)</f>
        <v>0</v>
      </c>
      <c r="G22" s="359" t="str">
        <f>CONCATENATE("",D1," Ad Valorem Tax (est.)")</f>
        <v>2025 Ad Valorem Tax (est.)</v>
      </c>
      <c r="H22" s="375"/>
      <c r="I22" s="372"/>
      <c r="J22" s="394" t="str">
        <f>IF(F22=D41,"","Note: Does not include Delinquent Taxes")</f>
        <v/>
      </c>
    </row>
    <row r="23" spans="1:10" x14ac:dyDescent="0.2">
      <c r="A23" s="198" t="s">
        <v>40</v>
      </c>
      <c r="B23" s="229">
        <f>B6+B22</f>
        <v>0</v>
      </c>
      <c r="C23" s="229">
        <f>C6+C22</f>
        <v>0</v>
      </c>
      <c r="D23" s="229">
        <f>D6+D22</f>
        <v>0</v>
      </c>
      <c r="F23" s="373">
        <f>SUM(F20:F22)</f>
        <v>0</v>
      </c>
      <c r="G23" s="359" t="str">
        <f>CONCATENATE("Total ",D1," Resources Available")</f>
        <v>Total 2025 Resources Available</v>
      </c>
      <c r="H23" s="375"/>
      <c r="I23" s="372"/>
    </row>
    <row r="24" spans="1:10" x14ac:dyDescent="0.2">
      <c r="A24" s="98" t="s">
        <v>43</v>
      </c>
      <c r="B24" s="196"/>
      <c r="C24" s="196"/>
      <c r="D24" s="108"/>
      <c r="F24" s="377"/>
      <c r="G24" s="359"/>
      <c r="H24" s="359"/>
      <c r="I24" s="372"/>
    </row>
    <row r="25" spans="1:10" x14ac:dyDescent="0.25">
      <c r="A25" s="205"/>
      <c r="B25" s="300"/>
      <c r="C25" s="300"/>
      <c r="D25" s="51"/>
      <c r="F25" s="376">
        <f>ROUND(B34*0.05+B34,0)</f>
        <v>0</v>
      </c>
      <c r="G25" s="359" t="str">
        <f>CONCATENATE("Less ",D1-2," Expenditures + 5%")</f>
        <v>Less 2023 Expenditures + 5%</v>
      </c>
      <c r="H25" s="375"/>
      <c r="I25" s="383"/>
    </row>
    <row r="26" spans="1:10" x14ac:dyDescent="0.2">
      <c r="A26" s="205"/>
      <c r="B26" s="300"/>
      <c r="C26" s="300"/>
      <c r="D26" s="51"/>
      <c r="F26" s="378">
        <f>F23-F25</f>
        <v>0</v>
      </c>
      <c r="G26" s="379" t="str">
        <f>CONCATENATE("Projected ",D1+1," carryover (est.)")</f>
        <v>Projected 2026 carryover (est.)</v>
      </c>
      <c r="H26" s="380"/>
      <c r="I26" s="381"/>
    </row>
    <row r="27" spans="1:10" x14ac:dyDescent="0.25">
      <c r="A27" s="205"/>
      <c r="B27" s="300"/>
      <c r="C27" s="300"/>
      <c r="D27" s="51"/>
      <c r="F27" s="371"/>
      <c r="G27" s="371"/>
      <c r="H27" s="371"/>
      <c r="I27" s="371"/>
    </row>
    <row r="28" spans="1:10" x14ac:dyDescent="0.2">
      <c r="A28" s="205"/>
      <c r="B28" s="300"/>
      <c r="C28" s="300"/>
      <c r="D28" s="51"/>
      <c r="F28" s="658" t="s">
        <v>569</v>
      </c>
      <c r="G28" s="659"/>
      <c r="H28" s="659"/>
      <c r="I28" s="660"/>
    </row>
    <row r="29" spans="1:10" x14ac:dyDescent="0.2">
      <c r="A29" s="205"/>
      <c r="B29" s="300"/>
      <c r="C29" s="300"/>
      <c r="D29" s="51"/>
      <c r="F29" s="661"/>
      <c r="G29" s="662"/>
      <c r="H29" s="662"/>
      <c r="I29" s="663"/>
    </row>
    <row r="30" spans="1:10" x14ac:dyDescent="0.2">
      <c r="A30" s="205"/>
      <c r="B30" s="300"/>
      <c r="C30" s="300"/>
      <c r="D30" s="51"/>
      <c r="F30" s="534" t="str">
        <f>'Budget Hearing Notice'!H19</f>
        <v xml:space="preserve">  </v>
      </c>
      <c r="G30" s="374" t="str">
        <f>CONCATENATE("",D1," Estimated Fund Mill Rate")</f>
        <v>2025 Estimated Fund Mill Rate</v>
      </c>
      <c r="H30" s="535"/>
      <c r="I30" s="536"/>
    </row>
    <row r="31" spans="1:10" x14ac:dyDescent="0.2">
      <c r="A31" s="196" t="str">
        <f>CONCATENATE("Cash Reserve (",D1," column)")</f>
        <v>Cash Reserve (2025 column)</v>
      </c>
      <c r="B31" s="300"/>
      <c r="C31" s="300"/>
      <c r="D31" s="51"/>
      <c r="F31" s="537" t="str">
        <f>'Budget Hearing Notice'!E19</f>
        <v xml:space="preserve">  </v>
      </c>
      <c r="G31" s="374" t="str">
        <f>CONCATENATE("",D1-1," Fund Mill Rate")</f>
        <v>2024 Fund Mill Rate</v>
      </c>
      <c r="H31" s="535"/>
      <c r="I31" s="536"/>
    </row>
    <row r="32" spans="1:10" x14ac:dyDescent="0.2">
      <c r="A32" s="196" t="s">
        <v>219</v>
      </c>
      <c r="B32" s="300"/>
      <c r="C32" s="300"/>
      <c r="D32" s="51"/>
      <c r="F32" s="538">
        <f>'Budget Hearing Notice'!H53</f>
        <v>0</v>
      </c>
      <c r="G32" s="539" t="s">
        <v>570</v>
      </c>
      <c r="H32" s="535"/>
      <c r="I32" s="536"/>
    </row>
    <row r="33" spans="1:9" x14ac:dyDescent="0.2">
      <c r="A33" s="196" t="s">
        <v>220</v>
      </c>
      <c r="B33" s="281" t="str">
        <f>IF(B34*0.1&lt;B32,"Exceed 10% Rule","")</f>
        <v/>
      </c>
      <c r="C33" s="281" t="str">
        <f>IF(C34*0.1&lt;C32,"Exceed 10% Rule","")</f>
        <v/>
      </c>
      <c r="D33" s="217" t="str">
        <f>IF(D34*0.1&lt;D32,"Exceed 10% Rule","")</f>
        <v/>
      </c>
      <c r="F33" s="534">
        <f>'Budget Hearing Notice'!H52</f>
        <v>0</v>
      </c>
      <c r="G33" s="374" t="str">
        <f>CONCATENATE(D1," Estimated Total Mill Rate")</f>
        <v>2025 Estimated Total Mill Rate</v>
      </c>
      <c r="H33" s="535"/>
      <c r="I33" s="536"/>
    </row>
    <row r="34" spans="1:9" x14ac:dyDescent="0.2">
      <c r="A34" s="198" t="s">
        <v>44</v>
      </c>
      <c r="B34" s="229">
        <f>SUM(B25:B32)</f>
        <v>0</v>
      </c>
      <c r="C34" s="229">
        <f>SUM(C25:C32)</f>
        <v>0</v>
      </c>
      <c r="D34" s="229">
        <f>SUM(D25:D32)</f>
        <v>0</v>
      </c>
      <c r="F34" s="540">
        <f>'Budget Hearing Notice'!E52</f>
        <v>0</v>
      </c>
      <c r="G34" s="374" t="str">
        <f>CONCATENATE(D1-1," Total Mill Rate")</f>
        <v>2024 Total Mill Rate</v>
      </c>
      <c r="H34" s="535"/>
      <c r="I34" s="536"/>
    </row>
    <row r="35" spans="1:9" x14ac:dyDescent="0.2">
      <c r="A35" s="98" t="s">
        <v>149</v>
      </c>
      <c r="B35" s="164">
        <f>B23-B34</f>
        <v>0</v>
      </c>
      <c r="C35" s="164">
        <f>C23-C34</f>
        <v>0</v>
      </c>
      <c r="D35" s="212" t="s">
        <v>16</v>
      </c>
      <c r="F35" s="382"/>
      <c r="G35" s="358"/>
      <c r="H35" s="358"/>
      <c r="I35" s="385"/>
    </row>
    <row r="36" spans="1:9" x14ac:dyDescent="0.2">
      <c r="A36" s="120" t="str">
        <f>CONCATENATE("",D1-2,"/",D1-1,"/",D1," Budget Authority Amount:")</f>
        <v>2023/2024/2025 Budget Authority Amount:</v>
      </c>
      <c r="B36" s="214">
        <f>inputOth!B35</f>
        <v>0</v>
      </c>
      <c r="C36" s="214">
        <f>inputPrYr!D20</f>
        <v>0</v>
      </c>
      <c r="D36" s="164">
        <f>D34</f>
        <v>0</v>
      </c>
      <c r="E36" s="206"/>
      <c r="F36" s="664" t="s">
        <v>571</v>
      </c>
      <c r="G36" s="665"/>
      <c r="H36" s="665"/>
      <c r="I36" s="668" t="str">
        <f>IF(F33&gt;F32, "Yes", "No")</f>
        <v>No</v>
      </c>
    </row>
    <row r="37" spans="1:9" x14ac:dyDescent="0.2">
      <c r="A37" s="182"/>
      <c r="B37" s="651" t="s">
        <v>319</v>
      </c>
      <c r="C37" s="652"/>
      <c r="D37" s="51"/>
      <c r="E37" s="303" t="str">
        <f>IF(D34/0.95-D34&lt;D37,"Exceeds 5%","")</f>
        <v/>
      </c>
      <c r="F37" s="666"/>
      <c r="G37" s="667"/>
      <c r="H37" s="667"/>
      <c r="I37" s="669"/>
    </row>
    <row r="38" spans="1:9" x14ac:dyDescent="0.2">
      <c r="A38" s="304" t="str">
        <f>CONCATENATE(B95,"     ",C95)</f>
        <v xml:space="preserve">     </v>
      </c>
      <c r="B38" s="653" t="s">
        <v>320</v>
      </c>
      <c r="C38" s="654"/>
      <c r="D38" s="164">
        <f>D34+D37</f>
        <v>0</v>
      </c>
      <c r="F38" s="670" t="str">
        <f>IF(I36="Yes", "Follow procedure prescribed by KSA 79-2988 to exceed the Revenue Neutral Rate.", " ")</f>
        <v xml:space="preserve"> </v>
      </c>
      <c r="G38" s="670"/>
      <c r="H38" s="670"/>
      <c r="I38" s="670"/>
    </row>
    <row r="39" spans="1:9" x14ac:dyDescent="0.2">
      <c r="A39" s="304" t="str">
        <f>CONCATENATE(B96,"      ",C96)</f>
        <v xml:space="preserve">      </v>
      </c>
      <c r="B39" s="207"/>
      <c r="C39" s="63" t="s">
        <v>45</v>
      </c>
      <c r="D39" s="164">
        <f>IF(D38-D23&gt;0,D38-D23,0)</f>
        <v>0</v>
      </c>
      <c r="F39" s="671"/>
      <c r="G39" s="671"/>
      <c r="H39" s="671"/>
      <c r="I39" s="671"/>
    </row>
    <row r="40" spans="1:9" x14ac:dyDescent="0.2">
      <c r="A40" s="228"/>
      <c r="B40" s="293" t="s">
        <v>321</v>
      </c>
      <c r="C40" s="396">
        <f>inputOth!$E$25</f>
        <v>0</v>
      </c>
      <c r="D40" s="164">
        <f>ROUND(IF(C40&gt;0,(D39*C40),0),0)</f>
        <v>0</v>
      </c>
      <c r="F40" s="671"/>
      <c r="G40" s="671"/>
      <c r="H40" s="671"/>
      <c r="I40" s="671"/>
    </row>
    <row r="41" spans="1:9" x14ac:dyDescent="0.25">
      <c r="A41" s="32"/>
      <c r="B41" s="649" t="str">
        <f>CONCATENATE("Amount of  ",$D$1-1," Ad Valorem Tax")</f>
        <v>Amount of  2024 Ad Valorem Tax</v>
      </c>
      <c r="C41" s="650"/>
      <c r="D41" s="164">
        <f>D39+D40</f>
        <v>0</v>
      </c>
      <c r="F41" s="371"/>
      <c r="G41" s="371"/>
      <c r="H41" s="371"/>
      <c r="I41" s="371"/>
    </row>
    <row r="42" spans="1:9" x14ac:dyDescent="0.25">
      <c r="A42" s="32"/>
      <c r="B42" s="182"/>
      <c r="C42" s="32"/>
      <c r="D42" s="32"/>
      <c r="F42" s="371"/>
      <c r="G42" s="371"/>
      <c r="H42" s="371"/>
      <c r="I42" s="371"/>
    </row>
    <row r="43" spans="1:9" x14ac:dyDescent="0.25">
      <c r="A43" s="32"/>
      <c r="B43" s="182"/>
      <c r="C43" s="32"/>
      <c r="D43" s="32"/>
      <c r="F43" s="371"/>
      <c r="G43" s="371"/>
      <c r="H43" s="371"/>
      <c r="I43" s="371"/>
    </row>
    <row r="44" spans="1:9" x14ac:dyDescent="0.25">
      <c r="A44" s="32"/>
      <c r="B44" s="91"/>
      <c r="C44" s="91"/>
      <c r="D44" s="91"/>
      <c r="F44" s="371"/>
      <c r="G44" s="371"/>
      <c r="H44" s="371"/>
      <c r="I44" s="371"/>
    </row>
    <row r="45" spans="1:9" x14ac:dyDescent="0.25">
      <c r="A45" s="31" t="s">
        <v>30</v>
      </c>
      <c r="B45" s="353" t="str">
        <f t="shared" ref="B45:D46" si="0">B4</f>
        <v xml:space="preserve">Prior Year </v>
      </c>
      <c r="C45" s="354" t="str">
        <f t="shared" si="0"/>
        <v xml:space="preserve">Current Year </v>
      </c>
      <c r="D45" s="95" t="str">
        <f t="shared" si="0"/>
        <v xml:space="preserve">Proposed Budget </v>
      </c>
      <c r="F45" s="371"/>
      <c r="G45" s="371"/>
      <c r="H45" s="371"/>
      <c r="I45" s="371"/>
    </row>
    <row r="46" spans="1:9" x14ac:dyDescent="0.25">
      <c r="A46" s="296">
        <f>inputPrYr!$B$21</f>
        <v>0</v>
      </c>
      <c r="B46" s="283" t="str">
        <f t="shared" si="0"/>
        <v>Actual for 2023</v>
      </c>
      <c r="C46" s="283" t="str">
        <f t="shared" si="0"/>
        <v>Estimate for 2024</v>
      </c>
      <c r="D46" s="162" t="str">
        <f t="shared" si="0"/>
        <v>Year for 2025</v>
      </c>
      <c r="F46" s="371"/>
      <c r="G46" s="371"/>
      <c r="H46" s="371"/>
      <c r="I46" s="371"/>
    </row>
    <row r="47" spans="1:9" x14ac:dyDescent="0.25">
      <c r="A47" s="98" t="s">
        <v>148</v>
      </c>
      <c r="B47" s="300"/>
      <c r="C47" s="282">
        <f>B76</f>
        <v>0</v>
      </c>
      <c r="D47" s="164">
        <f>C76</f>
        <v>0</v>
      </c>
      <c r="F47" s="371"/>
      <c r="G47" s="371"/>
      <c r="H47" s="371"/>
      <c r="I47" s="371"/>
    </row>
    <row r="48" spans="1:9" x14ac:dyDescent="0.25">
      <c r="A48" s="191" t="s">
        <v>150</v>
      </c>
      <c r="B48" s="111"/>
      <c r="C48" s="111"/>
      <c r="D48" s="64"/>
      <c r="F48" s="371"/>
      <c r="G48" s="371"/>
      <c r="H48" s="371"/>
      <c r="I48" s="371"/>
    </row>
    <row r="49" spans="1:10" x14ac:dyDescent="0.25">
      <c r="A49" s="98" t="s">
        <v>31</v>
      </c>
      <c r="B49" s="300"/>
      <c r="C49" s="282">
        <f>IF(inputPrYr!H20&gt;0,inputPrYr!H20,inputPrYr!E21)</f>
        <v>0</v>
      </c>
      <c r="D49" s="212" t="s">
        <v>16</v>
      </c>
      <c r="F49" s="371"/>
      <c r="G49" s="371"/>
      <c r="H49" s="371"/>
      <c r="I49" s="371"/>
    </row>
    <row r="50" spans="1:10" x14ac:dyDescent="0.25">
      <c r="A50" s="98" t="s">
        <v>32</v>
      </c>
      <c r="B50" s="300"/>
      <c r="C50" s="300"/>
      <c r="D50" s="51"/>
      <c r="F50" s="371"/>
      <c r="G50" s="371"/>
      <c r="H50" s="371"/>
      <c r="I50" s="371"/>
    </row>
    <row r="51" spans="1:10" x14ac:dyDescent="0.25">
      <c r="A51" s="98" t="s">
        <v>33</v>
      </c>
      <c r="B51" s="300"/>
      <c r="C51" s="300"/>
      <c r="D51" s="164" t="str">
        <f>Mvalloc!D12</f>
        <v xml:space="preserve"> </v>
      </c>
      <c r="F51" s="371"/>
      <c r="G51" s="371"/>
      <c r="H51" s="371"/>
      <c r="I51" s="371"/>
    </row>
    <row r="52" spans="1:10" x14ac:dyDescent="0.2">
      <c r="A52" s="98" t="s">
        <v>34</v>
      </c>
      <c r="B52" s="300"/>
      <c r="C52" s="300"/>
      <c r="D52" s="164" t="str">
        <f>Mvalloc!E12</f>
        <v xml:space="preserve"> </v>
      </c>
      <c r="F52" s="655" t="str">
        <f>CONCATENATE("Desired Carryover Into ",D1+1,"")</f>
        <v>Desired Carryover Into 2026</v>
      </c>
      <c r="G52" s="656"/>
      <c r="H52" s="656"/>
      <c r="I52" s="657"/>
    </row>
    <row r="53" spans="1:10" x14ac:dyDescent="0.2">
      <c r="A53" s="111" t="s">
        <v>131</v>
      </c>
      <c r="B53" s="300"/>
      <c r="C53" s="300"/>
      <c r="D53" s="164" t="str">
        <f>Mvalloc!F12</f>
        <v xml:space="preserve"> </v>
      </c>
      <c r="F53" s="357"/>
      <c r="G53" s="358"/>
      <c r="H53" s="359"/>
      <c r="I53" s="360"/>
    </row>
    <row r="54" spans="1:10" x14ac:dyDescent="0.2">
      <c r="A54" s="191" t="s">
        <v>374</v>
      </c>
      <c r="B54" s="300"/>
      <c r="C54" s="300"/>
      <c r="D54" s="164" t="str">
        <f>Mvalloc!G12</f>
        <v xml:space="preserve"> </v>
      </c>
      <c r="F54" s="361" t="s">
        <v>327</v>
      </c>
      <c r="G54" s="359"/>
      <c r="H54" s="359"/>
      <c r="I54" s="362"/>
    </row>
    <row r="55" spans="1:10" x14ac:dyDescent="0.2">
      <c r="A55" s="191" t="s">
        <v>375</v>
      </c>
      <c r="B55" s="300"/>
      <c r="C55" s="300"/>
      <c r="D55" s="164" t="str">
        <f>Mvalloc!H12</f>
        <v xml:space="preserve"> </v>
      </c>
      <c r="F55" s="357" t="s">
        <v>328</v>
      </c>
      <c r="G55" s="358"/>
      <c r="H55" s="358"/>
      <c r="I55" s="363" t="str">
        <f>IF(I54=0,"",ROUND((I54+D82-F67)/inputOth!E5*1000,3)-F72)</f>
        <v/>
      </c>
    </row>
    <row r="56" spans="1:10" x14ac:dyDescent="0.2">
      <c r="A56" s="205"/>
      <c r="B56" s="300"/>
      <c r="C56" s="300"/>
      <c r="D56" s="51"/>
      <c r="F56" s="364" t="str">
        <f>CONCATENATE("",D1," Tot Exp/Non-Appr Must Be:")</f>
        <v>2025 Tot Exp/Non-Appr Must Be:</v>
      </c>
      <c r="G56" s="365"/>
      <c r="H56" s="366"/>
      <c r="I56" s="367">
        <f>IF(I54&gt;0,IF(D79&lt;D64,IF(I54=F67,D79,((I54-F67)*(1-C81))+D64),D79+(I54-F67)),0)</f>
        <v>0</v>
      </c>
    </row>
    <row r="57" spans="1:10" x14ac:dyDescent="0.2">
      <c r="A57" s="205"/>
      <c r="B57" s="300"/>
      <c r="C57" s="300"/>
      <c r="D57" s="51"/>
      <c r="F57" s="368" t="s">
        <v>349</v>
      </c>
      <c r="G57" s="369"/>
      <c r="H57" s="369"/>
      <c r="I57" s="370">
        <f>IF(I54&gt;0,I56-D79,0)</f>
        <v>0</v>
      </c>
    </row>
    <row r="58" spans="1:10" x14ac:dyDescent="0.25">
      <c r="A58" s="205"/>
      <c r="B58" s="300"/>
      <c r="C58" s="300"/>
      <c r="D58" s="51"/>
      <c r="F58" s="371"/>
      <c r="G58" s="371"/>
      <c r="H58" s="371"/>
      <c r="I58" s="371"/>
    </row>
    <row r="59" spans="1:10" x14ac:dyDescent="0.2">
      <c r="A59" s="195" t="s">
        <v>38</v>
      </c>
      <c r="B59" s="300"/>
      <c r="C59" s="300"/>
      <c r="D59" s="51"/>
      <c r="F59" s="655" t="str">
        <f>CONCATENATE("Projected Carryover Into ",D1+1,"")</f>
        <v>Projected Carryover Into 2026</v>
      </c>
      <c r="G59" s="676"/>
      <c r="H59" s="676"/>
      <c r="I59" s="675"/>
    </row>
    <row r="60" spans="1:10" x14ac:dyDescent="0.25">
      <c r="A60" s="196" t="s">
        <v>218</v>
      </c>
      <c r="B60" s="300"/>
      <c r="C60" s="300"/>
      <c r="D60" s="164">
        <f>'NR Rebate'!E10*-1</f>
        <v>0</v>
      </c>
      <c r="F60" s="382"/>
      <c r="G60" s="358"/>
      <c r="H60" s="358"/>
      <c r="I60" s="383"/>
    </row>
    <row r="61" spans="1:10" x14ac:dyDescent="0.25">
      <c r="A61" s="196" t="s">
        <v>219</v>
      </c>
      <c r="B61" s="300"/>
      <c r="C61" s="300"/>
      <c r="D61" s="51"/>
      <c r="F61" s="373">
        <f>C76</f>
        <v>0</v>
      </c>
      <c r="G61" s="374" t="str">
        <f>CONCATENATE("",D1-1," Ending Cash Balance (est.)")</f>
        <v>2024 Ending Cash Balance (est.)</v>
      </c>
      <c r="H61" s="375"/>
      <c r="I61" s="383"/>
    </row>
    <row r="62" spans="1:10" x14ac:dyDescent="0.25">
      <c r="A62" s="196" t="s">
        <v>221</v>
      </c>
      <c r="B62" s="281" t="str">
        <f>IF(B63*0.1&lt;B61,"Exceed 10% Rule","")</f>
        <v/>
      </c>
      <c r="C62" s="281" t="str">
        <f>IF(C63*0.1&lt;C61,"Exceed 10% Rule","")</f>
        <v/>
      </c>
      <c r="D62" s="217" t="str">
        <f>IF((D63+D82)*0.1&lt;D61,"Exceed 10% Rule","")</f>
        <v/>
      </c>
      <c r="F62" s="373">
        <f>D63</f>
        <v>0</v>
      </c>
      <c r="G62" s="359" t="str">
        <f>CONCATENATE("",D1," Non-AV Receipts (est.)")</f>
        <v>2025 Non-AV Receipts (est.)</v>
      </c>
      <c r="H62" s="375"/>
      <c r="I62" s="383"/>
    </row>
    <row r="63" spans="1:10" x14ac:dyDescent="0.25">
      <c r="A63" s="198" t="s">
        <v>39</v>
      </c>
      <c r="B63" s="229">
        <f>SUM(B49:B61)</f>
        <v>0</v>
      </c>
      <c r="C63" s="229">
        <f>SUM(C49:C61)</f>
        <v>0</v>
      </c>
      <c r="D63" s="229">
        <f>SUM(D49:D61)</f>
        <v>0</v>
      </c>
      <c r="F63" s="376">
        <f>IF(D81&gt;0,D80,D82)</f>
        <v>0</v>
      </c>
      <c r="G63" s="359" t="str">
        <f>CONCATENATE("",D1," Ad Valorem Tax (est.)")</f>
        <v>2025 Ad Valorem Tax (est.)</v>
      </c>
      <c r="H63" s="375"/>
      <c r="I63" s="383"/>
      <c r="J63" s="394" t="str">
        <f>IF(F63=D82,"","Note: Does not include Delinquent Taxes")</f>
        <v/>
      </c>
    </row>
    <row r="64" spans="1:10" x14ac:dyDescent="0.25">
      <c r="A64" s="198" t="s">
        <v>40</v>
      </c>
      <c r="B64" s="229">
        <f>B47+B63</f>
        <v>0</v>
      </c>
      <c r="C64" s="229">
        <f>C47+C63</f>
        <v>0</v>
      </c>
      <c r="D64" s="229">
        <f>D47+D63</f>
        <v>0</v>
      </c>
      <c r="F64" s="384">
        <f>SUM(F61:F63)</f>
        <v>0</v>
      </c>
      <c r="G64" s="359" t="str">
        <f>CONCATENATE("Total ",D1," Resources Available")</f>
        <v>Total 2025 Resources Available</v>
      </c>
      <c r="H64" s="385"/>
      <c r="I64" s="383"/>
    </row>
    <row r="65" spans="1:9" x14ac:dyDescent="0.25">
      <c r="A65" s="98" t="s">
        <v>43</v>
      </c>
      <c r="B65" s="196"/>
      <c r="C65" s="196"/>
      <c r="D65" s="108"/>
      <c r="F65" s="386"/>
      <c r="G65" s="387"/>
      <c r="H65" s="358"/>
      <c r="I65" s="383"/>
    </row>
    <row r="66" spans="1:9" x14ac:dyDescent="0.25">
      <c r="A66" s="205"/>
      <c r="B66" s="300"/>
      <c r="C66" s="300"/>
      <c r="D66" s="51"/>
      <c r="F66" s="388">
        <f>ROUND(B75*0.05+B75,0)</f>
        <v>0</v>
      </c>
      <c r="G66" s="359" t="str">
        <f>CONCATENATE("Less ",D1-2," Expenditures + 5%")</f>
        <v>Less 2023 Expenditures + 5%</v>
      </c>
      <c r="H66" s="385"/>
      <c r="I66" s="383"/>
    </row>
    <row r="67" spans="1:9" x14ac:dyDescent="0.25">
      <c r="A67" s="205"/>
      <c r="B67" s="300"/>
      <c r="C67" s="300"/>
      <c r="D67" s="51"/>
      <c r="F67" s="389">
        <f>F64-F66</f>
        <v>0</v>
      </c>
      <c r="G67" s="379" t="str">
        <f>CONCATENATE("Projected ",D1+1," carryover (est.)")</f>
        <v>Projected 2026 carryover (est.)</v>
      </c>
      <c r="H67" s="390"/>
      <c r="I67" s="391"/>
    </row>
    <row r="68" spans="1:9" x14ac:dyDescent="0.25">
      <c r="A68" s="205"/>
      <c r="B68" s="300"/>
      <c r="C68" s="300"/>
      <c r="D68" s="51"/>
      <c r="F68" s="371"/>
      <c r="G68" s="371"/>
      <c r="H68" s="371"/>
      <c r="I68" s="371"/>
    </row>
    <row r="69" spans="1:9" x14ac:dyDescent="0.2">
      <c r="A69" s="205"/>
      <c r="B69" s="300"/>
      <c r="C69" s="300"/>
      <c r="D69" s="51"/>
      <c r="F69" s="658" t="s">
        <v>569</v>
      </c>
      <c r="G69" s="659"/>
      <c r="H69" s="659"/>
      <c r="I69" s="660"/>
    </row>
    <row r="70" spans="1:9" x14ac:dyDescent="0.2">
      <c r="A70" s="205"/>
      <c r="B70" s="300"/>
      <c r="C70" s="300"/>
      <c r="D70" s="51"/>
      <c r="F70" s="661"/>
      <c r="G70" s="662"/>
      <c r="H70" s="662"/>
      <c r="I70" s="663"/>
    </row>
    <row r="71" spans="1:9" x14ac:dyDescent="0.2">
      <c r="A71" s="205"/>
      <c r="B71" s="300"/>
      <c r="C71" s="300"/>
      <c r="D71" s="51"/>
      <c r="F71" s="534" t="str">
        <f>'Budget Hearing Notice'!H20</f>
        <v xml:space="preserve">  </v>
      </c>
      <c r="G71" s="374" t="str">
        <f>CONCATENATE("",D1," Estimated Fund Mill Rate")</f>
        <v>2025 Estimated Fund Mill Rate</v>
      </c>
      <c r="H71" s="535"/>
      <c r="I71" s="536"/>
    </row>
    <row r="72" spans="1:9" x14ac:dyDescent="0.2">
      <c r="A72" s="196" t="str">
        <f>CONCATENATE("Cash Reserve (",D1," column)")</f>
        <v>Cash Reserve (2025 column)</v>
      </c>
      <c r="B72" s="300"/>
      <c r="C72" s="300"/>
      <c r="D72" s="51"/>
      <c r="F72" s="537" t="str">
        <f>'Budget Hearing Notice'!E20</f>
        <v xml:space="preserve">  </v>
      </c>
      <c r="G72" s="374" t="str">
        <f>CONCATENATE("",D1-1," Fund Mill Rate")</f>
        <v>2024 Fund Mill Rate</v>
      </c>
      <c r="H72" s="535"/>
      <c r="I72" s="536"/>
    </row>
    <row r="73" spans="1:9" x14ac:dyDescent="0.2">
      <c r="A73" s="196" t="s">
        <v>219</v>
      </c>
      <c r="B73" s="300"/>
      <c r="C73" s="300"/>
      <c r="D73" s="51"/>
      <c r="F73" s="538">
        <f>'Budget Hearing Notice'!H53</f>
        <v>0</v>
      </c>
      <c r="G73" s="539" t="s">
        <v>570</v>
      </c>
      <c r="H73" s="535"/>
      <c r="I73" s="536"/>
    </row>
    <row r="74" spans="1:9" x14ac:dyDescent="0.2">
      <c r="A74" s="196" t="s">
        <v>220</v>
      </c>
      <c r="B74" s="281" t="str">
        <f>IF(B75*0.1&lt;B73,"Exceed 10% Rule","")</f>
        <v/>
      </c>
      <c r="C74" s="281" t="str">
        <f>IF(C75*0.1&lt;C73,"Exceed 10% Rule","")</f>
        <v/>
      </c>
      <c r="D74" s="217" t="str">
        <f>IF(D75*0.1&lt;D73,"Exceed 10% Rule","")</f>
        <v/>
      </c>
      <c r="F74" s="534">
        <f>'Budget Hearing Notice'!H52</f>
        <v>0</v>
      </c>
      <c r="G74" s="374" t="str">
        <f>CONCATENATE(D1," Estimated Total Mill Rate")</f>
        <v>2025 Estimated Total Mill Rate</v>
      </c>
      <c r="H74" s="535"/>
      <c r="I74" s="536"/>
    </row>
    <row r="75" spans="1:9" x14ac:dyDescent="0.2">
      <c r="A75" s="198" t="s">
        <v>44</v>
      </c>
      <c r="B75" s="229">
        <f>SUM(B66:B73)</f>
        <v>0</v>
      </c>
      <c r="C75" s="229">
        <f>SUM(C66:C73)</f>
        <v>0</v>
      </c>
      <c r="D75" s="229">
        <f>SUM(D66:D73)</f>
        <v>0</v>
      </c>
      <c r="F75" s="540">
        <f>'Budget Hearing Notice'!E52</f>
        <v>0</v>
      </c>
      <c r="G75" s="374" t="str">
        <f>CONCATENATE(D1-1," Total Mill Rate")</f>
        <v>2024 Total Mill Rate</v>
      </c>
      <c r="H75" s="535"/>
      <c r="I75" s="536"/>
    </row>
    <row r="76" spans="1:9" x14ac:dyDescent="0.2">
      <c r="A76" s="98" t="s">
        <v>149</v>
      </c>
      <c r="B76" s="164">
        <f>B64-B75</f>
        <v>0</v>
      </c>
      <c r="C76" s="164">
        <f>C64-C75</f>
        <v>0</v>
      </c>
      <c r="D76" s="212" t="s">
        <v>16</v>
      </c>
      <c r="F76" s="382"/>
      <c r="G76" s="358"/>
      <c r="H76" s="358"/>
      <c r="I76" s="385"/>
    </row>
    <row r="77" spans="1:9" x14ac:dyDescent="0.2">
      <c r="A77" s="120" t="str">
        <f>CONCATENATE("",D1-2,"/",D1-1,"/",D1," Budget Authority Amount:")</f>
        <v>2023/2024/2025 Budget Authority Amount:</v>
      </c>
      <c r="B77" s="214">
        <f>inputOth!B36</f>
        <v>0</v>
      </c>
      <c r="C77" s="214">
        <f>inputPrYr!D21</f>
        <v>0</v>
      </c>
      <c r="D77" s="164">
        <f>D75</f>
        <v>0</v>
      </c>
      <c r="E77" s="206"/>
      <c r="F77" s="664" t="s">
        <v>571</v>
      </c>
      <c r="G77" s="665"/>
      <c r="H77" s="665"/>
      <c r="I77" s="668" t="str">
        <f>IF(F74&gt;F73, "Yes", "No")</f>
        <v>No</v>
      </c>
    </row>
    <row r="78" spans="1:9" x14ac:dyDescent="0.2">
      <c r="A78" s="182"/>
      <c r="B78" s="651" t="s">
        <v>319</v>
      </c>
      <c r="C78" s="652"/>
      <c r="D78" s="51"/>
      <c r="E78" s="303" t="str">
        <f>IF(D75/0.95-D75&lt;D78,"Exceeds 5%","")</f>
        <v/>
      </c>
      <c r="F78" s="666"/>
      <c r="G78" s="667"/>
      <c r="H78" s="667"/>
      <c r="I78" s="669"/>
    </row>
    <row r="79" spans="1:9" x14ac:dyDescent="0.2">
      <c r="A79" s="304" t="str">
        <f>CONCATENATE(B97,"      ",C97)</f>
        <v xml:space="preserve">      </v>
      </c>
      <c r="B79" s="653" t="s">
        <v>320</v>
      </c>
      <c r="C79" s="654"/>
      <c r="D79" s="164">
        <f>D75+D78</f>
        <v>0</v>
      </c>
      <c r="F79" s="670" t="str">
        <f>IF(I77="Yes", "Follow procedure prescribed by KSA 79-2988 to exceed the Revenue Neutral Rate.", " ")</f>
        <v xml:space="preserve"> </v>
      </c>
      <c r="G79" s="670"/>
      <c r="H79" s="670"/>
      <c r="I79" s="670"/>
    </row>
    <row r="80" spans="1:9" x14ac:dyDescent="0.2">
      <c r="A80" s="304" t="str">
        <f>CONCATENATE(B98,"      ",C98)</f>
        <v xml:space="preserve">      </v>
      </c>
      <c r="B80" s="207"/>
      <c r="C80" s="63" t="s">
        <v>45</v>
      </c>
      <c r="D80" s="164">
        <f>IF(D79-D64&gt;0,D79-D64,0)</f>
        <v>0</v>
      </c>
      <c r="F80" s="671"/>
      <c r="G80" s="671"/>
      <c r="H80" s="671"/>
      <c r="I80" s="671"/>
    </row>
    <row r="81" spans="1:9" x14ac:dyDescent="0.2">
      <c r="A81" s="63"/>
      <c r="B81" s="293" t="s">
        <v>321</v>
      </c>
      <c r="C81" s="396">
        <f>inputOth!$E$25</f>
        <v>0</v>
      </c>
      <c r="D81" s="164">
        <f>ROUND(IF(C81&gt;0,(D80*C81),0),0)</f>
        <v>0</v>
      </c>
      <c r="F81" s="671"/>
      <c r="G81" s="671"/>
      <c r="H81" s="671"/>
      <c r="I81" s="671"/>
    </row>
    <row r="82" spans="1:9" x14ac:dyDescent="0.2">
      <c r="A82" s="32"/>
      <c r="B82" s="649" t="str">
        <f>CONCATENATE("Amount of  ",$D$1-1," Ad Valorem Tax")</f>
        <v>Amount of  2024 Ad Valorem Tax</v>
      </c>
      <c r="C82" s="650"/>
      <c r="D82" s="164">
        <f>D80+D81</f>
        <v>0</v>
      </c>
    </row>
    <row r="83" spans="1:9" x14ac:dyDescent="0.2">
      <c r="A83" s="32"/>
      <c r="B83" s="182"/>
      <c r="C83" s="182"/>
      <c r="D83" s="182"/>
    </row>
    <row r="84" spans="1:9" x14ac:dyDescent="0.2">
      <c r="A84" s="446" t="s">
        <v>380</v>
      </c>
      <c r="B84" s="456"/>
      <c r="C84" s="456"/>
      <c r="D84" s="457"/>
    </row>
    <row r="85" spans="1:9" x14ac:dyDescent="0.2">
      <c r="A85" s="183"/>
      <c r="B85" s="182"/>
      <c r="C85" s="182"/>
      <c r="D85" s="458"/>
    </row>
    <row r="86" spans="1:9" x14ac:dyDescent="0.2">
      <c r="A86" s="447"/>
      <c r="B86" s="461"/>
      <c r="C86" s="461"/>
      <c r="D86" s="462"/>
    </row>
    <row r="87" spans="1:9" x14ac:dyDescent="0.2">
      <c r="A87" s="32"/>
      <c r="B87" s="182"/>
      <c r="C87" s="182"/>
      <c r="D87" s="182"/>
    </row>
    <row r="88" spans="1:9" x14ac:dyDescent="0.2">
      <c r="A88" s="182" t="s">
        <v>96</v>
      </c>
      <c r="B88" s="428"/>
      <c r="C88" s="32"/>
      <c r="D88" s="32"/>
    </row>
    <row r="91" spans="1:9" hidden="1" x14ac:dyDescent="0.2"/>
    <row r="92" spans="1:9" hidden="1" x14ac:dyDescent="0.2"/>
    <row r="93" spans="1:9" hidden="1" x14ac:dyDescent="0.2"/>
    <row r="94" spans="1:9" hidden="1" x14ac:dyDescent="0.2"/>
    <row r="95" spans="1:9" x14ac:dyDescent="0.2">
      <c r="B95" s="27" t="str">
        <f>IF(B34&gt;B36,"See Tab A","")</f>
        <v/>
      </c>
      <c r="C95" s="27" t="str">
        <f>IF(C34&gt;C36,"See Tab C","")</f>
        <v/>
      </c>
    </row>
    <row r="96" spans="1:9" x14ac:dyDescent="0.2">
      <c r="B96" s="27" t="str">
        <f>IF(B35&lt;0,"See Tab B","")</f>
        <v/>
      </c>
      <c r="C96" s="27" t="str">
        <f>IF(C35&lt;0,"See Tab D","")</f>
        <v/>
      </c>
    </row>
    <row r="97" spans="2:3" x14ac:dyDescent="0.2">
      <c r="B97" s="27" t="str">
        <f>IF(B75&gt;B77,"See Tab A","")</f>
        <v/>
      </c>
      <c r="C97" s="27" t="str">
        <f>IF(C75&gt;C77,"See Tab C","")</f>
        <v/>
      </c>
    </row>
    <row r="98" spans="2:3" x14ac:dyDescent="0.2">
      <c r="B98" s="27" t="str">
        <f>IF(B76&lt;0,"See Tab B","")</f>
        <v/>
      </c>
      <c r="C98" s="27" t="str">
        <f>IF(C76&lt;0,"See Tab D","")</f>
        <v/>
      </c>
    </row>
  </sheetData>
  <sheetProtection sheet="1"/>
  <mergeCells count="18">
    <mergeCell ref="B82:C82"/>
    <mergeCell ref="B41:C41"/>
    <mergeCell ref="F28:I29"/>
    <mergeCell ref="F36:H37"/>
    <mergeCell ref="I36:I37"/>
    <mergeCell ref="F38:I40"/>
    <mergeCell ref="F69:I70"/>
    <mergeCell ref="F77:H78"/>
    <mergeCell ref="I77:I78"/>
    <mergeCell ref="F79:I81"/>
    <mergeCell ref="B37:C37"/>
    <mergeCell ref="B38:C38"/>
    <mergeCell ref="B78:C78"/>
    <mergeCell ref="B79:C79"/>
    <mergeCell ref="F11:I11"/>
    <mergeCell ref="F18:I18"/>
    <mergeCell ref="F52:I52"/>
    <mergeCell ref="F59:I59"/>
  </mergeCells>
  <phoneticPr fontId="0" type="noConversion"/>
  <conditionalFormatting sqref="B20">
    <cfRule type="cellIs" dxfId="306" priority="29" stopIfTrue="1" operator="greaterThan">
      <formula>$B$23*0.1</formula>
    </cfRule>
  </conditionalFormatting>
  <conditionalFormatting sqref="B32">
    <cfRule type="cellIs" dxfId="305" priority="24" stopIfTrue="1" operator="greaterThan">
      <formula>$B$34*0.1</formula>
    </cfRule>
  </conditionalFormatting>
  <conditionalFormatting sqref="B34">
    <cfRule type="cellIs" dxfId="304" priority="8" stopIfTrue="1" operator="greaterThan">
      <formula>$B$36</formula>
    </cfRule>
  </conditionalFormatting>
  <conditionalFormatting sqref="B61">
    <cfRule type="cellIs" dxfId="303" priority="23" stopIfTrue="1" operator="greaterThan">
      <formula>$B$63*0.1</formula>
    </cfRule>
  </conditionalFormatting>
  <conditionalFormatting sqref="B73">
    <cfRule type="cellIs" dxfId="302" priority="20" stopIfTrue="1" operator="greaterThan">
      <formula>$B$75*0.1</formula>
    </cfRule>
  </conditionalFormatting>
  <conditionalFormatting sqref="B75">
    <cfRule type="cellIs" dxfId="301" priority="4" stopIfTrue="1" operator="greaterThan">
      <formula>$B$77</formula>
    </cfRule>
  </conditionalFormatting>
  <conditionalFormatting sqref="B35:C35">
    <cfRule type="cellIs" dxfId="300" priority="5" stopIfTrue="1" operator="lessThan">
      <formula>0</formula>
    </cfRule>
  </conditionalFormatting>
  <conditionalFormatting sqref="B76:C76">
    <cfRule type="cellIs" dxfId="299" priority="1" stopIfTrue="1" operator="lessThan">
      <formula>0</formula>
    </cfRule>
  </conditionalFormatting>
  <conditionalFormatting sqref="C20">
    <cfRule type="cellIs" dxfId="298" priority="30" stopIfTrue="1" operator="greaterThan">
      <formula>$C$22*0.1</formula>
    </cfRule>
  </conditionalFormatting>
  <conditionalFormatting sqref="C32">
    <cfRule type="cellIs" dxfId="297" priority="25" stopIfTrue="1" operator="greaterThan">
      <formula>$C$34*0.1</formula>
    </cfRule>
  </conditionalFormatting>
  <conditionalFormatting sqref="C34">
    <cfRule type="cellIs" dxfId="296" priority="7" stopIfTrue="1" operator="greaterThan">
      <formula>$C$36</formula>
    </cfRule>
  </conditionalFormatting>
  <conditionalFormatting sqref="C61">
    <cfRule type="cellIs" dxfId="295" priority="22" stopIfTrue="1" operator="greaterThan">
      <formula>$C$63*0.1</formula>
    </cfRule>
  </conditionalFormatting>
  <conditionalFormatting sqref="C73">
    <cfRule type="cellIs" dxfId="294" priority="21" stopIfTrue="1" operator="greaterThan">
      <formula>$C$75*0.1</formula>
    </cfRule>
  </conditionalFormatting>
  <conditionalFormatting sqref="C75">
    <cfRule type="cellIs" dxfId="293" priority="3" stopIfTrue="1" operator="greaterThan">
      <formula>$C$77</formula>
    </cfRule>
  </conditionalFormatting>
  <conditionalFormatting sqref="D20">
    <cfRule type="cellIs" dxfId="292" priority="18" stopIfTrue="1" operator="greaterThan">
      <formula>$D$22*0.1+D41</formula>
    </cfRule>
  </conditionalFormatting>
  <conditionalFormatting sqref="D32">
    <cfRule type="cellIs" dxfId="291" priority="17" stopIfTrue="1" operator="greaterThan">
      <formula>$D$34*0.1</formula>
    </cfRule>
  </conditionalFormatting>
  <conditionalFormatting sqref="D37">
    <cfRule type="cellIs" dxfId="290" priority="16" stopIfTrue="1" operator="greaterThan">
      <formula>$D$34/0.95-$D$34</formula>
    </cfRule>
  </conditionalFormatting>
  <conditionalFormatting sqref="D61">
    <cfRule type="cellIs" dxfId="289" priority="19" stopIfTrue="1" operator="greaterThan">
      <formula>($D$63+D82)*0.1</formula>
    </cfRule>
  </conditionalFormatting>
  <conditionalFormatting sqref="D73">
    <cfRule type="cellIs" dxfId="288" priority="15" stopIfTrue="1" operator="greaterThan">
      <formula>$D$75*0.1</formula>
    </cfRule>
  </conditionalFormatting>
  <conditionalFormatting sqref="D78">
    <cfRule type="cellIs" dxfId="287" priority="14" stopIfTrue="1" operator="greaterThan">
      <formula>$D$75/0.95-$D$75</formula>
    </cfRule>
  </conditionalFormatting>
  <conditionalFormatting sqref="I36">
    <cfRule type="containsText" dxfId="286" priority="10" operator="containsText" text="Yes">
      <formula>NOT(ISERROR(SEARCH("Yes",I36)))</formula>
    </cfRule>
  </conditionalFormatting>
  <conditionalFormatting sqref="I77">
    <cfRule type="containsText" dxfId="285" priority="9" operator="containsText" text="Yes">
      <formula>NOT(ISERROR(SEARCH("Yes",I77)))</formula>
    </cfRule>
  </conditionalFormatting>
  <pageMargins left="1.1200000000000001" right="0.5" top="0.74" bottom="0.34" header="0.5" footer="0"/>
  <pageSetup scale="48" orientation="portrait" blackAndWhite="1" horizontalDpi="120" verticalDpi="144" r:id="rId1"/>
  <headerFooter alignWithMargins="0">
    <oddHeader xml:space="preserve">&amp;RState of Kansas
County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00B0F0"/>
    <pageSetUpPr fitToPage="1"/>
  </sheetPr>
  <dimension ref="A1:J101"/>
  <sheetViews>
    <sheetView zoomScaleNormal="100" workbookViewId="0">
      <selection activeCell="J37" sqref="J37"/>
    </sheetView>
  </sheetViews>
  <sheetFormatPr defaultRowHeight="15.75" x14ac:dyDescent="0.2"/>
  <cols>
    <col min="1" max="1" width="31.109375" style="27" customWidth="1"/>
    <col min="2" max="3" width="15.77734375" style="27" customWidth="1"/>
    <col min="4" max="4" width="16.44140625" style="27" customWidth="1"/>
    <col min="5" max="5" width="8.88671875" style="27"/>
    <col min="6" max="6" width="10.21875" style="27" customWidth="1"/>
    <col min="7" max="7" width="8.88671875" style="27"/>
    <col min="8" max="8" width="5.6640625" style="27" customWidth="1"/>
    <col min="9" max="9" width="10" style="27" customWidth="1"/>
    <col min="10" max="16384" width="8.88671875" style="27"/>
  </cols>
  <sheetData>
    <row r="1" spans="1:9" x14ac:dyDescent="0.2">
      <c r="A1" s="73">
        <f>(inputPrYr!C3)</f>
        <v>0</v>
      </c>
      <c r="B1" s="32"/>
      <c r="C1" s="32"/>
      <c r="D1" s="182">
        <f>inputPrYr!C5</f>
        <v>2025</v>
      </c>
    </row>
    <row r="2" spans="1:9" x14ac:dyDescent="0.2">
      <c r="A2" s="133"/>
      <c r="B2" s="208"/>
      <c r="C2" s="208"/>
      <c r="D2" s="209"/>
    </row>
    <row r="3" spans="1:9" x14ac:dyDescent="0.2">
      <c r="A3" s="302" t="s">
        <v>138</v>
      </c>
      <c r="B3" s="91"/>
      <c r="C3" s="91"/>
      <c r="D3" s="91"/>
    </row>
    <row r="4" spans="1:9" x14ac:dyDescent="0.2">
      <c r="A4" s="31" t="s">
        <v>30</v>
      </c>
      <c r="B4" s="353" t="s">
        <v>346</v>
      </c>
      <c r="C4" s="354" t="s">
        <v>347</v>
      </c>
      <c r="D4" s="95" t="s">
        <v>348</v>
      </c>
    </row>
    <row r="5" spans="1:9" x14ac:dyDescent="0.2">
      <c r="A5" s="296">
        <f>inputPrYr!$B$22</f>
        <v>0</v>
      </c>
      <c r="B5" s="283" t="str">
        <f>CONCATENATE("Actual for ",D1-2,"")</f>
        <v>Actual for 2023</v>
      </c>
      <c r="C5" s="283" t="str">
        <f>CONCATENATE("Estimate for ",D1-1,"")</f>
        <v>Estimate for 2024</v>
      </c>
      <c r="D5" s="190" t="str">
        <f>CONCATENATE("Year for ",D1,"")</f>
        <v>Year for 2025</v>
      </c>
    </row>
    <row r="6" spans="1:9" x14ac:dyDescent="0.2">
      <c r="A6" s="98" t="s">
        <v>148</v>
      </c>
      <c r="B6" s="300"/>
      <c r="C6" s="282">
        <f>B35</f>
        <v>0</v>
      </c>
      <c r="D6" s="164">
        <f>C35</f>
        <v>0</v>
      </c>
    </row>
    <row r="7" spans="1:9" x14ac:dyDescent="0.2">
      <c r="A7" s="184" t="s">
        <v>150</v>
      </c>
      <c r="B7" s="111"/>
      <c r="C7" s="111"/>
      <c r="D7" s="64"/>
    </row>
    <row r="8" spans="1:9" x14ac:dyDescent="0.2">
      <c r="A8" s="98" t="s">
        <v>31</v>
      </c>
      <c r="B8" s="300"/>
      <c r="C8" s="282">
        <f>IF(inputPrYr!H21&gt;0,inputPrYr!H21,inputPrYr!E22)</f>
        <v>0</v>
      </c>
      <c r="D8" s="212" t="s">
        <v>16</v>
      </c>
    </row>
    <row r="9" spans="1:9" x14ac:dyDescent="0.2">
      <c r="A9" s="98" t="s">
        <v>32</v>
      </c>
      <c r="B9" s="300"/>
      <c r="C9" s="300"/>
      <c r="D9" s="51"/>
    </row>
    <row r="10" spans="1:9" x14ac:dyDescent="0.2">
      <c r="A10" s="98" t="s">
        <v>33</v>
      </c>
      <c r="B10" s="300"/>
      <c r="C10" s="300"/>
      <c r="D10" s="164" t="str">
        <f>Mvalloc!D13</f>
        <v xml:space="preserve">  </v>
      </c>
    </row>
    <row r="11" spans="1:9" x14ac:dyDescent="0.2">
      <c r="A11" s="98" t="s">
        <v>34</v>
      </c>
      <c r="B11" s="300"/>
      <c r="C11" s="300"/>
      <c r="D11" s="164" t="str">
        <f>Mvalloc!E13</f>
        <v xml:space="preserve">  </v>
      </c>
      <c r="F11" s="655" t="str">
        <f>CONCATENATE("Desired Carryover Into ",D1+1,"")</f>
        <v>Desired Carryover Into 2026</v>
      </c>
      <c r="G11" s="656"/>
      <c r="H11" s="656"/>
      <c r="I11" s="657"/>
    </row>
    <row r="12" spans="1:9" x14ac:dyDescent="0.2">
      <c r="A12" s="111" t="s">
        <v>131</v>
      </c>
      <c r="B12" s="300"/>
      <c r="C12" s="300"/>
      <c r="D12" s="164" t="str">
        <f>Mvalloc!F13</f>
        <v xml:space="preserve">  </v>
      </c>
      <c r="F12" s="357"/>
      <c r="G12" s="358"/>
      <c r="H12" s="359"/>
      <c r="I12" s="360"/>
    </row>
    <row r="13" spans="1:9" x14ac:dyDescent="0.2">
      <c r="A13" s="191" t="s">
        <v>374</v>
      </c>
      <c r="B13" s="300"/>
      <c r="C13" s="300"/>
      <c r="D13" s="164" t="str">
        <f>Mvalloc!G13</f>
        <v xml:space="preserve"> </v>
      </c>
      <c r="F13" s="361" t="s">
        <v>327</v>
      </c>
      <c r="G13" s="359"/>
      <c r="H13" s="359"/>
      <c r="I13" s="362"/>
    </row>
    <row r="14" spans="1:9" x14ac:dyDescent="0.2">
      <c r="A14" s="191" t="s">
        <v>375</v>
      </c>
      <c r="B14" s="300"/>
      <c r="C14" s="300"/>
      <c r="D14" s="164" t="str">
        <f>Mvalloc!H13</f>
        <v xml:space="preserve"> </v>
      </c>
      <c r="F14" s="357" t="s">
        <v>328</v>
      </c>
      <c r="G14" s="358"/>
      <c r="H14" s="358"/>
      <c r="I14" s="363" t="str">
        <f>IF(I13=0,"",ROUND((I13+D41-F26)/inputOth!E5*1000,3)-F31)</f>
        <v/>
      </c>
    </row>
    <row r="15" spans="1:9" x14ac:dyDescent="0.2">
      <c r="A15" s="205"/>
      <c r="B15" s="300"/>
      <c r="C15" s="300"/>
      <c r="D15" s="51"/>
      <c r="F15" s="364" t="str">
        <f>CONCATENATE("",D1," Tot Exp/Non-Appr Must Be:")</f>
        <v>2025 Tot Exp/Non-Appr Must Be:</v>
      </c>
      <c r="G15" s="365"/>
      <c r="H15" s="366"/>
      <c r="I15" s="367">
        <f>IF(I13&gt;0,IF(D38&lt;D23,IF(I13=F26,D38,((I13-F26)*(1-C40))+D23),D38+(I13-F26)),0)</f>
        <v>0</v>
      </c>
    </row>
    <row r="16" spans="1:9" x14ac:dyDescent="0.2">
      <c r="A16" s="205"/>
      <c r="B16" s="300"/>
      <c r="C16" s="300"/>
      <c r="D16" s="51"/>
      <c r="F16" s="368" t="s">
        <v>349</v>
      </c>
      <c r="G16" s="369"/>
      <c r="H16" s="369"/>
      <c r="I16" s="370">
        <f>IF(I13&gt;0,I15-D38,0)</f>
        <v>0</v>
      </c>
    </row>
    <row r="17" spans="1:10" x14ac:dyDescent="0.25">
      <c r="A17" s="205"/>
      <c r="B17" s="300"/>
      <c r="C17" s="300"/>
      <c r="D17" s="51"/>
      <c r="F17" s="371"/>
      <c r="G17" s="371"/>
      <c r="H17" s="371"/>
      <c r="I17" s="371"/>
    </row>
    <row r="18" spans="1:10" x14ac:dyDescent="0.2">
      <c r="A18" s="195" t="s">
        <v>38</v>
      </c>
      <c r="B18" s="300"/>
      <c r="C18" s="300"/>
      <c r="D18" s="51"/>
      <c r="F18" s="655" t="str">
        <f>CONCATENATE("Projected Carryover Into ",D1+1,"")</f>
        <v>Projected Carryover Into 2026</v>
      </c>
      <c r="G18" s="674"/>
      <c r="H18" s="674"/>
      <c r="I18" s="675"/>
    </row>
    <row r="19" spans="1:10" x14ac:dyDescent="0.2">
      <c r="A19" s="196" t="s">
        <v>218</v>
      </c>
      <c r="B19" s="300"/>
      <c r="C19" s="300"/>
      <c r="D19" s="164">
        <f>'NR Rebate'!E11*-1</f>
        <v>0</v>
      </c>
      <c r="F19" s="357"/>
      <c r="G19" s="359"/>
      <c r="H19" s="359"/>
      <c r="I19" s="372"/>
    </row>
    <row r="20" spans="1:10" x14ac:dyDescent="0.2">
      <c r="A20" s="196" t="s">
        <v>219</v>
      </c>
      <c r="B20" s="300"/>
      <c r="C20" s="300"/>
      <c r="D20" s="51"/>
      <c r="F20" s="373">
        <f>C35</f>
        <v>0</v>
      </c>
      <c r="G20" s="374" t="str">
        <f>CONCATENATE("",D1-1," Ending Cash Balance (est.)")</f>
        <v>2024 Ending Cash Balance (est.)</v>
      </c>
      <c r="H20" s="375"/>
      <c r="I20" s="372"/>
    </row>
    <row r="21" spans="1:10" x14ac:dyDescent="0.2">
      <c r="A21" s="196" t="s">
        <v>317</v>
      </c>
      <c r="B21" s="281" t="str">
        <f>IF(B22*0.1&lt;B20,"Exceed 10% Rule","")</f>
        <v/>
      </c>
      <c r="C21" s="281" t="str">
        <f>IF(C22*0.1&lt;C20,"Exceed 10% Rule","")</f>
        <v/>
      </c>
      <c r="D21" s="217" t="str">
        <f>IF(D22*0.1+D41&lt;D20,"Exceed 10% Rule","")</f>
        <v/>
      </c>
      <c r="F21" s="373">
        <f>D22</f>
        <v>0</v>
      </c>
      <c r="G21" s="359" t="str">
        <f>CONCATENATE("",D1," Non-AV Receipts (est.)")</f>
        <v>2025 Non-AV Receipts (est.)</v>
      </c>
      <c r="H21" s="375"/>
      <c r="I21" s="372"/>
    </row>
    <row r="22" spans="1:10" x14ac:dyDescent="0.2">
      <c r="A22" s="198" t="s">
        <v>39</v>
      </c>
      <c r="B22" s="229">
        <f>SUM(B8:B20)</f>
        <v>0</v>
      </c>
      <c r="C22" s="229">
        <f>SUM(C8:C20)</f>
        <v>0</v>
      </c>
      <c r="D22" s="229">
        <f>SUM(D8:D20)</f>
        <v>0</v>
      </c>
      <c r="F22" s="376">
        <f>IF(D40&gt;0,D39,D41)</f>
        <v>0</v>
      </c>
      <c r="G22" s="359" t="str">
        <f>CONCATENATE("",D1," Ad Valorem Tax (est.)")</f>
        <v>2025 Ad Valorem Tax (est.)</v>
      </c>
      <c r="H22" s="375"/>
      <c r="I22" s="372"/>
      <c r="J22" s="394" t="str">
        <f>IF(F22=D41,"","Note: Does not include Delinquent Taxes")</f>
        <v/>
      </c>
    </row>
    <row r="23" spans="1:10" x14ac:dyDescent="0.2">
      <c r="A23" s="198" t="s">
        <v>40</v>
      </c>
      <c r="B23" s="229">
        <f>B6+B22</f>
        <v>0</v>
      </c>
      <c r="C23" s="229">
        <f>C6+C22</f>
        <v>0</v>
      </c>
      <c r="D23" s="229">
        <f>D6+D22</f>
        <v>0</v>
      </c>
      <c r="F23" s="373">
        <f>SUM(F20:F22)</f>
        <v>0</v>
      </c>
      <c r="G23" s="359" t="str">
        <f>CONCATENATE("Total ",D1," Resources Available")</f>
        <v>Total 2025 Resources Available</v>
      </c>
      <c r="H23" s="375"/>
      <c r="I23" s="372"/>
    </row>
    <row r="24" spans="1:10" x14ac:dyDescent="0.2">
      <c r="A24" s="98" t="s">
        <v>43</v>
      </c>
      <c r="B24" s="196"/>
      <c r="C24" s="196"/>
      <c r="D24" s="108"/>
      <c r="F24" s="377"/>
      <c r="G24" s="359"/>
      <c r="H24" s="359"/>
      <c r="I24" s="372"/>
    </row>
    <row r="25" spans="1:10" x14ac:dyDescent="0.25">
      <c r="A25" s="205"/>
      <c r="B25" s="300"/>
      <c r="C25" s="300"/>
      <c r="D25" s="51"/>
      <c r="F25" s="376">
        <f>ROUND(B34*0.05+B34,0)</f>
        <v>0</v>
      </c>
      <c r="G25" s="359" t="str">
        <f>CONCATENATE("Less ",D1-2," Expenditures + 5%")</f>
        <v>Less 2023 Expenditures + 5%</v>
      </c>
      <c r="H25" s="375"/>
      <c r="I25" s="383"/>
    </row>
    <row r="26" spans="1:10" x14ac:dyDescent="0.2">
      <c r="A26" s="205"/>
      <c r="B26" s="300"/>
      <c r="C26" s="300"/>
      <c r="D26" s="51"/>
      <c r="F26" s="378">
        <f>F23-F25</f>
        <v>0</v>
      </c>
      <c r="G26" s="379" t="str">
        <f>CONCATENATE("Projected ",D1+1," carryover (est.)")</f>
        <v>Projected 2026 carryover (est.)</v>
      </c>
      <c r="H26" s="380"/>
      <c r="I26" s="381"/>
    </row>
    <row r="27" spans="1:10" x14ac:dyDescent="0.25">
      <c r="A27" s="205"/>
      <c r="B27" s="300"/>
      <c r="C27" s="300"/>
      <c r="D27" s="51"/>
      <c r="F27" s="371"/>
      <c r="G27" s="371"/>
      <c r="H27" s="371"/>
      <c r="I27" s="371"/>
    </row>
    <row r="28" spans="1:10" x14ac:dyDescent="0.2">
      <c r="A28" s="205"/>
      <c r="B28" s="300"/>
      <c r="C28" s="300"/>
      <c r="D28" s="51"/>
      <c r="F28" s="658" t="s">
        <v>569</v>
      </c>
      <c r="G28" s="659"/>
      <c r="H28" s="659"/>
      <c r="I28" s="660"/>
    </row>
    <row r="29" spans="1:10" x14ac:dyDescent="0.2">
      <c r="A29" s="205"/>
      <c r="B29" s="300"/>
      <c r="C29" s="300"/>
      <c r="D29" s="51"/>
      <c r="F29" s="661"/>
      <c r="G29" s="662"/>
      <c r="H29" s="662"/>
      <c r="I29" s="663"/>
    </row>
    <row r="30" spans="1:10" x14ac:dyDescent="0.2">
      <c r="A30" s="205"/>
      <c r="B30" s="300"/>
      <c r="C30" s="300"/>
      <c r="D30" s="51"/>
      <c r="F30" s="534" t="str">
        <f>'Budget Hearing Notice'!H21</f>
        <v xml:space="preserve">  </v>
      </c>
      <c r="G30" s="374" t="str">
        <f>CONCATENATE("",D1," Estimated Fund Mill Rate")</f>
        <v>2025 Estimated Fund Mill Rate</v>
      </c>
      <c r="H30" s="535"/>
      <c r="I30" s="536"/>
    </row>
    <row r="31" spans="1:10" x14ac:dyDescent="0.2">
      <c r="A31" s="196" t="str">
        <f>CONCATENATE("Cash Reserve (",D1," column)")</f>
        <v>Cash Reserve (2025 column)</v>
      </c>
      <c r="B31" s="300"/>
      <c r="C31" s="300"/>
      <c r="D31" s="51"/>
      <c r="F31" s="537" t="str">
        <f>'Budget Hearing Notice'!E21</f>
        <v xml:space="preserve">  </v>
      </c>
      <c r="G31" s="374" t="str">
        <f>CONCATENATE("",D1-1," Fund Mill Rate")</f>
        <v>2024 Fund Mill Rate</v>
      </c>
      <c r="H31" s="535"/>
      <c r="I31" s="536"/>
    </row>
    <row r="32" spans="1:10" x14ac:dyDescent="0.2">
      <c r="A32" s="196" t="s">
        <v>219</v>
      </c>
      <c r="B32" s="300"/>
      <c r="C32" s="300"/>
      <c r="D32" s="51"/>
      <c r="F32" s="538">
        <f>'Budget Hearing Notice'!H53</f>
        <v>0</v>
      </c>
      <c r="G32" s="539" t="s">
        <v>570</v>
      </c>
      <c r="H32" s="535"/>
      <c r="I32" s="536"/>
    </row>
    <row r="33" spans="1:9" x14ac:dyDescent="0.2">
      <c r="A33" s="196" t="s">
        <v>220</v>
      </c>
      <c r="B33" s="281" t="str">
        <f>IF(B34*0.1&lt;B32,"Exceed 10% Rule","")</f>
        <v/>
      </c>
      <c r="C33" s="281" t="str">
        <f>IF(C34*0.1&lt;C32,"Exceed 10% Rule","")</f>
        <v/>
      </c>
      <c r="D33" s="217" t="str">
        <f>IF(D34*0.1&lt;D32,"Exceed 10% Rule","")</f>
        <v/>
      </c>
      <c r="F33" s="534">
        <f>'Budget Hearing Notice'!H52</f>
        <v>0</v>
      </c>
      <c r="G33" s="374" t="str">
        <f>CONCATENATE(D1," Estimated Total Mill Rate")</f>
        <v>2025 Estimated Total Mill Rate</v>
      </c>
      <c r="H33" s="535"/>
      <c r="I33" s="536"/>
    </row>
    <row r="34" spans="1:9" x14ac:dyDescent="0.2">
      <c r="A34" s="198" t="s">
        <v>44</v>
      </c>
      <c r="B34" s="229">
        <f>SUM(B25:B32)</f>
        <v>0</v>
      </c>
      <c r="C34" s="229">
        <f>SUM(C25:C32)</f>
        <v>0</v>
      </c>
      <c r="D34" s="229">
        <f>SUM(D25:D32)</f>
        <v>0</v>
      </c>
      <c r="F34" s="540">
        <f>'Budget Hearing Notice'!E52</f>
        <v>0</v>
      </c>
      <c r="G34" s="374" t="str">
        <f>CONCATENATE(D1-1," Total Mill Rate")</f>
        <v>2024 Total Mill Rate</v>
      </c>
      <c r="H34" s="535"/>
      <c r="I34" s="536"/>
    </row>
    <row r="35" spans="1:9" x14ac:dyDescent="0.2">
      <c r="A35" s="98" t="s">
        <v>149</v>
      </c>
      <c r="B35" s="164">
        <f>B23-B34</f>
        <v>0</v>
      </c>
      <c r="C35" s="164">
        <f>C23-C34</f>
        <v>0</v>
      </c>
      <c r="D35" s="212" t="s">
        <v>16</v>
      </c>
      <c r="F35" s="382"/>
      <c r="G35" s="358"/>
      <c r="H35" s="358"/>
      <c r="I35" s="385"/>
    </row>
    <row r="36" spans="1:9" x14ac:dyDescent="0.2">
      <c r="A36" s="120" t="str">
        <f>CONCATENATE("",D1-2,"/",D1-1,"/",D1," Budget Authority Amount:")</f>
        <v>2023/2024/2025 Budget Authority Amount:</v>
      </c>
      <c r="B36" s="214">
        <f>inputOth!B37</f>
        <v>0</v>
      </c>
      <c r="C36" s="214">
        <f>inputPrYr!D22</f>
        <v>0</v>
      </c>
      <c r="D36" s="164">
        <f>D34</f>
        <v>0</v>
      </c>
      <c r="E36" s="206"/>
      <c r="F36" s="664" t="s">
        <v>571</v>
      </c>
      <c r="G36" s="665"/>
      <c r="H36" s="665"/>
      <c r="I36" s="668" t="str">
        <f>IF(F33&gt;F32, "Yes", "No")</f>
        <v>No</v>
      </c>
    </row>
    <row r="37" spans="1:9" x14ac:dyDescent="0.2">
      <c r="A37" s="182"/>
      <c r="B37" s="651" t="s">
        <v>319</v>
      </c>
      <c r="C37" s="652"/>
      <c r="D37" s="50"/>
      <c r="E37" s="303" t="str">
        <f>IF(D34/0.95-D34&lt;D37,"Exceeds 5%","")</f>
        <v/>
      </c>
      <c r="F37" s="666"/>
      <c r="G37" s="667"/>
      <c r="H37" s="667"/>
      <c r="I37" s="669"/>
    </row>
    <row r="38" spans="1:9" x14ac:dyDescent="0.2">
      <c r="A38" s="304" t="str">
        <f>CONCATENATE(B95,"     ",C95)</f>
        <v xml:space="preserve">     </v>
      </c>
      <c r="B38" s="653" t="s">
        <v>320</v>
      </c>
      <c r="C38" s="654"/>
      <c r="D38" s="164">
        <f>D34+D37</f>
        <v>0</v>
      </c>
      <c r="F38" s="670" t="str">
        <f>IF(I36="Yes", "Follow procedure prescribed by KSA 79-2988 to exceed the Revenue Neutral Rate.", " ")</f>
        <v xml:space="preserve"> </v>
      </c>
      <c r="G38" s="670"/>
      <c r="H38" s="670"/>
      <c r="I38" s="670"/>
    </row>
    <row r="39" spans="1:9" x14ac:dyDescent="0.2">
      <c r="A39" s="304" t="str">
        <f>CONCATENATE(B96,"      ",C96)</f>
        <v xml:space="preserve">      </v>
      </c>
      <c r="B39" s="207"/>
      <c r="C39" s="63" t="s">
        <v>45</v>
      </c>
      <c r="D39" s="164">
        <f>IF(D38-D23&gt;0,D38-D23,0)</f>
        <v>0</v>
      </c>
      <c r="F39" s="671"/>
      <c r="G39" s="671"/>
      <c r="H39" s="671"/>
      <c r="I39" s="671"/>
    </row>
    <row r="40" spans="1:9" x14ac:dyDescent="0.2">
      <c r="A40" s="63"/>
      <c r="B40" s="293" t="s">
        <v>321</v>
      </c>
      <c r="C40" s="396">
        <f>inputOth!$E$25</f>
        <v>0</v>
      </c>
      <c r="D40" s="164">
        <f>ROUND(IF(C40&gt;0,(D39*C40),0),0)</f>
        <v>0</v>
      </c>
      <c r="F40" s="671"/>
      <c r="G40" s="671"/>
      <c r="H40" s="671"/>
      <c r="I40" s="671"/>
    </row>
    <row r="41" spans="1:9" x14ac:dyDescent="0.25">
      <c r="A41" s="32"/>
      <c r="B41" s="649" t="str">
        <f>CONCATENATE("Amount of  ",$D$1-1," Ad Valorem Tax")</f>
        <v>Amount of  2024 Ad Valorem Tax</v>
      </c>
      <c r="C41" s="650"/>
      <c r="D41" s="164">
        <f>D39+D40</f>
        <v>0</v>
      </c>
      <c r="F41" s="371"/>
      <c r="G41" s="371"/>
      <c r="H41" s="371"/>
      <c r="I41" s="371"/>
    </row>
    <row r="42" spans="1:9" x14ac:dyDescent="0.25">
      <c r="A42" s="32"/>
      <c r="B42" s="182"/>
      <c r="C42" s="32"/>
      <c r="D42" s="32"/>
      <c r="F42" s="371"/>
      <c r="G42" s="371"/>
      <c r="H42" s="371"/>
      <c r="I42" s="371"/>
    </row>
    <row r="43" spans="1:9" x14ac:dyDescent="0.25">
      <c r="A43" s="32"/>
      <c r="B43" s="182"/>
      <c r="C43" s="32"/>
      <c r="D43" s="32"/>
      <c r="F43" s="371"/>
      <c r="G43" s="371"/>
      <c r="H43" s="371"/>
      <c r="I43" s="371"/>
    </row>
    <row r="44" spans="1:9" x14ac:dyDescent="0.25">
      <c r="A44" s="31"/>
      <c r="B44" s="91"/>
      <c r="C44" s="91"/>
      <c r="D44" s="91"/>
      <c r="F44" s="371"/>
      <c r="G44" s="371"/>
      <c r="H44" s="371"/>
      <c r="I44" s="371"/>
    </row>
    <row r="45" spans="1:9" x14ac:dyDescent="0.25">
      <c r="A45" s="31" t="s">
        <v>30</v>
      </c>
      <c r="B45" s="353" t="str">
        <f t="shared" ref="B45:D46" si="0">B4</f>
        <v xml:space="preserve">Prior Year </v>
      </c>
      <c r="C45" s="354" t="str">
        <f t="shared" si="0"/>
        <v xml:space="preserve">Current Year </v>
      </c>
      <c r="D45" s="95" t="str">
        <f t="shared" si="0"/>
        <v xml:space="preserve">Proposed Budget </v>
      </c>
      <c r="F45" s="371"/>
      <c r="G45" s="371"/>
      <c r="H45" s="371"/>
      <c r="I45" s="371"/>
    </row>
    <row r="46" spans="1:9" x14ac:dyDescent="0.25">
      <c r="A46" s="296">
        <f>inputPrYr!$B$23</f>
        <v>0</v>
      </c>
      <c r="B46" s="283" t="str">
        <f t="shared" si="0"/>
        <v>Actual for 2023</v>
      </c>
      <c r="C46" s="283" t="str">
        <f t="shared" si="0"/>
        <v>Estimate for 2024</v>
      </c>
      <c r="D46" s="162" t="str">
        <f t="shared" si="0"/>
        <v>Year for 2025</v>
      </c>
      <c r="F46" s="371"/>
      <c r="G46" s="371"/>
      <c r="H46" s="371"/>
      <c r="I46" s="371"/>
    </row>
    <row r="47" spans="1:9" x14ac:dyDescent="0.25">
      <c r="A47" s="98" t="s">
        <v>148</v>
      </c>
      <c r="B47" s="300"/>
      <c r="C47" s="282">
        <f>B76</f>
        <v>0</v>
      </c>
      <c r="D47" s="164">
        <f>C76</f>
        <v>0</v>
      </c>
      <c r="F47" s="371"/>
      <c r="G47" s="371"/>
      <c r="H47" s="371"/>
      <c r="I47" s="371"/>
    </row>
    <row r="48" spans="1:9" x14ac:dyDescent="0.25">
      <c r="A48" s="191" t="s">
        <v>150</v>
      </c>
      <c r="B48" s="111"/>
      <c r="C48" s="111"/>
      <c r="D48" s="64"/>
      <c r="F48" s="371"/>
      <c r="G48" s="371"/>
      <c r="H48" s="371"/>
      <c r="I48" s="371"/>
    </row>
    <row r="49" spans="1:10" x14ac:dyDescent="0.25">
      <c r="A49" s="98" t="s">
        <v>31</v>
      </c>
      <c r="B49" s="300"/>
      <c r="C49" s="282">
        <f>IF(inputPrYr!H22&gt;0,inputPrYr!H22,inputPrYr!E23)</f>
        <v>0</v>
      </c>
      <c r="D49" s="212" t="s">
        <v>16</v>
      </c>
      <c r="F49" s="371"/>
      <c r="G49" s="371"/>
      <c r="H49" s="371"/>
      <c r="I49" s="371"/>
    </row>
    <row r="50" spans="1:10" x14ac:dyDescent="0.25">
      <c r="A50" s="98" t="s">
        <v>32</v>
      </c>
      <c r="B50" s="300"/>
      <c r="C50" s="300"/>
      <c r="D50" s="51"/>
      <c r="F50" s="371"/>
      <c r="G50" s="371"/>
      <c r="H50" s="371"/>
      <c r="I50" s="371"/>
    </row>
    <row r="51" spans="1:10" x14ac:dyDescent="0.25">
      <c r="A51" s="98" t="s">
        <v>33</v>
      </c>
      <c r="B51" s="300"/>
      <c r="C51" s="300"/>
      <c r="D51" s="164" t="str">
        <f>Mvalloc!D14</f>
        <v xml:space="preserve">  </v>
      </c>
      <c r="F51" s="371"/>
      <c r="G51" s="371"/>
      <c r="H51" s="371"/>
      <c r="I51" s="371"/>
    </row>
    <row r="52" spans="1:10" x14ac:dyDescent="0.2">
      <c r="A52" s="98" t="s">
        <v>34</v>
      </c>
      <c r="B52" s="300"/>
      <c r="C52" s="300"/>
      <c r="D52" s="164" t="str">
        <f>Mvalloc!E14</f>
        <v xml:space="preserve">  </v>
      </c>
      <c r="F52" s="655" t="str">
        <f>CONCATENATE("Desired Carryover Into ",D1+1,"")</f>
        <v>Desired Carryover Into 2026</v>
      </c>
      <c r="G52" s="656"/>
      <c r="H52" s="656"/>
      <c r="I52" s="657"/>
    </row>
    <row r="53" spans="1:10" x14ac:dyDescent="0.2">
      <c r="A53" s="111" t="s">
        <v>131</v>
      </c>
      <c r="B53" s="300"/>
      <c r="C53" s="300"/>
      <c r="D53" s="164" t="str">
        <f>Mvalloc!F14</f>
        <v xml:space="preserve">  </v>
      </c>
      <c r="F53" s="357"/>
      <c r="G53" s="358"/>
      <c r="H53" s="359"/>
      <c r="I53" s="360"/>
    </row>
    <row r="54" spans="1:10" x14ac:dyDescent="0.2">
      <c r="A54" s="191" t="s">
        <v>374</v>
      </c>
      <c r="B54" s="300"/>
      <c r="C54" s="300"/>
      <c r="D54" s="164" t="str">
        <f>Mvalloc!G14</f>
        <v xml:space="preserve"> </v>
      </c>
      <c r="F54" s="361" t="s">
        <v>327</v>
      </c>
      <c r="G54" s="359"/>
      <c r="H54" s="359"/>
      <c r="I54" s="362"/>
    </row>
    <row r="55" spans="1:10" x14ac:dyDescent="0.2">
      <c r="A55" s="191" t="s">
        <v>375</v>
      </c>
      <c r="B55" s="300"/>
      <c r="C55" s="300"/>
      <c r="D55" s="164" t="str">
        <f>Mvalloc!H14</f>
        <v xml:space="preserve"> </v>
      </c>
      <c r="F55" s="357" t="s">
        <v>328</v>
      </c>
      <c r="G55" s="358"/>
      <c r="H55" s="358"/>
      <c r="I55" s="363" t="str">
        <f>IF(I54=0,"",ROUND((I54+D82-F67)/inputOth!E5*1000,3)-F72)</f>
        <v/>
      </c>
    </row>
    <row r="56" spans="1:10" x14ac:dyDescent="0.2">
      <c r="A56" s="205"/>
      <c r="B56" s="300"/>
      <c r="C56" s="300"/>
      <c r="D56" s="51"/>
      <c r="F56" s="364" t="str">
        <f>CONCATENATE("",D1," Tot Exp/Non-Appr Must Be:")</f>
        <v>2025 Tot Exp/Non-Appr Must Be:</v>
      </c>
      <c r="G56" s="365"/>
      <c r="H56" s="366"/>
      <c r="I56" s="367">
        <f>IF(I54&gt;0,IF(D79&lt;D64,IF(I54=F67,D79,((I54-F67)*(1-C81))+D64),D79+(I54-F67)),0)</f>
        <v>0</v>
      </c>
    </row>
    <row r="57" spans="1:10" x14ac:dyDescent="0.2">
      <c r="A57" s="205"/>
      <c r="B57" s="300"/>
      <c r="C57" s="300"/>
      <c r="D57" s="51"/>
      <c r="F57" s="368" t="s">
        <v>349</v>
      </c>
      <c r="G57" s="369"/>
      <c r="H57" s="369"/>
      <c r="I57" s="370">
        <f>IF(I54&gt;0,I56-D79,0)</f>
        <v>0</v>
      </c>
    </row>
    <row r="58" spans="1:10" x14ac:dyDescent="0.25">
      <c r="A58" s="205"/>
      <c r="B58" s="300"/>
      <c r="C58" s="300"/>
      <c r="D58" s="51"/>
      <c r="F58" s="371"/>
      <c r="G58" s="371"/>
      <c r="H58" s="371"/>
      <c r="I58" s="371"/>
    </row>
    <row r="59" spans="1:10" x14ac:dyDescent="0.2">
      <c r="A59" s="195" t="s">
        <v>38</v>
      </c>
      <c r="B59" s="300"/>
      <c r="C59" s="300"/>
      <c r="D59" s="51"/>
      <c r="F59" s="655" t="str">
        <f>CONCATENATE("Projected Carryover Into ",D1+1,"")</f>
        <v>Projected Carryover Into 2026</v>
      </c>
      <c r="G59" s="676"/>
      <c r="H59" s="676"/>
      <c r="I59" s="675"/>
    </row>
    <row r="60" spans="1:10" x14ac:dyDescent="0.25">
      <c r="A60" s="196" t="s">
        <v>218</v>
      </c>
      <c r="B60" s="300"/>
      <c r="C60" s="300"/>
      <c r="D60" s="218">
        <f>'NR Rebate'!E12*-1</f>
        <v>0</v>
      </c>
      <c r="F60" s="382"/>
      <c r="G60" s="358"/>
      <c r="H60" s="358"/>
      <c r="I60" s="383"/>
    </row>
    <row r="61" spans="1:10" x14ac:dyDescent="0.25">
      <c r="A61" s="196" t="s">
        <v>219</v>
      </c>
      <c r="B61" s="300"/>
      <c r="C61" s="300"/>
      <c r="D61" s="51"/>
      <c r="F61" s="373">
        <f>C76</f>
        <v>0</v>
      </c>
      <c r="G61" s="374" t="str">
        <f>CONCATENATE("",D1-1," Ending Cash Balance (est.)")</f>
        <v>2024 Ending Cash Balance (est.)</v>
      </c>
      <c r="H61" s="375"/>
      <c r="I61" s="383"/>
    </row>
    <row r="62" spans="1:10" x14ac:dyDescent="0.25">
      <c r="A62" s="196" t="s">
        <v>221</v>
      </c>
      <c r="B62" s="281" t="str">
        <f>IF(B63*0.1&lt;B61,"Exceed 10% Rule","")</f>
        <v/>
      </c>
      <c r="C62" s="281" t="str">
        <f>IF(C63*0.1&lt;C61,"Exceed 10% Rule","")</f>
        <v/>
      </c>
      <c r="D62" s="217" t="str">
        <f>IF(D63*0.1+D82&lt;D61,"Exceed 10% Rule","")</f>
        <v/>
      </c>
      <c r="F62" s="373">
        <f>D63</f>
        <v>0</v>
      </c>
      <c r="G62" s="359" t="str">
        <f>CONCATENATE("",D1," Non-AV Receipts (est.)")</f>
        <v>2025 Non-AV Receipts (est.)</v>
      </c>
      <c r="H62" s="375"/>
      <c r="I62" s="383"/>
    </row>
    <row r="63" spans="1:10" x14ac:dyDescent="0.25">
      <c r="A63" s="198" t="s">
        <v>39</v>
      </c>
      <c r="B63" s="229">
        <f>SUM(B49:B61)</f>
        <v>0</v>
      </c>
      <c r="C63" s="229">
        <f>SUM(C49:C61)</f>
        <v>0</v>
      </c>
      <c r="D63" s="229">
        <f>SUM(D50:D61)</f>
        <v>0</v>
      </c>
      <c r="F63" s="376">
        <f>IF(D81&gt;0,D80,D82)</f>
        <v>0</v>
      </c>
      <c r="G63" s="359" t="str">
        <f>CONCATENATE("",D1," Ad Valorem Tax (est.)")</f>
        <v>2025 Ad Valorem Tax (est.)</v>
      </c>
      <c r="H63" s="375"/>
      <c r="I63" s="383"/>
      <c r="J63" s="394" t="str">
        <f>IF(F63=D82,"","Note: Does not include Delinquent Taxes")</f>
        <v/>
      </c>
    </row>
    <row r="64" spans="1:10" x14ac:dyDescent="0.25">
      <c r="A64" s="198" t="s">
        <v>40</v>
      </c>
      <c r="B64" s="229">
        <f>B47+B63</f>
        <v>0</v>
      </c>
      <c r="C64" s="229">
        <f>C47+C63</f>
        <v>0</v>
      </c>
      <c r="D64" s="229">
        <f>D47+D63</f>
        <v>0</v>
      </c>
      <c r="F64" s="384">
        <f>SUM(F61:F63)</f>
        <v>0</v>
      </c>
      <c r="G64" s="359" t="str">
        <f>CONCATENATE("Total ",D1," Resources Available")</f>
        <v>Total 2025 Resources Available</v>
      </c>
      <c r="H64" s="385"/>
      <c r="I64" s="383"/>
    </row>
    <row r="65" spans="1:9" x14ac:dyDescent="0.25">
      <c r="A65" s="98" t="s">
        <v>43</v>
      </c>
      <c r="B65" s="196"/>
      <c r="C65" s="196"/>
      <c r="D65" s="108"/>
      <c r="F65" s="386"/>
      <c r="G65" s="387"/>
      <c r="H65" s="358"/>
      <c r="I65" s="383"/>
    </row>
    <row r="66" spans="1:9" x14ac:dyDescent="0.25">
      <c r="A66" s="205"/>
      <c r="B66" s="300"/>
      <c r="C66" s="300"/>
      <c r="D66" s="51"/>
      <c r="F66" s="388">
        <f>ROUND(B75*0.05+B75,0)</f>
        <v>0</v>
      </c>
      <c r="G66" s="359" t="str">
        <f>CONCATENATE("Less ",D1-2," Expenditures + 5%")</f>
        <v>Less 2023 Expenditures + 5%</v>
      </c>
      <c r="H66" s="385"/>
      <c r="I66" s="383"/>
    </row>
    <row r="67" spans="1:9" x14ac:dyDescent="0.25">
      <c r="A67" s="205"/>
      <c r="B67" s="300"/>
      <c r="C67" s="300"/>
      <c r="D67" s="51"/>
      <c r="F67" s="389">
        <f>F64-F66</f>
        <v>0</v>
      </c>
      <c r="G67" s="379" t="str">
        <f>CONCATENATE("Projected ",D1+1," carryover (est.)")</f>
        <v>Projected 2026 carryover (est.)</v>
      </c>
      <c r="H67" s="390"/>
      <c r="I67" s="391"/>
    </row>
    <row r="68" spans="1:9" x14ac:dyDescent="0.25">
      <c r="A68" s="205"/>
      <c r="B68" s="300"/>
      <c r="C68" s="300"/>
      <c r="D68" s="51"/>
      <c r="F68" s="371"/>
      <c r="G68" s="371"/>
      <c r="H68" s="371"/>
      <c r="I68" s="371"/>
    </row>
    <row r="69" spans="1:9" x14ac:dyDescent="0.2">
      <c r="A69" s="205"/>
      <c r="B69" s="300"/>
      <c r="C69" s="300"/>
      <c r="D69" s="51"/>
      <c r="F69" s="658" t="s">
        <v>569</v>
      </c>
      <c r="G69" s="659"/>
      <c r="H69" s="659"/>
      <c r="I69" s="660"/>
    </row>
    <row r="70" spans="1:9" x14ac:dyDescent="0.2">
      <c r="A70" s="205"/>
      <c r="B70" s="300"/>
      <c r="C70" s="300"/>
      <c r="D70" s="51"/>
      <c r="F70" s="661"/>
      <c r="G70" s="662"/>
      <c r="H70" s="662"/>
      <c r="I70" s="663"/>
    </row>
    <row r="71" spans="1:9" x14ac:dyDescent="0.2">
      <c r="A71" s="205"/>
      <c r="B71" s="300"/>
      <c r="C71" s="300"/>
      <c r="D71" s="51"/>
      <c r="F71" s="534" t="str">
        <f>'Budget Hearing Notice'!H22</f>
        <v xml:space="preserve">  </v>
      </c>
      <c r="G71" s="374" t="str">
        <f>CONCATENATE("",D1," Estimated Fund Mill Rate")</f>
        <v>2025 Estimated Fund Mill Rate</v>
      </c>
      <c r="H71" s="535"/>
      <c r="I71" s="536"/>
    </row>
    <row r="72" spans="1:9" x14ac:dyDescent="0.2">
      <c r="A72" s="196" t="str">
        <f>CONCATENATE("Cash Reserve (",D1," column)")</f>
        <v>Cash Reserve (2025 column)</v>
      </c>
      <c r="B72" s="300"/>
      <c r="C72" s="300"/>
      <c r="D72" s="51"/>
      <c r="F72" s="537" t="str">
        <f>'Budget Hearing Notice'!E22</f>
        <v xml:space="preserve">  </v>
      </c>
      <c r="G72" s="374" t="str">
        <f>CONCATENATE("",D1-1," Fund Mill Rate")</f>
        <v>2024 Fund Mill Rate</v>
      </c>
      <c r="H72" s="535"/>
      <c r="I72" s="536"/>
    </row>
    <row r="73" spans="1:9" x14ac:dyDescent="0.2">
      <c r="A73" s="196" t="s">
        <v>219</v>
      </c>
      <c r="B73" s="300"/>
      <c r="C73" s="300"/>
      <c r="D73" s="51"/>
      <c r="F73" s="538">
        <f>'Budget Hearing Notice'!H53</f>
        <v>0</v>
      </c>
      <c r="G73" s="539" t="s">
        <v>570</v>
      </c>
      <c r="H73" s="535"/>
      <c r="I73" s="536"/>
    </row>
    <row r="74" spans="1:9" x14ac:dyDescent="0.2">
      <c r="A74" s="196" t="s">
        <v>220</v>
      </c>
      <c r="B74" s="281" t="str">
        <f>IF(B75*0.1&lt;B73,"Exceed 10% Rule","")</f>
        <v/>
      </c>
      <c r="C74" s="281" t="str">
        <f>IF(C75*0.1&lt;C73,"Exceed 10% Rule","")</f>
        <v/>
      </c>
      <c r="D74" s="217" t="str">
        <f>IF(D75*0.1&lt;D73,"Exceed 10% Rule","")</f>
        <v/>
      </c>
      <c r="F74" s="534">
        <f>'Budget Hearing Notice'!H52</f>
        <v>0</v>
      </c>
      <c r="G74" s="374" t="str">
        <f>CONCATENATE(D1," Estimated Total Mill Rate")</f>
        <v>2025 Estimated Total Mill Rate</v>
      </c>
      <c r="H74" s="535"/>
      <c r="I74" s="536"/>
    </row>
    <row r="75" spans="1:9" x14ac:dyDescent="0.2">
      <c r="A75" s="198" t="s">
        <v>44</v>
      </c>
      <c r="B75" s="229">
        <f>SUM(B66:B73)</f>
        <v>0</v>
      </c>
      <c r="C75" s="229">
        <f>SUM(C66:C73)</f>
        <v>0</v>
      </c>
      <c r="D75" s="229">
        <f>SUM(D66:D73)</f>
        <v>0</v>
      </c>
      <c r="F75" s="540">
        <f>'Budget Hearing Notice'!E52</f>
        <v>0</v>
      </c>
      <c r="G75" s="374" t="str">
        <f>CONCATENATE(D1-1," Total Mill Rate")</f>
        <v>2024 Total Mill Rate</v>
      </c>
      <c r="H75" s="535"/>
      <c r="I75" s="536"/>
    </row>
    <row r="76" spans="1:9" x14ac:dyDescent="0.2">
      <c r="A76" s="98" t="s">
        <v>149</v>
      </c>
      <c r="B76" s="164">
        <f>B64-B75</f>
        <v>0</v>
      </c>
      <c r="C76" s="164">
        <f>C64-C75</f>
        <v>0</v>
      </c>
      <c r="D76" s="212" t="s">
        <v>16</v>
      </c>
      <c r="F76" s="382"/>
      <c r="G76" s="358"/>
      <c r="H76" s="358"/>
      <c r="I76" s="385"/>
    </row>
    <row r="77" spans="1:9" x14ac:dyDescent="0.2">
      <c r="A77" s="120" t="str">
        <f>CONCATENATE("",D1-2,"/",D1-1,"/",D1," Budget Authority Amount:")</f>
        <v>2023/2024/2025 Budget Authority Amount:</v>
      </c>
      <c r="B77" s="214">
        <f>inputOth!B38</f>
        <v>0</v>
      </c>
      <c r="C77" s="214">
        <f>inputPrYr!D23</f>
        <v>0</v>
      </c>
      <c r="D77" s="164">
        <f>D75</f>
        <v>0</v>
      </c>
      <c r="E77" s="206"/>
      <c r="F77" s="664" t="s">
        <v>571</v>
      </c>
      <c r="G77" s="665"/>
      <c r="H77" s="665"/>
      <c r="I77" s="668" t="str">
        <f>IF(F74&gt;F73, "Yes", "No")</f>
        <v>No</v>
      </c>
    </row>
    <row r="78" spans="1:9" x14ac:dyDescent="0.2">
      <c r="A78" s="182"/>
      <c r="B78" s="651" t="s">
        <v>319</v>
      </c>
      <c r="C78" s="652"/>
      <c r="D78" s="51"/>
      <c r="E78" s="303" t="str">
        <f>IF(D75/0.95-D75&lt;D78,"Exceeds 5%","")</f>
        <v/>
      </c>
      <c r="F78" s="666"/>
      <c r="G78" s="667"/>
      <c r="H78" s="667"/>
      <c r="I78" s="669"/>
    </row>
    <row r="79" spans="1:9" x14ac:dyDescent="0.2">
      <c r="A79" s="304" t="str">
        <f>CONCATENATE(B97,"      ",C97)</f>
        <v xml:space="preserve">      </v>
      </c>
      <c r="B79" s="653" t="s">
        <v>320</v>
      </c>
      <c r="C79" s="654"/>
      <c r="D79" s="164">
        <f>D75+D78</f>
        <v>0</v>
      </c>
      <c r="F79" s="670" t="str">
        <f>IF(I77="Yes", "Follow procedure prescribed by KSA 79-2988 to exceed the Revenue Neutral Rate.", " ")</f>
        <v xml:space="preserve"> </v>
      </c>
      <c r="G79" s="670"/>
      <c r="H79" s="670"/>
      <c r="I79" s="670"/>
    </row>
    <row r="80" spans="1:9" x14ac:dyDescent="0.2">
      <c r="A80" s="304" t="str">
        <f>CONCATENATE(B98,"      ",C98)</f>
        <v xml:space="preserve">      </v>
      </c>
      <c r="B80" s="207"/>
      <c r="C80" s="63" t="s">
        <v>45</v>
      </c>
      <c r="D80" s="164">
        <f>IF(D79-D64&gt;0,D79-D64,0)</f>
        <v>0</v>
      </c>
      <c r="F80" s="671"/>
      <c r="G80" s="671"/>
      <c r="H80" s="671"/>
      <c r="I80" s="671"/>
    </row>
    <row r="81" spans="1:9" x14ac:dyDescent="0.2">
      <c r="A81" s="63"/>
      <c r="B81" s="293" t="s">
        <v>321</v>
      </c>
      <c r="C81" s="396">
        <f>inputOth!$E$25</f>
        <v>0</v>
      </c>
      <c r="D81" s="164">
        <f>ROUND(IF(C81&gt;0,(D80*C81),0),0)</f>
        <v>0</v>
      </c>
      <c r="F81" s="671"/>
      <c r="G81" s="671"/>
      <c r="H81" s="671"/>
      <c r="I81" s="671"/>
    </row>
    <row r="82" spans="1:9" x14ac:dyDescent="0.2">
      <c r="A82" s="32"/>
      <c r="B82" s="649" t="str">
        <f>CONCATENATE("Amount of  ",$D$1-1," Ad Valorem Tax")</f>
        <v>Amount of  2024 Ad Valorem Tax</v>
      </c>
      <c r="C82" s="650"/>
      <c r="D82" s="164">
        <f>D80+D81</f>
        <v>0</v>
      </c>
    </row>
    <row r="83" spans="1:9" x14ac:dyDescent="0.2">
      <c r="A83" s="32"/>
      <c r="B83" s="182"/>
      <c r="C83" s="182"/>
      <c r="D83" s="182"/>
    </row>
    <row r="84" spans="1:9" x14ac:dyDescent="0.2">
      <c r="A84" s="446" t="s">
        <v>380</v>
      </c>
      <c r="B84" s="456"/>
      <c r="C84" s="456"/>
      <c r="D84" s="457"/>
    </row>
    <row r="85" spans="1:9" x14ac:dyDescent="0.2">
      <c r="A85" s="183"/>
      <c r="B85" s="182"/>
      <c r="C85" s="182"/>
      <c r="D85" s="458"/>
    </row>
    <row r="86" spans="1:9" x14ac:dyDescent="0.2">
      <c r="A86" s="447"/>
      <c r="B86" s="461"/>
      <c r="C86" s="461"/>
      <c r="D86" s="462"/>
    </row>
    <row r="87" spans="1:9" x14ac:dyDescent="0.2">
      <c r="A87" s="32"/>
      <c r="B87" s="182"/>
      <c r="C87" s="182"/>
      <c r="D87" s="182"/>
    </row>
    <row r="88" spans="1:9" x14ac:dyDescent="0.2">
      <c r="A88" s="182" t="s">
        <v>96</v>
      </c>
      <c r="B88" s="428"/>
      <c r="C88" s="32"/>
      <c r="D88" s="32"/>
    </row>
    <row r="91" spans="1:9" hidden="1" x14ac:dyDescent="0.2"/>
    <row r="92" spans="1:9" hidden="1" x14ac:dyDescent="0.2"/>
    <row r="93" spans="1:9" hidden="1" x14ac:dyDescent="0.2"/>
    <row r="94" spans="1:9" hidden="1" x14ac:dyDescent="0.2"/>
    <row r="95" spans="1:9" x14ac:dyDescent="0.2">
      <c r="B95" s="27" t="str">
        <f>IF(B34&gt;B36,"See Tab A","")</f>
        <v/>
      </c>
      <c r="C95" s="27" t="str">
        <f>IF(C34&gt;C36,"See Tab C","")</f>
        <v/>
      </c>
    </row>
    <row r="96" spans="1:9" x14ac:dyDescent="0.2">
      <c r="B96" s="27" t="str">
        <f>IF(B35&lt;0,"See Tab B","")</f>
        <v/>
      </c>
      <c r="C96" s="27" t="str">
        <f>IF(C35&lt;0,"See Tab D","")</f>
        <v/>
      </c>
    </row>
    <row r="97" spans="2:3" x14ac:dyDescent="0.2">
      <c r="B97" s="27" t="str">
        <f>IF(B75&gt;B77,"See Tab A","")</f>
        <v/>
      </c>
      <c r="C97" s="27" t="str">
        <f>IF(C75&gt;C77,"See Tab C","")</f>
        <v/>
      </c>
    </row>
    <row r="98" spans="2:3" x14ac:dyDescent="0.2">
      <c r="B98" s="27" t="str">
        <f>IF(B76&lt;0,"See Tab B","")</f>
        <v/>
      </c>
      <c r="C98" s="27" t="str">
        <f>IF(C76&lt;0,"See Tab D","")</f>
        <v/>
      </c>
    </row>
    <row r="101" spans="2:3" x14ac:dyDescent="0.2">
      <c r="B101" s="27" t="str">
        <f>IF(B79&lt;0,"See Tab B","")</f>
        <v/>
      </c>
      <c r="C101" s="27" t="str">
        <f>IF(C79&lt;0,"See Tab D","")</f>
        <v/>
      </c>
    </row>
  </sheetData>
  <sheetProtection sheet="1"/>
  <mergeCells count="18">
    <mergeCell ref="B82:C82"/>
    <mergeCell ref="B41:C41"/>
    <mergeCell ref="F28:I29"/>
    <mergeCell ref="F36:H37"/>
    <mergeCell ref="I36:I37"/>
    <mergeCell ref="F38:I40"/>
    <mergeCell ref="F69:I70"/>
    <mergeCell ref="F77:H78"/>
    <mergeCell ref="I77:I78"/>
    <mergeCell ref="F79:I81"/>
    <mergeCell ref="B37:C37"/>
    <mergeCell ref="B38:C38"/>
    <mergeCell ref="B78:C78"/>
    <mergeCell ref="B79:C79"/>
    <mergeCell ref="F11:I11"/>
    <mergeCell ref="F18:I18"/>
    <mergeCell ref="F52:I52"/>
    <mergeCell ref="F59:I59"/>
  </mergeCells>
  <phoneticPr fontId="0" type="noConversion"/>
  <conditionalFormatting sqref="B20">
    <cfRule type="cellIs" dxfId="284" priority="15" stopIfTrue="1" operator="greaterThan">
      <formula>$B$22*0.1</formula>
    </cfRule>
  </conditionalFormatting>
  <conditionalFormatting sqref="B32">
    <cfRule type="cellIs" dxfId="283" priority="25" stopIfTrue="1" operator="greaterThan">
      <formula>$B$34*0.1</formula>
    </cfRule>
  </conditionalFormatting>
  <conditionalFormatting sqref="B34">
    <cfRule type="cellIs" dxfId="282" priority="8" stopIfTrue="1" operator="greaterThan">
      <formula>$B$36</formula>
    </cfRule>
  </conditionalFormatting>
  <conditionalFormatting sqref="B61">
    <cfRule type="cellIs" dxfId="281" priority="24" stopIfTrue="1" operator="greaterThan">
      <formula>$B$63*0.1</formula>
    </cfRule>
  </conditionalFormatting>
  <conditionalFormatting sqref="B73">
    <cfRule type="cellIs" dxfId="280" priority="21" stopIfTrue="1" operator="greaterThan">
      <formula>$B$75*0.1</formula>
    </cfRule>
  </conditionalFormatting>
  <conditionalFormatting sqref="B75">
    <cfRule type="cellIs" dxfId="279" priority="4" stopIfTrue="1" operator="greaterThan">
      <formula>$B$77</formula>
    </cfRule>
  </conditionalFormatting>
  <conditionalFormatting sqref="B35:C35">
    <cfRule type="cellIs" dxfId="278" priority="5" stopIfTrue="1" operator="lessThan">
      <formula>0</formula>
    </cfRule>
  </conditionalFormatting>
  <conditionalFormatting sqref="B76:C76">
    <cfRule type="cellIs" dxfId="277" priority="1" stopIfTrue="1" operator="lessThan">
      <formula>0</formula>
    </cfRule>
  </conditionalFormatting>
  <conditionalFormatting sqref="C20">
    <cfRule type="cellIs" dxfId="276" priority="16" stopIfTrue="1" operator="greaterThan">
      <formula>$C$22*0.1</formula>
    </cfRule>
  </conditionalFormatting>
  <conditionalFormatting sqref="C32">
    <cfRule type="cellIs" dxfId="275" priority="26" stopIfTrue="1" operator="greaterThan">
      <formula>$C$34*0.1</formula>
    </cfRule>
  </conditionalFormatting>
  <conditionalFormatting sqref="C34">
    <cfRule type="cellIs" dxfId="274" priority="7" stopIfTrue="1" operator="greaterThan">
      <formula>$C$36</formula>
    </cfRule>
  </conditionalFormatting>
  <conditionalFormatting sqref="C61">
    <cfRule type="cellIs" dxfId="273" priority="23" stopIfTrue="1" operator="greaterThan">
      <formula>$C$63*0.1</formula>
    </cfRule>
  </conditionalFormatting>
  <conditionalFormatting sqref="C73">
    <cfRule type="cellIs" dxfId="272" priority="22" stopIfTrue="1" operator="greaterThan">
      <formula>$C$75*0.1</formula>
    </cfRule>
  </conditionalFormatting>
  <conditionalFormatting sqref="C75">
    <cfRule type="cellIs" dxfId="271" priority="3" stopIfTrue="1" operator="greaterThan">
      <formula>$C$77</formula>
    </cfRule>
  </conditionalFormatting>
  <conditionalFormatting sqref="D20">
    <cfRule type="cellIs" dxfId="270" priority="19" stopIfTrue="1" operator="greaterThan">
      <formula>$D$22*0.1+D41</formula>
    </cfRule>
  </conditionalFormatting>
  <conditionalFormatting sqref="D32">
    <cfRule type="cellIs" dxfId="269" priority="17" stopIfTrue="1" operator="greaterThan">
      <formula>$D$34*0.1</formula>
    </cfRule>
  </conditionalFormatting>
  <conditionalFormatting sqref="D37">
    <cfRule type="cellIs" dxfId="268" priority="13" stopIfTrue="1" operator="greaterThan">
      <formula>$D$34/0.95-$D$34</formula>
    </cfRule>
  </conditionalFormatting>
  <conditionalFormatting sqref="D61">
    <cfRule type="cellIs" dxfId="267" priority="20" stopIfTrue="1" operator="greaterThan">
      <formula>$D$63*0.1+D82</formula>
    </cfRule>
  </conditionalFormatting>
  <conditionalFormatting sqref="D73">
    <cfRule type="cellIs" dxfId="266" priority="14" stopIfTrue="1" operator="greaterThan">
      <formula>$D$75*0.1</formula>
    </cfRule>
  </conditionalFormatting>
  <conditionalFormatting sqref="D78">
    <cfRule type="cellIs" dxfId="265" priority="18" stopIfTrue="1" operator="greaterThan">
      <formula>$D$75/0.95-$D$75</formula>
    </cfRule>
  </conditionalFormatting>
  <conditionalFormatting sqref="I36">
    <cfRule type="containsText" dxfId="264" priority="10" operator="containsText" text="Yes">
      <formula>NOT(ISERROR(SEARCH("Yes",I36)))</formula>
    </cfRule>
  </conditionalFormatting>
  <conditionalFormatting sqref="I77">
    <cfRule type="containsText" dxfId="263" priority="9" operator="containsText" text="Yes">
      <formula>NOT(ISERROR(SEARCH("Yes",I77)))</formula>
    </cfRule>
  </conditionalFormatting>
  <pageMargins left="1.1200000000000001" right="0.5" top="0.74" bottom="0.34" header="0.5" footer="0"/>
  <pageSetup scale="55" orientation="portrait" blackAndWhite="1" horizontalDpi="120" verticalDpi="144" r:id="rId1"/>
  <headerFooter alignWithMargins="0">
    <oddHeader xml:space="preserve">&amp;RState of Kansas
County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05"/>
  <sheetViews>
    <sheetView topLeftCell="A25" workbookViewId="0">
      <selection activeCell="C5" sqref="C5"/>
    </sheetView>
  </sheetViews>
  <sheetFormatPr defaultRowHeight="15.75" x14ac:dyDescent="0.2"/>
  <cols>
    <col min="1" max="1" width="15.77734375" style="27" customWidth="1"/>
    <col min="2" max="2" width="20.77734375" style="27" customWidth="1"/>
    <col min="3" max="3" width="8.77734375" style="27" customWidth="1"/>
    <col min="4" max="5" width="13.33203125" style="27" customWidth="1"/>
    <col min="6" max="6" width="10.77734375" style="27" customWidth="1"/>
    <col min="7" max="7" width="1.77734375" style="27" customWidth="1"/>
    <col min="8" max="8" width="18.6640625" style="27" customWidth="1"/>
    <col min="9" max="16384" width="8.88671875" style="27"/>
  </cols>
  <sheetData>
    <row r="1" spans="1:9" x14ac:dyDescent="0.2">
      <c r="A1" s="592" t="s">
        <v>356</v>
      </c>
      <c r="B1" s="593"/>
      <c r="C1" s="593"/>
      <c r="D1" s="593"/>
      <c r="E1" s="593"/>
      <c r="F1" s="593"/>
    </row>
    <row r="2" spans="1:9" x14ac:dyDescent="0.2">
      <c r="A2" s="29"/>
      <c r="B2" s="30"/>
      <c r="C2" s="30"/>
      <c r="D2" s="30"/>
      <c r="E2" s="30"/>
      <c r="F2" s="30"/>
    </row>
    <row r="3" spans="1:9" x14ac:dyDescent="0.2">
      <c r="A3" s="430" t="s">
        <v>357</v>
      </c>
      <c r="B3" s="32"/>
      <c r="C3" s="585"/>
      <c r="D3" s="586"/>
      <c r="E3" s="587"/>
      <c r="F3" s="32"/>
    </row>
    <row r="4" spans="1:9" x14ac:dyDescent="0.2">
      <c r="A4" s="31"/>
      <c r="B4" s="32"/>
      <c r="C4" s="32"/>
      <c r="D4" s="32"/>
      <c r="E4" s="33"/>
      <c r="F4" s="32"/>
    </row>
    <row r="5" spans="1:9" x14ac:dyDescent="0.2">
      <c r="A5" s="430" t="s">
        <v>358</v>
      </c>
      <c r="B5" s="32"/>
      <c r="C5" s="34">
        <v>2025</v>
      </c>
      <c r="D5" s="35"/>
      <c r="E5" s="31"/>
      <c r="F5" s="32"/>
    </row>
    <row r="6" spans="1:9" x14ac:dyDescent="0.2">
      <c r="A6" s="430"/>
      <c r="B6" s="32"/>
      <c r="C6" s="32"/>
      <c r="D6" s="35"/>
      <c r="E6" s="31"/>
      <c r="F6" s="32"/>
    </row>
    <row r="7" spans="1:9" ht="15.75" customHeight="1" x14ac:dyDescent="0.2">
      <c r="A7" s="596" t="s">
        <v>360</v>
      </c>
      <c r="B7" s="596"/>
      <c r="C7" s="596"/>
      <c r="D7" s="596"/>
      <c r="E7" s="596"/>
      <c r="F7" s="37"/>
      <c r="H7" s="579" t="s">
        <v>361</v>
      </c>
      <c r="I7" s="580"/>
    </row>
    <row r="8" spans="1:9" x14ac:dyDescent="0.2">
      <c r="A8" s="596"/>
      <c r="B8" s="596"/>
      <c r="C8" s="596"/>
      <c r="D8" s="596"/>
      <c r="E8" s="596"/>
      <c r="F8" s="37"/>
      <c r="H8" s="581"/>
      <c r="I8" s="582"/>
    </row>
    <row r="9" spans="1:9" x14ac:dyDescent="0.2">
      <c r="A9" s="596"/>
      <c r="B9" s="596"/>
      <c r="C9" s="596"/>
      <c r="D9" s="596"/>
      <c r="E9" s="596"/>
      <c r="F9" s="37"/>
      <c r="H9" s="581"/>
      <c r="I9" s="582"/>
    </row>
    <row r="10" spans="1:9" x14ac:dyDescent="0.2">
      <c r="A10" s="594" t="s">
        <v>359</v>
      </c>
      <c r="B10" s="595"/>
      <c r="C10" s="595"/>
      <c r="D10" s="595"/>
      <c r="E10" s="595"/>
      <c r="F10" s="595"/>
      <c r="H10" s="581"/>
      <c r="I10" s="582"/>
    </row>
    <row r="11" spans="1:9" x14ac:dyDescent="0.2">
      <c r="A11" s="38"/>
      <c r="B11" s="39"/>
      <c r="C11" s="39"/>
      <c r="D11" s="39"/>
      <c r="E11" s="39"/>
      <c r="F11" s="39"/>
      <c r="H11" s="581"/>
      <c r="I11" s="582"/>
    </row>
    <row r="12" spans="1:9" x14ac:dyDescent="0.2">
      <c r="A12" s="409" t="str">
        <f>CONCATENATE("The input for the following comes directly from the ",C5-1," Budget:")</f>
        <v>The input for the following comes directly from the 2024 Budget:</v>
      </c>
      <c r="B12" s="410"/>
      <c r="C12" s="410"/>
      <c r="D12" s="411"/>
      <c r="E12" s="32"/>
      <c r="F12" s="32"/>
      <c r="H12" s="581"/>
      <c r="I12" s="582"/>
    </row>
    <row r="13" spans="1:9" x14ac:dyDescent="0.2">
      <c r="A13" s="412" t="s">
        <v>164</v>
      </c>
      <c r="B13" s="413"/>
      <c r="C13" s="413"/>
      <c r="D13" s="414"/>
      <c r="E13" s="32"/>
      <c r="F13" s="32"/>
      <c r="H13" s="583"/>
      <c r="I13" s="584"/>
    </row>
    <row r="14" spans="1:9" x14ac:dyDescent="0.2">
      <c r="A14" s="415" t="s">
        <v>240</v>
      </c>
      <c r="B14" s="68"/>
      <c r="C14" s="68"/>
      <c r="D14" s="416"/>
      <c r="E14" s="32"/>
      <c r="F14" s="32"/>
      <c r="H14" s="156" t="s">
        <v>352</v>
      </c>
      <c r="I14" s="151" t="s">
        <v>46</v>
      </c>
    </row>
    <row r="15" spans="1:9" x14ac:dyDescent="0.2">
      <c r="A15" s="32"/>
      <c r="B15" s="32"/>
      <c r="C15" s="40"/>
      <c r="D15" s="84">
        <f>C5-1</f>
        <v>2024</v>
      </c>
      <c r="E15" s="41">
        <f>C5-2</f>
        <v>2023</v>
      </c>
      <c r="F15" s="41">
        <f>C5-2</f>
        <v>2023</v>
      </c>
      <c r="H15" s="162" t="str">
        <f>CONCATENATE("",E15," Ad Valorem Tax")</f>
        <v>2023 Ad Valorem Tax</v>
      </c>
      <c r="I15" s="397">
        <v>0</v>
      </c>
    </row>
    <row r="16" spans="1:9" x14ac:dyDescent="0.2">
      <c r="A16" s="31" t="s">
        <v>182</v>
      </c>
      <c r="B16" s="32"/>
      <c r="C16" s="42" t="s">
        <v>0</v>
      </c>
      <c r="D16" s="43" t="s">
        <v>239</v>
      </c>
      <c r="E16" s="43" t="s">
        <v>222</v>
      </c>
      <c r="F16" s="43" t="s">
        <v>217</v>
      </c>
      <c r="H16" s="164">
        <f>IF($I$15&gt;0,ROUND(E17-(E17*$I$15),0),0)</f>
        <v>0</v>
      </c>
    </row>
    <row r="17" spans="1:8" x14ac:dyDescent="0.2">
      <c r="A17" s="32"/>
      <c r="B17" s="44" t="s">
        <v>1</v>
      </c>
      <c r="C17" s="45" t="s">
        <v>151</v>
      </c>
      <c r="D17" s="46"/>
      <c r="E17" s="438"/>
      <c r="F17" s="47"/>
      <c r="H17" s="164">
        <f t="shared" ref="H17:H40" si="0">IF($I$15&gt;0,ROUND(E18-(E18*$I$15),0),0)</f>
        <v>0</v>
      </c>
    </row>
    <row r="18" spans="1:8" x14ac:dyDescent="0.2">
      <c r="A18" s="32"/>
      <c r="B18" s="44" t="s">
        <v>62</v>
      </c>
      <c r="C18" s="45" t="s">
        <v>165</v>
      </c>
      <c r="D18" s="46"/>
      <c r="E18" s="438"/>
      <c r="F18" s="47"/>
      <c r="H18" s="164">
        <f t="shared" si="0"/>
        <v>0</v>
      </c>
    </row>
    <row r="19" spans="1:8" x14ac:dyDescent="0.2">
      <c r="A19" s="32"/>
      <c r="B19" s="44" t="s">
        <v>88</v>
      </c>
      <c r="C19" s="45" t="s">
        <v>378</v>
      </c>
      <c r="D19" s="46"/>
      <c r="E19" s="438"/>
      <c r="F19" s="47"/>
      <c r="H19" s="164">
        <f t="shared" si="0"/>
        <v>0</v>
      </c>
    </row>
    <row r="20" spans="1:8" x14ac:dyDescent="0.2">
      <c r="A20" s="31"/>
      <c r="B20" s="439"/>
      <c r="C20" s="292"/>
      <c r="D20" s="46"/>
      <c r="E20" s="438"/>
      <c r="F20" s="49"/>
      <c r="H20" s="164">
        <f t="shared" si="0"/>
        <v>0</v>
      </c>
    </row>
    <row r="21" spans="1:8" x14ac:dyDescent="0.2">
      <c r="A21" s="32"/>
      <c r="B21" s="439"/>
      <c r="C21" s="292"/>
      <c r="D21" s="46"/>
      <c r="E21" s="438"/>
      <c r="F21" s="47"/>
      <c r="H21" s="164">
        <f t="shared" si="0"/>
        <v>0</v>
      </c>
    </row>
    <row r="22" spans="1:8" x14ac:dyDescent="0.2">
      <c r="A22" s="32"/>
      <c r="B22" s="439"/>
      <c r="C22" s="292"/>
      <c r="D22" s="46"/>
      <c r="E22" s="438"/>
      <c r="F22" s="47"/>
      <c r="H22" s="164">
        <f t="shared" si="0"/>
        <v>0</v>
      </c>
    </row>
    <row r="23" spans="1:8" x14ac:dyDescent="0.2">
      <c r="A23" s="32"/>
      <c r="B23" s="439"/>
      <c r="C23" s="292"/>
      <c r="D23" s="46"/>
      <c r="E23" s="438"/>
      <c r="F23" s="47"/>
      <c r="H23" s="164">
        <f t="shared" si="0"/>
        <v>0</v>
      </c>
    </row>
    <row r="24" spans="1:8" x14ac:dyDescent="0.2">
      <c r="A24" s="32"/>
      <c r="B24" s="439"/>
      <c r="C24" s="292"/>
      <c r="D24" s="46"/>
      <c r="E24" s="438"/>
      <c r="F24" s="47"/>
      <c r="H24" s="164">
        <f t="shared" si="0"/>
        <v>0</v>
      </c>
    </row>
    <row r="25" spans="1:8" x14ac:dyDescent="0.2">
      <c r="A25" s="32"/>
      <c r="B25" s="439"/>
      <c r="C25" s="292"/>
      <c r="D25" s="46"/>
      <c r="E25" s="438"/>
      <c r="F25" s="47"/>
      <c r="H25" s="164">
        <f t="shared" si="0"/>
        <v>0</v>
      </c>
    </row>
    <row r="26" spans="1:8" x14ac:dyDescent="0.2">
      <c r="A26" s="32"/>
      <c r="B26" s="439"/>
      <c r="C26" s="292"/>
      <c r="D26" s="46"/>
      <c r="E26" s="438"/>
      <c r="F26" s="47"/>
      <c r="H26" s="164">
        <f t="shared" si="0"/>
        <v>0</v>
      </c>
    </row>
    <row r="27" spans="1:8" x14ac:dyDescent="0.2">
      <c r="A27" s="32"/>
      <c r="B27" s="439"/>
      <c r="C27" s="292"/>
      <c r="D27" s="46"/>
      <c r="E27" s="438"/>
      <c r="F27" s="47"/>
      <c r="H27" s="164">
        <f t="shared" si="0"/>
        <v>0</v>
      </c>
    </row>
    <row r="28" spans="1:8" x14ac:dyDescent="0.2">
      <c r="A28" s="32"/>
      <c r="B28" s="439"/>
      <c r="C28" s="292"/>
      <c r="D28" s="46"/>
      <c r="E28" s="438"/>
      <c r="F28" s="47"/>
      <c r="H28" s="164">
        <f t="shared" si="0"/>
        <v>0</v>
      </c>
    </row>
    <row r="29" spans="1:8" x14ac:dyDescent="0.2">
      <c r="A29" s="32"/>
      <c r="B29" s="439"/>
      <c r="C29" s="292"/>
      <c r="D29" s="46"/>
      <c r="E29" s="438"/>
      <c r="F29" s="47"/>
      <c r="H29" s="164">
        <f t="shared" si="0"/>
        <v>0</v>
      </c>
    </row>
    <row r="30" spans="1:8" x14ac:dyDescent="0.2">
      <c r="A30" s="32"/>
      <c r="B30" s="439"/>
      <c r="C30" s="292"/>
      <c r="D30" s="46"/>
      <c r="E30" s="51"/>
      <c r="F30" s="47"/>
      <c r="H30" s="164">
        <f t="shared" si="0"/>
        <v>0</v>
      </c>
    </row>
    <row r="31" spans="1:8" x14ac:dyDescent="0.2">
      <c r="A31" s="32"/>
      <c r="B31" s="439"/>
      <c r="C31" s="292"/>
      <c r="D31" s="46"/>
      <c r="E31" s="51"/>
      <c r="F31" s="47"/>
      <c r="H31" s="164">
        <f t="shared" si="0"/>
        <v>0</v>
      </c>
    </row>
    <row r="32" spans="1:8" x14ac:dyDescent="0.2">
      <c r="A32" s="32"/>
      <c r="B32" s="439"/>
      <c r="C32" s="292"/>
      <c r="D32" s="46"/>
      <c r="E32" s="51"/>
      <c r="F32" s="47"/>
      <c r="H32" s="164">
        <f t="shared" si="0"/>
        <v>0</v>
      </c>
    </row>
    <row r="33" spans="1:8" x14ac:dyDescent="0.2">
      <c r="A33" s="32"/>
      <c r="B33" s="439"/>
      <c r="C33" s="292"/>
      <c r="D33" s="46"/>
      <c r="E33" s="51"/>
      <c r="F33" s="47"/>
      <c r="H33" s="164">
        <f t="shared" si="0"/>
        <v>0</v>
      </c>
    </row>
    <row r="34" spans="1:8" x14ac:dyDescent="0.2">
      <c r="A34" s="32"/>
      <c r="B34" s="439"/>
      <c r="C34" s="292"/>
      <c r="D34" s="46"/>
      <c r="E34" s="51"/>
      <c r="F34" s="47"/>
      <c r="H34" s="164">
        <f t="shared" si="0"/>
        <v>0</v>
      </c>
    </row>
    <row r="35" spans="1:8" x14ac:dyDescent="0.2">
      <c r="A35" s="32"/>
      <c r="B35" s="439"/>
      <c r="C35" s="292"/>
      <c r="D35" s="46"/>
      <c r="E35" s="51"/>
      <c r="F35" s="47"/>
      <c r="H35" s="164">
        <f t="shared" si="0"/>
        <v>0</v>
      </c>
    </row>
    <row r="36" spans="1:8" x14ac:dyDescent="0.2">
      <c r="A36" s="32"/>
      <c r="B36" s="439"/>
      <c r="C36" s="292"/>
      <c r="D36" s="46"/>
      <c r="E36" s="51"/>
      <c r="F36" s="47"/>
      <c r="H36" s="164">
        <f t="shared" si="0"/>
        <v>0</v>
      </c>
    </row>
    <row r="37" spans="1:8" x14ac:dyDescent="0.2">
      <c r="A37" s="32"/>
      <c r="B37" s="439"/>
      <c r="C37" s="292"/>
      <c r="D37" s="46"/>
      <c r="E37" s="51"/>
      <c r="F37" s="47"/>
      <c r="H37" s="164">
        <f t="shared" si="0"/>
        <v>0</v>
      </c>
    </row>
    <row r="38" spans="1:8" x14ac:dyDescent="0.2">
      <c r="A38" s="32"/>
      <c r="B38" s="439"/>
      <c r="C38" s="292"/>
      <c r="D38" s="46"/>
      <c r="E38" s="51"/>
      <c r="F38" s="47"/>
      <c r="H38" s="164">
        <f t="shared" si="0"/>
        <v>0</v>
      </c>
    </row>
    <row r="39" spans="1:8" x14ac:dyDescent="0.2">
      <c r="A39" s="32"/>
      <c r="B39" s="439"/>
      <c r="C39" s="292"/>
      <c r="D39" s="46"/>
      <c r="E39" s="51"/>
      <c r="F39" s="47"/>
      <c r="H39" s="164">
        <f t="shared" si="0"/>
        <v>0</v>
      </c>
    </row>
    <row r="40" spans="1:8" x14ac:dyDescent="0.2">
      <c r="A40" s="32"/>
      <c r="B40" s="439"/>
      <c r="C40" s="292"/>
      <c r="D40" s="46"/>
      <c r="E40" s="51"/>
      <c r="F40" s="47"/>
      <c r="H40" s="164">
        <f t="shared" si="0"/>
        <v>0</v>
      </c>
    </row>
    <row r="41" spans="1:8" x14ac:dyDescent="0.2">
      <c r="A41" s="32"/>
      <c r="B41" s="439"/>
      <c r="C41" s="292"/>
      <c r="D41" s="46"/>
      <c r="E41" s="51"/>
      <c r="F41" s="47"/>
    </row>
    <row r="42" spans="1:8" x14ac:dyDescent="0.2">
      <c r="A42" s="52" t="str">
        <f>CONCATENATE("Total Tax Levy Funds Levy Amounts and Levy Rates for ",C5-1," Budget")</f>
        <v>Total Tax Levy Funds Levy Amounts and Levy Rates for 2024 Budget</v>
      </c>
      <c r="B42" s="53"/>
      <c r="C42" s="53"/>
      <c r="D42" s="54"/>
      <c r="E42" s="282">
        <f>SUM(E17:E41)</f>
        <v>0</v>
      </c>
      <c r="F42" s="500">
        <f>SUM(F17:F41)</f>
        <v>0</v>
      </c>
    </row>
    <row r="43" spans="1:8" x14ac:dyDescent="0.2">
      <c r="A43" s="31"/>
      <c r="B43" s="32"/>
      <c r="C43" s="32"/>
      <c r="D43" s="32"/>
      <c r="E43" s="56"/>
      <c r="F43" s="57"/>
    </row>
    <row r="44" spans="1:8" x14ac:dyDescent="0.2">
      <c r="A44" s="31" t="s">
        <v>166</v>
      </c>
      <c r="B44" s="32"/>
      <c r="C44" s="32"/>
      <c r="D44" s="32"/>
      <c r="E44" s="32"/>
      <c r="F44" s="32"/>
    </row>
    <row r="45" spans="1:8" x14ac:dyDescent="0.2">
      <c r="A45" s="32"/>
      <c r="B45" s="47"/>
      <c r="C45" s="32"/>
      <c r="D45" s="58"/>
      <c r="E45" s="32"/>
      <c r="F45" s="32"/>
    </row>
    <row r="46" spans="1:8" x14ac:dyDescent="0.2">
      <c r="A46" s="32"/>
      <c r="B46" s="47"/>
      <c r="C46" s="32"/>
      <c r="D46" s="58"/>
      <c r="E46" s="32"/>
      <c r="F46" s="32"/>
    </row>
    <row r="47" spans="1:8" x14ac:dyDescent="0.2">
      <c r="A47" s="32"/>
      <c r="B47" s="47"/>
      <c r="C47" s="32"/>
      <c r="D47" s="58"/>
      <c r="E47" s="32"/>
      <c r="F47" s="32"/>
    </row>
    <row r="48" spans="1:8" x14ac:dyDescent="0.2">
      <c r="A48" s="32"/>
      <c r="B48" s="47"/>
      <c r="C48" s="32"/>
      <c r="D48" s="58"/>
      <c r="E48" s="32"/>
      <c r="F48" s="32"/>
    </row>
    <row r="49" spans="1:6" x14ac:dyDescent="0.2">
      <c r="A49" s="32"/>
      <c r="B49" s="47"/>
      <c r="C49" s="32"/>
      <c r="D49" s="58"/>
      <c r="E49" s="32"/>
      <c r="F49" s="32"/>
    </row>
    <row r="50" spans="1:6" x14ac:dyDescent="0.2">
      <c r="A50" s="32"/>
      <c r="B50" s="47"/>
      <c r="C50" s="32"/>
      <c r="D50" s="58"/>
      <c r="E50" s="32"/>
      <c r="F50" s="32"/>
    </row>
    <row r="51" spans="1:6" x14ac:dyDescent="0.2">
      <c r="A51" s="32"/>
      <c r="B51" s="47"/>
      <c r="C51" s="32"/>
      <c r="D51" s="58"/>
      <c r="E51" s="32"/>
      <c r="F51" s="32"/>
    </row>
    <row r="52" spans="1:6" x14ac:dyDescent="0.2">
      <c r="A52" s="32"/>
      <c r="B52" s="47"/>
      <c r="C52" s="32"/>
      <c r="D52" s="58"/>
      <c r="E52" s="32"/>
      <c r="F52" s="32"/>
    </row>
    <row r="53" spans="1:6" x14ac:dyDescent="0.2">
      <c r="A53" s="32"/>
      <c r="B53" s="47"/>
      <c r="C53" s="32"/>
      <c r="D53" s="58"/>
      <c r="E53" s="32"/>
      <c r="F53" s="32"/>
    </row>
    <row r="54" spans="1:6" x14ac:dyDescent="0.2">
      <c r="A54" s="32"/>
      <c r="B54" s="47"/>
      <c r="C54" s="32"/>
      <c r="D54" s="58"/>
      <c r="E54" s="32"/>
      <c r="F54" s="32"/>
    </row>
    <row r="55" spans="1:6" x14ac:dyDescent="0.2">
      <c r="A55" s="52" t="str">
        <f>CONCATENATE("Total Expenditures for ",C5-1," Budgeted Year")</f>
        <v>Total Expenditures for 2024 Budgeted Year</v>
      </c>
      <c r="B55" s="59"/>
      <c r="C55" s="60"/>
      <c r="D55" s="164">
        <f>SUM(D17:D41,D45:D54)</f>
        <v>0</v>
      </c>
      <c r="E55" s="32"/>
      <c r="F55" s="32"/>
    </row>
    <row r="56" spans="1:6" x14ac:dyDescent="0.2">
      <c r="A56" s="32"/>
      <c r="B56" s="61"/>
      <c r="C56" s="32"/>
      <c r="D56" s="32"/>
      <c r="E56" s="32"/>
      <c r="F56" s="32"/>
    </row>
    <row r="57" spans="1:6" x14ac:dyDescent="0.2">
      <c r="A57" s="31" t="s">
        <v>199</v>
      </c>
      <c r="B57" s="32"/>
      <c r="C57" s="32"/>
      <c r="D57" s="32"/>
      <c r="E57" s="32"/>
      <c r="F57" s="62"/>
    </row>
    <row r="58" spans="1:6" x14ac:dyDescent="0.2">
      <c r="A58" s="63">
        <v>1</v>
      </c>
      <c r="B58" s="48"/>
      <c r="C58" s="32"/>
      <c r="D58" s="32"/>
      <c r="E58" s="32"/>
      <c r="F58" s="62"/>
    </row>
    <row r="59" spans="1:6" x14ac:dyDescent="0.2">
      <c r="A59" s="63">
        <v>2</v>
      </c>
      <c r="B59" s="48"/>
      <c r="C59" s="32"/>
      <c r="D59" s="32"/>
      <c r="E59" s="32"/>
      <c r="F59" s="62"/>
    </row>
    <row r="60" spans="1:6" x14ac:dyDescent="0.2">
      <c r="A60" s="63">
        <v>3</v>
      </c>
      <c r="B60" s="48"/>
      <c r="C60" s="32"/>
      <c r="D60" s="32"/>
      <c r="E60" s="32"/>
      <c r="F60" s="62"/>
    </row>
    <row r="61" spans="1:6" x14ac:dyDescent="0.2">
      <c r="A61" s="63">
        <v>4</v>
      </c>
      <c r="B61" s="48"/>
      <c r="C61" s="32"/>
      <c r="D61" s="32"/>
      <c r="E61" s="32"/>
      <c r="F61" s="62"/>
    </row>
    <row r="62" spans="1:6" x14ac:dyDescent="0.2">
      <c r="A62" s="63">
        <v>5</v>
      </c>
      <c r="B62" s="48"/>
      <c r="C62" s="32"/>
      <c r="D62" s="32"/>
      <c r="E62" s="32"/>
      <c r="F62" s="62"/>
    </row>
    <row r="63" spans="1:6" x14ac:dyDescent="0.2">
      <c r="A63" s="31"/>
      <c r="B63" s="32"/>
      <c r="C63" s="32"/>
      <c r="D63" s="32"/>
      <c r="E63" s="32"/>
      <c r="F63" s="62"/>
    </row>
    <row r="64" spans="1:6" x14ac:dyDescent="0.2">
      <c r="A64" s="31"/>
      <c r="B64" s="32"/>
      <c r="C64" s="32"/>
      <c r="D64" s="32"/>
      <c r="E64" s="32"/>
      <c r="F64" s="62"/>
    </row>
    <row r="65" spans="1:6" x14ac:dyDescent="0.2">
      <c r="A65" s="31" t="str">
        <f>CONCATENATE("County's Final Assessed Valuation for ",C5-1," (November 1,",C5-2," Abstract):")</f>
        <v>County's Final Assessed Valuation for 2024 (November 1,2023 Abstract):</v>
      </c>
      <c r="B65" s="32"/>
      <c r="C65" s="32"/>
      <c r="D65" s="32"/>
      <c r="E65" s="51"/>
      <c r="F65" s="32"/>
    </row>
    <row r="66" spans="1:6" x14ac:dyDescent="0.2">
      <c r="A66" s="32"/>
      <c r="B66" s="32"/>
      <c r="C66" s="32"/>
      <c r="D66" s="32"/>
      <c r="E66" s="32"/>
      <c r="F66" s="32"/>
    </row>
    <row r="67" spans="1:6" x14ac:dyDescent="0.2">
      <c r="A67" s="417" t="str">
        <f>CONCATENATE("From the ",C5-1," Budget:")</f>
        <v>From the 2024 Budget:</v>
      </c>
      <c r="B67" s="418"/>
      <c r="C67" s="32"/>
      <c r="D67" s="590" t="str">
        <f>CONCATENATE("",C5-3," Tax Rate (",C5-2," Column)")</f>
        <v>2022 Tax Rate (2023 Column)</v>
      </c>
      <c r="E67" s="588"/>
      <c r="F67" s="32"/>
    </row>
    <row r="68" spans="1:6" x14ac:dyDescent="0.2">
      <c r="A68" s="415" t="s">
        <v>237</v>
      </c>
      <c r="B68" s="416"/>
      <c r="C68" s="32"/>
      <c r="D68" s="591"/>
      <c r="E68" s="589"/>
      <c r="F68" s="32"/>
    </row>
    <row r="69" spans="1:6" x14ac:dyDescent="0.2">
      <c r="A69" s="32"/>
      <c r="B69" s="88" t="str">
        <f>B17</f>
        <v>General</v>
      </c>
      <c r="C69" s="32"/>
      <c r="D69" s="47"/>
      <c r="E69" s="61"/>
      <c r="F69" s="32"/>
    </row>
    <row r="70" spans="1:6" x14ac:dyDescent="0.2">
      <c r="A70" s="32"/>
      <c r="B70" s="64" t="str">
        <f>B18</f>
        <v>Debt Service</v>
      </c>
      <c r="C70" s="32"/>
      <c r="D70" s="47"/>
      <c r="E70" s="61"/>
      <c r="F70" s="32"/>
    </row>
    <row r="71" spans="1:6" x14ac:dyDescent="0.2">
      <c r="A71" s="32"/>
      <c r="B71" s="64" t="str">
        <f>B19</f>
        <v>Road &amp; Bridge</v>
      </c>
      <c r="C71" s="32"/>
      <c r="D71" s="47"/>
      <c r="E71" s="61"/>
      <c r="F71" s="32"/>
    </row>
    <row r="72" spans="1:6" x14ac:dyDescent="0.2">
      <c r="A72" s="32"/>
      <c r="B72" s="64">
        <f>B20</f>
        <v>0</v>
      </c>
      <c r="C72" s="32"/>
      <c r="D72" s="47"/>
      <c r="E72" s="61"/>
      <c r="F72" s="32"/>
    </row>
    <row r="73" spans="1:6" x14ac:dyDescent="0.2">
      <c r="A73" s="32"/>
      <c r="B73" s="64">
        <f t="shared" ref="B73:B93" si="1">B21</f>
        <v>0</v>
      </c>
      <c r="C73" s="32"/>
      <c r="D73" s="47"/>
      <c r="E73" s="61"/>
      <c r="F73" s="32"/>
    </row>
    <row r="74" spans="1:6" x14ac:dyDescent="0.2">
      <c r="A74" s="32"/>
      <c r="B74" s="64">
        <f t="shared" si="1"/>
        <v>0</v>
      </c>
      <c r="C74" s="32"/>
      <c r="D74" s="47"/>
      <c r="E74" s="61"/>
      <c r="F74" s="32"/>
    </row>
    <row r="75" spans="1:6" x14ac:dyDescent="0.2">
      <c r="A75" s="32"/>
      <c r="B75" s="64">
        <f t="shared" si="1"/>
        <v>0</v>
      </c>
      <c r="C75" s="32"/>
      <c r="D75" s="47"/>
      <c r="E75" s="61"/>
      <c r="F75" s="32"/>
    </row>
    <row r="76" spans="1:6" x14ac:dyDescent="0.2">
      <c r="A76" s="32"/>
      <c r="B76" s="64">
        <f t="shared" si="1"/>
        <v>0</v>
      </c>
      <c r="C76" s="32"/>
      <c r="D76" s="47"/>
      <c r="E76" s="61"/>
      <c r="F76" s="32"/>
    </row>
    <row r="77" spans="1:6" x14ac:dyDescent="0.2">
      <c r="A77" s="32"/>
      <c r="B77" s="64">
        <f t="shared" si="1"/>
        <v>0</v>
      </c>
      <c r="C77" s="32"/>
      <c r="D77" s="47"/>
      <c r="E77" s="61"/>
      <c r="F77" s="32"/>
    </row>
    <row r="78" spans="1:6" x14ac:dyDescent="0.2">
      <c r="A78" s="32"/>
      <c r="B78" s="64">
        <f t="shared" si="1"/>
        <v>0</v>
      </c>
      <c r="C78" s="32"/>
      <c r="D78" s="47"/>
      <c r="E78" s="61"/>
      <c r="F78" s="32"/>
    </row>
    <row r="79" spans="1:6" x14ac:dyDescent="0.2">
      <c r="A79" s="32"/>
      <c r="B79" s="64">
        <f t="shared" si="1"/>
        <v>0</v>
      </c>
      <c r="C79" s="32"/>
      <c r="D79" s="47"/>
      <c r="E79" s="61"/>
      <c r="F79" s="32"/>
    </row>
    <row r="80" spans="1:6" x14ac:dyDescent="0.2">
      <c r="A80" s="32"/>
      <c r="B80" s="64">
        <f t="shared" si="1"/>
        <v>0</v>
      </c>
      <c r="C80" s="32"/>
      <c r="D80" s="47"/>
      <c r="E80" s="61"/>
      <c r="F80" s="32"/>
    </row>
    <row r="81" spans="1:6" x14ac:dyDescent="0.2">
      <c r="A81" s="32"/>
      <c r="B81" s="64">
        <f t="shared" si="1"/>
        <v>0</v>
      </c>
      <c r="C81" s="32"/>
      <c r="D81" s="47"/>
      <c r="E81" s="61"/>
      <c r="F81" s="32"/>
    </row>
    <row r="82" spans="1:6" x14ac:dyDescent="0.2">
      <c r="A82" s="32"/>
      <c r="B82" s="64">
        <f t="shared" si="1"/>
        <v>0</v>
      </c>
      <c r="C82" s="32"/>
      <c r="D82" s="47"/>
      <c r="E82" s="61"/>
      <c r="F82" s="32"/>
    </row>
    <row r="83" spans="1:6" x14ac:dyDescent="0.2">
      <c r="A83" s="32"/>
      <c r="B83" s="64">
        <f t="shared" si="1"/>
        <v>0</v>
      </c>
      <c r="C83" s="32"/>
      <c r="D83" s="47"/>
      <c r="E83" s="61"/>
      <c r="F83" s="32"/>
    </row>
    <row r="84" spans="1:6" x14ac:dyDescent="0.2">
      <c r="A84" s="32"/>
      <c r="B84" s="64">
        <f t="shared" si="1"/>
        <v>0</v>
      </c>
      <c r="C84" s="32"/>
      <c r="D84" s="47"/>
      <c r="E84" s="61"/>
      <c r="F84" s="32"/>
    </row>
    <row r="85" spans="1:6" x14ac:dyDescent="0.2">
      <c r="A85" s="32"/>
      <c r="B85" s="64">
        <f t="shared" si="1"/>
        <v>0</v>
      </c>
      <c r="C85" s="32"/>
      <c r="D85" s="47"/>
      <c r="E85" s="61"/>
      <c r="F85" s="32"/>
    </row>
    <row r="86" spans="1:6" x14ac:dyDescent="0.2">
      <c r="A86" s="32"/>
      <c r="B86" s="64">
        <f t="shared" si="1"/>
        <v>0</v>
      </c>
      <c r="C86" s="32"/>
      <c r="D86" s="47"/>
      <c r="E86" s="61"/>
      <c r="F86" s="32"/>
    </row>
    <row r="87" spans="1:6" x14ac:dyDescent="0.2">
      <c r="A87" s="32"/>
      <c r="B87" s="64">
        <f t="shared" si="1"/>
        <v>0</v>
      </c>
      <c r="C87" s="32"/>
      <c r="D87" s="47"/>
      <c r="E87" s="61"/>
      <c r="F87" s="32"/>
    </row>
    <row r="88" spans="1:6" x14ac:dyDescent="0.2">
      <c r="A88" s="32"/>
      <c r="B88" s="64">
        <f t="shared" si="1"/>
        <v>0</v>
      </c>
      <c r="C88" s="32"/>
      <c r="D88" s="47"/>
      <c r="E88" s="61"/>
      <c r="F88" s="32"/>
    </row>
    <row r="89" spans="1:6" x14ac:dyDescent="0.2">
      <c r="A89" s="32"/>
      <c r="B89" s="64">
        <f t="shared" si="1"/>
        <v>0</v>
      </c>
      <c r="C89" s="32"/>
      <c r="D89" s="47"/>
      <c r="E89" s="61"/>
      <c r="F89" s="32"/>
    </row>
    <row r="90" spans="1:6" x14ac:dyDescent="0.2">
      <c r="A90" s="32"/>
      <c r="B90" s="64">
        <f t="shared" si="1"/>
        <v>0</v>
      </c>
      <c r="C90" s="32"/>
      <c r="D90" s="47"/>
      <c r="E90" s="61"/>
      <c r="F90" s="32"/>
    </row>
    <row r="91" spans="1:6" x14ac:dyDescent="0.2">
      <c r="A91" s="32"/>
      <c r="B91" s="64">
        <f t="shared" si="1"/>
        <v>0</v>
      </c>
      <c r="C91" s="32"/>
      <c r="D91" s="47"/>
      <c r="E91" s="61"/>
      <c r="F91" s="32"/>
    </row>
    <row r="92" spans="1:6" x14ac:dyDescent="0.2">
      <c r="A92" s="32"/>
      <c r="B92" s="64">
        <f t="shared" si="1"/>
        <v>0</v>
      </c>
      <c r="C92" s="32"/>
      <c r="D92" s="47"/>
      <c r="E92" s="61"/>
      <c r="F92" s="32"/>
    </row>
    <row r="93" spans="1:6" x14ac:dyDescent="0.2">
      <c r="A93" s="32"/>
      <c r="B93" s="64">
        <f t="shared" si="1"/>
        <v>0</v>
      </c>
      <c r="C93" s="32"/>
      <c r="D93" s="47"/>
      <c r="E93" s="61"/>
      <c r="F93" s="32"/>
    </row>
    <row r="94" spans="1:6" x14ac:dyDescent="0.2">
      <c r="A94" s="53" t="s">
        <v>2</v>
      </c>
      <c r="B94" s="53"/>
      <c r="C94" s="60"/>
      <c r="D94" s="55">
        <f>SUM(D69:D93)</f>
        <v>0</v>
      </c>
      <c r="E94" s="57"/>
      <c r="F94" s="32"/>
    </row>
    <row r="95" spans="1:6" x14ac:dyDescent="0.2">
      <c r="A95" s="32"/>
      <c r="B95" s="32"/>
      <c r="C95" s="32"/>
      <c r="D95" s="32"/>
      <c r="E95" s="32"/>
      <c r="F95" s="32"/>
    </row>
    <row r="96" spans="1:6" x14ac:dyDescent="0.2">
      <c r="A96" s="419" t="str">
        <f>CONCATENATE("Total Tax Levied (",C5-2," budget column)")</f>
        <v>Total Tax Levied (2023 budget column)</v>
      </c>
      <c r="B96" s="420"/>
      <c r="C96" s="53"/>
      <c r="D96" s="51"/>
      <c r="E96" s="32"/>
      <c r="F96" s="32"/>
    </row>
    <row r="97" spans="1:6" x14ac:dyDescent="0.2">
      <c r="A97" s="419" t="str">
        <f>CONCATENATE("Assessed Valuation  (",C5-2," budget column)")</f>
        <v>Assessed Valuation  (2023 budget column)</v>
      </c>
      <c r="B97" s="420"/>
      <c r="C97" s="54"/>
      <c r="D97" s="51"/>
      <c r="E97" s="32"/>
      <c r="F97" s="32"/>
    </row>
    <row r="98" spans="1:6" x14ac:dyDescent="0.2">
      <c r="A98" s="31"/>
      <c r="B98" s="32"/>
      <c r="C98" s="32"/>
      <c r="D98" s="32"/>
      <c r="E98" s="32"/>
      <c r="F98" s="62"/>
    </row>
    <row r="99" spans="1:6" x14ac:dyDescent="0.2">
      <c r="A99" s="421" t="str">
        <f>CONCATENATE("From the ",C5-1," Budget, Budget Summary Page")</f>
        <v>From the 2024 Budget, Budget Summary Page</v>
      </c>
      <c r="B99" s="422"/>
      <c r="C99" s="32"/>
      <c r="D99" s="32"/>
      <c r="E99" s="32"/>
      <c r="F99" s="32"/>
    </row>
    <row r="100" spans="1:6" x14ac:dyDescent="0.2">
      <c r="A100" s="423" t="s">
        <v>186</v>
      </c>
      <c r="B100" s="414"/>
      <c r="C100" s="65"/>
      <c r="D100" s="66">
        <f>C5-3</f>
        <v>2022</v>
      </c>
      <c r="E100" s="67">
        <f>C5-2</f>
        <v>2023</v>
      </c>
      <c r="F100" s="32"/>
    </row>
    <row r="101" spans="1:6" s="72" customFormat="1" x14ac:dyDescent="0.2">
      <c r="A101" s="424" t="s">
        <v>187</v>
      </c>
      <c r="B101" s="416"/>
      <c r="C101" s="69"/>
      <c r="D101" s="46"/>
      <c r="E101" s="46"/>
      <c r="F101" s="32"/>
    </row>
    <row r="102" spans="1:6" s="72" customFormat="1" x14ac:dyDescent="0.2">
      <c r="A102" s="425" t="s">
        <v>188</v>
      </c>
      <c r="B102" s="426"/>
      <c r="C102" s="71"/>
      <c r="D102" s="46"/>
      <c r="E102" s="46"/>
      <c r="F102" s="65"/>
    </row>
    <row r="103" spans="1:6" s="72" customFormat="1" x14ac:dyDescent="0.2">
      <c r="A103" s="425" t="s">
        <v>189</v>
      </c>
      <c r="B103" s="426"/>
      <c r="C103" s="71"/>
      <c r="D103" s="46"/>
      <c r="E103" s="46"/>
      <c r="F103" s="65"/>
    </row>
    <row r="104" spans="1:6" s="72" customFormat="1" x14ac:dyDescent="0.2">
      <c r="A104" s="425" t="s">
        <v>190</v>
      </c>
      <c r="B104" s="426"/>
      <c r="C104" s="71"/>
      <c r="D104" s="46"/>
      <c r="E104" s="46"/>
      <c r="F104" s="65"/>
    </row>
    <row r="105" spans="1:6" x14ac:dyDescent="0.2">
      <c r="A105" s="72"/>
      <c r="B105" s="72"/>
      <c r="C105" s="72"/>
      <c r="D105" s="72"/>
      <c r="E105" s="72"/>
      <c r="F105" s="72"/>
    </row>
  </sheetData>
  <sheetProtection sheet="1" objects="1" scenarios="1"/>
  <mergeCells count="7">
    <mergeCell ref="H7:I13"/>
    <mergeCell ref="C3:E3"/>
    <mergeCell ref="E67:E68"/>
    <mergeCell ref="D67:D68"/>
    <mergeCell ref="A1:F1"/>
    <mergeCell ref="A10:F10"/>
    <mergeCell ref="A7:E9"/>
  </mergeCells>
  <phoneticPr fontId="0" type="noConversion"/>
  <pageMargins left="0.5" right="0.5" top="1" bottom="0.5" header="0.5" footer="0.5"/>
  <pageSetup scale="96"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00B0F0"/>
    <pageSetUpPr fitToPage="1"/>
  </sheetPr>
  <dimension ref="A1:J98"/>
  <sheetViews>
    <sheetView zoomScaleNormal="100" workbookViewId="0">
      <selection activeCell="B73" sqref="B73:D73"/>
    </sheetView>
  </sheetViews>
  <sheetFormatPr defaultRowHeight="15.75" x14ac:dyDescent="0.2"/>
  <cols>
    <col min="1" max="1" width="31.109375" style="27" customWidth="1"/>
    <col min="2" max="3" width="15.77734375" style="27" customWidth="1"/>
    <col min="4" max="4" width="16.6640625" style="27" customWidth="1"/>
    <col min="5" max="5" width="8.88671875" style="27"/>
    <col min="6" max="6" width="10.21875" style="27" customWidth="1"/>
    <col min="7" max="7" width="8.88671875" style="27"/>
    <col min="8" max="8" width="5.6640625" style="27" customWidth="1"/>
    <col min="9" max="9" width="10" style="27" customWidth="1"/>
    <col min="10" max="16384" width="8.88671875" style="27"/>
  </cols>
  <sheetData>
    <row r="1" spans="1:9" x14ac:dyDescent="0.2">
      <c r="A1" s="73">
        <f>(inputPrYr!C3)</f>
        <v>0</v>
      </c>
      <c r="B1" s="32"/>
      <c r="C1" s="32"/>
      <c r="D1" s="182">
        <f>inputPrYr!C5</f>
        <v>2025</v>
      </c>
    </row>
    <row r="2" spans="1:9" x14ac:dyDescent="0.2">
      <c r="A2" s="133"/>
      <c r="B2" s="208"/>
      <c r="C2" s="208"/>
      <c r="D2" s="209"/>
    </row>
    <row r="3" spans="1:9" x14ac:dyDescent="0.2">
      <c r="A3" s="302" t="s">
        <v>138</v>
      </c>
      <c r="B3" s="91"/>
      <c r="C3" s="91"/>
      <c r="D3" s="91"/>
    </row>
    <row r="4" spans="1:9" x14ac:dyDescent="0.2">
      <c r="A4" s="31" t="s">
        <v>30</v>
      </c>
      <c r="B4" s="353" t="s">
        <v>346</v>
      </c>
      <c r="C4" s="354" t="s">
        <v>347</v>
      </c>
      <c r="D4" s="95" t="s">
        <v>348</v>
      </c>
    </row>
    <row r="5" spans="1:9" x14ac:dyDescent="0.2">
      <c r="A5" s="296">
        <f>inputPrYr!$B$24</f>
        <v>0</v>
      </c>
      <c r="B5" s="283" t="str">
        <f>CONCATENATE("Actual for ",D1-2,"")</f>
        <v>Actual for 2023</v>
      </c>
      <c r="C5" s="283" t="str">
        <f>CONCATENATE("Estimate for ",D1-1,"")</f>
        <v>Estimate for 2024</v>
      </c>
      <c r="D5" s="190" t="str">
        <f>CONCATENATE("Year for ",D1,"")</f>
        <v>Year for 2025</v>
      </c>
    </row>
    <row r="6" spans="1:9" x14ac:dyDescent="0.2">
      <c r="A6" s="98" t="s">
        <v>148</v>
      </c>
      <c r="B6" s="300"/>
      <c r="C6" s="282">
        <f>B35</f>
        <v>0</v>
      </c>
      <c r="D6" s="164">
        <f>C35</f>
        <v>0</v>
      </c>
    </row>
    <row r="7" spans="1:9" x14ac:dyDescent="0.2">
      <c r="A7" s="184" t="s">
        <v>150</v>
      </c>
      <c r="B7" s="111"/>
      <c r="C7" s="111"/>
      <c r="D7" s="64"/>
    </row>
    <row r="8" spans="1:9" x14ac:dyDescent="0.2">
      <c r="A8" s="98" t="s">
        <v>31</v>
      </c>
      <c r="B8" s="300"/>
      <c r="C8" s="282">
        <f>IF(inputPrYr!H23&gt;0,inputPrYr!H23,inputPrYr!E24)</f>
        <v>0</v>
      </c>
      <c r="D8" s="212" t="s">
        <v>16</v>
      </c>
    </row>
    <row r="9" spans="1:9" x14ac:dyDescent="0.2">
      <c r="A9" s="98" t="s">
        <v>32</v>
      </c>
      <c r="B9" s="300"/>
      <c r="C9" s="300"/>
      <c r="D9" s="51"/>
    </row>
    <row r="10" spans="1:9" x14ac:dyDescent="0.2">
      <c r="A10" s="98" t="s">
        <v>33</v>
      </c>
      <c r="B10" s="300"/>
      <c r="C10" s="300"/>
      <c r="D10" s="164" t="str">
        <f>Mvalloc!D15</f>
        <v xml:space="preserve">  </v>
      </c>
    </row>
    <row r="11" spans="1:9" x14ac:dyDescent="0.2">
      <c r="A11" s="98" t="s">
        <v>34</v>
      </c>
      <c r="B11" s="300"/>
      <c r="C11" s="300"/>
      <c r="D11" s="164" t="str">
        <f>Mvalloc!E15</f>
        <v xml:space="preserve">  </v>
      </c>
      <c r="F11" s="655" t="str">
        <f>CONCATENATE("Desired Carryover Into ",D1+1,"")</f>
        <v>Desired Carryover Into 2026</v>
      </c>
      <c r="G11" s="656"/>
      <c r="H11" s="656"/>
      <c r="I11" s="657"/>
    </row>
    <row r="12" spans="1:9" x14ac:dyDescent="0.2">
      <c r="A12" s="111" t="s">
        <v>131</v>
      </c>
      <c r="B12" s="300"/>
      <c r="C12" s="300"/>
      <c r="D12" s="164" t="str">
        <f>Mvalloc!F15</f>
        <v xml:space="preserve">  </v>
      </c>
      <c r="F12" s="357"/>
      <c r="G12" s="358"/>
      <c r="H12" s="359"/>
      <c r="I12" s="360"/>
    </row>
    <row r="13" spans="1:9" x14ac:dyDescent="0.2">
      <c r="A13" s="191" t="s">
        <v>374</v>
      </c>
      <c r="B13" s="300"/>
      <c r="C13" s="300"/>
      <c r="D13" s="164" t="str">
        <f>Mvalloc!G15</f>
        <v xml:space="preserve"> </v>
      </c>
      <c r="F13" s="361" t="s">
        <v>327</v>
      </c>
      <c r="G13" s="359"/>
      <c r="H13" s="359"/>
      <c r="I13" s="362">
        <v>0</v>
      </c>
    </row>
    <row r="14" spans="1:9" x14ac:dyDescent="0.2">
      <c r="A14" s="191" t="s">
        <v>375</v>
      </c>
      <c r="B14" s="300"/>
      <c r="C14" s="300"/>
      <c r="D14" s="164" t="str">
        <f>Mvalloc!H15</f>
        <v xml:space="preserve"> </v>
      </c>
      <c r="F14" s="357" t="s">
        <v>328</v>
      </c>
      <c r="G14" s="358"/>
      <c r="H14" s="358"/>
      <c r="I14" s="363" t="str">
        <f>IF(I13=0,"",ROUND((I13+D41-F26)/inputOth!E5*1000,3)-F31)</f>
        <v/>
      </c>
    </row>
    <row r="15" spans="1:9" x14ac:dyDescent="0.2">
      <c r="A15" s="205"/>
      <c r="B15" s="300"/>
      <c r="C15" s="300"/>
      <c r="D15" s="51"/>
      <c r="F15" s="364" t="str">
        <f>CONCATENATE("",D1," Tot Exp/Non-Appr Must Be:")</f>
        <v>2025 Tot Exp/Non-Appr Must Be:</v>
      </c>
      <c r="G15" s="365"/>
      <c r="H15" s="366"/>
      <c r="I15" s="367">
        <f>IF(I13&gt;0,IF(D38&lt;D23,IF(I13=F26,D38,((I13-F26)*(1-C40))+D23),D38+(I13-F26)),0)</f>
        <v>0</v>
      </c>
    </row>
    <row r="16" spans="1:9" x14ac:dyDescent="0.2">
      <c r="A16" s="205"/>
      <c r="B16" s="300"/>
      <c r="C16" s="300"/>
      <c r="D16" s="51"/>
      <c r="F16" s="368" t="s">
        <v>349</v>
      </c>
      <c r="G16" s="369"/>
      <c r="H16" s="369"/>
      <c r="I16" s="370">
        <f>IF(I13&gt;0,I15-D38,0)</f>
        <v>0</v>
      </c>
    </row>
    <row r="17" spans="1:10" x14ac:dyDescent="0.25">
      <c r="A17" s="205"/>
      <c r="B17" s="300"/>
      <c r="C17" s="300"/>
      <c r="D17" s="51"/>
      <c r="F17" s="371"/>
      <c r="G17" s="371"/>
      <c r="H17" s="371"/>
      <c r="I17" s="371"/>
    </row>
    <row r="18" spans="1:10" x14ac:dyDescent="0.2">
      <c r="A18" s="195" t="s">
        <v>38</v>
      </c>
      <c r="B18" s="300"/>
      <c r="C18" s="300"/>
      <c r="D18" s="51"/>
      <c r="F18" s="655" t="str">
        <f>CONCATENATE("Projected Carryover Into ",D1+1,"")</f>
        <v>Projected Carryover Into 2026</v>
      </c>
      <c r="G18" s="674"/>
      <c r="H18" s="674"/>
      <c r="I18" s="675"/>
    </row>
    <row r="19" spans="1:10" x14ac:dyDescent="0.2">
      <c r="A19" s="196" t="s">
        <v>218</v>
      </c>
      <c r="B19" s="300"/>
      <c r="C19" s="300"/>
      <c r="D19" s="164">
        <f>'NR Rebate'!E13*-1</f>
        <v>0</v>
      </c>
      <c r="F19" s="357"/>
      <c r="G19" s="359"/>
      <c r="H19" s="359"/>
      <c r="I19" s="372"/>
    </row>
    <row r="20" spans="1:10" x14ac:dyDescent="0.2">
      <c r="A20" s="196" t="s">
        <v>219</v>
      </c>
      <c r="B20" s="300"/>
      <c r="C20" s="300"/>
      <c r="D20" s="51"/>
      <c r="F20" s="373">
        <f>C35</f>
        <v>0</v>
      </c>
      <c r="G20" s="374" t="str">
        <f>CONCATENATE("",D1-1," Ending Cash Balance (est.)")</f>
        <v>2024 Ending Cash Balance (est.)</v>
      </c>
      <c r="H20" s="375"/>
      <c r="I20" s="372"/>
    </row>
    <row r="21" spans="1:10" x14ac:dyDescent="0.2">
      <c r="A21" s="196" t="s">
        <v>221</v>
      </c>
      <c r="B21" s="281" t="str">
        <f>IF(B22*0.1&lt;B20,"Exceed 10% Rule","")</f>
        <v/>
      </c>
      <c r="C21" s="281" t="str">
        <f>IF(C22*0.1&lt;C20,"Exceed 10% Rule","")</f>
        <v/>
      </c>
      <c r="D21" s="217" t="str">
        <f>IF(D22*0.1+D41&lt;D20,"Exceed 10% Rule","")</f>
        <v/>
      </c>
      <c r="F21" s="373">
        <f>D22</f>
        <v>0</v>
      </c>
      <c r="G21" s="359" t="str">
        <f>CONCATENATE("",D1," Non-AV Receipts (est.)")</f>
        <v>2025 Non-AV Receipts (est.)</v>
      </c>
      <c r="H21" s="375"/>
      <c r="I21" s="372"/>
    </row>
    <row r="22" spans="1:10" x14ac:dyDescent="0.2">
      <c r="A22" s="198" t="s">
        <v>39</v>
      </c>
      <c r="B22" s="229">
        <f>SUM(B8:B20)</f>
        <v>0</v>
      </c>
      <c r="C22" s="229">
        <f>SUM(C8:C20)</f>
        <v>0</v>
      </c>
      <c r="D22" s="229">
        <f>SUM(D8:D20)</f>
        <v>0</v>
      </c>
      <c r="F22" s="376">
        <f>IF(D40&gt;0,D39,D41)</f>
        <v>0</v>
      </c>
      <c r="G22" s="359" t="str">
        <f>CONCATENATE("",D1," Ad Valorem Tax (est.)")</f>
        <v>2025 Ad Valorem Tax (est.)</v>
      </c>
      <c r="H22" s="375"/>
      <c r="I22" s="372"/>
      <c r="J22" s="394" t="str">
        <f>IF(F22=D41,"","Note: Does not include Delinquent Taxes")</f>
        <v/>
      </c>
    </row>
    <row r="23" spans="1:10" x14ac:dyDescent="0.2">
      <c r="A23" s="198" t="s">
        <v>40</v>
      </c>
      <c r="B23" s="229">
        <f>B6+B22</f>
        <v>0</v>
      </c>
      <c r="C23" s="229">
        <f>C6+C22</f>
        <v>0</v>
      </c>
      <c r="D23" s="229">
        <f>D6+D22</f>
        <v>0</v>
      </c>
      <c r="F23" s="373">
        <f>SUM(F20:F22)</f>
        <v>0</v>
      </c>
      <c r="G23" s="359" t="str">
        <f>CONCATENATE("Total ",D1," Resources Available")</f>
        <v>Total 2025 Resources Available</v>
      </c>
      <c r="H23" s="375"/>
      <c r="I23" s="372"/>
    </row>
    <row r="24" spans="1:10" x14ac:dyDescent="0.2">
      <c r="A24" s="98" t="s">
        <v>43</v>
      </c>
      <c r="B24" s="196"/>
      <c r="C24" s="196"/>
      <c r="D24" s="108"/>
      <c r="F24" s="377"/>
      <c r="G24" s="359"/>
      <c r="H24" s="359"/>
      <c r="I24" s="372"/>
    </row>
    <row r="25" spans="1:10" x14ac:dyDescent="0.25">
      <c r="A25" s="205"/>
      <c r="B25" s="300"/>
      <c r="C25" s="300"/>
      <c r="D25" s="51"/>
      <c r="F25" s="376">
        <f>ROUND(B34*0.05+B34,0)</f>
        <v>0</v>
      </c>
      <c r="G25" s="359" t="str">
        <f>CONCATENATE("Less ",D1-2," Expenditures + 5%")</f>
        <v>Less 2023 Expenditures + 5%</v>
      </c>
      <c r="H25" s="375"/>
      <c r="I25" s="383"/>
    </row>
    <row r="26" spans="1:10" x14ac:dyDescent="0.2">
      <c r="A26" s="205"/>
      <c r="B26" s="300"/>
      <c r="C26" s="300"/>
      <c r="D26" s="51"/>
      <c r="F26" s="378">
        <f>F23-F25</f>
        <v>0</v>
      </c>
      <c r="G26" s="379" t="str">
        <f>CONCATENATE("Projected ",D1+1," carryover (est.)")</f>
        <v>Projected 2026 carryover (est.)</v>
      </c>
      <c r="H26" s="380"/>
      <c r="I26" s="381"/>
    </row>
    <row r="27" spans="1:10" x14ac:dyDescent="0.25">
      <c r="A27" s="205"/>
      <c r="B27" s="300"/>
      <c r="C27" s="300"/>
      <c r="D27" s="51"/>
      <c r="F27" s="371"/>
      <c r="G27" s="371"/>
      <c r="H27" s="371"/>
      <c r="I27" s="371"/>
    </row>
    <row r="28" spans="1:10" x14ac:dyDescent="0.2">
      <c r="A28" s="205"/>
      <c r="B28" s="300"/>
      <c r="C28" s="300"/>
      <c r="D28" s="51"/>
      <c r="F28" s="658" t="s">
        <v>569</v>
      </c>
      <c r="G28" s="659"/>
      <c r="H28" s="659"/>
      <c r="I28" s="660"/>
    </row>
    <row r="29" spans="1:10" x14ac:dyDescent="0.2">
      <c r="A29" s="205"/>
      <c r="B29" s="300"/>
      <c r="C29" s="300"/>
      <c r="D29" s="51"/>
      <c r="F29" s="661"/>
      <c r="G29" s="662"/>
      <c r="H29" s="662"/>
      <c r="I29" s="663"/>
    </row>
    <row r="30" spans="1:10" x14ac:dyDescent="0.2">
      <c r="A30" s="205"/>
      <c r="B30" s="300"/>
      <c r="C30" s="300"/>
      <c r="D30" s="51"/>
      <c r="F30" s="534" t="str">
        <f>'Budget Hearing Notice'!H23</f>
        <v xml:space="preserve">  </v>
      </c>
      <c r="G30" s="374" t="str">
        <f>CONCATENATE("",D1," Estimated Fund Mill Rate")</f>
        <v>2025 Estimated Fund Mill Rate</v>
      </c>
      <c r="H30" s="535"/>
      <c r="I30" s="536"/>
    </row>
    <row r="31" spans="1:10" x14ac:dyDescent="0.2">
      <c r="A31" s="196" t="str">
        <f>CONCATENATE("Cash Reserve (",D1," column)")</f>
        <v>Cash Reserve (2025 column)</v>
      </c>
      <c r="B31" s="300"/>
      <c r="C31" s="300"/>
      <c r="D31" s="51"/>
      <c r="F31" s="537" t="str">
        <f>'Budget Hearing Notice'!E23</f>
        <v xml:space="preserve">  </v>
      </c>
      <c r="G31" s="374" t="str">
        <f>CONCATENATE("",D1-1," Fund Mill Rate")</f>
        <v>2024 Fund Mill Rate</v>
      </c>
      <c r="H31" s="535"/>
      <c r="I31" s="536"/>
    </row>
    <row r="32" spans="1:10" x14ac:dyDescent="0.2">
      <c r="A32" s="196" t="s">
        <v>219</v>
      </c>
      <c r="B32" s="300"/>
      <c r="C32" s="300"/>
      <c r="D32" s="51"/>
      <c r="F32" s="538">
        <f>'Budget Hearing Notice'!H53</f>
        <v>0</v>
      </c>
      <c r="G32" s="539" t="s">
        <v>570</v>
      </c>
      <c r="H32" s="535"/>
      <c r="I32" s="536"/>
    </row>
    <row r="33" spans="1:9" x14ac:dyDescent="0.2">
      <c r="A33" s="196" t="s">
        <v>220</v>
      </c>
      <c r="B33" s="281" t="str">
        <f>IF(B34*0.1&lt;B32,"Exceed 10% Rule","")</f>
        <v/>
      </c>
      <c r="C33" s="281" t="str">
        <f>IF(C34*0.1&lt;C32,"Exceed 10% Rule","")</f>
        <v/>
      </c>
      <c r="D33" s="217" t="str">
        <f>IF(D34*0.1&lt;D32,"Exceed 10% Rule","")</f>
        <v/>
      </c>
      <c r="F33" s="534">
        <f>'Budget Hearing Notice'!H52</f>
        <v>0</v>
      </c>
      <c r="G33" s="374" t="str">
        <f>CONCATENATE(D1," Estimated Total Mill Rate")</f>
        <v>2025 Estimated Total Mill Rate</v>
      </c>
      <c r="H33" s="535"/>
      <c r="I33" s="536"/>
    </row>
    <row r="34" spans="1:9" x14ac:dyDescent="0.2">
      <c r="A34" s="198" t="s">
        <v>44</v>
      </c>
      <c r="B34" s="229">
        <f>SUM(B25:B32)</f>
        <v>0</v>
      </c>
      <c r="C34" s="229">
        <f>SUM(C25:C32)</f>
        <v>0</v>
      </c>
      <c r="D34" s="229">
        <f>SUM(D25:D32)</f>
        <v>0</v>
      </c>
      <c r="F34" s="540">
        <f>'Budget Hearing Notice'!E52</f>
        <v>0</v>
      </c>
      <c r="G34" s="374" t="str">
        <f>CONCATENATE(D1-1," Total Mill Rate")</f>
        <v>2024 Total Mill Rate</v>
      </c>
      <c r="H34" s="535"/>
      <c r="I34" s="536"/>
    </row>
    <row r="35" spans="1:9" x14ac:dyDescent="0.2">
      <c r="A35" s="98" t="s">
        <v>149</v>
      </c>
      <c r="B35" s="164">
        <f>B23-B34</f>
        <v>0</v>
      </c>
      <c r="C35" s="164">
        <f>C23-C34</f>
        <v>0</v>
      </c>
      <c r="D35" s="212" t="s">
        <v>16</v>
      </c>
      <c r="F35" s="382"/>
      <c r="G35" s="358"/>
      <c r="H35" s="358"/>
      <c r="I35" s="385"/>
    </row>
    <row r="36" spans="1:9" x14ac:dyDescent="0.2">
      <c r="A36" s="120" t="str">
        <f>CONCATENATE("",D1-2,"/",D1-1,"/",D1," Budget Authority Amount:")</f>
        <v>2023/2024/2025 Budget Authority Amount:</v>
      </c>
      <c r="B36" s="214">
        <f>inputOth!B39</f>
        <v>0</v>
      </c>
      <c r="C36" s="214">
        <f>inputPrYr!D24</f>
        <v>0</v>
      </c>
      <c r="D36" s="164">
        <f>D34</f>
        <v>0</v>
      </c>
      <c r="E36" s="206"/>
      <c r="F36" s="664" t="s">
        <v>571</v>
      </c>
      <c r="G36" s="665"/>
      <c r="H36" s="665"/>
      <c r="I36" s="668" t="str">
        <f>IF(F33&gt;F32, "Yes", "No")</f>
        <v>No</v>
      </c>
    </row>
    <row r="37" spans="1:9" x14ac:dyDescent="0.2">
      <c r="A37" s="182"/>
      <c r="B37" s="651" t="s">
        <v>319</v>
      </c>
      <c r="C37" s="652"/>
      <c r="D37" s="51"/>
      <c r="E37" s="303" t="str">
        <f>IF(D34/0.95-D34&lt;D37,"Exceeds 5%","")</f>
        <v/>
      </c>
      <c r="F37" s="666"/>
      <c r="G37" s="667"/>
      <c r="H37" s="667"/>
      <c r="I37" s="669"/>
    </row>
    <row r="38" spans="1:9" x14ac:dyDescent="0.2">
      <c r="A38" s="304" t="str">
        <f>CONCATENATE(B95,"     ",C95)</f>
        <v xml:space="preserve">     </v>
      </c>
      <c r="B38" s="653" t="s">
        <v>320</v>
      </c>
      <c r="C38" s="654"/>
      <c r="D38" s="164">
        <f>D34+D37</f>
        <v>0</v>
      </c>
      <c r="F38" s="670" t="str">
        <f>IF(I36="Yes", "Follow procedure prescribed by KSA 79-2988 to exceed the Revenue Neutral Rate.", " ")</f>
        <v xml:space="preserve"> </v>
      </c>
      <c r="G38" s="670"/>
      <c r="H38" s="670"/>
      <c r="I38" s="670"/>
    </row>
    <row r="39" spans="1:9" x14ac:dyDescent="0.2">
      <c r="A39" s="304" t="str">
        <f>CONCATENATE(B96,"      ",C96)</f>
        <v xml:space="preserve">      </v>
      </c>
      <c r="B39" s="207"/>
      <c r="C39" s="63" t="s">
        <v>45</v>
      </c>
      <c r="D39" s="164">
        <f>IF(D38-D23&gt;0,D38-D23,0)</f>
        <v>0</v>
      </c>
      <c r="F39" s="671"/>
      <c r="G39" s="671"/>
      <c r="H39" s="671"/>
      <c r="I39" s="671"/>
    </row>
    <row r="40" spans="1:9" x14ac:dyDescent="0.2">
      <c r="A40" s="63"/>
      <c r="B40" s="293" t="s">
        <v>321</v>
      </c>
      <c r="C40" s="396">
        <f>inputOth!$E$25</f>
        <v>0</v>
      </c>
      <c r="D40" s="164">
        <f>ROUND(IF(C40&gt;0,(D39*C40),0),0)</f>
        <v>0</v>
      </c>
      <c r="F40" s="671"/>
      <c r="G40" s="671"/>
      <c r="H40" s="671"/>
      <c r="I40" s="671"/>
    </row>
    <row r="41" spans="1:9" x14ac:dyDescent="0.25">
      <c r="A41" s="32"/>
      <c r="B41" s="649" t="str">
        <f>CONCATENATE("Amount of  ",$D$1-1," Ad Valorem Tax")</f>
        <v>Amount of  2024 Ad Valorem Tax</v>
      </c>
      <c r="C41" s="650"/>
      <c r="D41" s="164">
        <f>D39+D40</f>
        <v>0</v>
      </c>
      <c r="F41" s="371"/>
      <c r="G41" s="371"/>
      <c r="H41" s="371"/>
      <c r="I41" s="371"/>
    </row>
    <row r="42" spans="1:9" x14ac:dyDescent="0.25">
      <c r="A42" s="32"/>
      <c r="B42" s="182"/>
      <c r="C42" s="32"/>
      <c r="D42" s="32"/>
      <c r="F42" s="371"/>
      <c r="G42" s="371"/>
      <c r="H42" s="371"/>
      <c r="I42" s="371"/>
    </row>
    <row r="43" spans="1:9" x14ac:dyDescent="0.25">
      <c r="A43" s="32"/>
      <c r="B43" s="182"/>
      <c r="C43" s="32"/>
      <c r="D43" s="32"/>
      <c r="F43" s="371"/>
      <c r="G43" s="371"/>
      <c r="H43" s="371"/>
      <c r="I43" s="371"/>
    </row>
    <row r="44" spans="1:9" x14ac:dyDescent="0.25">
      <c r="A44" s="32"/>
      <c r="B44" s="91"/>
      <c r="C44" s="91"/>
      <c r="D44" s="91"/>
      <c r="F44" s="371"/>
      <c r="G44" s="371"/>
      <c r="H44" s="371"/>
      <c r="I44" s="371"/>
    </row>
    <row r="45" spans="1:9" x14ac:dyDescent="0.25">
      <c r="A45" s="31" t="s">
        <v>30</v>
      </c>
      <c r="B45" s="353" t="str">
        <f t="shared" ref="B45:D46" si="0">B4</f>
        <v xml:space="preserve">Prior Year </v>
      </c>
      <c r="C45" s="354" t="str">
        <f t="shared" si="0"/>
        <v xml:space="preserve">Current Year </v>
      </c>
      <c r="D45" s="95" t="str">
        <f t="shared" si="0"/>
        <v xml:space="preserve">Proposed Budget </v>
      </c>
      <c r="F45" s="371"/>
      <c r="G45" s="371"/>
      <c r="H45" s="371"/>
      <c r="I45" s="371"/>
    </row>
    <row r="46" spans="1:9" x14ac:dyDescent="0.25">
      <c r="A46" s="296">
        <f>inputPrYr!$B$25</f>
        <v>0</v>
      </c>
      <c r="B46" s="283" t="str">
        <f t="shared" si="0"/>
        <v>Actual for 2023</v>
      </c>
      <c r="C46" s="283" t="str">
        <f t="shared" si="0"/>
        <v>Estimate for 2024</v>
      </c>
      <c r="D46" s="162" t="str">
        <f t="shared" si="0"/>
        <v>Year for 2025</v>
      </c>
      <c r="F46" s="371"/>
      <c r="G46" s="371"/>
      <c r="H46" s="371"/>
      <c r="I46" s="371"/>
    </row>
    <row r="47" spans="1:9" x14ac:dyDescent="0.25">
      <c r="A47" s="98" t="s">
        <v>148</v>
      </c>
      <c r="B47" s="300"/>
      <c r="C47" s="282">
        <f>B76</f>
        <v>0</v>
      </c>
      <c r="D47" s="164">
        <f>C76</f>
        <v>0</v>
      </c>
      <c r="F47" s="371"/>
      <c r="G47" s="371"/>
      <c r="H47" s="371"/>
      <c r="I47" s="371"/>
    </row>
    <row r="48" spans="1:9" x14ac:dyDescent="0.25">
      <c r="A48" s="191" t="s">
        <v>150</v>
      </c>
      <c r="B48" s="111"/>
      <c r="C48" s="111"/>
      <c r="D48" s="64"/>
      <c r="F48" s="371"/>
      <c r="G48" s="371"/>
      <c r="H48" s="371"/>
      <c r="I48" s="371"/>
    </row>
    <row r="49" spans="1:10" x14ac:dyDescent="0.25">
      <c r="A49" s="98" t="s">
        <v>31</v>
      </c>
      <c r="B49" s="300"/>
      <c r="C49" s="282">
        <f>IF(inputPrYr!H24&gt;0,inputPrYr!H24,inputPrYr!E25)</f>
        <v>0</v>
      </c>
      <c r="D49" s="212" t="s">
        <v>16</v>
      </c>
      <c r="F49" s="371"/>
      <c r="G49" s="371"/>
      <c r="H49" s="371"/>
      <c r="I49" s="371"/>
    </row>
    <row r="50" spans="1:10" x14ac:dyDescent="0.25">
      <c r="A50" s="98" t="s">
        <v>32</v>
      </c>
      <c r="B50" s="300"/>
      <c r="C50" s="300"/>
      <c r="D50" s="51"/>
      <c r="F50" s="371"/>
      <c r="G50" s="371"/>
      <c r="H50" s="371"/>
      <c r="I50" s="371"/>
    </row>
    <row r="51" spans="1:10" x14ac:dyDescent="0.25">
      <c r="A51" s="98" t="s">
        <v>33</v>
      </c>
      <c r="B51" s="300"/>
      <c r="C51" s="300"/>
      <c r="D51" s="164" t="str">
        <f>Mvalloc!D16</f>
        <v xml:space="preserve">  </v>
      </c>
      <c r="F51" s="371"/>
      <c r="G51" s="371"/>
      <c r="H51" s="371"/>
      <c r="I51" s="371"/>
    </row>
    <row r="52" spans="1:10" x14ac:dyDescent="0.2">
      <c r="A52" s="98" t="s">
        <v>34</v>
      </c>
      <c r="B52" s="300"/>
      <c r="C52" s="300"/>
      <c r="D52" s="164" t="str">
        <f>Mvalloc!E16</f>
        <v xml:space="preserve">  </v>
      </c>
      <c r="F52" s="655" t="str">
        <f>CONCATENATE("Desired Carryover Into ",D1+1,"")</f>
        <v>Desired Carryover Into 2026</v>
      </c>
      <c r="G52" s="656"/>
      <c r="H52" s="656"/>
      <c r="I52" s="657"/>
    </row>
    <row r="53" spans="1:10" x14ac:dyDescent="0.2">
      <c r="A53" s="111" t="s">
        <v>131</v>
      </c>
      <c r="B53" s="300"/>
      <c r="C53" s="300"/>
      <c r="D53" s="164" t="str">
        <f>Mvalloc!F16</f>
        <v xml:space="preserve">  </v>
      </c>
      <c r="F53" s="357"/>
      <c r="G53" s="358"/>
      <c r="H53" s="359"/>
      <c r="I53" s="360"/>
    </row>
    <row r="54" spans="1:10" x14ac:dyDescent="0.2">
      <c r="A54" s="191" t="s">
        <v>374</v>
      </c>
      <c r="B54" s="300"/>
      <c r="C54" s="300"/>
      <c r="D54" s="164" t="str">
        <f>Mvalloc!G16</f>
        <v xml:space="preserve"> </v>
      </c>
      <c r="F54" s="361" t="s">
        <v>327</v>
      </c>
      <c r="G54" s="359"/>
      <c r="H54" s="359"/>
      <c r="I54" s="362"/>
    </row>
    <row r="55" spans="1:10" x14ac:dyDescent="0.2">
      <c r="A55" s="191" t="s">
        <v>375</v>
      </c>
      <c r="B55" s="300"/>
      <c r="C55" s="300"/>
      <c r="D55" s="164" t="str">
        <f>Mvalloc!H16</f>
        <v xml:space="preserve"> </v>
      </c>
      <c r="F55" s="357" t="s">
        <v>328</v>
      </c>
      <c r="G55" s="358"/>
      <c r="H55" s="358"/>
      <c r="I55" s="363" t="str">
        <f>IF(I54=0,"",ROUND((I54+D82-F67)/inputOth!E5*1000,3)-F72)</f>
        <v/>
      </c>
    </row>
    <row r="56" spans="1:10" x14ac:dyDescent="0.2">
      <c r="A56" s="205"/>
      <c r="B56" s="300"/>
      <c r="C56" s="300"/>
      <c r="D56" s="51"/>
      <c r="F56" s="364" t="str">
        <f>CONCATENATE("",D1," Tot Exp/Non-Appr Must Be:")</f>
        <v>2025 Tot Exp/Non-Appr Must Be:</v>
      </c>
      <c r="G56" s="365"/>
      <c r="H56" s="366"/>
      <c r="I56" s="367">
        <f>IF(I54&gt;0,IF(D79&lt;D64,IF(I54=F67,D79,((I54-F67)*(1-C81))+D64),D79+(I54-F67)),0)</f>
        <v>0</v>
      </c>
    </row>
    <row r="57" spans="1:10" x14ac:dyDescent="0.2">
      <c r="A57" s="205"/>
      <c r="B57" s="300"/>
      <c r="C57" s="300"/>
      <c r="D57" s="51"/>
      <c r="F57" s="368" t="s">
        <v>349</v>
      </c>
      <c r="G57" s="369"/>
      <c r="H57" s="369"/>
      <c r="I57" s="370">
        <f>IF(I54&gt;0,I56-D79,0)</f>
        <v>0</v>
      </c>
    </row>
    <row r="58" spans="1:10" x14ac:dyDescent="0.25">
      <c r="A58" s="205"/>
      <c r="B58" s="300"/>
      <c r="C58" s="300"/>
      <c r="D58" s="51"/>
      <c r="F58" s="371"/>
      <c r="G58" s="371"/>
      <c r="H58" s="371"/>
      <c r="I58" s="371"/>
    </row>
    <row r="59" spans="1:10" x14ac:dyDescent="0.2">
      <c r="A59" s="195" t="s">
        <v>38</v>
      </c>
      <c r="B59" s="300"/>
      <c r="C59" s="300"/>
      <c r="D59" s="51"/>
      <c r="F59" s="655" t="str">
        <f>CONCATENATE("Projected Carryover Into ",D1+1,"")</f>
        <v>Projected Carryover Into 2026</v>
      </c>
      <c r="G59" s="676"/>
      <c r="H59" s="676"/>
      <c r="I59" s="675"/>
    </row>
    <row r="60" spans="1:10" x14ac:dyDescent="0.25">
      <c r="A60" s="196" t="s">
        <v>218</v>
      </c>
      <c r="B60" s="300"/>
      <c r="C60" s="300"/>
      <c r="D60" s="164">
        <f>'NR Rebate'!E14*-1</f>
        <v>0</v>
      </c>
      <c r="F60" s="382"/>
      <c r="G60" s="358"/>
      <c r="H60" s="358"/>
      <c r="I60" s="383"/>
    </row>
    <row r="61" spans="1:10" x14ac:dyDescent="0.25">
      <c r="A61" s="196" t="s">
        <v>219</v>
      </c>
      <c r="B61" s="300"/>
      <c r="C61" s="300"/>
      <c r="D61" s="300"/>
      <c r="F61" s="373">
        <f>C76</f>
        <v>0</v>
      </c>
      <c r="G61" s="374" t="str">
        <f>CONCATENATE("",D1-1," Ending Cash Balance (est.)")</f>
        <v>2024 Ending Cash Balance (est.)</v>
      </c>
      <c r="H61" s="375"/>
      <c r="I61" s="383"/>
    </row>
    <row r="62" spans="1:10" x14ac:dyDescent="0.25">
      <c r="A62" s="196" t="s">
        <v>221</v>
      </c>
      <c r="B62" s="281" t="str">
        <f>IF(B63*0.1&lt;B61,"Exceed 10% Rule","")</f>
        <v/>
      </c>
      <c r="C62" s="281" t="str">
        <f>IF(C63*0.1&lt;C61,"Exceed 10% Rule","")</f>
        <v/>
      </c>
      <c r="D62" s="217" t="str">
        <f>IF(D63*0.1+D82&lt;D61,"Exceed 10% Rule","")</f>
        <v/>
      </c>
      <c r="F62" s="373">
        <f>D63</f>
        <v>0</v>
      </c>
      <c r="G62" s="359" t="str">
        <f>CONCATENATE("",D1," Non-AV Receipts (est.)")</f>
        <v>2025 Non-AV Receipts (est.)</v>
      </c>
      <c r="H62" s="375"/>
      <c r="I62" s="383"/>
    </row>
    <row r="63" spans="1:10" x14ac:dyDescent="0.25">
      <c r="A63" s="198" t="s">
        <v>39</v>
      </c>
      <c r="B63" s="229">
        <f>SUM(B49:B61)</f>
        <v>0</v>
      </c>
      <c r="C63" s="229">
        <f>SUM(C49:C61)</f>
        <v>0</v>
      </c>
      <c r="D63" s="229">
        <f>SUM(D49:D61)</f>
        <v>0</v>
      </c>
      <c r="F63" s="376">
        <f>IF(D81&gt;0,D80,D82)</f>
        <v>0</v>
      </c>
      <c r="G63" s="359" t="str">
        <f>CONCATENATE("",D1," Ad Valorem Tax (est.)")</f>
        <v>2025 Ad Valorem Tax (est.)</v>
      </c>
      <c r="H63" s="375"/>
      <c r="I63" s="383"/>
      <c r="J63" s="394" t="str">
        <f>IF(F63=D82,"","Note: Does not include Delinquent Taxes")</f>
        <v/>
      </c>
    </row>
    <row r="64" spans="1:10" x14ac:dyDescent="0.25">
      <c r="A64" s="198" t="s">
        <v>40</v>
      </c>
      <c r="B64" s="229">
        <f>B47+B63</f>
        <v>0</v>
      </c>
      <c r="C64" s="229">
        <f>C47+C63</f>
        <v>0</v>
      </c>
      <c r="D64" s="229">
        <f>D47+D63</f>
        <v>0</v>
      </c>
      <c r="F64" s="384">
        <f>SUM(F61:F63)</f>
        <v>0</v>
      </c>
      <c r="G64" s="359" t="str">
        <f>CONCATENATE("Total ",D1," Resources Available")</f>
        <v>Total 2025 Resources Available</v>
      </c>
      <c r="H64" s="385"/>
      <c r="I64" s="383"/>
    </row>
    <row r="65" spans="1:9" x14ac:dyDescent="0.25">
      <c r="A65" s="98" t="s">
        <v>43</v>
      </c>
      <c r="B65" s="196"/>
      <c r="C65" s="196"/>
      <c r="D65" s="108"/>
      <c r="F65" s="386"/>
      <c r="G65" s="387"/>
      <c r="H65" s="358"/>
      <c r="I65" s="383"/>
    </row>
    <row r="66" spans="1:9" x14ac:dyDescent="0.25">
      <c r="A66" s="205"/>
      <c r="B66" s="300"/>
      <c r="C66" s="300"/>
      <c r="D66" s="51"/>
      <c r="F66" s="388">
        <f>ROUND(B75*0.05+B75,0)</f>
        <v>0</v>
      </c>
      <c r="G66" s="359" t="str">
        <f>CONCATENATE("Less ",D1-2," Expenditures + 5%")</f>
        <v>Less 2023 Expenditures + 5%</v>
      </c>
      <c r="H66" s="385"/>
      <c r="I66" s="383"/>
    </row>
    <row r="67" spans="1:9" x14ac:dyDescent="0.25">
      <c r="A67" s="205"/>
      <c r="B67" s="300"/>
      <c r="C67" s="300"/>
      <c r="D67" s="51"/>
      <c r="F67" s="389">
        <f>F64-F66</f>
        <v>0</v>
      </c>
      <c r="G67" s="379" t="str">
        <f>CONCATENATE("Projected ",D1+1," carryover (est.)")</f>
        <v>Projected 2026 carryover (est.)</v>
      </c>
      <c r="H67" s="390"/>
      <c r="I67" s="391"/>
    </row>
    <row r="68" spans="1:9" x14ac:dyDescent="0.25">
      <c r="A68" s="205"/>
      <c r="B68" s="300"/>
      <c r="C68" s="300"/>
      <c r="D68" s="51"/>
      <c r="F68" s="371"/>
      <c r="G68" s="371"/>
      <c r="H68" s="371"/>
      <c r="I68" s="371"/>
    </row>
    <row r="69" spans="1:9" x14ac:dyDescent="0.2">
      <c r="A69" s="205"/>
      <c r="B69" s="300"/>
      <c r="C69" s="300"/>
      <c r="D69" s="51"/>
      <c r="F69" s="658" t="s">
        <v>569</v>
      </c>
      <c r="G69" s="659"/>
      <c r="H69" s="659"/>
      <c r="I69" s="660"/>
    </row>
    <row r="70" spans="1:9" x14ac:dyDescent="0.2">
      <c r="A70" s="205"/>
      <c r="B70" s="300"/>
      <c r="C70" s="300"/>
      <c r="D70" s="51"/>
      <c r="F70" s="661"/>
      <c r="G70" s="662"/>
      <c r="H70" s="662"/>
      <c r="I70" s="663"/>
    </row>
    <row r="71" spans="1:9" x14ac:dyDescent="0.2">
      <c r="A71" s="205"/>
      <c r="B71" s="300"/>
      <c r="C71" s="300"/>
      <c r="D71" s="51"/>
      <c r="F71" s="534" t="str">
        <f>'Budget Hearing Notice'!H24</f>
        <v xml:space="preserve">  </v>
      </c>
      <c r="G71" s="374" t="str">
        <f>CONCATENATE("",D1," Estimated Fund Mill Rate")</f>
        <v>2025 Estimated Fund Mill Rate</v>
      </c>
      <c r="H71" s="535"/>
      <c r="I71" s="536"/>
    </row>
    <row r="72" spans="1:9" x14ac:dyDescent="0.2">
      <c r="A72" s="196" t="str">
        <f>CONCATENATE("Cash Reserve (",D1," column)")</f>
        <v>Cash Reserve (2025 column)</v>
      </c>
      <c r="B72" s="300"/>
      <c r="C72" s="300"/>
      <c r="D72" s="51"/>
      <c r="F72" s="537" t="str">
        <f>'Budget Hearing Notice'!E24</f>
        <v xml:space="preserve">  </v>
      </c>
      <c r="G72" s="374" t="str">
        <f>CONCATENATE("",D1-1," Fund Mill Rate")</f>
        <v>2024 Fund Mill Rate</v>
      </c>
      <c r="H72" s="535"/>
      <c r="I72" s="536"/>
    </row>
    <row r="73" spans="1:9" x14ac:dyDescent="0.2">
      <c r="A73" s="196" t="s">
        <v>219</v>
      </c>
      <c r="B73" s="300"/>
      <c r="C73" s="300"/>
      <c r="D73" s="51"/>
      <c r="F73" s="538">
        <f>'Budget Hearing Notice'!H53</f>
        <v>0</v>
      </c>
      <c r="G73" s="539" t="s">
        <v>570</v>
      </c>
      <c r="H73" s="535"/>
      <c r="I73" s="536"/>
    </row>
    <row r="74" spans="1:9" x14ac:dyDescent="0.2">
      <c r="A74" s="196" t="s">
        <v>220</v>
      </c>
      <c r="B74" s="281" t="str">
        <f>IF(B75*0.1&lt;B73,"Exceed 10% Rule","")</f>
        <v/>
      </c>
      <c r="C74" s="281" t="str">
        <f>IF(C75*0.1&lt;C73,"Exceed 10% Rule","")</f>
        <v/>
      </c>
      <c r="D74" s="217" t="str">
        <f>IF(D75*0.1&lt;D73,"Exceed 10% Rule","")</f>
        <v/>
      </c>
      <c r="F74" s="534">
        <f>'Budget Hearing Notice'!H52</f>
        <v>0</v>
      </c>
      <c r="G74" s="374" t="str">
        <f>CONCATENATE(D1," Estimated Total Mill Rate")</f>
        <v>2025 Estimated Total Mill Rate</v>
      </c>
      <c r="H74" s="535"/>
      <c r="I74" s="536"/>
    </row>
    <row r="75" spans="1:9" x14ac:dyDescent="0.2">
      <c r="A75" s="198" t="s">
        <v>44</v>
      </c>
      <c r="B75" s="229">
        <f>SUM(B66:B73)</f>
        <v>0</v>
      </c>
      <c r="C75" s="229">
        <f>SUM(C66:C73)</f>
        <v>0</v>
      </c>
      <c r="D75" s="229">
        <f>SUM(D66:D73)</f>
        <v>0</v>
      </c>
      <c r="F75" s="540">
        <f>'Budget Hearing Notice'!E52</f>
        <v>0</v>
      </c>
      <c r="G75" s="374" t="str">
        <f>CONCATENATE(D1-1," Total Mill Rate")</f>
        <v>2024 Total Mill Rate</v>
      </c>
      <c r="H75" s="535"/>
      <c r="I75" s="536"/>
    </row>
    <row r="76" spans="1:9" x14ac:dyDescent="0.2">
      <c r="A76" s="98" t="s">
        <v>149</v>
      </c>
      <c r="B76" s="164">
        <f>B64-B75</f>
        <v>0</v>
      </c>
      <c r="C76" s="164">
        <f>C64-C75</f>
        <v>0</v>
      </c>
      <c r="D76" s="212" t="s">
        <v>16</v>
      </c>
      <c r="F76" s="382"/>
      <c r="G76" s="358"/>
      <c r="H76" s="358"/>
      <c r="I76" s="385"/>
    </row>
    <row r="77" spans="1:9" x14ac:dyDescent="0.2">
      <c r="A77" s="120" t="str">
        <f>CONCATENATE("",D1-2,"/",D1-1,"/",D1," Budget Authority Amount:")</f>
        <v>2023/2024/2025 Budget Authority Amount:</v>
      </c>
      <c r="B77" s="214">
        <f>inputOth!B40</f>
        <v>0</v>
      </c>
      <c r="C77" s="214">
        <f>inputPrYr!D25</f>
        <v>0</v>
      </c>
      <c r="D77" s="164">
        <f>D75</f>
        <v>0</v>
      </c>
      <c r="E77" s="206"/>
      <c r="F77" s="664" t="s">
        <v>571</v>
      </c>
      <c r="G77" s="665"/>
      <c r="H77" s="665"/>
      <c r="I77" s="668" t="str">
        <f>IF(F74&gt;F73, "Yes", "No")</f>
        <v>No</v>
      </c>
    </row>
    <row r="78" spans="1:9" x14ac:dyDescent="0.2">
      <c r="A78" s="182"/>
      <c r="B78" s="651" t="s">
        <v>319</v>
      </c>
      <c r="C78" s="652"/>
      <c r="D78" s="51"/>
      <c r="E78" s="303" t="str">
        <f>IF(D75/0.95-D75&lt;D78,"Exceeds 5%","")</f>
        <v/>
      </c>
      <c r="F78" s="666"/>
      <c r="G78" s="667"/>
      <c r="H78" s="667"/>
      <c r="I78" s="669"/>
    </row>
    <row r="79" spans="1:9" x14ac:dyDescent="0.2">
      <c r="A79" s="304" t="str">
        <f>CONCATENATE(B97,"      ",C97)</f>
        <v xml:space="preserve">      </v>
      </c>
      <c r="B79" s="653" t="s">
        <v>320</v>
      </c>
      <c r="C79" s="654"/>
      <c r="D79" s="164">
        <f>D75+D78</f>
        <v>0</v>
      </c>
      <c r="F79" s="670" t="str">
        <f>IF(I77="Yes", "Follow procedure prescribed by KSA 79-2988 to exceed the Revenue Neutral Rate.", " ")</f>
        <v xml:space="preserve"> </v>
      </c>
      <c r="G79" s="670"/>
      <c r="H79" s="670"/>
      <c r="I79" s="670"/>
    </row>
    <row r="80" spans="1:9" x14ac:dyDescent="0.2">
      <c r="A80" s="304" t="str">
        <f>CONCATENATE(B98,"      ",C98)</f>
        <v xml:space="preserve">      </v>
      </c>
      <c r="B80" s="207"/>
      <c r="C80" s="63" t="s">
        <v>45</v>
      </c>
      <c r="D80" s="164">
        <f>IF(D79-D64&gt;0,D79-D64,0)</f>
        <v>0</v>
      </c>
      <c r="F80" s="671"/>
      <c r="G80" s="671"/>
      <c r="H80" s="671"/>
      <c r="I80" s="671"/>
    </row>
    <row r="81" spans="1:9" x14ac:dyDescent="0.2">
      <c r="A81" s="63"/>
      <c r="B81" s="293" t="s">
        <v>321</v>
      </c>
      <c r="C81" s="396">
        <f>inputOth!$E$25</f>
        <v>0</v>
      </c>
      <c r="D81" s="164">
        <f>ROUND(IF(C81&gt;0,(D80*C81),0),0)</f>
        <v>0</v>
      </c>
      <c r="F81" s="671"/>
      <c r="G81" s="671"/>
      <c r="H81" s="671"/>
      <c r="I81" s="671"/>
    </row>
    <row r="82" spans="1:9" x14ac:dyDescent="0.2">
      <c r="A82" s="32"/>
      <c r="B82" s="649" t="str">
        <f>CONCATENATE("Amount of  ",$D$1-1," Ad Valorem Tax")</f>
        <v>Amount of  2024 Ad Valorem Tax</v>
      </c>
      <c r="C82" s="650"/>
      <c r="D82" s="164">
        <f>D80+D81</f>
        <v>0</v>
      </c>
    </row>
    <row r="83" spans="1:9" x14ac:dyDescent="0.2">
      <c r="A83" s="32"/>
      <c r="B83" s="182"/>
      <c r="C83" s="182"/>
      <c r="D83" s="182"/>
    </row>
    <row r="84" spans="1:9" x14ac:dyDescent="0.2">
      <c r="A84" s="446" t="s">
        <v>380</v>
      </c>
      <c r="B84" s="456"/>
      <c r="C84" s="456"/>
      <c r="D84" s="457"/>
    </row>
    <row r="85" spans="1:9" x14ac:dyDescent="0.2">
      <c r="A85" s="183"/>
      <c r="B85" s="182"/>
      <c r="C85" s="182"/>
      <c r="D85" s="458"/>
    </row>
    <row r="86" spans="1:9" x14ac:dyDescent="0.2">
      <c r="A86" s="447"/>
      <c r="B86" s="461"/>
      <c r="C86" s="461"/>
      <c r="D86" s="462"/>
    </row>
    <row r="87" spans="1:9" x14ac:dyDescent="0.2">
      <c r="A87" s="32"/>
      <c r="B87" s="182"/>
      <c r="C87" s="182"/>
      <c r="D87" s="182"/>
    </row>
    <row r="88" spans="1:9" x14ac:dyDescent="0.2">
      <c r="A88" s="182" t="s">
        <v>96</v>
      </c>
      <c r="B88" s="428"/>
      <c r="C88" s="32"/>
      <c r="D88" s="32"/>
    </row>
    <row r="94" spans="1:9" hidden="1" x14ac:dyDescent="0.2"/>
    <row r="95" spans="1:9" hidden="1" x14ac:dyDescent="0.2">
      <c r="B95" s="27" t="str">
        <f>IF(B34&gt;B36,"See Tab A","")</f>
        <v/>
      </c>
      <c r="C95" s="27" t="str">
        <f>IF(C34&gt;C36,"See Tab C","")</f>
        <v/>
      </c>
    </row>
    <row r="96" spans="1:9" hidden="1" x14ac:dyDescent="0.2">
      <c r="B96" s="27" t="str">
        <f>IF(B35&lt;0,"See Tab B","")</f>
        <v/>
      </c>
      <c r="C96" s="27" t="str">
        <f>IF(C35&lt;0,"See Tab D","")</f>
        <v/>
      </c>
    </row>
    <row r="97" spans="2:3" hidden="1" x14ac:dyDescent="0.2">
      <c r="B97" s="27" t="str">
        <f>IF(B75&gt;B77,"See Tab A","")</f>
        <v/>
      </c>
      <c r="C97" s="27" t="str">
        <f>IF(C75&gt;C77,"See Tab C","")</f>
        <v/>
      </c>
    </row>
    <row r="98" spans="2:3" x14ac:dyDescent="0.2">
      <c r="B98" s="27" t="str">
        <f>IF(B76&lt;0,"See Tab B","")</f>
        <v/>
      </c>
      <c r="C98" s="27" t="str">
        <f>IF(C76&lt;0,"See Tab D","")</f>
        <v/>
      </c>
    </row>
  </sheetData>
  <sheetProtection sheet="1"/>
  <mergeCells count="18">
    <mergeCell ref="B82:C82"/>
    <mergeCell ref="B41:C41"/>
    <mergeCell ref="F28:I29"/>
    <mergeCell ref="F36:H37"/>
    <mergeCell ref="I36:I37"/>
    <mergeCell ref="F38:I40"/>
    <mergeCell ref="F69:I70"/>
    <mergeCell ref="F77:H78"/>
    <mergeCell ref="I77:I78"/>
    <mergeCell ref="F79:I81"/>
    <mergeCell ref="B37:C37"/>
    <mergeCell ref="B38:C38"/>
    <mergeCell ref="B78:C78"/>
    <mergeCell ref="B79:C79"/>
    <mergeCell ref="F11:I11"/>
    <mergeCell ref="F18:I18"/>
    <mergeCell ref="F52:I52"/>
    <mergeCell ref="F59:I59"/>
  </mergeCells>
  <phoneticPr fontId="0" type="noConversion"/>
  <conditionalFormatting sqref="B20">
    <cfRule type="cellIs" dxfId="262" priority="17" stopIfTrue="1" operator="greaterThan">
      <formula>$B$22*0.1</formula>
    </cfRule>
  </conditionalFormatting>
  <conditionalFormatting sqref="B32">
    <cfRule type="cellIs" dxfId="261" priority="26" stopIfTrue="1" operator="greaterThan">
      <formula>$B$34*0.1</formula>
    </cfRule>
  </conditionalFormatting>
  <conditionalFormatting sqref="B34">
    <cfRule type="cellIs" dxfId="260" priority="9" stopIfTrue="1" operator="greaterThan">
      <formula>$B$36</formula>
    </cfRule>
  </conditionalFormatting>
  <conditionalFormatting sqref="B61">
    <cfRule type="cellIs" dxfId="259" priority="25" stopIfTrue="1" operator="greaterThan">
      <formula>$B$63*0.1</formula>
    </cfRule>
  </conditionalFormatting>
  <conditionalFormatting sqref="B73">
    <cfRule type="cellIs" dxfId="258" priority="22" stopIfTrue="1" operator="greaterThan">
      <formula>$B$75*0.1</formula>
    </cfRule>
  </conditionalFormatting>
  <conditionalFormatting sqref="B75">
    <cfRule type="cellIs" dxfId="257" priority="5" stopIfTrue="1" operator="greaterThan">
      <formula>$B$77</formula>
    </cfRule>
  </conditionalFormatting>
  <conditionalFormatting sqref="B35:C35">
    <cfRule type="cellIs" dxfId="256" priority="6" stopIfTrue="1" operator="lessThan">
      <formula>0</formula>
    </cfRule>
  </conditionalFormatting>
  <conditionalFormatting sqref="B76:C76">
    <cfRule type="cellIs" dxfId="255" priority="1" stopIfTrue="1" operator="lessThan">
      <formula>0</formula>
    </cfRule>
  </conditionalFormatting>
  <conditionalFormatting sqref="C20">
    <cfRule type="cellIs" dxfId="254" priority="18" stopIfTrue="1" operator="greaterThan">
      <formula>$C$22*0.1</formula>
    </cfRule>
  </conditionalFormatting>
  <conditionalFormatting sqref="C32">
    <cfRule type="cellIs" dxfId="253" priority="27" stopIfTrue="1" operator="greaterThan">
      <formula>$C$34*0.1</formula>
    </cfRule>
  </conditionalFormatting>
  <conditionalFormatting sqref="C34">
    <cfRule type="cellIs" dxfId="252" priority="8" stopIfTrue="1" operator="greaterThan">
      <formula>$C$36</formula>
    </cfRule>
  </conditionalFormatting>
  <conditionalFormatting sqref="C73">
    <cfRule type="cellIs" dxfId="251" priority="23" stopIfTrue="1" operator="greaterThan">
      <formula>$C$75*0.1</formula>
    </cfRule>
  </conditionalFormatting>
  <conditionalFormatting sqref="C75">
    <cfRule type="cellIs" dxfId="250" priority="3" stopIfTrue="1" operator="greaterThan">
      <formula>$C$77</formula>
    </cfRule>
    <cfRule type="cellIs" dxfId="249" priority="4" stopIfTrue="1" operator="lessThan">
      <formula>0</formula>
    </cfRule>
  </conditionalFormatting>
  <conditionalFormatting sqref="C61:D61">
    <cfRule type="cellIs" dxfId="248" priority="24" stopIfTrue="1" operator="greaterThan">
      <formula>$C$63*0.1</formula>
    </cfRule>
  </conditionalFormatting>
  <conditionalFormatting sqref="D20">
    <cfRule type="cellIs" dxfId="247" priority="20" stopIfTrue="1" operator="greaterThan">
      <formula>$D$22*0.1+D41</formula>
    </cfRule>
  </conditionalFormatting>
  <conditionalFormatting sqref="D32">
    <cfRule type="cellIs" dxfId="246" priority="19" stopIfTrue="1" operator="greaterThan">
      <formula>$D$34*0.1</formula>
    </cfRule>
  </conditionalFormatting>
  <conditionalFormatting sqref="D37">
    <cfRule type="cellIs" dxfId="245" priority="14" stopIfTrue="1" operator="greaterThan">
      <formula>$D$34/0.95-$D$34</formula>
    </cfRule>
  </conditionalFormatting>
  <conditionalFormatting sqref="D73">
    <cfRule type="cellIs" dxfId="244" priority="16" stopIfTrue="1" operator="greaterThan">
      <formula>$D$75*0.1</formula>
    </cfRule>
  </conditionalFormatting>
  <conditionalFormatting sqref="D78">
    <cfRule type="cellIs" dxfId="243" priority="15" stopIfTrue="1" operator="greaterThan">
      <formula>$D$75/0.95-$D$75</formula>
    </cfRule>
  </conditionalFormatting>
  <conditionalFormatting sqref="I36">
    <cfRule type="containsText" dxfId="242" priority="11" operator="containsText" text="Yes">
      <formula>NOT(ISERROR(SEARCH("Yes",I36)))</formula>
    </cfRule>
  </conditionalFormatting>
  <conditionalFormatting sqref="I77">
    <cfRule type="containsText" dxfId="241" priority="10" operator="containsText" text="Yes">
      <formula>NOT(ISERROR(SEARCH("Yes",I77)))</formula>
    </cfRule>
  </conditionalFormatting>
  <pageMargins left="1.1200000000000001" right="0.5" top="0.74" bottom="0.34" header="0.5" footer="0"/>
  <pageSetup scale="57" orientation="portrait" blackAndWhite="1" horizontalDpi="120" verticalDpi="144" r:id="rId1"/>
  <headerFooter alignWithMargins="0">
    <oddHeader xml:space="preserve">&amp;RState of Kansas
County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00B0F0"/>
    <pageSetUpPr fitToPage="1"/>
  </sheetPr>
  <dimension ref="A1:J98"/>
  <sheetViews>
    <sheetView zoomScaleNormal="100" workbookViewId="0">
      <selection activeCell="B73" sqref="B73:D73"/>
    </sheetView>
  </sheetViews>
  <sheetFormatPr defaultRowHeight="15.75" x14ac:dyDescent="0.2"/>
  <cols>
    <col min="1" max="1" width="31.109375" style="27" customWidth="1"/>
    <col min="2" max="3" width="15.77734375" style="27" customWidth="1"/>
    <col min="4" max="4" width="16.33203125" style="27" customWidth="1"/>
    <col min="5" max="5" width="8.88671875" style="27"/>
    <col min="6" max="6" width="10.21875" style="27" customWidth="1"/>
    <col min="7" max="7" width="8.88671875" style="27"/>
    <col min="8" max="8" width="5.6640625" style="27" customWidth="1"/>
    <col min="9" max="9" width="10" style="27" customWidth="1"/>
    <col min="10" max="16384" width="8.88671875" style="27"/>
  </cols>
  <sheetData>
    <row r="1" spans="1:9" x14ac:dyDescent="0.2">
      <c r="A1" s="73">
        <f>(inputPrYr!C3)</f>
        <v>0</v>
      </c>
      <c r="B1" s="32"/>
      <c r="C1" s="32"/>
      <c r="D1" s="182">
        <f>inputPrYr!C5</f>
        <v>2025</v>
      </c>
    </row>
    <row r="2" spans="1:9" x14ac:dyDescent="0.2">
      <c r="A2" s="133"/>
      <c r="B2" s="208"/>
      <c r="C2" s="208"/>
      <c r="D2" s="209"/>
    </row>
    <row r="3" spans="1:9" x14ac:dyDescent="0.2">
      <c r="A3" s="302" t="s">
        <v>138</v>
      </c>
      <c r="B3" s="91"/>
      <c r="C3" s="91"/>
      <c r="D3" s="91"/>
    </row>
    <row r="4" spans="1:9" x14ac:dyDescent="0.2">
      <c r="A4" s="31" t="s">
        <v>30</v>
      </c>
      <c r="B4" s="353" t="s">
        <v>346</v>
      </c>
      <c r="C4" s="354" t="s">
        <v>347</v>
      </c>
      <c r="D4" s="95" t="s">
        <v>348</v>
      </c>
    </row>
    <row r="5" spans="1:9" x14ac:dyDescent="0.2">
      <c r="A5" s="296">
        <f>inputPrYr!$B$26</f>
        <v>0</v>
      </c>
      <c r="B5" s="283" t="str">
        <f>CONCATENATE("Actual for ",D1-2,"")</f>
        <v>Actual for 2023</v>
      </c>
      <c r="C5" s="283" t="str">
        <f>CONCATENATE("Estimate for ",D1-1,"")</f>
        <v>Estimate for 2024</v>
      </c>
      <c r="D5" s="190" t="str">
        <f>CONCATENATE("Year for ",D1,"")</f>
        <v>Year for 2025</v>
      </c>
    </row>
    <row r="6" spans="1:9" x14ac:dyDescent="0.2">
      <c r="A6" s="98" t="s">
        <v>148</v>
      </c>
      <c r="B6" s="300"/>
      <c r="C6" s="282">
        <f>B35</f>
        <v>0</v>
      </c>
      <c r="D6" s="164">
        <f>C35</f>
        <v>0</v>
      </c>
    </row>
    <row r="7" spans="1:9" x14ac:dyDescent="0.2">
      <c r="A7" s="184" t="s">
        <v>150</v>
      </c>
      <c r="B7" s="111"/>
      <c r="C7" s="111"/>
      <c r="D7" s="64"/>
    </row>
    <row r="8" spans="1:9" x14ac:dyDescent="0.2">
      <c r="A8" s="98" t="s">
        <v>31</v>
      </c>
      <c r="B8" s="300"/>
      <c r="C8" s="282">
        <f>IF(inputPrYr!H25&gt;0,inputPrYr!H25,inputPrYr!E26)</f>
        <v>0</v>
      </c>
      <c r="D8" s="212" t="s">
        <v>16</v>
      </c>
    </row>
    <row r="9" spans="1:9" x14ac:dyDescent="0.2">
      <c r="A9" s="98" t="s">
        <v>32</v>
      </c>
      <c r="B9" s="300"/>
      <c r="C9" s="300"/>
      <c r="D9" s="51"/>
    </row>
    <row r="10" spans="1:9" x14ac:dyDescent="0.2">
      <c r="A10" s="98" t="s">
        <v>33</v>
      </c>
      <c r="B10" s="300"/>
      <c r="C10" s="300"/>
      <c r="D10" s="164" t="str">
        <f>Mvalloc!D17</f>
        <v xml:space="preserve">  </v>
      </c>
    </row>
    <row r="11" spans="1:9" x14ac:dyDescent="0.2">
      <c r="A11" s="98" t="s">
        <v>34</v>
      </c>
      <c r="B11" s="300"/>
      <c r="C11" s="300"/>
      <c r="D11" s="164" t="str">
        <f>Mvalloc!E17</f>
        <v xml:space="preserve">  </v>
      </c>
      <c r="F11" s="655" t="str">
        <f>CONCATENATE("Desired Carryover Into ",D1+1,"")</f>
        <v>Desired Carryover Into 2026</v>
      </c>
      <c r="G11" s="656"/>
      <c r="H11" s="656"/>
      <c r="I11" s="657"/>
    </row>
    <row r="12" spans="1:9" x14ac:dyDescent="0.2">
      <c r="A12" s="111" t="s">
        <v>131</v>
      </c>
      <c r="B12" s="300"/>
      <c r="C12" s="300"/>
      <c r="D12" s="164" t="str">
        <f>Mvalloc!F17</f>
        <v xml:space="preserve">  </v>
      </c>
      <c r="F12" s="357"/>
      <c r="G12" s="358"/>
      <c r="H12" s="359"/>
      <c r="I12" s="360"/>
    </row>
    <row r="13" spans="1:9" x14ac:dyDescent="0.2">
      <c r="A13" s="191" t="s">
        <v>374</v>
      </c>
      <c r="B13" s="300"/>
      <c r="C13" s="300"/>
      <c r="D13" s="164" t="str">
        <f>Mvalloc!G17</f>
        <v xml:space="preserve"> </v>
      </c>
      <c r="F13" s="361" t="s">
        <v>327</v>
      </c>
      <c r="G13" s="359"/>
      <c r="H13" s="359"/>
      <c r="I13" s="362">
        <v>0</v>
      </c>
    </row>
    <row r="14" spans="1:9" x14ac:dyDescent="0.2">
      <c r="A14" s="191" t="s">
        <v>375</v>
      </c>
      <c r="B14" s="300"/>
      <c r="C14" s="300"/>
      <c r="D14" s="164" t="str">
        <f>Mvalloc!H17</f>
        <v xml:space="preserve"> </v>
      </c>
      <c r="F14" s="357" t="s">
        <v>328</v>
      </c>
      <c r="G14" s="358"/>
      <c r="H14" s="358"/>
      <c r="I14" s="363" t="str">
        <f>IF(I13=0,"",ROUND((I13+D41-F26)/inputOth!E5*1000,3)-F31)</f>
        <v/>
      </c>
    </row>
    <row r="15" spans="1:9" x14ac:dyDescent="0.2">
      <c r="A15" s="205"/>
      <c r="B15" s="300"/>
      <c r="C15" s="300"/>
      <c r="D15" s="51"/>
      <c r="F15" s="364" t="str">
        <f>CONCATENATE("",D1," Tot Exp/Non-Appr Must Be:")</f>
        <v>2025 Tot Exp/Non-Appr Must Be:</v>
      </c>
      <c r="G15" s="365"/>
      <c r="H15" s="366"/>
      <c r="I15" s="367">
        <f>IF(I13&gt;0,IF(D38&lt;D23,IF(I13=F26,D38,((I13-F26)*(1-C40))+D23),D38+(I13-F26)),0)</f>
        <v>0</v>
      </c>
    </row>
    <row r="16" spans="1:9" x14ac:dyDescent="0.2">
      <c r="A16" s="205"/>
      <c r="B16" s="300"/>
      <c r="C16" s="300"/>
      <c r="D16" s="51"/>
      <c r="F16" s="368" t="s">
        <v>349</v>
      </c>
      <c r="G16" s="369"/>
      <c r="H16" s="369"/>
      <c r="I16" s="370">
        <f>IF(I13&gt;0,I15-D38,0)</f>
        <v>0</v>
      </c>
    </row>
    <row r="17" spans="1:10" x14ac:dyDescent="0.25">
      <c r="A17" s="205"/>
      <c r="B17" s="300"/>
      <c r="C17" s="300"/>
      <c r="D17" s="51"/>
      <c r="F17" s="371"/>
      <c r="G17" s="371"/>
      <c r="H17" s="371"/>
      <c r="I17" s="371"/>
    </row>
    <row r="18" spans="1:10" x14ac:dyDescent="0.2">
      <c r="A18" s="195" t="s">
        <v>38</v>
      </c>
      <c r="B18" s="300"/>
      <c r="C18" s="300"/>
      <c r="D18" s="51"/>
      <c r="F18" s="655" t="str">
        <f>CONCATENATE("Projected Carryover Into ",D1+1,"")</f>
        <v>Projected Carryover Into 2026</v>
      </c>
      <c r="G18" s="674"/>
      <c r="H18" s="674"/>
      <c r="I18" s="675"/>
    </row>
    <row r="19" spans="1:10" x14ac:dyDescent="0.2">
      <c r="A19" s="196" t="s">
        <v>218</v>
      </c>
      <c r="B19" s="300"/>
      <c r="C19" s="300"/>
      <c r="D19" s="164">
        <f>'NR Rebate'!E15*-1</f>
        <v>0</v>
      </c>
      <c r="F19" s="357"/>
      <c r="G19" s="359"/>
      <c r="H19" s="359"/>
      <c r="I19" s="372"/>
    </row>
    <row r="20" spans="1:10" x14ac:dyDescent="0.2">
      <c r="A20" s="196" t="s">
        <v>219</v>
      </c>
      <c r="B20" s="300"/>
      <c r="C20" s="300"/>
      <c r="D20" s="51"/>
      <c r="F20" s="373">
        <f>C35</f>
        <v>0</v>
      </c>
      <c r="G20" s="374" t="str">
        <f>CONCATENATE("",D1-1," Ending Cash Balance (est.)")</f>
        <v>2024 Ending Cash Balance (est.)</v>
      </c>
      <c r="H20" s="375"/>
      <c r="I20" s="372"/>
    </row>
    <row r="21" spans="1:10" x14ac:dyDescent="0.2">
      <c r="A21" s="196" t="s">
        <v>221</v>
      </c>
      <c r="B21" s="281" t="str">
        <f>IF(B22*0.1&lt;B20,"Exceed 10% Rule","")</f>
        <v/>
      </c>
      <c r="C21" s="281" t="str">
        <f>IF(C22*0.1&lt;C20,"Exceed 10% Rule","")</f>
        <v/>
      </c>
      <c r="D21" s="217" t="str">
        <f>IF(D22*0.1+D41&lt;D20,"Exceed 10% Rule","")</f>
        <v/>
      </c>
      <c r="F21" s="373">
        <f>D22</f>
        <v>0</v>
      </c>
      <c r="G21" s="359" t="str">
        <f>CONCATENATE("",D1," Non-AV Receipts (est.)")</f>
        <v>2025 Non-AV Receipts (est.)</v>
      </c>
      <c r="H21" s="375"/>
      <c r="I21" s="372"/>
    </row>
    <row r="22" spans="1:10" x14ac:dyDescent="0.2">
      <c r="A22" s="198" t="s">
        <v>39</v>
      </c>
      <c r="B22" s="229">
        <f>SUM(B8:B20)</f>
        <v>0</v>
      </c>
      <c r="C22" s="229">
        <f>SUM(C8:C20)</f>
        <v>0</v>
      </c>
      <c r="D22" s="229">
        <f>SUM(D8:D20)</f>
        <v>0</v>
      </c>
      <c r="F22" s="376">
        <f>IF(D40&gt;0,D39,D41)</f>
        <v>0</v>
      </c>
      <c r="G22" s="359" t="str">
        <f>CONCATENATE("",D1," Ad Valorem Tax (est.)")</f>
        <v>2025 Ad Valorem Tax (est.)</v>
      </c>
      <c r="H22" s="375"/>
      <c r="I22" s="372"/>
      <c r="J22" s="394" t="str">
        <f>IF(F22=D41,"","Note: Does not include Delinquent Taxes")</f>
        <v/>
      </c>
    </row>
    <row r="23" spans="1:10" x14ac:dyDescent="0.2">
      <c r="A23" s="198" t="s">
        <v>40</v>
      </c>
      <c r="B23" s="229">
        <f>B6+B22</f>
        <v>0</v>
      </c>
      <c r="C23" s="229">
        <f>C6+C22</f>
        <v>0</v>
      </c>
      <c r="D23" s="229">
        <f>D6+D22</f>
        <v>0</v>
      </c>
      <c r="F23" s="373">
        <f>SUM(F20:F22)</f>
        <v>0</v>
      </c>
      <c r="G23" s="359" t="str">
        <f>CONCATENATE("Total ",D1," Resources Available")</f>
        <v>Total 2025 Resources Available</v>
      </c>
      <c r="H23" s="375"/>
      <c r="I23" s="372"/>
    </row>
    <row r="24" spans="1:10" x14ac:dyDescent="0.2">
      <c r="A24" s="98" t="s">
        <v>43</v>
      </c>
      <c r="B24" s="196"/>
      <c r="C24" s="196"/>
      <c r="D24" s="108"/>
      <c r="F24" s="377"/>
      <c r="G24" s="359"/>
      <c r="H24" s="359"/>
      <c r="I24" s="372"/>
    </row>
    <row r="25" spans="1:10" x14ac:dyDescent="0.25">
      <c r="A25" s="205"/>
      <c r="B25" s="300"/>
      <c r="C25" s="300"/>
      <c r="D25" s="51"/>
      <c r="F25" s="376">
        <f>ROUND(B34*0.05+B34,0)</f>
        <v>0</v>
      </c>
      <c r="G25" s="359" t="str">
        <f>CONCATENATE("Less ",D1-2," Expenditures + 5%")</f>
        <v>Less 2023 Expenditures + 5%</v>
      </c>
      <c r="H25" s="375"/>
      <c r="I25" s="383"/>
    </row>
    <row r="26" spans="1:10" x14ac:dyDescent="0.2">
      <c r="A26" s="205"/>
      <c r="B26" s="300"/>
      <c r="C26" s="300"/>
      <c r="D26" s="51"/>
      <c r="F26" s="378">
        <f>F23-F25</f>
        <v>0</v>
      </c>
      <c r="G26" s="379" t="str">
        <f>CONCATENATE("Projected ",D1+1," carryover (est.)")</f>
        <v>Projected 2026 carryover (est.)</v>
      </c>
      <c r="H26" s="380"/>
      <c r="I26" s="381"/>
    </row>
    <row r="27" spans="1:10" x14ac:dyDescent="0.25">
      <c r="A27" s="205"/>
      <c r="B27" s="300"/>
      <c r="C27" s="300"/>
      <c r="D27" s="51"/>
      <c r="F27" s="371"/>
      <c r="G27" s="371"/>
      <c r="H27" s="371"/>
      <c r="I27" s="371"/>
    </row>
    <row r="28" spans="1:10" x14ac:dyDescent="0.2">
      <c r="A28" s="205"/>
      <c r="B28" s="300"/>
      <c r="C28" s="300"/>
      <c r="D28" s="51"/>
      <c r="F28" s="658" t="s">
        <v>569</v>
      </c>
      <c r="G28" s="659"/>
      <c r="H28" s="659"/>
      <c r="I28" s="660"/>
    </row>
    <row r="29" spans="1:10" x14ac:dyDescent="0.2">
      <c r="A29" s="205"/>
      <c r="B29" s="300"/>
      <c r="C29" s="300"/>
      <c r="D29" s="51"/>
      <c r="F29" s="661"/>
      <c r="G29" s="662"/>
      <c r="H29" s="662"/>
      <c r="I29" s="663"/>
    </row>
    <row r="30" spans="1:10" x14ac:dyDescent="0.2">
      <c r="A30" s="205"/>
      <c r="B30" s="300"/>
      <c r="C30" s="300"/>
      <c r="D30" s="51"/>
      <c r="F30" s="534" t="str">
        <f>'Budget Hearing Notice'!H25</f>
        <v xml:space="preserve">  </v>
      </c>
      <c r="G30" s="374" t="str">
        <f>CONCATENATE("",D1," Estimated Fund Mill Rate")</f>
        <v>2025 Estimated Fund Mill Rate</v>
      </c>
      <c r="H30" s="535"/>
      <c r="I30" s="536"/>
    </row>
    <row r="31" spans="1:10" x14ac:dyDescent="0.2">
      <c r="A31" s="196" t="str">
        <f>CONCATENATE("Cash Reserve (",D1," column)")</f>
        <v>Cash Reserve (2025 column)</v>
      </c>
      <c r="B31" s="300"/>
      <c r="C31" s="300"/>
      <c r="D31" s="51"/>
      <c r="F31" s="537" t="str">
        <f>'Budget Hearing Notice'!E25</f>
        <v xml:space="preserve">  </v>
      </c>
      <c r="G31" s="374" t="str">
        <f>CONCATENATE("",D1-1," Fund Mill Rate")</f>
        <v>2024 Fund Mill Rate</v>
      </c>
      <c r="H31" s="535"/>
      <c r="I31" s="536"/>
    </row>
    <row r="32" spans="1:10" x14ac:dyDescent="0.2">
      <c r="A32" s="196" t="s">
        <v>219</v>
      </c>
      <c r="B32" s="300"/>
      <c r="C32" s="300"/>
      <c r="D32" s="51"/>
      <c r="F32" s="538">
        <f>'Budget Hearing Notice'!H53</f>
        <v>0</v>
      </c>
      <c r="G32" s="539" t="s">
        <v>570</v>
      </c>
      <c r="H32" s="535"/>
      <c r="I32" s="536"/>
    </row>
    <row r="33" spans="1:9" x14ac:dyDescent="0.2">
      <c r="A33" s="196" t="s">
        <v>220</v>
      </c>
      <c r="B33" s="281" t="str">
        <f>IF(B34*0.1&lt;B32,"Exceed 10% Rule","")</f>
        <v/>
      </c>
      <c r="C33" s="281" t="str">
        <f>IF(C34*0.1&lt;C32,"Exceed 10% Rule","")</f>
        <v/>
      </c>
      <c r="D33" s="217" t="str">
        <f>IF(D34*0.1&lt;D32,"Exceed 10% Rule","")</f>
        <v/>
      </c>
      <c r="F33" s="534">
        <f>'Budget Hearing Notice'!H52</f>
        <v>0</v>
      </c>
      <c r="G33" s="374" t="str">
        <f>CONCATENATE(D1," Estimated Total Mill Rate")</f>
        <v>2025 Estimated Total Mill Rate</v>
      </c>
      <c r="H33" s="535"/>
      <c r="I33" s="536"/>
    </row>
    <row r="34" spans="1:9" x14ac:dyDescent="0.2">
      <c r="A34" s="198" t="s">
        <v>44</v>
      </c>
      <c r="B34" s="229">
        <f>SUM(B25:B32)</f>
        <v>0</v>
      </c>
      <c r="C34" s="229">
        <f>SUM(C25:C32)</f>
        <v>0</v>
      </c>
      <c r="D34" s="229">
        <f>SUM(D25:D32)</f>
        <v>0</v>
      </c>
      <c r="F34" s="540">
        <f>'Budget Hearing Notice'!E52</f>
        <v>0</v>
      </c>
      <c r="G34" s="374" t="str">
        <f>CONCATENATE(D1-1," Total Mill Rate")</f>
        <v>2024 Total Mill Rate</v>
      </c>
      <c r="H34" s="535"/>
      <c r="I34" s="536"/>
    </row>
    <row r="35" spans="1:9" x14ac:dyDescent="0.2">
      <c r="A35" s="98" t="s">
        <v>149</v>
      </c>
      <c r="B35" s="164">
        <f>B23-B34</f>
        <v>0</v>
      </c>
      <c r="C35" s="164">
        <f>C23-C34</f>
        <v>0</v>
      </c>
      <c r="D35" s="212" t="s">
        <v>16</v>
      </c>
      <c r="F35" s="382"/>
      <c r="G35" s="358"/>
      <c r="H35" s="358"/>
      <c r="I35" s="385"/>
    </row>
    <row r="36" spans="1:9" x14ac:dyDescent="0.2">
      <c r="A36" s="120" t="str">
        <f>CONCATENATE("",D1-2,"/",D1-1,"/",D1," Budget Authority Amount:")</f>
        <v>2023/2024/2025 Budget Authority Amount:</v>
      </c>
      <c r="B36" s="214">
        <f>inputOth!B41</f>
        <v>0</v>
      </c>
      <c r="C36" s="214">
        <f>inputPrYr!D26</f>
        <v>0</v>
      </c>
      <c r="D36" s="164">
        <f>D34</f>
        <v>0</v>
      </c>
      <c r="E36" s="206"/>
      <c r="F36" s="664" t="s">
        <v>571</v>
      </c>
      <c r="G36" s="665"/>
      <c r="H36" s="665"/>
      <c r="I36" s="668" t="str">
        <f>IF(F33&gt;F32, "Yes", "No")</f>
        <v>No</v>
      </c>
    </row>
    <row r="37" spans="1:9" x14ac:dyDescent="0.2">
      <c r="A37" s="182"/>
      <c r="B37" s="651" t="s">
        <v>319</v>
      </c>
      <c r="C37" s="652"/>
      <c r="D37" s="51"/>
      <c r="E37" s="303" t="str">
        <f>IF(D34/0.95-D34&lt;D37,"Exceeds 5%","")</f>
        <v/>
      </c>
      <c r="F37" s="666"/>
      <c r="G37" s="667"/>
      <c r="H37" s="667"/>
      <c r="I37" s="669"/>
    </row>
    <row r="38" spans="1:9" x14ac:dyDescent="0.2">
      <c r="A38" s="304" t="str">
        <f>CONCATENATE(B95,"     ",C95)</f>
        <v xml:space="preserve">     </v>
      </c>
      <c r="B38" s="653" t="s">
        <v>320</v>
      </c>
      <c r="C38" s="654"/>
      <c r="D38" s="164">
        <f>D34+D37</f>
        <v>0</v>
      </c>
      <c r="F38" s="670" t="str">
        <f>IF(I36="Yes", "Follow procedure prescribed by KSA 79-2988 to exceed the Revenue Neutral Rate.", " ")</f>
        <v xml:space="preserve"> </v>
      </c>
      <c r="G38" s="670"/>
      <c r="H38" s="670"/>
      <c r="I38" s="670"/>
    </row>
    <row r="39" spans="1:9" x14ac:dyDescent="0.2">
      <c r="A39" s="304" t="str">
        <f>CONCATENATE(B96,"      ",C96)</f>
        <v xml:space="preserve">      </v>
      </c>
      <c r="B39" s="207"/>
      <c r="C39" s="63" t="s">
        <v>45</v>
      </c>
      <c r="D39" s="164">
        <f>IF(D38-D23&gt;0,D38-D23,0)</f>
        <v>0</v>
      </c>
      <c r="F39" s="671"/>
      <c r="G39" s="671"/>
      <c r="H39" s="671"/>
      <c r="I39" s="671"/>
    </row>
    <row r="40" spans="1:9" x14ac:dyDescent="0.2">
      <c r="A40" s="63"/>
      <c r="B40" s="293" t="s">
        <v>321</v>
      </c>
      <c r="C40" s="396">
        <f>inputOth!$E$25</f>
        <v>0</v>
      </c>
      <c r="D40" s="164">
        <f>ROUND(IF(C40&gt;0,(D39*C40),0),0)</f>
        <v>0</v>
      </c>
      <c r="F40" s="671"/>
      <c r="G40" s="671"/>
      <c r="H40" s="671"/>
      <c r="I40" s="671"/>
    </row>
    <row r="41" spans="1:9" x14ac:dyDescent="0.25">
      <c r="A41" s="32"/>
      <c r="B41" s="649" t="str">
        <f>CONCATENATE("Amount of  ",$D$1-1," Ad Valorem Tax")</f>
        <v>Amount of  2024 Ad Valorem Tax</v>
      </c>
      <c r="C41" s="650"/>
      <c r="D41" s="164">
        <f>D39+D40</f>
        <v>0</v>
      </c>
      <c r="F41" s="371"/>
      <c r="G41" s="371"/>
      <c r="H41" s="371"/>
      <c r="I41" s="371"/>
    </row>
    <row r="42" spans="1:9" x14ac:dyDescent="0.25">
      <c r="A42" s="32"/>
      <c r="B42" s="182"/>
      <c r="C42" s="32"/>
      <c r="D42" s="32"/>
      <c r="F42" s="371"/>
      <c r="G42" s="371"/>
      <c r="H42" s="371"/>
      <c r="I42" s="371"/>
    </row>
    <row r="43" spans="1:9" x14ac:dyDescent="0.25">
      <c r="A43" s="32"/>
      <c r="B43" s="182"/>
      <c r="C43" s="32"/>
      <c r="D43" s="32"/>
      <c r="F43" s="371"/>
      <c r="G43" s="371"/>
      <c r="H43" s="371"/>
      <c r="I43" s="371"/>
    </row>
    <row r="44" spans="1:9" x14ac:dyDescent="0.25">
      <c r="A44" s="32"/>
      <c r="B44" s="91"/>
      <c r="C44" s="91"/>
      <c r="D44" s="91"/>
      <c r="F44" s="371"/>
      <c r="G44" s="371"/>
      <c r="H44" s="371"/>
      <c r="I44" s="371"/>
    </row>
    <row r="45" spans="1:9" x14ac:dyDescent="0.25">
      <c r="A45" s="31" t="s">
        <v>30</v>
      </c>
      <c r="B45" s="353" t="str">
        <f t="shared" ref="B45:D46" si="0">B4</f>
        <v xml:space="preserve">Prior Year </v>
      </c>
      <c r="C45" s="354" t="str">
        <f t="shared" si="0"/>
        <v xml:space="preserve">Current Year </v>
      </c>
      <c r="D45" s="95" t="str">
        <f t="shared" si="0"/>
        <v xml:space="preserve">Proposed Budget </v>
      </c>
      <c r="F45" s="371"/>
      <c r="G45" s="371"/>
      <c r="H45" s="371"/>
      <c r="I45" s="371"/>
    </row>
    <row r="46" spans="1:9" x14ac:dyDescent="0.25">
      <c r="A46" s="296">
        <f>inputPrYr!$B$27</f>
        <v>0</v>
      </c>
      <c r="B46" s="283" t="str">
        <f t="shared" si="0"/>
        <v>Actual for 2023</v>
      </c>
      <c r="C46" s="283" t="str">
        <f t="shared" si="0"/>
        <v>Estimate for 2024</v>
      </c>
      <c r="D46" s="162" t="str">
        <f t="shared" si="0"/>
        <v>Year for 2025</v>
      </c>
      <c r="F46" s="371"/>
      <c r="G46" s="371"/>
      <c r="H46" s="371"/>
      <c r="I46" s="371"/>
    </row>
    <row r="47" spans="1:9" x14ac:dyDescent="0.25">
      <c r="A47" s="98" t="s">
        <v>148</v>
      </c>
      <c r="B47" s="300"/>
      <c r="C47" s="282">
        <f>B76</f>
        <v>0</v>
      </c>
      <c r="D47" s="164">
        <f>C76</f>
        <v>0</v>
      </c>
      <c r="F47" s="371"/>
      <c r="G47" s="371"/>
      <c r="H47" s="371"/>
      <c r="I47" s="371"/>
    </row>
    <row r="48" spans="1:9" x14ac:dyDescent="0.25">
      <c r="A48" s="191" t="s">
        <v>150</v>
      </c>
      <c r="B48" s="111"/>
      <c r="C48" s="111"/>
      <c r="D48" s="64"/>
      <c r="F48" s="371"/>
      <c r="G48" s="371"/>
      <c r="H48" s="371"/>
      <c r="I48" s="371"/>
    </row>
    <row r="49" spans="1:10" x14ac:dyDescent="0.25">
      <c r="A49" s="98" t="s">
        <v>31</v>
      </c>
      <c r="B49" s="300"/>
      <c r="C49" s="282">
        <f>IF(inputPrYr!H26&gt;0,inputPrYr!H26,inputPrYr!E27)</f>
        <v>0</v>
      </c>
      <c r="D49" s="212" t="s">
        <v>16</v>
      </c>
      <c r="F49" s="371"/>
      <c r="G49" s="371"/>
      <c r="H49" s="371"/>
      <c r="I49" s="371"/>
    </row>
    <row r="50" spans="1:10" x14ac:dyDescent="0.25">
      <c r="A50" s="98" t="s">
        <v>32</v>
      </c>
      <c r="B50" s="300"/>
      <c r="C50" s="300"/>
      <c r="D50" s="51"/>
      <c r="F50" s="371"/>
      <c r="G50" s="371"/>
      <c r="H50" s="371"/>
      <c r="I50" s="371"/>
    </row>
    <row r="51" spans="1:10" x14ac:dyDescent="0.25">
      <c r="A51" s="98" t="s">
        <v>33</v>
      </c>
      <c r="B51" s="300"/>
      <c r="C51" s="300"/>
      <c r="D51" s="164" t="str">
        <f>Mvalloc!D18</f>
        <v xml:space="preserve">  </v>
      </c>
      <c r="F51" s="371"/>
      <c r="G51" s="371"/>
      <c r="H51" s="371"/>
      <c r="I51" s="371"/>
    </row>
    <row r="52" spans="1:10" x14ac:dyDescent="0.2">
      <c r="A52" s="98" t="s">
        <v>34</v>
      </c>
      <c r="B52" s="300"/>
      <c r="C52" s="300"/>
      <c r="D52" s="164" t="str">
        <f>Mvalloc!E18</f>
        <v xml:space="preserve">  </v>
      </c>
      <c r="F52" s="655" t="str">
        <f>CONCATENATE("Desired Carryover Into ",D1+1,"")</f>
        <v>Desired Carryover Into 2026</v>
      </c>
      <c r="G52" s="656"/>
      <c r="H52" s="656"/>
      <c r="I52" s="657"/>
    </row>
    <row r="53" spans="1:10" x14ac:dyDescent="0.2">
      <c r="A53" s="111" t="s">
        <v>131</v>
      </c>
      <c r="B53" s="300"/>
      <c r="C53" s="300"/>
      <c r="D53" s="164" t="str">
        <f>Mvalloc!F18</f>
        <v xml:space="preserve">  </v>
      </c>
      <c r="F53" s="357"/>
      <c r="G53" s="358"/>
      <c r="H53" s="359"/>
      <c r="I53" s="360"/>
    </row>
    <row r="54" spans="1:10" x14ac:dyDescent="0.2">
      <c r="A54" s="191" t="s">
        <v>374</v>
      </c>
      <c r="B54" s="300"/>
      <c r="C54" s="300"/>
      <c r="D54" s="164" t="str">
        <f>Mvalloc!G18</f>
        <v xml:space="preserve"> </v>
      </c>
      <c r="F54" s="361" t="s">
        <v>327</v>
      </c>
      <c r="G54" s="359"/>
      <c r="H54" s="359"/>
      <c r="I54" s="362">
        <v>0</v>
      </c>
    </row>
    <row r="55" spans="1:10" x14ac:dyDescent="0.2">
      <c r="A55" s="191" t="s">
        <v>375</v>
      </c>
      <c r="B55" s="300"/>
      <c r="C55" s="300"/>
      <c r="D55" s="164" t="str">
        <f>Mvalloc!H18</f>
        <v xml:space="preserve"> </v>
      </c>
      <c r="F55" s="357" t="s">
        <v>328</v>
      </c>
      <c r="G55" s="358"/>
      <c r="H55" s="358"/>
      <c r="I55" s="363" t="str">
        <f>IF(I54=0,"",ROUND((I54+D82-F67)/inputOth!E5*1000,3)-F72)</f>
        <v/>
      </c>
    </row>
    <row r="56" spans="1:10" x14ac:dyDescent="0.2">
      <c r="A56" s="205"/>
      <c r="B56" s="300"/>
      <c r="C56" s="300"/>
      <c r="D56" s="51"/>
      <c r="F56" s="364" t="str">
        <f>CONCATENATE("",D1," Tot Exp/Non-Appr Must Be:")</f>
        <v>2025 Tot Exp/Non-Appr Must Be:</v>
      </c>
      <c r="G56" s="365"/>
      <c r="H56" s="366"/>
      <c r="I56" s="367">
        <f>IF(I54&gt;0,IF(D79&lt;D64,IF(I54=F67,D79,((I54-F67)*(1-C81))+D64),D79+(I54-F67)),0)</f>
        <v>0</v>
      </c>
    </row>
    <row r="57" spans="1:10" x14ac:dyDescent="0.2">
      <c r="A57" s="205"/>
      <c r="B57" s="300"/>
      <c r="C57" s="300"/>
      <c r="D57" s="51"/>
      <c r="F57" s="368" t="s">
        <v>349</v>
      </c>
      <c r="G57" s="369"/>
      <c r="H57" s="369"/>
      <c r="I57" s="370">
        <f>IF(I54&gt;0,I56-D79,0)</f>
        <v>0</v>
      </c>
    </row>
    <row r="58" spans="1:10" x14ac:dyDescent="0.25">
      <c r="A58" s="205"/>
      <c r="B58" s="300"/>
      <c r="C58" s="300"/>
      <c r="D58" s="51"/>
      <c r="F58" s="371"/>
      <c r="G58" s="371"/>
      <c r="H58" s="371"/>
      <c r="I58" s="371"/>
    </row>
    <row r="59" spans="1:10" x14ac:dyDescent="0.2">
      <c r="A59" s="195" t="s">
        <v>38</v>
      </c>
      <c r="B59" s="300"/>
      <c r="C59" s="300"/>
      <c r="D59" s="51"/>
      <c r="F59" s="655" t="str">
        <f>CONCATENATE("Projected Carryover Into ",D1+1,"")</f>
        <v>Projected Carryover Into 2026</v>
      </c>
      <c r="G59" s="676"/>
      <c r="H59" s="676"/>
      <c r="I59" s="675"/>
    </row>
    <row r="60" spans="1:10" x14ac:dyDescent="0.25">
      <c r="A60" s="196" t="s">
        <v>218</v>
      </c>
      <c r="B60" s="300"/>
      <c r="C60" s="300"/>
      <c r="D60" s="164">
        <f>'NR Rebate'!E16*-1</f>
        <v>0</v>
      </c>
      <c r="F60" s="382"/>
      <c r="G60" s="358"/>
      <c r="H60" s="358"/>
      <c r="I60" s="383"/>
    </row>
    <row r="61" spans="1:10" x14ac:dyDescent="0.25">
      <c r="A61" s="196" t="s">
        <v>219</v>
      </c>
      <c r="B61" s="300"/>
      <c r="C61" s="300"/>
      <c r="D61" s="51"/>
      <c r="F61" s="373">
        <f>C76</f>
        <v>0</v>
      </c>
      <c r="G61" s="374" t="str">
        <f>CONCATENATE("",D1-1," Ending Cash Balance (est.)")</f>
        <v>2024 Ending Cash Balance (est.)</v>
      </c>
      <c r="H61" s="375"/>
      <c r="I61" s="383"/>
    </row>
    <row r="62" spans="1:10" x14ac:dyDescent="0.25">
      <c r="A62" s="196" t="s">
        <v>221</v>
      </c>
      <c r="B62" s="281" t="str">
        <f>IF(B63*0.1&lt;B61,"Exceed 10% Rule","")</f>
        <v/>
      </c>
      <c r="C62" s="281" t="str">
        <f>IF(C63*0.1&lt;C61,"Exceed 10% Rule","")</f>
        <v/>
      </c>
      <c r="D62" s="217" t="str">
        <f>IF(D63*0.1+D82&lt;D61,"Exceed 10% Rule","")</f>
        <v/>
      </c>
      <c r="F62" s="373">
        <f>D63</f>
        <v>0</v>
      </c>
      <c r="G62" s="359" t="str">
        <f>CONCATENATE("",D1," Non-AV Receipts (est.)")</f>
        <v>2025 Non-AV Receipts (est.)</v>
      </c>
      <c r="H62" s="375"/>
      <c r="I62" s="383"/>
    </row>
    <row r="63" spans="1:10" x14ac:dyDescent="0.25">
      <c r="A63" s="198" t="s">
        <v>39</v>
      </c>
      <c r="B63" s="229">
        <f>SUM(B49:B61)</f>
        <v>0</v>
      </c>
      <c r="C63" s="229">
        <f>SUM(C49:C61)</f>
        <v>0</v>
      </c>
      <c r="D63" s="229">
        <f>SUM(D49:D61)</f>
        <v>0</v>
      </c>
      <c r="F63" s="376">
        <f>IF(D81&gt;0,D80,D82)</f>
        <v>0</v>
      </c>
      <c r="G63" s="359" t="str">
        <f>CONCATENATE("",D1," Ad Valorem Tax (est.)")</f>
        <v>2025 Ad Valorem Tax (est.)</v>
      </c>
      <c r="H63" s="375"/>
      <c r="I63" s="383"/>
      <c r="J63" s="394" t="str">
        <f>IF(F63=D82,"","Note: Does not include Delinquent Taxes")</f>
        <v/>
      </c>
    </row>
    <row r="64" spans="1:10" x14ac:dyDescent="0.25">
      <c r="A64" s="198" t="s">
        <v>40</v>
      </c>
      <c r="B64" s="229">
        <f>B47+B63</f>
        <v>0</v>
      </c>
      <c r="C64" s="229">
        <f>C47+C63</f>
        <v>0</v>
      </c>
      <c r="D64" s="229">
        <f>D47+D63</f>
        <v>0</v>
      </c>
      <c r="F64" s="384">
        <f>SUM(F61:F63)</f>
        <v>0</v>
      </c>
      <c r="G64" s="359" t="str">
        <f>CONCATENATE("Total ",D1," Resources Available")</f>
        <v>Total 2025 Resources Available</v>
      </c>
      <c r="H64" s="385"/>
      <c r="I64" s="383"/>
    </row>
    <row r="65" spans="1:9" x14ac:dyDescent="0.25">
      <c r="A65" s="98" t="s">
        <v>43</v>
      </c>
      <c r="B65" s="196"/>
      <c r="C65" s="196"/>
      <c r="D65" s="108"/>
      <c r="F65" s="386"/>
      <c r="G65" s="387"/>
      <c r="H65" s="358"/>
      <c r="I65" s="383"/>
    </row>
    <row r="66" spans="1:9" x14ac:dyDescent="0.25">
      <c r="A66" s="205"/>
      <c r="B66" s="300"/>
      <c r="C66" s="300"/>
      <c r="D66" s="51"/>
      <c r="F66" s="388">
        <f>ROUND(B75*0.05+B75,0)</f>
        <v>0</v>
      </c>
      <c r="G66" s="359" t="str">
        <f>CONCATENATE("Less ",D1-2," Expenditures + 5%")</f>
        <v>Less 2023 Expenditures + 5%</v>
      </c>
      <c r="H66" s="385"/>
      <c r="I66" s="383"/>
    </row>
    <row r="67" spans="1:9" x14ac:dyDescent="0.25">
      <c r="A67" s="205"/>
      <c r="B67" s="300"/>
      <c r="C67" s="300"/>
      <c r="D67" s="51"/>
      <c r="F67" s="389">
        <f>F64-F66</f>
        <v>0</v>
      </c>
      <c r="G67" s="379" t="str">
        <f>CONCATENATE("Projected ",D1+1," carryover (est.)")</f>
        <v>Projected 2026 carryover (est.)</v>
      </c>
      <c r="H67" s="390"/>
      <c r="I67" s="391"/>
    </row>
    <row r="68" spans="1:9" x14ac:dyDescent="0.25">
      <c r="A68" s="205"/>
      <c r="B68" s="300"/>
      <c r="C68" s="300"/>
      <c r="D68" s="51"/>
      <c r="F68" s="371"/>
      <c r="G68" s="371"/>
      <c r="H68" s="371"/>
      <c r="I68" s="371"/>
    </row>
    <row r="69" spans="1:9" x14ac:dyDescent="0.2">
      <c r="A69" s="205"/>
      <c r="B69" s="300"/>
      <c r="C69" s="300"/>
      <c r="D69" s="51"/>
      <c r="F69" s="658" t="s">
        <v>569</v>
      </c>
      <c r="G69" s="659"/>
      <c r="H69" s="659"/>
      <c r="I69" s="660"/>
    </row>
    <row r="70" spans="1:9" x14ac:dyDescent="0.2">
      <c r="A70" s="205"/>
      <c r="B70" s="300"/>
      <c r="C70" s="300"/>
      <c r="D70" s="51"/>
      <c r="F70" s="661"/>
      <c r="G70" s="662"/>
      <c r="H70" s="662"/>
      <c r="I70" s="663"/>
    </row>
    <row r="71" spans="1:9" x14ac:dyDescent="0.2">
      <c r="A71" s="205"/>
      <c r="B71" s="300"/>
      <c r="C71" s="300"/>
      <c r="D71" s="51"/>
      <c r="F71" s="534" t="str">
        <f>'Budget Hearing Notice'!H26</f>
        <v xml:space="preserve">  </v>
      </c>
      <c r="G71" s="374" t="str">
        <f>CONCATENATE("",D1," Estimated Fund Mill Rate")</f>
        <v>2025 Estimated Fund Mill Rate</v>
      </c>
      <c r="H71" s="535"/>
      <c r="I71" s="536"/>
    </row>
    <row r="72" spans="1:9" x14ac:dyDescent="0.2">
      <c r="A72" s="196" t="str">
        <f>CONCATENATE("Cash Reserve (",D1," column)")</f>
        <v>Cash Reserve (2025 column)</v>
      </c>
      <c r="B72" s="300"/>
      <c r="C72" s="300"/>
      <c r="D72" s="51"/>
      <c r="F72" s="537" t="str">
        <f>'Budget Hearing Notice'!E26</f>
        <v xml:space="preserve">  </v>
      </c>
      <c r="G72" s="374" t="str">
        <f>CONCATENATE("",D1-1," Fund Mill Rate")</f>
        <v>2024 Fund Mill Rate</v>
      </c>
      <c r="H72" s="535"/>
      <c r="I72" s="536"/>
    </row>
    <row r="73" spans="1:9" x14ac:dyDescent="0.2">
      <c r="A73" s="196" t="s">
        <v>219</v>
      </c>
      <c r="B73" s="300"/>
      <c r="C73" s="300"/>
      <c r="D73" s="51"/>
      <c r="F73" s="538">
        <f>'Budget Hearing Notice'!H53</f>
        <v>0</v>
      </c>
      <c r="G73" s="539" t="s">
        <v>570</v>
      </c>
      <c r="H73" s="535"/>
      <c r="I73" s="536"/>
    </row>
    <row r="74" spans="1:9" x14ac:dyDescent="0.2">
      <c r="A74" s="196" t="s">
        <v>220</v>
      </c>
      <c r="B74" s="281" t="str">
        <f>IF(B75*0.1&lt;B73,"Exceed 10% Rule","")</f>
        <v/>
      </c>
      <c r="C74" s="281" t="str">
        <f>IF(C75*0.1&lt;C73,"Exceed 10% Rule","")</f>
        <v/>
      </c>
      <c r="D74" s="217" t="str">
        <f>IF(D75*0.1&lt;D73,"Exceed 10% Rule","")</f>
        <v/>
      </c>
      <c r="F74" s="534">
        <f>'Budget Hearing Notice'!H52</f>
        <v>0</v>
      </c>
      <c r="G74" s="374" t="str">
        <f>CONCATENATE(D1," Estimated Total Mill Rate")</f>
        <v>2025 Estimated Total Mill Rate</v>
      </c>
      <c r="H74" s="535"/>
      <c r="I74" s="536"/>
    </row>
    <row r="75" spans="1:9" x14ac:dyDescent="0.2">
      <c r="A75" s="198" t="s">
        <v>44</v>
      </c>
      <c r="B75" s="229">
        <f>SUM(B66:B73)</f>
        <v>0</v>
      </c>
      <c r="C75" s="229">
        <f>SUM(C66:C73)</f>
        <v>0</v>
      </c>
      <c r="D75" s="229">
        <f>SUM(D66:D73)</f>
        <v>0</v>
      </c>
      <c r="F75" s="540">
        <f>'Budget Hearing Notice'!E52</f>
        <v>0</v>
      </c>
      <c r="G75" s="374" t="str">
        <f>CONCATENATE(D1-1," Total Mill Rate")</f>
        <v>2024 Total Mill Rate</v>
      </c>
      <c r="H75" s="535"/>
      <c r="I75" s="536"/>
    </row>
    <row r="76" spans="1:9" x14ac:dyDescent="0.2">
      <c r="A76" s="98" t="s">
        <v>149</v>
      </c>
      <c r="B76" s="164">
        <f>B64-B75</f>
        <v>0</v>
      </c>
      <c r="C76" s="164">
        <f>C64-C75</f>
        <v>0</v>
      </c>
      <c r="D76" s="212" t="s">
        <v>16</v>
      </c>
      <c r="F76" s="382"/>
      <c r="G76" s="358"/>
      <c r="H76" s="358"/>
      <c r="I76" s="385"/>
    </row>
    <row r="77" spans="1:9" x14ac:dyDescent="0.2">
      <c r="A77" s="120" t="str">
        <f>CONCATENATE("",D1-2,"/",D1-1,"/",D1," Budget Authority Amount:")</f>
        <v>2023/2024/2025 Budget Authority Amount:</v>
      </c>
      <c r="B77" s="214">
        <f>inputOth!B42</f>
        <v>0</v>
      </c>
      <c r="C77" s="214">
        <f>inputPrYr!D27</f>
        <v>0</v>
      </c>
      <c r="D77" s="164">
        <f>D75</f>
        <v>0</v>
      </c>
      <c r="E77" s="206"/>
      <c r="F77" s="664" t="s">
        <v>571</v>
      </c>
      <c r="G77" s="665"/>
      <c r="H77" s="665"/>
      <c r="I77" s="668" t="str">
        <f>IF(F74&gt;F73, "Yes", "No")</f>
        <v>No</v>
      </c>
    </row>
    <row r="78" spans="1:9" x14ac:dyDescent="0.2">
      <c r="A78" s="182"/>
      <c r="B78" s="651" t="s">
        <v>319</v>
      </c>
      <c r="C78" s="652"/>
      <c r="D78" s="51"/>
      <c r="E78" s="303" t="str">
        <f>IF(D75/0.95-D75&lt;D78,"Exceeds 5%","")</f>
        <v/>
      </c>
      <c r="F78" s="666"/>
      <c r="G78" s="667"/>
      <c r="H78" s="667"/>
      <c r="I78" s="669"/>
    </row>
    <row r="79" spans="1:9" x14ac:dyDescent="0.2">
      <c r="A79" s="304" t="str">
        <f>CONCATENATE(B97,"      ",C97)</f>
        <v xml:space="preserve">      </v>
      </c>
      <c r="B79" s="653" t="s">
        <v>320</v>
      </c>
      <c r="C79" s="654"/>
      <c r="D79" s="164">
        <f>D75+D78</f>
        <v>0</v>
      </c>
      <c r="F79" s="670" t="str">
        <f>IF(I77="Yes", "Follow procedure prescribed by KSA 79-2988 to exceed the Revenue Neutral Rate.", " ")</f>
        <v xml:space="preserve"> </v>
      </c>
      <c r="G79" s="670"/>
      <c r="H79" s="670"/>
      <c r="I79" s="670"/>
    </row>
    <row r="80" spans="1:9" x14ac:dyDescent="0.2">
      <c r="A80" s="304" t="str">
        <f>CONCATENATE(B98,"      ",C98)</f>
        <v xml:space="preserve">      </v>
      </c>
      <c r="B80" s="207"/>
      <c r="C80" s="63" t="s">
        <v>45</v>
      </c>
      <c r="D80" s="164">
        <f>IF(D79-D64&gt;0,D79-D64,0)</f>
        <v>0</v>
      </c>
      <c r="F80" s="671"/>
      <c r="G80" s="671"/>
      <c r="H80" s="671"/>
      <c r="I80" s="671"/>
    </row>
    <row r="81" spans="1:9" x14ac:dyDescent="0.2">
      <c r="A81" s="63"/>
      <c r="B81" s="293" t="s">
        <v>321</v>
      </c>
      <c r="C81" s="396">
        <f>inputOth!$E$25</f>
        <v>0</v>
      </c>
      <c r="D81" s="164">
        <f>ROUND(IF(C81&gt;0,(D80*C81),0),0)</f>
        <v>0</v>
      </c>
      <c r="F81" s="671"/>
      <c r="G81" s="671"/>
      <c r="H81" s="671"/>
      <c r="I81" s="671"/>
    </row>
    <row r="82" spans="1:9" x14ac:dyDescent="0.2">
      <c r="A82" s="32"/>
      <c r="B82" s="649" t="str">
        <f>CONCATENATE("Amount of  ",$D$1-1," Ad Valorem Tax")</f>
        <v>Amount of  2024 Ad Valorem Tax</v>
      </c>
      <c r="C82" s="650"/>
      <c r="D82" s="164">
        <f>D80+D81</f>
        <v>0</v>
      </c>
    </row>
    <row r="83" spans="1:9" x14ac:dyDescent="0.2">
      <c r="A83" s="32"/>
      <c r="B83" s="182"/>
      <c r="C83" s="182"/>
      <c r="D83" s="182"/>
    </row>
    <row r="84" spans="1:9" x14ac:dyDescent="0.2">
      <c r="A84" s="446" t="s">
        <v>380</v>
      </c>
      <c r="B84" s="456"/>
      <c r="C84" s="456"/>
      <c r="D84" s="457"/>
    </row>
    <row r="85" spans="1:9" x14ac:dyDescent="0.2">
      <c r="A85" s="183"/>
      <c r="B85" s="182"/>
      <c r="C85" s="182"/>
      <c r="D85" s="458"/>
    </row>
    <row r="86" spans="1:9" x14ac:dyDescent="0.2">
      <c r="A86" s="447"/>
      <c r="B86" s="461"/>
      <c r="C86" s="461"/>
      <c r="D86" s="462"/>
    </row>
    <row r="87" spans="1:9" x14ac:dyDescent="0.2">
      <c r="A87" s="32"/>
      <c r="B87" s="182"/>
      <c r="C87" s="182"/>
      <c r="D87" s="182"/>
    </row>
    <row r="88" spans="1:9" x14ac:dyDescent="0.2">
      <c r="A88" s="182" t="s">
        <v>96</v>
      </c>
      <c r="B88" s="428"/>
      <c r="C88" s="32"/>
      <c r="D88" s="32"/>
    </row>
    <row r="90" spans="1:9" hidden="1" x14ac:dyDescent="0.2"/>
    <row r="91" spans="1:9" hidden="1" x14ac:dyDescent="0.2"/>
    <row r="92" spans="1:9" hidden="1" x14ac:dyDescent="0.2"/>
    <row r="93" spans="1:9" hidden="1" x14ac:dyDescent="0.2"/>
    <row r="95" spans="1:9" x14ac:dyDescent="0.2">
      <c r="B95" s="27" t="str">
        <f>IF(B34&gt;B36,"See Tab A","")</f>
        <v/>
      </c>
      <c r="C95" s="27" t="str">
        <f>IF(C34&gt;C36,"See Tab C","")</f>
        <v/>
      </c>
    </row>
    <row r="96" spans="1:9" x14ac:dyDescent="0.2">
      <c r="B96" s="27" t="str">
        <f>IF(B35&lt;0,"See Tab B","")</f>
        <v/>
      </c>
      <c r="C96" s="27" t="str">
        <f>IF(C35&lt;0,"See Tab D","")</f>
        <v/>
      </c>
    </row>
    <row r="97" spans="2:3" x14ac:dyDescent="0.2">
      <c r="B97" s="27" t="str">
        <f>IF(B75&gt;B77,"See Tab A","")</f>
        <v/>
      </c>
      <c r="C97" s="27" t="str">
        <f>IF(C75&gt;C77,"See Tab C","")</f>
        <v/>
      </c>
    </row>
    <row r="98" spans="2:3" x14ac:dyDescent="0.2">
      <c r="B98" s="27" t="str">
        <f>IF(B76&lt;0,"See Tab B","")</f>
        <v/>
      </c>
      <c r="C98" s="27" t="str">
        <f>IF(C76&lt;0,"See Tab D","")</f>
        <v/>
      </c>
    </row>
  </sheetData>
  <sheetProtection sheet="1"/>
  <mergeCells count="18">
    <mergeCell ref="B82:C82"/>
    <mergeCell ref="B41:C41"/>
    <mergeCell ref="F28:I29"/>
    <mergeCell ref="F36:H37"/>
    <mergeCell ref="I36:I37"/>
    <mergeCell ref="F38:I40"/>
    <mergeCell ref="F69:I70"/>
    <mergeCell ref="F77:H78"/>
    <mergeCell ref="I77:I78"/>
    <mergeCell ref="F79:I81"/>
    <mergeCell ref="B37:C37"/>
    <mergeCell ref="B38:C38"/>
    <mergeCell ref="B78:C78"/>
    <mergeCell ref="B79:C79"/>
    <mergeCell ref="F11:I11"/>
    <mergeCell ref="F18:I18"/>
    <mergeCell ref="F52:I52"/>
    <mergeCell ref="F59:I59"/>
  </mergeCells>
  <phoneticPr fontId="0" type="noConversion"/>
  <conditionalFormatting sqref="B20">
    <cfRule type="cellIs" dxfId="240" priority="16" stopIfTrue="1" operator="greaterThan">
      <formula>$B$22*0.1</formula>
    </cfRule>
  </conditionalFormatting>
  <conditionalFormatting sqref="B32">
    <cfRule type="cellIs" dxfId="239" priority="25" stopIfTrue="1" operator="greaterThan">
      <formula>$B$34*0.1</formula>
    </cfRule>
  </conditionalFormatting>
  <conditionalFormatting sqref="B34">
    <cfRule type="cellIs" dxfId="238" priority="8" stopIfTrue="1" operator="greaterThan">
      <formula>$B$36</formula>
    </cfRule>
  </conditionalFormatting>
  <conditionalFormatting sqref="B61">
    <cfRule type="cellIs" dxfId="237" priority="24" stopIfTrue="1" operator="greaterThan">
      <formula>$B$63*0.1</formula>
    </cfRule>
  </conditionalFormatting>
  <conditionalFormatting sqref="B73">
    <cfRule type="cellIs" dxfId="236" priority="21" stopIfTrue="1" operator="greaterThan">
      <formula>$B$75*0.1</formula>
    </cfRule>
  </conditionalFormatting>
  <conditionalFormatting sqref="B75">
    <cfRule type="cellIs" dxfId="235" priority="4" stopIfTrue="1" operator="greaterThan">
      <formula>$B$77</formula>
    </cfRule>
  </conditionalFormatting>
  <conditionalFormatting sqref="B35:C35">
    <cfRule type="cellIs" dxfId="234" priority="5" stopIfTrue="1" operator="lessThan">
      <formula>0</formula>
    </cfRule>
  </conditionalFormatting>
  <conditionalFormatting sqref="B76:C76">
    <cfRule type="cellIs" dxfId="233" priority="1" stopIfTrue="1" operator="lessThan">
      <formula>0</formula>
    </cfRule>
  </conditionalFormatting>
  <conditionalFormatting sqref="C20">
    <cfRule type="cellIs" dxfId="232" priority="17" stopIfTrue="1" operator="greaterThan">
      <formula>$C$22*0.1</formula>
    </cfRule>
  </conditionalFormatting>
  <conditionalFormatting sqref="C32">
    <cfRule type="cellIs" dxfId="231" priority="26" stopIfTrue="1" operator="greaterThan">
      <formula>$C$34*0.1</formula>
    </cfRule>
  </conditionalFormatting>
  <conditionalFormatting sqref="C34">
    <cfRule type="cellIs" dxfId="230" priority="7" stopIfTrue="1" operator="greaterThan">
      <formula>$C$36</formula>
    </cfRule>
  </conditionalFormatting>
  <conditionalFormatting sqref="C61">
    <cfRule type="cellIs" dxfId="229" priority="23" stopIfTrue="1" operator="greaterThan">
      <formula>$C$63*0.1</formula>
    </cfRule>
  </conditionalFormatting>
  <conditionalFormatting sqref="C73">
    <cfRule type="cellIs" dxfId="228" priority="22" stopIfTrue="1" operator="greaterThan">
      <formula>$C$75*0.1</formula>
    </cfRule>
  </conditionalFormatting>
  <conditionalFormatting sqref="C75">
    <cfRule type="cellIs" dxfId="227" priority="3" stopIfTrue="1" operator="greaterThan">
      <formula>$C$77</formula>
    </cfRule>
  </conditionalFormatting>
  <conditionalFormatting sqref="D20">
    <cfRule type="cellIs" dxfId="226" priority="19" stopIfTrue="1" operator="greaterThan">
      <formula>$D$22*0.1+D41</formula>
    </cfRule>
  </conditionalFormatting>
  <conditionalFormatting sqref="D32">
    <cfRule type="cellIs" dxfId="225" priority="18" stopIfTrue="1" operator="greaterThan">
      <formula>$D$34*0.1</formula>
    </cfRule>
  </conditionalFormatting>
  <conditionalFormatting sqref="D37">
    <cfRule type="cellIs" dxfId="224" priority="13" stopIfTrue="1" operator="greaterThan">
      <formula>$D$34/0.95-$D$34</formula>
    </cfRule>
  </conditionalFormatting>
  <conditionalFormatting sqref="D61">
    <cfRule type="cellIs" dxfId="223" priority="20" stopIfTrue="1" operator="greaterThan">
      <formula>$D$63*0.1+D82</formula>
    </cfRule>
  </conditionalFormatting>
  <conditionalFormatting sqref="D73">
    <cfRule type="cellIs" dxfId="222" priority="15" stopIfTrue="1" operator="greaterThan">
      <formula>$D$75*0.1</formula>
    </cfRule>
  </conditionalFormatting>
  <conditionalFormatting sqref="D78">
    <cfRule type="cellIs" dxfId="221" priority="14" stopIfTrue="1" operator="greaterThan">
      <formula>$D$75/0.95-$D$75</formula>
    </cfRule>
  </conditionalFormatting>
  <conditionalFormatting sqref="I36">
    <cfRule type="containsText" dxfId="220" priority="10" operator="containsText" text="Yes">
      <formula>NOT(ISERROR(SEARCH("Yes",I36)))</formula>
    </cfRule>
  </conditionalFormatting>
  <conditionalFormatting sqref="I77">
    <cfRule type="containsText" dxfId="219" priority="9" operator="containsText" text="Yes">
      <formula>NOT(ISERROR(SEARCH("Yes",I77)))</formula>
    </cfRule>
  </conditionalFormatting>
  <pageMargins left="1.1200000000000001" right="0.5" top="0.74" bottom="0.34" header="0.5" footer="0"/>
  <pageSetup scale="57" orientation="portrait" blackAndWhite="1" horizontalDpi="120" verticalDpi="144" r:id="rId1"/>
  <headerFooter alignWithMargins="0">
    <oddHeader xml:space="preserve">&amp;RState of Kansas
County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00B0F0"/>
    <pageSetUpPr fitToPage="1"/>
  </sheetPr>
  <dimension ref="A1:J98"/>
  <sheetViews>
    <sheetView zoomScaleNormal="100" workbookViewId="0">
      <selection activeCell="D32" sqref="B32:D32"/>
    </sheetView>
  </sheetViews>
  <sheetFormatPr defaultRowHeight="15.75" x14ac:dyDescent="0.2"/>
  <cols>
    <col min="1" max="1" width="31.109375" style="27" customWidth="1"/>
    <col min="2" max="3" width="15.77734375" style="27" customWidth="1"/>
    <col min="4" max="4" width="16.21875" style="27" customWidth="1"/>
    <col min="5" max="5" width="8.88671875" style="27"/>
    <col min="6" max="6" width="10.21875" style="27" customWidth="1"/>
    <col min="7" max="7" width="8.88671875" style="27"/>
    <col min="8" max="8" width="5.5546875" style="27" customWidth="1"/>
    <col min="9" max="9" width="10" style="27" customWidth="1"/>
    <col min="10" max="16384" width="8.88671875" style="27"/>
  </cols>
  <sheetData>
    <row r="1" spans="1:9" x14ac:dyDescent="0.2">
      <c r="A1" s="73">
        <f>(inputPrYr!C3)</f>
        <v>0</v>
      </c>
      <c r="B1" s="32"/>
      <c r="C1" s="32"/>
      <c r="D1" s="182">
        <f>inputPrYr!C5</f>
        <v>2025</v>
      </c>
    </row>
    <row r="2" spans="1:9" x14ac:dyDescent="0.2">
      <c r="A2" s="133"/>
      <c r="B2" s="208"/>
      <c r="C2" s="208"/>
      <c r="D2" s="209"/>
    </row>
    <row r="3" spans="1:9" x14ac:dyDescent="0.2">
      <c r="A3" s="302" t="s">
        <v>138</v>
      </c>
      <c r="B3" s="91"/>
      <c r="C3" s="91"/>
      <c r="D3" s="91"/>
    </row>
    <row r="4" spans="1:9" x14ac:dyDescent="0.2">
      <c r="A4" s="31" t="s">
        <v>30</v>
      </c>
      <c r="B4" s="353" t="s">
        <v>346</v>
      </c>
      <c r="C4" s="354" t="s">
        <v>347</v>
      </c>
      <c r="D4" s="95" t="s">
        <v>348</v>
      </c>
    </row>
    <row r="5" spans="1:9" x14ac:dyDescent="0.2">
      <c r="A5" s="296">
        <f>inputPrYr!$B$28</f>
        <v>0</v>
      </c>
      <c r="B5" s="283" t="str">
        <f>CONCATENATE("Actual for ",D1-2,"")</f>
        <v>Actual for 2023</v>
      </c>
      <c r="C5" s="283" t="str">
        <f>CONCATENATE("Estimate for ",D1-1,"")</f>
        <v>Estimate for 2024</v>
      </c>
      <c r="D5" s="190" t="str">
        <f>CONCATENATE("Year for ",D1,"")</f>
        <v>Year for 2025</v>
      </c>
    </row>
    <row r="6" spans="1:9" x14ac:dyDescent="0.2">
      <c r="A6" s="98" t="s">
        <v>148</v>
      </c>
      <c r="B6" s="300"/>
      <c r="C6" s="282">
        <f>B35</f>
        <v>0</v>
      </c>
      <c r="D6" s="164">
        <f>C35</f>
        <v>0</v>
      </c>
    </row>
    <row r="7" spans="1:9" x14ac:dyDescent="0.2">
      <c r="A7" s="184" t="s">
        <v>150</v>
      </c>
      <c r="B7" s="111"/>
      <c r="C7" s="111"/>
      <c r="D7" s="64"/>
    </row>
    <row r="8" spans="1:9" x14ac:dyDescent="0.2">
      <c r="A8" s="98" t="s">
        <v>31</v>
      </c>
      <c r="B8" s="300"/>
      <c r="C8" s="282">
        <f>IF(inputPrYr!H27&gt;0,inputPrYr!H27,inputPrYr!E28)</f>
        <v>0</v>
      </c>
      <c r="D8" s="212" t="s">
        <v>16</v>
      </c>
    </row>
    <row r="9" spans="1:9" x14ac:dyDescent="0.2">
      <c r="A9" s="98" t="s">
        <v>32</v>
      </c>
      <c r="B9" s="300"/>
      <c r="C9" s="300"/>
      <c r="D9" s="51"/>
      <c r="F9" s="655" t="str">
        <f>CONCATENATE("Desired Carryover Into ",D1+1,"")</f>
        <v>Desired Carryover Into 2026</v>
      </c>
      <c r="G9" s="656"/>
      <c r="H9" s="656"/>
      <c r="I9" s="657"/>
    </row>
    <row r="10" spans="1:9" x14ac:dyDescent="0.2">
      <c r="A10" s="98" t="s">
        <v>33</v>
      </c>
      <c r="B10" s="300"/>
      <c r="C10" s="300"/>
      <c r="D10" s="164" t="str">
        <f>Mvalloc!D19</f>
        <v xml:space="preserve">  </v>
      </c>
      <c r="F10" s="357"/>
      <c r="G10" s="358"/>
      <c r="H10" s="359"/>
      <c r="I10" s="360"/>
    </row>
    <row r="11" spans="1:9" x14ac:dyDescent="0.2">
      <c r="A11" s="98" t="s">
        <v>34</v>
      </c>
      <c r="B11" s="300"/>
      <c r="C11" s="300"/>
      <c r="D11" s="164" t="str">
        <f>Mvalloc!E19</f>
        <v xml:space="preserve">  </v>
      </c>
      <c r="F11" s="361" t="s">
        <v>327</v>
      </c>
      <c r="G11" s="359"/>
      <c r="H11" s="359"/>
      <c r="I11" s="362">
        <v>0</v>
      </c>
    </row>
    <row r="12" spans="1:9" x14ac:dyDescent="0.2">
      <c r="A12" s="111" t="s">
        <v>131</v>
      </c>
      <c r="B12" s="300"/>
      <c r="C12" s="300"/>
      <c r="D12" s="164" t="str">
        <f>Mvalloc!F19</f>
        <v xml:space="preserve">  </v>
      </c>
      <c r="F12" s="357" t="s">
        <v>328</v>
      </c>
      <c r="G12" s="358"/>
      <c r="H12" s="358"/>
      <c r="I12" s="363" t="str">
        <f>IF(I11=0,"",ROUND((I11+D41-F24)/inputOth!E5*1000,3)-F29)</f>
        <v/>
      </c>
    </row>
    <row r="13" spans="1:9" x14ac:dyDescent="0.2">
      <c r="A13" s="191" t="s">
        <v>374</v>
      </c>
      <c r="B13" s="300"/>
      <c r="C13" s="300"/>
      <c r="D13" s="164" t="str">
        <f>Mvalloc!G19</f>
        <v xml:space="preserve"> </v>
      </c>
      <c r="F13" s="364" t="str">
        <f>CONCATENATE("",D1," Tot Exp/Non-Appr Must Be:")</f>
        <v>2025 Tot Exp/Non-Appr Must Be:</v>
      </c>
      <c r="G13" s="365"/>
      <c r="H13" s="366"/>
      <c r="I13" s="367">
        <f>IF(I11&gt;0,IF(D38&lt;D23,IF(I11=F24,D38,((I11-F24)*(1-C40))+D23),D38+(I11-F24)),0)</f>
        <v>0</v>
      </c>
    </row>
    <row r="14" spans="1:9" x14ac:dyDescent="0.2">
      <c r="A14" s="191" t="s">
        <v>375</v>
      </c>
      <c r="B14" s="300"/>
      <c r="C14" s="300"/>
      <c r="D14" s="164" t="str">
        <f>Mvalloc!H19</f>
        <v xml:space="preserve"> </v>
      </c>
      <c r="F14" s="368" t="s">
        <v>349</v>
      </c>
      <c r="G14" s="369"/>
      <c r="H14" s="369"/>
      <c r="I14" s="370">
        <f>IF(I11&gt;0,I13-D38,0)</f>
        <v>0</v>
      </c>
    </row>
    <row r="15" spans="1:9" x14ac:dyDescent="0.25">
      <c r="A15" s="205"/>
      <c r="B15" s="300"/>
      <c r="C15" s="300"/>
      <c r="D15" s="51"/>
      <c r="F15" s="371"/>
      <c r="G15" s="371"/>
      <c r="H15" s="371"/>
      <c r="I15" s="371"/>
    </row>
    <row r="16" spans="1:9" x14ac:dyDescent="0.2">
      <c r="A16" s="205"/>
      <c r="B16" s="300"/>
      <c r="C16" s="300"/>
      <c r="D16" s="51"/>
      <c r="F16" s="655" t="str">
        <f>CONCATENATE("Projected Carryover Into ",D1+1,"")</f>
        <v>Projected Carryover Into 2026</v>
      </c>
      <c r="G16" s="674"/>
      <c r="H16" s="674"/>
      <c r="I16" s="675"/>
    </row>
    <row r="17" spans="1:10" x14ac:dyDescent="0.2">
      <c r="A17" s="205"/>
      <c r="B17" s="300"/>
      <c r="C17" s="300"/>
      <c r="D17" s="51"/>
      <c r="F17" s="357"/>
      <c r="G17" s="359"/>
      <c r="H17" s="359"/>
      <c r="I17" s="372"/>
    </row>
    <row r="18" spans="1:10" x14ac:dyDescent="0.2">
      <c r="A18" s="195" t="s">
        <v>38</v>
      </c>
      <c r="B18" s="300"/>
      <c r="C18" s="300"/>
      <c r="D18" s="51"/>
      <c r="F18" s="373">
        <f>C35</f>
        <v>0</v>
      </c>
      <c r="G18" s="374" t="str">
        <f>CONCATENATE("",D1-1," Ending Cash Balance (est.)")</f>
        <v>2024 Ending Cash Balance (est.)</v>
      </c>
      <c r="H18" s="375"/>
      <c r="I18" s="372"/>
    </row>
    <row r="19" spans="1:10" x14ac:dyDescent="0.2">
      <c r="A19" s="196" t="s">
        <v>218</v>
      </c>
      <c r="B19" s="300"/>
      <c r="C19" s="300"/>
      <c r="D19" s="164"/>
      <c r="F19" s="373">
        <f>D22</f>
        <v>0</v>
      </c>
      <c r="G19" s="359" t="str">
        <f>CONCATENATE("",D1," Non-AV Receipts (est.)")</f>
        <v>2025 Non-AV Receipts (est.)</v>
      </c>
      <c r="H19" s="375"/>
      <c r="I19" s="372"/>
    </row>
    <row r="20" spans="1:10" x14ac:dyDescent="0.2">
      <c r="A20" s="196" t="s">
        <v>219</v>
      </c>
      <c r="B20" s="300"/>
      <c r="C20" s="300"/>
      <c r="D20" s="51"/>
      <c r="F20" s="376">
        <f>IF(D40&gt;0,D39,D41)</f>
        <v>0</v>
      </c>
      <c r="G20" s="359" t="str">
        <f>CONCATENATE("",D1," Ad Valorem Tax (est.)")</f>
        <v>2025 Ad Valorem Tax (est.)</v>
      </c>
      <c r="H20" s="375"/>
      <c r="I20" s="372"/>
      <c r="J20" s="394" t="str">
        <f>IF(F20=D41,"","Note: Does not include Delinquent Taxes")</f>
        <v/>
      </c>
    </row>
    <row r="21" spans="1:10" x14ac:dyDescent="0.2">
      <c r="A21" s="196" t="s">
        <v>221</v>
      </c>
      <c r="B21" s="281" t="str">
        <f>IF(B22*0.1&lt;B20,"Exceed 10% Rule","")</f>
        <v/>
      </c>
      <c r="C21" s="281" t="str">
        <f>IF(C22*0.1&lt;C20,"Exceed 10% Rule","")</f>
        <v/>
      </c>
      <c r="D21" s="217" t="str">
        <f>IF(D22*0.1+D41&lt;D20,"Exceed 10% Rule","")</f>
        <v/>
      </c>
      <c r="F21" s="373">
        <f>SUM(F18:F20)</f>
        <v>0</v>
      </c>
      <c r="G21" s="359" t="str">
        <f>CONCATENATE("Total ",D1," Resources Available")</f>
        <v>Total 2025 Resources Available</v>
      </c>
      <c r="H21" s="375"/>
      <c r="I21" s="372"/>
    </row>
    <row r="22" spans="1:10" x14ac:dyDescent="0.2">
      <c r="A22" s="198" t="s">
        <v>39</v>
      </c>
      <c r="B22" s="229">
        <f>SUM(B8:B20)</f>
        <v>0</v>
      </c>
      <c r="C22" s="229">
        <f>SUM(C8:C20)</f>
        <v>0</v>
      </c>
      <c r="D22" s="229">
        <f>SUM(D8:D20)</f>
        <v>0</v>
      </c>
      <c r="F22" s="377"/>
      <c r="G22" s="359"/>
      <c r="H22" s="359"/>
      <c r="I22" s="372"/>
    </row>
    <row r="23" spans="1:10" x14ac:dyDescent="0.25">
      <c r="A23" s="198" t="s">
        <v>40</v>
      </c>
      <c r="B23" s="229">
        <f>B6+B22</f>
        <v>0</v>
      </c>
      <c r="C23" s="229">
        <f>C6+C22</f>
        <v>0</v>
      </c>
      <c r="D23" s="229">
        <f>D6+D22</f>
        <v>0</v>
      </c>
      <c r="F23" s="376">
        <f>ROUND(B34*0.05+B34,0)</f>
        <v>0</v>
      </c>
      <c r="G23" s="359" t="str">
        <f>CONCATENATE("Less ",D1-2," Expenditures + 5%")</f>
        <v>Less 2023 Expenditures + 5%</v>
      </c>
      <c r="H23" s="375"/>
      <c r="I23" s="383"/>
    </row>
    <row r="24" spans="1:10" x14ac:dyDescent="0.2">
      <c r="A24" s="98" t="s">
        <v>43</v>
      </c>
      <c r="B24" s="196"/>
      <c r="C24" s="196"/>
      <c r="D24" s="108"/>
      <c r="F24" s="378">
        <f>F21-F23</f>
        <v>0</v>
      </c>
      <c r="G24" s="379" t="str">
        <f>CONCATENATE("Projected ",D1+1," carryover (est.)")</f>
        <v>Projected 2026 carryover (est.)</v>
      </c>
      <c r="H24" s="380"/>
      <c r="I24" s="381"/>
    </row>
    <row r="25" spans="1:10" x14ac:dyDescent="0.25">
      <c r="A25" s="205"/>
      <c r="B25" s="300"/>
      <c r="C25" s="300"/>
      <c r="D25" s="51"/>
      <c r="F25" s="371"/>
      <c r="G25" s="371"/>
      <c r="H25" s="371"/>
      <c r="I25" s="371"/>
    </row>
    <row r="26" spans="1:10" x14ac:dyDescent="0.2">
      <c r="A26" s="205"/>
      <c r="B26" s="300"/>
      <c r="C26" s="300"/>
      <c r="D26" s="51"/>
      <c r="F26" s="658" t="s">
        <v>569</v>
      </c>
      <c r="G26" s="659"/>
      <c r="H26" s="659"/>
      <c r="I26" s="660"/>
    </row>
    <row r="27" spans="1:10" x14ac:dyDescent="0.2">
      <c r="A27" s="205"/>
      <c r="B27" s="300"/>
      <c r="C27" s="300"/>
      <c r="D27" s="51"/>
      <c r="F27" s="661"/>
      <c r="G27" s="662"/>
      <c r="H27" s="662"/>
      <c r="I27" s="663"/>
    </row>
    <row r="28" spans="1:10" x14ac:dyDescent="0.2">
      <c r="A28" s="205"/>
      <c r="B28" s="300"/>
      <c r="C28" s="300"/>
      <c r="D28" s="51"/>
      <c r="F28" s="534" t="str">
        <f>'Budget Hearing Notice'!H27</f>
        <v xml:space="preserve">  </v>
      </c>
      <c r="G28" s="374" t="str">
        <f>CONCATENATE("",D1," Estimated Fund Mill Rate")</f>
        <v>2025 Estimated Fund Mill Rate</v>
      </c>
      <c r="H28" s="535"/>
      <c r="I28" s="536"/>
    </row>
    <row r="29" spans="1:10" x14ac:dyDescent="0.2">
      <c r="A29" s="205"/>
      <c r="B29" s="300"/>
      <c r="C29" s="300"/>
      <c r="D29" s="51"/>
      <c r="F29" s="537" t="str">
        <f>'Budget Hearing Notice'!E27</f>
        <v xml:space="preserve">  </v>
      </c>
      <c r="G29" s="374" t="str">
        <f>CONCATENATE("",D1-1," Fund Mill Rate")</f>
        <v>2024 Fund Mill Rate</v>
      </c>
      <c r="H29" s="535"/>
      <c r="I29" s="536"/>
    </row>
    <row r="30" spans="1:10" x14ac:dyDescent="0.2">
      <c r="A30" s="205"/>
      <c r="B30" s="300"/>
      <c r="C30" s="300"/>
      <c r="D30" s="51"/>
      <c r="F30" s="538">
        <f>'Budget Hearing Notice'!H53</f>
        <v>0</v>
      </c>
      <c r="G30" s="539" t="s">
        <v>570</v>
      </c>
      <c r="H30" s="535"/>
      <c r="I30" s="536"/>
    </row>
    <row r="31" spans="1:10" x14ac:dyDescent="0.2">
      <c r="A31" s="196" t="str">
        <f>CONCATENATE("Cash Reserve (",D1," column)")</f>
        <v>Cash Reserve (2025 column)</v>
      </c>
      <c r="B31" s="300"/>
      <c r="C31" s="300"/>
      <c r="D31" s="51"/>
      <c r="F31" s="534">
        <f>'Budget Hearing Notice'!H52</f>
        <v>0</v>
      </c>
      <c r="G31" s="374" t="str">
        <f>CONCATENATE(D1," Estimated Total Mill Rate")</f>
        <v>2025 Estimated Total Mill Rate</v>
      </c>
      <c r="H31" s="535"/>
      <c r="I31" s="536"/>
    </row>
    <row r="32" spans="1:10" x14ac:dyDescent="0.2">
      <c r="A32" s="196" t="s">
        <v>219</v>
      </c>
      <c r="B32" s="300"/>
      <c r="C32" s="300"/>
      <c r="D32" s="51"/>
      <c r="F32" s="540">
        <f>'Budget Hearing Notice'!E52</f>
        <v>0</v>
      </c>
      <c r="G32" s="374" t="str">
        <f>CONCATENATE(D1-1," Total Mill Rate")</f>
        <v>2024 Total Mill Rate</v>
      </c>
      <c r="H32" s="535"/>
      <c r="I32" s="536"/>
    </row>
    <row r="33" spans="1:9" x14ac:dyDescent="0.2">
      <c r="A33" s="196" t="s">
        <v>220</v>
      </c>
      <c r="B33" s="281" t="str">
        <f>IF(B34*0.1&lt;B32,"Exceed 10% Rule","")</f>
        <v/>
      </c>
      <c r="C33" s="281" t="str">
        <f>IF(C34*0.1&lt;C32,"Exceed 10% Rule","")</f>
        <v/>
      </c>
      <c r="D33" s="217" t="str">
        <f>IF(D34*0.1&lt;D32,"Exceed 10% Rule","")</f>
        <v/>
      </c>
      <c r="F33" s="382"/>
      <c r="G33" s="358"/>
      <c r="H33" s="358"/>
      <c r="I33" s="385"/>
    </row>
    <row r="34" spans="1:9" x14ac:dyDescent="0.2">
      <c r="A34" s="198" t="s">
        <v>44</v>
      </c>
      <c r="B34" s="229">
        <f>SUM(B25:B32)</f>
        <v>0</v>
      </c>
      <c r="C34" s="229">
        <f>SUM(C25:C32)</f>
        <v>0</v>
      </c>
      <c r="D34" s="229">
        <f>SUM(D25:D32)</f>
        <v>0</v>
      </c>
      <c r="F34" s="664" t="s">
        <v>571</v>
      </c>
      <c r="G34" s="665"/>
      <c r="H34" s="665"/>
      <c r="I34" s="668" t="str">
        <f>IF(F31&gt;F30, "Yes", "No")</f>
        <v>No</v>
      </c>
    </row>
    <row r="35" spans="1:9" x14ac:dyDescent="0.2">
      <c r="A35" s="98" t="s">
        <v>149</v>
      </c>
      <c r="B35" s="164">
        <f>B23-B34</f>
        <v>0</v>
      </c>
      <c r="C35" s="164">
        <f>C23-C34</f>
        <v>0</v>
      </c>
      <c r="D35" s="212" t="s">
        <v>16</v>
      </c>
      <c r="F35" s="666"/>
      <c r="G35" s="667"/>
      <c r="H35" s="667"/>
      <c r="I35" s="669"/>
    </row>
    <row r="36" spans="1:9" x14ac:dyDescent="0.2">
      <c r="A36" s="120" t="str">
        <f>CONCATENATE("",D1-2,"/",D1-1,"/",D1," Budget Authority Amount:")</f>
        <v>2023/2024/2025 Budget Authority Amount:</v>
      </c>
      <c r="B36" s="214">
        <f>inputOth!B43</f>
        <v>0</v>
      </c>
      <c r="C36" s="214">
        <f>inputPrYr!D28</f>
        <v>0</v>
      </c>
      <c r="D36" s="164">
        <f>D34</f>
        <v>0</v>
      </c>
      <c r="E36" s="206"/>
      <c r="F36" s="670" t="str">
        <f>IF(I34="Yes", "Follow procedure prescribed by KSA 79-2988 to exceed the Revenue Neutral Rate.", " ")</f>
        <v xml:space="preserve"> </v>
      </c>
      <c r="G36" s="670"/>
      <c r="H36" s="670"/>
      <c r="I36" s="670"/>
    </row>
    <row r="37" spans="1:9" x14ac:dyDescent="0.2">
      <c r="A37" s="182"/>
      <c r="B37" s="651" t="s">
        <v>319</v>
      </c>
      <c r="C37" s="652"/>
      <c r="D37" s="51"/>
      <c r="E37" s="303" t="str">
        <f>IF(D34/0.95-D34&lt;D37,"Exceeds 5%","")</f>
        <v/>
      </c>
      <c r="F37" s="671"/>
      <c r="G37" s="671"/>
      <c r="H37" s="671"/>
      <c r="I37" s="671"/>
    </row>
    <row r="38" spans="1:9" x14ac:dyDescent="0.2">
      <c r="A38" s="304" t="str">
        <f>CONCATENATE(B95,"     ",C95)</f>
        <v xml:space="preserve">     </v>
      </c>
      <c r="B38" s="653" t="s">
        <v>320</v>
      </c>
      <c r="C38" s="654"/>
      <c r="D38" s="164">
        <f>D34+D37</f>
        <v>0</v>
      </c>
      <c r="F38" s="671"/>
      <c r="G38" s="671"/>
      <c r="H38" s="671"/>
      <c r="I38" s="671"/>
    </row>
    <row r="39" spans="1:9" x14ac:dyDescent="0.25">
      <c r="A39" s="304" t="str">
        <f>CONCATENATE(B96,"      ",C96)</f>
        <v xml:space="preserve">      </v>
      </c>
      <c r="B39" s="207"/>
      <c r="C39" s="63" t="s">
        <v>45</v>
      </c>
      <c r="D39" s="164">
        <f>IF(D38-D23&gt;0,D38-D23,0)</f>
        <v>0</v>
      </c>
      <c r="F39" s="371"/>
      <c r="G39" s="371"/>
      <c r="H39" s="371"/>
      <c r="I39" s="371"/>
    </row>
    <row r="40" spans="1:9" x14ac:dyDescent="0.25">
      <c r="A40" s="63"/>
      <c r="B40" s="293" t="s">
        <v>321</v>
      </c>
      <c r="C40" s="396">
        <f>inputOth!$E$25</f>
        <v>0</v>
      </c>
      <c r="D40" s="164">
        <f>ROUND(IF(C40&gt;0,(D39*C40),0),0)</f>
        <v>0</v>
      </c>
      <c r="F40" s="371"/>
      <c r="G40" s="371"/>
      <c r="H40" s="371"/>
      <c r="I40" s="371"/>
    </row>
    <row r="41" spans="1:9" x14ac:dyDescent="0.25">
      <c r="A41" s="32"/>
      <c r="B41" s="649" t="str">
        <f>CONCATENATE("Amount of  ",$D$1-1," Ad Valorem Tax")</f>
        <v>Amount of  2024 Ad Valorem Tax</v>
      </c>
      <c r="C41" s="650"/>
      <c r="D41" s="164">
        <f>D39+D40</f>
        <v>0</v>
      </c>
      <c r="F41" s="371"/>
      <c r="G41" s="371"/>
      <c r="H41" s="371"/>
      <c r="I41" s="371"/>
    </row>
    <row r="42" spans="1:9" x14ac:dyDescent="0.25">
      <c r="A42" s="32"/>
      <c r="B42" s="182"/>
      <c r="C42" s="32"/>
      <c r="D42" s="32"/>
      <c r="F42" s="371"/>
      <c r="G42" s="371"/>
      <c r="H42" s="371"/>
      <c r="I42" s="371"/>
    </row>
    <row r="43" spans="1:9" x14ac:dyDescent="0.25">
      <c r="A43" s="32"/>
      <c r="B43" s="182"/>
      <c r="C43" s="32"/>
      <c r="D43" s="32"/>
      <c r="F43" s="371"/>
      <c r="G43" s="371"/>
      <c r="H43" s="371"/>
      <c r="I43" s="371"/>
    </row>
    <row r="44" spans="1:9" x14ac:dyDescent="0.25">
      <c r="A44" s="32"/>
      <c r="B44" s="91"/>
      <c r="C44" s="91"/>
      <c r="D44" s="91"/>
      <c r="F44" s="371"/>
      <c r="G44" s="371"/>
      <c r="H44" s="371"/>
      <c r="I44" s="371"/>
    </row>
    <row r="45" spans="1:9" x14ac:dyDescent="0.25">
      <c r="A45" s="31" t="s">
        <v>30</v>
      </c>
      <c r="B45" s="353" t="str">
        <f t="shared" ref="B45:D46" si="0">B4</f>
        <v xml:space="preserve">Prior Year </v>
      </c>
      <c r="C45" s="354" t="str">
        <f t="shared" si="0"/>
        <v xml:space="preserve">Current Year </v>
      </c>
      <c r="D45" s="95" t="str">
        <f t="shared" si="0"/>
        <v xml:space="preserve">Proposed Budget </v>
      </c>
      <c r="F45" s="371"/>
      <c r="G45" s="371"/>
      <c r="H45" s="371"/>
      <c r="I45" s="371"/>
    </row>
    <row r="46" spans="1:9" x14ac:dyDescent="0.25">
      <c r="A46" s="296">
        <f>inputPrYr!$B$29</f>
        <v>0</v>
      </c>
      <c r="B46" s="283" t="str">
        <f t="shared" si="0"/>
        <v>Actual for 2023</v>
      </c>
      <c r="C46" s="283" t="str">
        <f t="shared" si="0"/>
        <v>Estimate for 2024</v>
      </c>
      <c r="D46" s="162" t="str">
        <f t="shared" si="0"/>
        <v>Year for 2025</v>
      </c>
      <c r="F46" s="371"/>
      <c r="G46" s="371"/>
      <c r="H46" s="371"/>
      <c r="I46" s="371"/>
    </row>
    <row r="47" spans="1:9" x14ac:dyDescent="0.25">
      <c r="A47" s="98" t="s">
        <v>148</v>
      </c>
      <c r="B47" s="300"/>
      <c r="C47" s="282">
        <f>B76</f>
        <v>0</v>
      </c>
      <c r="D47" s="164">
        <f>C76</f>
        <v>0</v>
      </c>
      <c r="F47" s="371"/>
      <c r="G47" s="371"/>
      <c r="H47" s="371"/>
      <c r="I47" s="371"/>
    </row>
    <row r="48" spans="1:9" x14ac:dyDescent="0.25">
      <c r="A48" s="191" t="s">
        <v>150</v>
      </c>
      <c r="B48" s="111"/>
      <c r="C48" s="111"/>
      <c r="D48" s="64"/>
      <c r="F48" s="371"/>
      <c r="G48" s="371"/>
      <c r="H48" s="371"/>
      <c r="I48" s="371"/>
    </row>
    <row r="49" spans="1:10" x14ac:dyDescent="0.25">
      <c r="A49" s="98" t="s">
        <v>31</v>
      </c>
      <c r="B49" s="300"/>
      <c r="C49" s="282">
        <f>IF(inputPrYr!H28&gt;0,inputPrYr!H28,inputPrYr!E29)</f>
        <v>0</v>
      </c>
      <c r="D49" s="212" t="s">
        <v>16</v>
      </c>
      <c r="F49" s="371"/>
      <c r="G49" s="371"/>
      <c r="H49" s="371"/>
      <c r="I49" s="371"/>
    </row>
    <row r="50" spans="1:10" x14ac:dyDescent="0.2">
      <c r="A50" s="98" t="s">
        <v>32</v>
      </c>
      <c r="B50" s="300"/>
      <c r="C50" s="300"/>
      <c r="D50" s="51"/>
      <c r="F50" s="655" t="str">
        <f>CONCATENATE("Desired Carryover Into ",D1+1,"")</f>
        <v>Desired Carryover Into 2026</v>
      </c>
      <c r="G50" s="656"/>
      <c r="H50" s="656"/>
      <c r="I50" s="657"/>
    </row>
    <row r="51" spans="1:10" x14ac:dyDescent="0.2">
      <c r="A51" s="98" t="s">
        <v>33</v>
      </c>
      <c r="B51" s="300"/>
      <c r="C51" s="300"/>
      <c r="D51" s="164" t="str">
        <f>Mvalloc!D20</f>
        <v xml:space="preserve">  </v>
      </c>
      <c r="F51" s="357"/>
      <c r="G51" s="358"/>
      <c r="H51" s="359"/>
      <c r="I51" s="360"/>
    </row>
    <row r="52" spans="1:10" x14ac:dyDescent="0.2">
      <c r="A52" s="98" t="s">
        <v>34</v>
      </c>
      <c r="B52" s="300"/>
      <c r="C52" s="300"/>
      <c r="D52" s="164" t="str">
        <f>Mvalloc!E20</f>
        <v xml:space="preserve">  </v>
      </c>
      <c r="F52" s="361" t="s">
        <v>327</v>
      </c>
      <c r="G52" s="359"/>
      <c r="H52" s="359"/>
      <c r="I52" s="362">
        <v>0</v>
      </c>
    </row>
    <row r="53" spans="1:10" x14ac:dyDescent="0.2">
      <c r="A53" s="111" t="s">
        <v>131</v>
      </c>
      <c r="B53" s="300"/>
      <c r="C53" s="300"/>
      <c r="D53" s="164" t="str">
        <f>Mvalloc!F20</f>
        <v xml:space="preserve">  </v>
      </c>
      <c r="F53" s="357" t="s">
        <v>328</v>
      </c>
      <c r="G53" s="358"/>
      <c r="H53" s="358"/>
      <c r="I53" s="363" t="str">
        <f>IF(I52=0,"",ROUND((I52+D82-F65)/inputOth!E5*1000,3)-F70)</f>
        <v/>
      </c>
    </row>
    <row r="54" spans="1:10" x14ac:dyDescent="0.2">
      <c r="A54" s="191" t="s">
        <v>374</v>
      </c>
      <c r="B54" s="300"/>
      <c r="C54" s="300"/>
      <c r="D54" s="164" t="str">
        <f>Mvalloc!G20</f>
        <v xml:space="preserve"> </v>
      </c>
      <c r="F54" s="364" t="str">
        <f>CONCATENATE("",D1," Tot Exp/Non-Appr Must Be:")</f>
        <v>2025 Tot Exp/Non-Appr Must Be:</v>
      </c>
      <c r="G54" s="365"/>
      <c r="H54" s="366"/>
      <c r="I54" s="367">
        <f>IF(I52&gt;0,IF(D79&lt;D64,IF(I52=F65,D79,((I52-F65)*(1-C81))+D64),D79+(I52-F65)),0)</f>
        <v>0</v>
      </c>
    </row>
    <row r="55" spans="1:10" x14ac:dyDescent="0.2">
      <c r="A55" s="191" t="s">
        <v>375</v>
      </c>
      <c r="B55" s="300"/>
      <c r="C55" s="300"/>
      <c r="D55" s="164" t="str">
        <f>Mvalloc!H20</f>
        <v xml:space="preserve"> </v>
      </c>
      <c r="F55" s="368" t="s">
        <v>349</v>
      </c>
      <c r="G55" s="369"/>
      <c r="H55" s="369"/>
      <c r="I55" s="370">
        <f>IF(I52&gt;0,I54-D79,0)</f>
        <v>0</v>
      </c>
    </row>
    <row r="56" spans="1:10" x14ac:dyDescent="0.25">
      <c r="A56" s="205"/>
      <c r="B56" s="300"/>
      <c r="C56" s="300"/>
      <c r="D56" s="51"/>
      <c r="F56" s="371"/>
      <c r="G56" s="371"/>
      <c r="H56" s="371"/>
      <c r="I56" s="371"/>
    </row>
    <row r="57" spans="1:10" x14ac:dyDescent="0.2">
      <c r="A57" s="205"/>
      <c r="B57" s="300"/>
      <c r="C57" s="300"/>
      <c r="D57" s="51"/>
      <c r="F57" s="655" t="str">
        <f>CONCATENATE("Projected Carryover Into ",D1+1,"")</f>
        <v>Projected Carryover Into 2026</v>
      </c>
      <c r="G57" s="676"/>
      <c r="H57" s="676"/>
      <c r="I57" s="675"/>
    </row>
    <row r="58" spans="1:10" x14ac:dyDescent="0.25">
      <c r="A58" s="205"/>
      <c r="B58" s="300"/>
      <c r="C58" s="300"/>
      <c r="D58" s="51"/>
      <c r="F58" s="382"/>
      <c r="G58" s="358"/>
      <c r="H58" s="358"/>
      <c r="I58" s="383"/>
    </row>
    <row r="59" spans="1:10" x14ac:dyDescent="0.25">
      <c r="A59" s="195" t="s">
        <v>38</v>
      </c>
      <c r="B59" s="300"/>
      <c r="C59" s="300"/>
      <c r="D59" s="51"/>
      <c r="F59" s="373">
        <f>C76</f>
        <v>0</v>
      </c>
      <c r="G59" s="374" t="str">
        <f>CONCATENATE("",D1-1," Ending Cash Balance (est.)")</f>
        <v>2024 Ending Cash Balance (est.)</v>
      </c>
      <c r="H59" s="375"/>
      <c r="I59" s="383"/>
    </row>
    <row r="60" spans="1:10" x14ac:dyDescent="0.25">
      <c r="A60" s="196" t="s">
        <v>218</v>
      </c>
      <c r="B60" s="300"/>
      <c r="C60" s="300"/>
      <c r="D60" s="164">
        <f>'NR Rebate'!E18*-1</f>
        <v>0</v>
      </c>
      <c r="F60" s="373">
        <f>D63</f>
        <v>0</v>
      </c>
      <c r="G60" s="359" t="str">
        <f>CONCATENATE("",D1," Non-AV Receipts (est.)")</f>
        <v>2025 Non-AV Receipts (est.)</v>
      </c>
      <c r="H60" s="375"/>
      <c r="I60" s="383"/>
    </row>
    <row r="61" spans="1:10" x14ac:dyDescent="0.25">
      <c r="A61" s="196" t="s">
        <v>219</v>
      </c>
      <c r="B61" s="300"/>
      <c r="C61" s="300"/>
      <c r="D61" s="51"/>
      <c r="F61" s="376">
        <f>IF(D81&gt;0,D80,D82)</f>
        <v>0</v>
      </c>
      <c r="G61" s="359" t="str">
        <f>CONCATENATE("",D1," Ad Valorem Tax (est.)")</f>
        <v>2025 Ad Valorem Tax (est.)</v>
      </c>
      <c r="H61" s="375"/>
      <c r="I61" s="383"/>
      <c r="J61" s="394" t="str">
        <f>IF(F61=D82,"","Note: Does not include Delinquent Taxes")</f>
        <v/>
      </c>
    </row>
    <row r="62" spans="1:10" x14ac:dyDescent="0.25">
      <c r="A62" s="196" t="s">
        <v>221</v>
      </c>
      <c r="B62" s="281" t="str">
        <f>IF(B63*0.1&lt;B61,"Exceed 10% Rule","")</f>
        <v/>
      </c>
      <c r="C62" s="281" t="str">
        <f>IF(C63*0.1&lt;C61,"Exceed 10% Rule","")</f>
        <v/>
      </c>
      <c r="D62" s="217" t="str">
        <f>IF(D63*0.1+D82&lt;D61,"Exceed 10% Rule","")</f>
        <v/>
      </c>
      <c r="F62" s="384">
        <f>SUM(F59:F61)</f>
        <v>0</v>
      </c>
      <c r="G62" s="359" t="str">
        <f>CONCATENATE("Total ",D1," Resources Available")</f>
        <v>Total 2025 Resources Available</v>
      </c>
      <c r="H62" s="385"/>
      <c r="I62" s="383"/>
    </row>
    <row r="63" spans="1:10" x14ac:dyDescent="0.25">
      <c r="A63" s="198" t="s">
        <v>39</v>
      </c>
      <c r="B63" s="229">
        <f>SUM(B49:B61)</f>
        <v>0</v>
      </c>
      <c r="C63" s="229">
        <f>SUM(C49:C61)</f>
        <v>0</v>
      </c>
      <c r="D63" s="229">
        <f>SUM(D49:D61)</f>
        <v>0</v>
      </c>
      <c r="F63" s="386"/>
      <c r="G63" s="387"/>
      <c r="H63" s="358"/>
      <c r="I63" s="383"/>
    </row>
    <row r="64" spans="1:10" x14ac:dyDescent="0.25">
      <c r="A64" s="198" t="s">
        <v>40</v>
      </c>
      <c r="B64" s="229">
        <f>B47+B63</f>
        <v>0</v>
      </c>
      <c r="C64" s="229">
        <f>C47+C63</f>
        <v>0</v>
      </c>
      <c r="D64" s="229">
        <f>D47+D63</f>
        <v>0</v>
      </c>
      <c r="F64" s="388">
        <f>ROUND(B75*0.05+B75,0)</f>
        <v>0</v>
      </c>
      <c r="G64" s="359" t="str">
        <f>CONCATENATE("Less ",D1-2," Expenditures + 5%")</f>
        <v>Less 2023 Expenditures + 5%</v>
      </c>
      <c r="H64" s="385"/>
      <c r="I64" s="383"/>
    </row>
    <row r="65" spans="1:9" x14ac:dyDescent="0.25">
      <c r="A65" s="98" t="s">
        <v>43</v>
      </c>
      <c r="B65" s="196"/>
      <c r="C65" s="196"/>
      <c r="D65" s="108"/>
      <c r="F65" s="389">
        <f>F62-F64</f>
        <v>0</v>
      </c>
      <c r="G65" s="379" t="str">
        <f>CONCATENATE("Projected ",D1+1," carryover (est.)")</f>
        <v>Projected 2026 carryover (est.)</v>
      </c>
      <c r="H65" s="390"/>
      <c r="I65" s="391"/>
    </row>
    <row r="66" spans="1:9" x14ac:dyDescent="0.25">
      <c r="A66" s="205"/>
      <c r="B66" s="300"/>
      <c r="C66" s="300"/>
      <c r="D66" s="51"/>
      <c r="F66" s="371"/>
      <c r="G66" s="371"/>
      <c r="H66" s="371"/>
      <c r="I66" s="371"/>
    </row>
    <row r="67" spans="1:9" x14ac:dyDescent="0.2">
      <c r="A67" s="205"/>
      <c r="B67" s="300"/>
      <c r="C67" s="300"/>
      <c r="D67" s="51"/>
      <c r="F67" s="658" t="s">
        <v>569</v>
      </c>
      <c r="G67" s="659"/>
      <c r="H67" s="659"/>
      <c r="I67" s="660"/>
    </row>
    <row r="68" spans="1:9" x14ac:dyDescent="0.2">
      <c r="A68" s="205"/>
      <c r="B68" s="300"/>
      <c r="C68" s="300"/>
      <c r="D68" s="51"/>
      <c r="F68" s="661"/>
      <c r="G68" s="662"/>
      <c r="H68" s="662"/>
      <c r="I68" s="663"/>
    </row>
    <row r="69" spans="1:9" x14ac:dyDescent="0.2">
      <c r="A69" s="205"/>
      <c r="B69" s="300"/>
      <c r="C69" s="300"/>
      <c r="D69" s="51"/>
      <c r="F69" s="534" t="str">
        <f>'Budget Hearing Notice'!H28</f>
        <v xml:space="preserve">  </v>
      </c>
      <c r="G69" s="374" t="str">
        <f>CONCATENATE("",D1," Estimated Fund Mill Rate")</f>
        <v>2025 Estimated Fund Mill Rate</v>
      </c>
      <c r="H69" s="535"/>
      <c r="I69" s="536"/>
    </row>
    <row r="70" spans="1:9" x14ac:dyDescent="0.2">
      <c r="A70" s="205"/>
      <c r="B70" s="300"/>
      <c r="C70" s="300"/>
      <c r="D70" s="51"/>
      <c r="F70" s="537" t="str">
        <f>'Budget Hearing Notice'!E28</f>
        <v xml:space="preserve">  </v>
      </c>
      <c r="G70" s="374" t="str">
        <f>CONCATENATE("",D1-1," Fund Mill Rate")</f>
        <v>2024 Fund Mill Rate</v>
      </c>
      <c r="H70" s="535"/>
      <c r="I70" s="536"/>
    </row>
    <row r="71" spans="1:9" x14ac:dyDescent="0.2">
      <c r="A71" s="205"/>
      <c r="B71" s="300"/>
      <c r="C71" s="300"/>
      <c r="D71" s="51"/>
      <c r="F71" s="538">
        <f>'Budget Hearing Notice'!H53</f>
        <v>0</v>
      </c>
      <c r="G71" s="539" t="s">
        <v>570</v>
      </c>
      <c r="H71" s="535"/>
      <c r="I71" s="536"/>
    </row>
    <row r="72" spans="1:9" x14ac:dyDescent="0.2">
      <c r="A72" s="196" t="str">
        <f>CONCATENATE("Cash Reserve (",D1," column)")</f>
        <v>Cash Reserve (2025 column)</v>
      </c>
      <c r="B72" s="300"/>
      <c r="C72" s="300"/>
      <c r="D72" s="51"/>
      <c r="F72" s="534">
        <f>'Budget Hearing Notice'!H52</f>
        <v>0</v>
      </c>
      <c r="G72" s="374" t="str">
        <f>CONCATENATE(D1," Estimated Total Mill Rate")</f>
        <v>2025 Estimated Total Mill Rate</v>
      </c>
      <c r="H72" s="535"/>
      <c r="I72" s="536"/>
    </row>
    <row r="73" spans="1:9" x14ac:dyDescent="0.2">
      <c r="A73" s="196" t="s">
        <v>219</v>
      </c>
      <c r="B73" s="300"/>
      <c r="C73" s="300"/>
      <c r="D73" s="51"/>
      <c r="F73" s="540">
        <f>'Budget Hearing Notice'!E52</f>
        <v>0</v>
      </c>
      <c r="G73" s="374" t="str">
        <f>CONCATENATE(D1-1," Total Mill Rate")</f>
        <v>2024 Total Mill Rate</v>
      </c>
      <c r="H73" s="535"/>
      <c r="I73" s="536"/>
    </row>
    <row r="74" spans="1:9" x14ac:dyDescent="0.2">
      <c r="A74" s="196" t="s">
        <v>220</v>
      </c>
      <c r="B74" s="281" t="str">
        <f>IF(B75*0.1&lt;B73,"Exceed 10% Rule","")</f>
        <v/>
      </c>
      <c r="C74" s="281" t="str">
        <f>IF(C75*0.1&lt;C73,"Exceed 10% Rule","")</f>
        <v/>
      </c>
      <c r="D74" s="217" t="str">
        <f>IF(D75*0.1&lt;D73,"Exceed 10% Rule","")</f>
        <v/>
      </c>
      <c r="F74" s="382"/>
      <c r="G74" s="358"/>
      <c r="H74" s="358"/>
      <c r="I74" s="385"/>
    </row>
    <row r="75" spans="1:9" x14ac:dyDescent="0.2">
      <c r="A75" s="198" t="s">
        <v>44</v>
      </c>
      <c r="B75" s="229">
        <f>SUM(B66:B73)</f>
        <v>0</v>
      </c>
      <c r="C75" s="229">
        <f>SUM(C66:C73)</f>
        <v>0</v>
      </c>
      <c r="D75" s="229">
        <f>SUM(D66:D73)</f>
        <v>0</v>
      </c>
      <c r="F75" s="664" t="s">
        <v>571</v>
      </c>
      <c r="G75" s="665"/>
      <c r="H75" s="665"/>
      <c r="I75" s="668" t="str">
        <f>IF(F72&gt;F71, "Yes", "No")</f>
        <v>No</v>
      </c>
    </row>
    <row r="76" spans="1:9" x14ac:dyDescent="0.2">
      <c r="A76" s="98" t="s">
        <v>149</v>
      </c>
      <c r="B76" s="164">
        <f>B64-B75</f>
        <v>0</v>
      </c>
      <c r="C76" s="164">
        <f>C64-C75</f>
        <v>0</v>
      </c>
      <c r="D76" s="212" t="s">
        <v>16</v>
      </c>
      <c r="F76" s="666"/>
      <c r="G76" s="667"/>
      <c r="H76" s="667"/>
      <c r="I76" s="669"/>
    </row>
    <row r="77" spans="1:9" x14ac:dyDescent="0.2">
      <c r="A77" s="120" t="str">
        <f>CONCATENATE("",D1-2,"/",D1-1,"/",D1," Budget Authority Amount:")</f>
        <v>2023/2024/2025 Budget Authority Amount:</v>
      </c>
      <c r="B77" s="214">
        <f>inputOth!B44</f>
        <v>0</v>
      </c>
      <c r="C77" s="214">
        <f>inputPrYr!D29</f>
        <v>0</v>
      </c>
      <c r="D77" s="164">
        <f>D75</f>
        <v>0</v>
      </c>
      <c r="E77" s="206"/>
      <c r="F77" s="670" t="str">
        <f>IF(I75="Yes", "Follow procedure prescribed by KSA 79-2988 to exceed the Revenue Neutral Rate.", " ")</f>
        <v xml:space="preserve"> </v>
      </c>
      <c r="G77" s="670"/>
      <c r="H77" s="670"/>
      <c r="I77" s="670"/>
    </row>
    <row r="78" spans="1:9" x14ac:dyDescent="0.2">
      <c r="A78" s="182"/>
      <c r="B78" s="651" t="s">
        <v>319</v>
      </c>
      <c r="C78" s="652"/>
      <c r="D78" s="51"/>
      <c r="E78" s="303" t="str">
        <f>IF(D75/0.95-D75&lt;D78,"Exceeds 5%","")</f>
        <v/>
      </c>
      <c r="F78" s="671"/>
      <c r="G78" s="671"/>
      <c r="H78" s="671"/>
      <c r="I78" s="671"/>
    </row>
    <row r="79" spans="1:9" x14ac:dyDescent="0.2">
      <c r="A79" s="304" t="str">
        <f>CONCATENATE(B97,"      ",C97)</f>
        <v xml:space="preserve">      </v>
      </c>
      <c r="B79" s="653" t="s">
        <v>320</v>
      </c>
      <c r="C79" s="654"/>
      <c r="D79" s="164">
        <f>D75+D78</f>
        <v>0</v>
      </c>
      <c r="F79" s="671"/>
      <c r="G79" s="671"/>
      <c r="H79" s="671"/>
      <c r="I79" s="671"/>
    </row>
    <row r="80" spans="1:9" x14ac:dyDescent="0.2">
      <c r="A80" s="304" t="str">
        <f>CONCATENATE(B98,"      ",C98)</f>
        <v xml:space="preserve">      </v>
      </c>
      <c r="B80" s="207"/>
      <c r="C80" s="63" t="s">
        <v>45</v>
      </c>
      <c r="D80" s="164">
        <f>IF(D79-D64&gt;0,D79-D64,0)</f>
        <v>0</v>
      </c>
    </row>
    <row r="81" spans="1:4" x14ac:dyDescent="0.2">
      <c r="A81" s="63"/>
      <c r="B81" s="293" t="s">
        <v>321</v>
      </c>
      <c r="C81" s="396">
        <f>inputOth!$E$25</f>
        <v>0</v>
      </c>
      <c r="D81" s="164">
        <f>ROUND(IF(C81&gt;0,(D80*C81),0),0)</f>
        <v>0</v>
      </c>
    </row>
    <row r="82" spans="1:4" x14ac:dyDescent="0.2">
      <c r="A82" s="32"/>
      <c r="B82" s="649" t="str">
        <f>CONCATENATE("Amount of  ",$D$1-1," Ad Valorem Tax")</f>
        <v>Amount of  2024 Ad Valorem Tax</v>
      </c>
      <c r="C82" s="650"/>
      <c r="D82" s="164">
        <f>D80+D81</f>
        <v>0</v>
      </c>
    </row>
    <row r="83" spans="1:4" x14ac:dyDescent="0.2">
      <c r="A83" s="32"/>
      <c r="B83" s="182"/>
      <c r="C83" s="182"/>
      <c r="D83" s="182"/>
    </row>
    <row r="84" spans="1:4" x14ac:dyDescent="0.2">
      <c r="A84" s="446" t="s">
        <v>380</v>
      </c>
      <c r="B84" s="456"/>
      <c r="C84" s="456"/>
      <c r="D84" s="457"/>
    </row>
    <row r="85" spans="1:4" x14ac:dyDescent="0.2">
      <c r="A85" s="183"/>
      <c r="B85" s="182"/>
      <c r="C85" s="182"/>
      <c r="D85" s="458"/>
    </row>
    <row r="86" spans="1:4" x14ac:dyDescent="0.2">
      <c r="A86" s="447"/>
      <c r="B86" s="461"/>
      <c r="C86" s="461"/>
      <c r="D86" s="462"/>
    </row>
    <row r="87" spans="1:4" x14ac:dyDescent="0.2">
      <c r="A87" s="32"/>
      <c r="B87" s="182"/>
      <c r="C87" s="182"/>
      <c r="D87" s="182"/>
    </row>
    <row r="88" spans="1:4" x14ac:dyDescent="0.2">
      <c r="A88" s="182" t="s">
        <v>96</v>
      </c>
      <c r="B88" s="428"/>
      <c r="C88" s="32"/>
      <c r="D88" s="32"/>
    </row>
    <row r="90" spans="1:4" hidden="1" x14ac:dyDescent="0.2"/>
    <row r="91" spans="1:4" hidden="1" x14ac:dyDescent="0.2"/>
    <row r="92" spans="1:4" hidden="1" x14ac:dyDescent="0.2"/>
    <row r="93" spans="1:4" hidden="1" x14ac:dyDescent="0.2"/>
    <row r="95" spans="1:4" x14ac:dyDescent="0.2">
      <c r="B95" s="27" t="str">
        <f>IF(B34&gt;B36,"See Tab A","")</f>
        <v/>
      </c>
      <c r="C95" s="27" t="str">
        <f>IF(C34&gt;C36,"See Tab C","")</f>
        <v/>
      </c>
    </row>
    <row r="96" spans="1:4" x14ac:dyDescent="0.2">
      <c r="B96" s="27" t="str">
        <f>IF(B35&lt;0,"See Tab B","")</f>
        <v/>
      </c>
      <c r="C96" s="27" t="str">
        <f>IF(C35&lt;0,"See Tab D","")</f>
        <v/>
      </c>
    </row>
    <row r="97" spans="2:3" x14ac:dyDescent="0.2">
      <c r="B97" s="27" t="str">
        <f>IF(B75&gt;B77,"See Tab A","")</f>
        <v/>
      </c>
      <c r="C97" s="27" t="str">
        <f>IF(C75&gt;C77,"See Tab C","")</f>
        <v/>
      </c>
    </row>
    <row r="98" spans="2:3" x14ac:dyDescent="0.2">
      <c r="B98" s="27" t="str">
        <f>IF(B76&lt;0,"See Tab B","")</f>
        <v/>
      </c>
      <c r="C98" s="27" t="str">
        <f>IF(C76&lt;0,"See Tab D","")</f>
        <v/>
      </c>
    </row>
  </sheetData>
  <sheetProtection sheet="1"/>
  <mergeCells count="18">
    <mergeCell ref="B82:C82"/>
    <mergeCell ref="B41:C41"/>
    <mergeCell ref="F26:I27"/>
    <mergeCell ref="F34:H35"/>
    <mergeCell ref="I34:I35"/>
    <mergeCell ref="F36:I38"/>
    <mergeCell ref="F67:I68"/>
    <mergeCell ref="F75:H76"/>
    <mergeCell ref="I75:I76"/>
    <mergeCell ref="F77:I79"/>
    <mergeCell ref="B37:C37"/>
    <mergeCell ref="B38:C38"/>
    <mergeCell ref="B78:C78"/>
    <mergeCell ref="B79:C79"/>
    <mergeCell ref="F9:I9"/>
    <mergeCell ref="F16:I16"/>
    <mergeCell ref="F50:I50"/>
    <mergeCell ref="F57:I57"/>
  </mergeCells>
  <phoneticPr fontId="0" type="noConversion"/>
  <conditionalFormatting sqref="B20">
    <cfRule type="cellIs" dxfId="218" priority="16" stopIfTrue="1" operator="greaterThan">
      <formula>$B$22*0.1</formula>
    </cfRule>
  </conditionalFormatting>
  <conditionalFormatting sqref="B32">
    <cfRule type="cellIs" dxfId="217" priority="25" stopIfTrue="1" operator="greaterThan">
      <formula>$B$34*0.1</formula>
    </cfRule>
  </conditionalFormatting>
  <conditionalFormatting sqref="B34">
    <cfRule type="cellIs" dxfId="216" priority="8" stopIfTrue="1" operator="greaterThan">
      <formula>$B$36</formula>
    </cfRule>
  </conditionalFormatting>
  <conditionalFormatting sqref="B61">
    <cfRule type="cellIs" dxfId="215" priority="24" stopIfTrue="1" operator="greaterThan">
      <formula>$B$63*0.1</formula>
    </cfRule>
  </conditionalFormatting>
  <conditionalFormatting sqref="B73">
    <cfRule type="cellIs" dxfId="214" priority="21" stopIfTrue="1" operator="greaterThan">
      <formula>$B$75*0.1</formula>
    </cfRule>
  </conditionalFormatting>
  <conditionalFormatting sqref="B75">
    <cfRule type="cellIs" dxfId="213" priority="4" stopIfTrue="1" operator="greaterThan">
      <formula>$B$77</formula>
    </cfRule>
  </conditionalFormatting>
  <conditionalFormatting sqref="B35:C35">
    <cfRule type="cellIs" dxfId="212" priority="5" stopIfTrue="1" operator="lessThan">
      <formula>0</formula>
    </cfRule>
  </conditionalFormatting>
  <conditionalFormatting sqref="B76:C76">
    <cfRule type="cellIs" dxfId="211" priority="1" stopIfTrue="1" operator="lessThan">
      <formula>0</formula>
    </cfRule>
  </conditionalFormatting>
  <conditionalFormatting sqref="C20">
    <cfRule type="cellIs" dxfId="210" priority="17" stopIfTrue="1" operator="greaterThan">
      <formula>$C$22*0.1</formula>
    </cfRule>
  </conditionalFormatting>
  <conditionalFormatting sqref="C32">
    <cfRule type="cellIs" dxfId="209" priority="26" stopIfTrue="1" operator="greaterThan">
      <formula>$C$34*0.1</formula>
    </cfRule>
  </conditionalFormatting>
  <conditionalFormatting sqref="C34">
    <cfRule type="cellIs" dxfId="208" priority="7" stopIfTrue="1" operator="greaterThan">
      <formula>$C$36</formula>
    </cfRule>
  </conditionalFormatting>
  <conditionalFormatting sqref="C61">
    <cfRule type="cellIs" dxfId="207" priority="23" stopIfTrue="1" operator="greaterThan">
      <formula>$C$63*0.1</formula>
    </cfRule>
  </conditionalFormatting>
  <conditionalFormatting sqref="C73">
    <cfRule type="cellIs" dxfId="206" priority="22" stopIfTrue="1" operator="greaterThan">
      <formula>$C$75*0.1</formula>
    </cfRule>
  </conditionalFormatting>
  <conditionalFormatting sqref="C75">
    <cfRule type="cellIs" dxfId="205" priority="3" stopIfTrue="1" operator="greaterThan">
      <formula>$C$77</formula>
    </cfRule>
  </conditionalFormatting>
  <conditionalFormatting sqref="D20">
    <cfRule type="cellIs" dxfId="204" priority="19" stopIfTrue="1" operator="greaterThan">
      <formula>$D$22*0.1+D41</formula>
    </cfRule>
  </conditionalFormatting>
  <conditionalFormatting sqref="D32">
    <cfRule type="cellIs" dxfId="203" priority="18" stopIfTrue="1" operator="greaterThan">
      <formula>$D$34*0.1</formula>
    </cfRule>
  </conditionalFormatting>
  <conditionalFormatting sqref="D37">
    <cfRule type="cellIs" dxfId="202" priority="13" stopIfTrue="1" operator="greaterThan">
      <formula>$D$34/0.95-$D$34</formula>
    </cfRule>
  </conditionalFormatting>
  <conditionalFormatting sqref="D61">
    <cfRule type="cellIs" dxfId="201" priority="20" stopIfTrue="1" operator="greaterThan">
      <formula>$D$63*0.1+D82</formula>
    </cfRule>
  </conditionalFormatting>
  <conditionalFormatting sqref="D73">
    <cfRule type="cellIs" dxfId="200" priority="15" stopIfTrue="1" operator="greaterThan">
      <formula>$D$75*0.1</formula>
    </cfRule>
  </conditionalFormatting>
  <conditionalFormatting sqref="D78">
    <cfRule type="cellIs" dxfId="199" priority="14" stopIfTrue="1" operator="greaterThan">
      <formula>$D$75/0.95-$D$75</formula>
    </cfRule>
  </conditionalFormatting>
  <conditionalFormatting sqref="I34">
    <cfRule type="containsText" dxfId="198" priority="10" operator="containsText" text="Yes">
      <formula>NOT(ISERROR(SEARCH("Yes",I34)))</formula>
    </cfRule>
  </conditionalFormatting>
  <conditionalFormatting sqref="I75">
    <cfRule type="containsText" dxfId="197" priority="9" operator="containsText" text="Yes">
      <formula>NOT(ISERROR(SEARCH("Yes",I75)))</formula>
    </cfRule>
  </conditionalFormatting>
  <pageMargins left="1.1200000000000001" right="0.5" top="0.74" bottom="0.34" header="0.5" footer="0"/>
  <pageSetup scale="57" orientation="portrait" blackAndWhite="1" horizontalDpi="120" verticalDpi="144" r:id="rId1"/>
  <headerFooter alignWithMargins="0">
    <oddHeader xml:space="preserve">&amp;RState of Kansas
County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rgb="FF00B0F0"/>
    <pageSetUpPr fitToPage="1"/>
  </sheetPr>
  <dimension ref="A1:J98"/>
  <sheetViews>
    <sheetView zoomScaleNormal="100" workbookViewId="0">
      <selection activeCell="B32" sqref="B32:D32"/>
    </sheetView>
  </sheetViews>
  <sheetFormatPr defaultRowHeight="15.75" x14ac:dyDescent="0.2"/>
  <cols>
    <col min="1" max="1" width="31.109375" style="27" customWidth="1"/>
    <col min="2" max="3" width="15.77734375" style="27" customWidth="1"/>
    <col min="4" max="4" width="16.21875" style="27" customWidth="1"/>
    <col min="5" max="5" width="8.88671875" style="27"/>
    <col min="6" max="6" width="10.21875" style="27" customWidth="1"/>
    <col min="7" max="7" width="8.88671875" style="27"/>
    <col min="8" max="8" width="5.77734375" style="27" customWidth="1"/>
    <col min="9" max="9" width="10" style="27" customWidth="1"/>
    <col min="10" max="16384" width="8.88671875" style="27"/>
  </cols>
  <sheetData>
    <row r="1" spans="1:9" x14ac:dyDescent="0.2">
      <c r="A1" s="73">
        <f>(inputPrYr!C3)</f>
        <v>0</v>
      </c>
      <c r="B1" s="32"/>
      <c r="C1" s="32"/>
      <c r="D1" s="182">
        <f>inputPrYr!C5</f>
        <v>2025</v>
      </c>
    </row>
    <row r="2" spans="1:9" x14ac:dyDescent="0.2">
      <c r="A2" s="133"/>
      <c r="B2" s="208"/>
      <c r="C2" s="208"/>
      <c r="D2" s="209"/>
    </row>
    <row r="3" spans="1:9" x14ac:dyDescent="0.2">
      <c r="A3" s="302" t="s">
        <v>138</v>
      </c>
      <c r="B3" s="91"/>
      <c r="C3" s="91"/>
      <c r="D3" s="91"/>
    </row>
    <row r="4" spans="1:9" x14ac:dyDescent="0.2">
      <c r="A4" s="31" t="s">
        <v>30</v>
      </c>
      <c r="B4" s="353" t="s">
        <v>346</v>
      </c>
      <c r="C4" s="354" t="s">
        <v>347</v>
      </c>
      <c r="D4" s="95" t="s">
        <v>348</v>
      </c>
    </row>
    <row r="5" spans="1:9" x14ac:dyDescent="0.2">
      <c r="A5" s="296">
        <f>inputPrYr!$B$30</f>
        <v>0</v>
      </c>
      <c r="B5" s="283" t="str">
        <f>CONCATENATE("Actual for ",D1-2,"")</f>
        <v>Actual for 2023</v>
      </c>
      <c r="C5" s="283" t="str">
        <f>CONCATENATE("Estimate for ",D1-1,"")</f>
        <v>Estimate for 2024</v>
      </c>
      <c r="D5" s="190" t="str">
        <f>CONCATENATE("Year for ",D1,"")</f>
        <v>Year for 2025</v>
      </c>
    </row>
    <row r="6" spans="1:9" x14ac:dyDescent="0.2">
      <c r="A6" s="98" t="s">
        <v>148</v>
      </c>
      <c r="B6" s="300"/>
      <c r="C6" s="282">
        <f>B35</f>
        <v>0</v>
      </c>
      <c r="D6" s="164">
        <f>C35</f>
        <v>0</v>
      </c>
    </row>
    <row r="7" spans="1:9" x14ac:dyDescent="0.2">
      <c r="A7" s="184" t="s">
        <v>150</v>
      </c>
      <c r="B7" s="111"/>
      <c r="C7" s="111"/>
      <c r="D7" s="64"/>
    </row>
    <row r="8" spans="1:9" x14ac:dyDescent="0.2">
      <c r="A8" s="98" t="s">
        <v>31</v>
      </c>
      <c r="B8" s="300"/>
      <c r="C8" s="282">
        <f>IF(inputPrYr!H29&gt;0,inputPrYr!H29,inputPrYr!E30)</f>
        <v>0</v>
      </c>
      <c r="D8" s="212" t="s">
        <v>16</v>
      </c>
    </row>
    <row r="9" spans="1:9" x14ac:dyDescent="0.2">
      <c r="A9" s="98" t="s">
        <v>32</v>
      </c>
      <c r="B9" s="300"/>
      <c r="C9" s="300"/>
      <c r="D9" s="51"/>
    </row>
    <row r="10" spans="1:9" x14ac:dyDescent="0.2">
      <c r="A10" s="98" t="s">
        <v>33</v>
      </c>
      <c r="B10" s="300"/>
      <c r="C10" s="300"/>
      <c r="D10" s="164" t="str">
        <f>Mvalloc!D21</f>
        <v xml:space="preserve">  </v>
      </c>
    </row>
    <row r="11" spans="1:9" x14ac:dyDescent="0.2">
      <c r="A11" s="98" t="s">
        <v>34</v>
      </c>
      <c r="B11" s="300"/>
      <c r="C11" s="300"/>
      <c r="D11" s="164" t="str">
        <f>Mvalloc!E21</f>
        <v xml:space="preserve">  </v>
      </c>
      <c r="F11" s="655" t="str">
        <f>CONCATENATE("Desired Carryover Into ",D1+1,"")</f>
        <v>Desired Carryover Into 2026</v>
      </c>
      <c r="G11" s="656"/>
      <c r="H11" s="656"/>
      <c r="I11" s="657"/>
    </row>
    <row r="12" spans="1:9" x14ac:dyDescent="0.2">
      <c r="A12" s="111" t="s">
        <v>131</v>
      </c>
      <c r="B12" s="300"/>
      <c r="C12" s="300"/>
      <c r="D12" s="164" t="str">
        <f>Mvalloc!F21</f>
        <v xml:space="preserve">  </v>
      </c>
      <c r="F12" s="357"/>
      <c r="G12" s="358"/>
      <c r="H12" s="359"/>
      <c r="I12" s="360"/>
    </row>
    <row r="13" spans="1:9" x14ac:dyDescent="0.2">
      <c r="A13" s="191" t="s">
        <v>374</v>
      </c>
      <c r="B13" s="300"/>
      <c r="C13" s="300"/>
      <c r="D13" s="164" t="str">
        <f>Mvalloc!G21</f>
        <v xml:space="preserve"> </v>
      </c>
      <c r="F13" s="361" t="s">
        <v>327</v>
      </c>
      <c r="G13" s="359"/>
      <c r="H13" s="359"/>
      <c r="I13" s="362">
        <v>0</v>
      </c>
    </row>
    <row r="14" spans="1:9" x14ac:dyDescent="0.2">
      <c r="A14" s="191" t="s">
        <v>375</v>
      </c>
      <c r="B14" s="300"/>
      <c r="C14" s="300"/>
      <c r="D14" s="164" t="str">
        <f>Mvalloc!H21</f>
        <v xml:space="preserve"> </v>
      </c>
      <c r="F14" s="357" t="s">
        <v>328</v>
      </c>
      <c r="G14" s="358"/>
      <c r="H14" s="358"/>
      <c r="I14" s="363" t="str">
        <f>IF(I13=0,"",ROUND((I13+D41-F26)/inputOth!E5*1000,3)-F31)</f>
        <v/>
      </c>
    </row>
    <row r="15" spans="1:9" x14ac:dyDescent="0.2">
      <c r="A15" s="205"/>
      <c r="B15" s="300"/>
      <c r="C15" s="300"/>
      <c r="D15" s="51"/>
      <c r="F15" s="364" t="str">
        <f>CONCATENATE("",D1," Tot Exp/Non-Appr Must Be:")</f>
        <v>2025 Tot Exp/Non-Appr Must Be:</v>
      </c>
      <c r="G15" s="365"/>
      <c r="H15" s="366"/>
      <c r="I15" s="367">
        <f>IF(I13&gt;0,IF(D38&lt;D23,IF(I13=F26,D38,((I13-F26)*(1-C40))+D23),D38+(I13-F26)),0)</f>
        <v>0</v>
      </c>
    </row>
    <row r="16" spans="1:9" x14ac:dyDescent="0.2">
      <c r="A16" s="205"/>
      <c r="B16" s="300"/>
      <c r="C16" s="300"/>
      <c r="D16" s="51"/>
      <c r="F16" s="368" t="s">
        <v>349</v>
      </c>
      <c r="G16" s="369"/>
      <c r="H16" s="369"/>
      <c r="I16" s="370">
        <f>IF(I13&gt;0,I15-D38,0)</f>
        <v>0</v>
      </c>
    </row>
    <row r="17" spans="1:10" x14ac:dyDescent="0.25">
      <c r="A17" s="205"/>
      <c r="B17" s="300"/>
      <c r="C17" s="300"/>
      <c r="D17" s="51"/>
      <c r="F17" s="371"/>
      <c r="G17" s="371"/>
      <c r="H17" s="371"/>
      <c r="I17" s="371"/>
    </row>
    <row r="18" spans="1:10" x14ac:dyDescent="0.2">
      <c r="A18" s="195" t="s">
        <v>38</v>
      </c>
      <c r="B18" s="300"/>
      <c r="C18" s="300"/>
      <c r="D18" s="51"/>
      <c r="F18" s="655" t="str">
        <f>CONCATENATE("Projected Carryover Into ",D1+1,"")</f>
        <v>Projected Carryover Into 2026</v>
      </c>
      <c r="G18" s="674"/>
      <c r="H18" s="674"/>
      <c r="I18" s="675"/>
    </row>
    <row r="19" spans="1:10" x14ac:dyDescent="0.2">
      <c r="A19" s="196" t="s">
        <v>218</v>
      </c>
      <c r="B19" s="300"/>
      <c r="C19" s="300"/>
      <c r="D19" s="164">
        <f>'NR Rebate'!E19*-1</f>
        <v>0</v>
      </c>
      <c r="F19" s="357"/>
      <c r="G19" s="359"/>
      <c r="H19" s="359"/>
      <c r="I19" s="372"/>
    </row>
    <row r="20" spans="1:10" x14ac:dyDescent="0.2">
      <c r="A20" s="196" t="s">
        <v>219</v>
      </c>
      <c r="B20" s="300"/>
      <c r="C20" s="300"/>
      <c r="D20" s="51"/>
      <c r="F20" s="373">
        <f>C35</f>
        <v>0</v>
      </c>
      <c r="G20" s="374" t="str">
        <f>CONCATENATE("",D1-1," Ending Cash Balance (est.)")</f>
        <v>2024 Ending Cash Balance (est.)</v>
      </c>
      <c r="H20" s="375"/>
      <c r="I20" s="372"/>
    </row>
    <row r="21" spans="1:10" x14ac:dyDescent="0.2">
      <c r="A21" s="196" t="s">
        <v>221</v>
      </c>
      <c r="B21" s="281" t="str">
        <f>IF(B22*0.1&lt;B20,"Exceed 10% Rule","")</f>
        <v/>
      </c>
      <c r="C21" s="281" t="str">
        <f>IF(C22*0.1&lt;C20,"Exceed 10% Rule","")</f>
        <v/>
      </c>
      <c r="D21" s="217" t="str">
        <f>IF(D22*0.1+D41&lt;D20,"Exceed 10% Rule","")</f>
        <v/>
      </c>
      <c r="F21" s="373">
        <f>D22</f>
        <v>0</v>
      </c>
      <c r="G21" s="359" t="str">
        <f>CONCATENATE("",D1," Non-AV Receipts (est.)")</f>
        <v>2025 Non-AV Receipts (est.)</v>
      </c>
      <c r="H21" s="375"/>
      <c r="I21" s="372"/>
    </row>
    <row r="22" spans="1:10" x14ac:dyDescent="0.2">
      <c r="A22" s="198" t="s">
        <v>39</v>
      </c>
      <c r="B22" s="229">
        <f>SUM(B8:B20)</f>
        <v>0</v>
      </c>
      <c r="C22" s="229">
        <f>SUM(C8:C20)</f>
        <v>0</v>
      </c>
      <c r="D22" s="229">
        <f>SUM(D8:D20)</f>
        <v>0</v>
      </c>
      <c r="F22" s="376">
        <f>IF(D40&gt;0,D39,D41)</f>
        <v>0</v>
      </c>
      <c r="G22" s="359" t="str">
        <f>CONCATENATE("",D1," Ad Valorem Tax (est.)")</f>
        <v>2025 Ad Valorem Tax (est.)</v>
      </c>
      <c r="H22" s="375"/>
      <c r="I22" s="372"/>
      <c r="J22" s="394" t="str">
        <f>IF(F22=D41,"","Note: Does not include Delinquent Taxes")</f>
        <v/>
      </c>
    </row>
    <row r="23" spans="1:10" x14ac:dyDescent="0.2">
      <c r="A23" s="198" t="s">
        <v>40</v>
      </c>
      <c r="B23" s="229">
        <f>B6+B22</f>
        <v>0</v>
      </c>
      <c r="C23" s="229">
        <f>C6+C22</f>
        <v>0</v>
      </c>
      <c r="D23" s="229">
        <f>D6+D22</f>
        <v>0</v>
      </c>
      <c r="F23" s="373">
        <f>SUM(F20:F22)</f>
        <v>0</v>
      </c>
      <c r="G23" s="359" t="str">
        <f>CONCATENATE("Total ",D1," Resources Available")</f>
        <v>Total 2025 Resources Available</v>
      </c>
      <c r="H23" s="375"/>
      <c r="I23" s="372"/>
    </row>
    <row r="24" spans="1:10" x14ac:dyDescent="0.2">
      <c r="A24" s="98" t="s">
        <v>43</v>
      </c>
      <c r="B24" s="196"/>
      <c r="C24" s="196"/>
      <c r="D24" s="108"/>
      <c r="F24" s="377"/>
      <c r="G24" s="359"/>
      <c r="H24" s="359"/>
      <c r="I24" s="372"/>
    </row>
    <row r="25" spans="1:10" x14ac:dyDescent="0.25">
      <c r="A25" s="205"/>
      <c r="B25" s="300"/>
      <c r="C25" s="300"/>
      <c r="D25" s="51"/>
      <c r="F25" s="376">
        <f>ROUND(B34*0.05+B34,0)</f>
        <v>0</v>
      </c>
      <c r="G25" s="359" t="str">
        <f>CONCATENATE("Less ",D1-2," Expenditures + 5%")</f>
        <v>Less 2023 Expenditures + 5%</v>
      </c>
      <c r="H25" s="375"/>
      <c r="I25" s="383"/>
    </row>
    <row r="26" spans="1:10" x14ac:dyDescent="0.2">
      <c r="A26" s="205"/>
      <c r="B26" s="300"/>
      <c r="C26" s="300"/>
      <c r="D26" s="51"/>
      <c r="F26" s="378">
        <f>F23-F25</f>
        <v>0</v>
      </c>
      <c r="G26" s="379" t="str">
        <f>CONCATENATE("Projected ",D1+1," carryover (est.)")</f>
        <v>Projected 2026 carryover (est.)</v>
      </c>
      <c r="H26" s="380"/>
      <c r="I26" s="381"/>
    </row>
    <row r="27" spans="1:10" x14ac:dyDescent="0.25">
      <c r="A27" s="205"/>
      <c r="B27" s="300"/>
      <c r="C27" s="300"/>
      <c r="D27" s="51"/>
      <c r="F27" s="371"/>
      <c r="G27" s="371"/>
      <c r="H27" s="371"/>
      <c r="I27" s="371"/>
    </row>
    <row r="28" spans="1:10" x14ac:dyDescent="0.2">
      <c r="A28" s="205"/>
      <c r="B28" s="300"/>
      <c r="C28" s="300"/>
      <c r="D28" s="51"/>
      <c r="F28" s="658" t="s">
        <v>569</v>
      </c>
      <c r="G28" s="659"/>
      <c r="H28" s="659"/>
      <c r="I28" s="660"/>
    </row>
    <row r="29" spans="1:10" x14ac:dyDescent="0.2">
      <c r="A29" s="205"/>
      <c r="B29" s="300"/>
      <c r="C29" s="300"/>
      <c r="D29" s="51"/>
      <c r="F29" s="661"/>
      <c r="G29" s="662"/>
      <c r="H29" s="662"/>
      <c r="I29" s="663"/>
    </row>
    <row r="30" spans="1:10" x14ac:dyDescent="0.2">
      <c r="A30" s="205"/>
      <c r="B30" s="300"/>
      <c r="C30" s="300"/>
      <c r="D30" s="51"/>
      <c r="F30" s="534" t="str">
        <f>'Budget Hearing Notice'!H29</f>
        <v xml:space="preserve">  </v>
      </c>
      <c r="G30" s="374" t="str">
        <f>CONCATENATE("",D1," Estimated Fund Mill Rate")</f>
        <v>2025 Estimated Fund Mill Rate</v>
      </c>
      <c r="H30" s="535"/>
      <c r="I30" s="536"/>
    </row>
    <row r="31" spans="1:10" x14ac:dyDescent="0.2">
      <c r="A31" s="196" t="str">
        <f>CONCATENATE("Cash Reserve (",D1," column)")</f>
        <v>Cash Reserve (2025 column)</v>
      </c>
      <c r="B31" s="300"/>
      <c r="C31" s="300"/>
      <c r="D31" s="51"/>
      <c r="F31" s="537" t="str">
        <f>'Budget Hearing Notice'!E29</f>
        <v xml:space="preserve">  </v>
      </c>
      <c r="G31" s="374" t="str">
        <f>CONCATENATE("",D1-1," Fund Mill Rate")</f>
        <v>2024 Fund Mill Rate</v>
      </c>
      <c r="H31" s="535"/>
      <c r="I31" s="536"/>
    </row>
    <row r="32" spans="1:10" x14ac:dyDescent="0.2">
      <c r="A32" s="196" t="s">
        <v>219</v>
      </c>
      <c r="B32" s="300"/>
      <c r="C32" s="300"/>
      <c r="D32" s="51"/>
      <c r="F32" s="538">
        <f>'Budget Hearing Notice'!H53</f>
        <v>0</v>
      </c>
      <c r="G32" s="539" t="s">
        <v>570</v>
      </c>
      <c r="H32" s="535"/>
      <c r="I32" s="536"/>
    </row>
    <row r="33" spans="1:9" x14ac:dyDescent="0.2">
      <c r="A33" s="196" t="s">
        <v>220</v>
      </c>
      <c r="B33" s="281" t="str">
        <f>IF(B34*0.1&lt;B32,"Exceed 10% Rule","")</f>
        <v/>
      </c>
      <c r="C33" s="281" t="str">
        <f>IF(C34*0.1&lt;C32,"Exceed 10% Rule","")</f>
        <v/>
      </c>
      <c r="D33" s="217" t="str">
        <f>IF(D34*0.1&lt;D32,"Exceed 10% Rule","")</f>
        <v/>
      </c>
      <c r="F33" s="534">
        <f>'Budget Hearing Notice'!H52</f>
        <v>0</v>
      </c>
      <c r="G33" s="374" t="str">
        <f>CONCATENATE(D1," Estimated Total Mill Rate")</f>
        <v>2025 Estimated Total Mill Rate</v>
      </c>
      <c r="H33" s="535"/>
      <c r="I33" s="536"/>
    </row>
    <row r="34" spans="1:9" x14ac:dyDescent="0.2">
      <c r="A34" s="198" t="s">
        <v>44</v>
      </c>
      <c r="B34" s="229">
        <f>SUM(B25:B32)</f>
        <v>0</v>
      </c>
      <c r="C34" s="229">
        <f>SUM(C25:C32)</f>
        <v>0</v>
      </c>
      <c r="D34" s="229">
        <f>SUM(D25:D32)</f>
        <v>0</v>
      </c>
      <c r="F34" s="540">
        <f>'Budget Hearing Notice'!E52</f>
        <v>0</v>
      </c>
      <c r="G34" s="374" t="str">
        <f>CONCATENATE(D1-1," Total Mill Rate")</f>
        <v>2024 Total Mill Rate</v>
      </c>
      <c r="H34" s="535"/>
      <c r="I34" s="536"/>
    </row>
    <row r="35" spans="1:9" x14ac:dyDescent="0.2">
      <c r="A35" s="98" t="s">
        <v>149</v>
      </c>
      <c r="B35" s="164">
        <f>B23-B34</f>
        <v>0</v>
      </c>
      <c r="C35" s="164">
        <f>C23-C34</f>
        <v>0</v>
      </c>
      <c r="D35" s="212" t="s">
        <v>16</v>
      </c>
      <c r="F35" s="382"/>
      <c r="G35" s="358"/>
      <c r="H35" s="358"/>
      <c r="I35" s="385"/>
    </row>
    <row r="36" spans="1:9" x14ac:dyDescent="0.2">
      <c r="A36" s="120" t="str">
        <f>CONCATENATE("",D1-2,"/",D1-1,"/",D1," Budget Authority Amount:")</f>
        <v>2023/2024/2025 Budget Authority Amount:</v>
      </c>
      <c r="B36" s="214">
        <f>inputOth!B45</f>
        <v>0</v>
      </c>
      <c r="C36" s="214">
        <f>inputPrYr!D30</f>
        <v>0</v>
      </c>
      <c r="D36" s="164">
        <f>D34</f>
        <v>0</v>
      </c>
      <c r="E36" s="206"/>
      <c r="F36" s="664" t="s">
        <v>571</v>
      </c>
      <c r="G36" s="665"/>
      <c r="H36" s="665"/>
      <c r="I36" s="668" t="str">
        <f>IF(F33&gt;F32, "Yes", "No")</f>
        <v>No</v>
      </c>
    </row>
    <row r="37" spans="1:9" x14ac:dyDescent="0.2">
      <c r="A37" s="182"/>
      <c r="B37" s="651" t="s">
        <v>319</v>
      </c>
      <c r="C37" s="652"/>
      <c r="D37" s="51"/>
      <c r="E37" s="303" t="str">
        <f>IF(D34/0.95-D34&lt;D37,"Exceeds 5%","")</f>
        <v/>
      </c>
      <c r="F37" s="666"/>
      <c r="G37" s="667"/>
      <c r="H37" s="667"/>
      <c r="I37" s="669"/>
    </row>
    <row r="38" spans="1:9" x14ac:dyDescent="0.2">
      <c r="A38" s="304" t="str">
        <f>CONCATENATE(B95,"     ",C95)</f>
        <v xml:space="preserve">     </v>
      </c>
      <c r="B38" s="653" t="s">
        <v>320</v>
      </c>
      <c r="C38" s="654"/>
      <c r="D38" s="164">
        <f>D34+D37</f>
        <v>0</v>
      </c>
      <c r="F38" s="670" t="str">
        <f>IF(I36="Yes", "Follow procedure prescribed by KSA 79-2988 to exceed the Revenue Neutral Rate.", " ")</f>
        <v xml:space="preserve"> </v>
      </c>
      <c r="G38" s="670"/>
      <c r="H38" s="670"/>
      <c r="I38" s="670"/>
    </row>
    <row r="39" spans="1:9" x14ac:dyDescent="0.2">
      <c r="A39" s="304" t="str">
        <f>CONCATENATE(B96,"      ",C96)</f>
        <v xml:space="preserve">      </v>
      </c>
      <c r="B39" s="207"/>
      <c r="C39" s="63" t="s">
        <v>45</v>
      </c>
      <c r="D39" s="164">
        <f>IF(D38-D23&gt;0,D38-D23,0)</f>
        <v>0</v>
      </c>
      <c r="F39" s="671"/>
      <c r="G39" s="671"/>
      <c r="H39" s="671"/>
      <c r="I39" s="671"/>
    </row>
    <row r="40" spans="1:9" x14ac:dyDescent="0.2">
      <c r="A40" s="63"/>
      <c r="B40" s="293" t="s">
        <v>321</v>
      </c>
      <c r="C40" s="396">
        <f>inputOth!$E$25</f>
        <v>0</v>
      </c>
      <c r="D40" s="164">
        <f>ROUND(IF(C40&gt;0,(D39*C40),0),0)</f>
        <v>0</v>
      </c>
      <c r="F40" s="671"/>
      <c r="G40" s="671"/>
      <c r="H40" s="671"/>
      <c r="I40" s="671"/>
    </row>
    <row r="41" spans="1:9" x14ac:dyDescent="0.25">
      <c r="A41" s="32"/>
      <c r="B41" s="649" t="str">
        <f>CONCATENATE("Amount of  ",$D$1-1," Ad Valorem Tax")</f>
        <v>Amount of  2024 Ad Valorem Tax</v>
      </c>
      <c r="C41" s="650"/>
      <c r="D41" s="164">
        <f>D39+D40</f>
        <v>0</v>
      </c>
      <c r="F41" s="371"/>
      <c r="G41" s="371"/>
      <c r="H41" s="371"/>
      <c r="I41" s="371"/>
    </row>
    <row r="42" spans="1:9" x14ac:dyDescent="0.25">
      <c r="A42" s="32"/>
      <c r="B42" s="182"/>
      <c r="C42" s="32"/>
      <c r="D42" s="32"/>
      <c r="F42" s="371"/>
      <c r="G42" s="371"/>
      <c r="H42" s="371"/>
      <c r="I42" s="371"/>
    </row>
    <row r="43" spans="1:9" x14ac:dyDescent="0.25">
      <c r="A43" s="32"/>
      <c r="B43" s="182"/>
      <c r="C43" s="32"/>
      <c r="D43" s="32"/>
      <c r="F43" s="371"/>
      <c r="G43" s="371"/>
      <c r="H43" s="371"/>
      <c r="I43" s="371"/>
    </row>
    <row r="44" spans="1:9" x14ac:dyDescent="0.25">
      <c r="A44" s="32"/>
      <c r="B44" s="91"/>
      <c r="C44" s="91"/>
      <c r="D44" s="91"/>
      <c r="F44" s="371"/>
      <c r="G44" s="371"/>
      <c r="H44" s="371"/>
      <c r="I44" s="371"/>
    </row>
    <row r="45" spans="1:9" x14ac:dyDescent="0.25">
      <c r="A45" s="31" t="s">
        <v>30</v>
      </c>
      <c r="B45" s="353" t="str">
        <f t="shared" ref="B45:D46" si="0">B4</f>
        <v xml:space="preserve">Prior Year </v>
      </c>
      <c r="C45" s="354" t="str">
        <f t="shared" si="0"/>
        <v xml:space="preserve">Current Year </v>
      </c>
      <c r="D45" s="95" t="str">
        <f t="shared" si="0"/>
        <v xml:space="preserve">Proposed Budget </v>
      </c>
      <c r="F45" s="371"/>
      <c r="G45" s="371"/>
      <c r="H45" s="371"/>
      <c r="I45" s="371"/>
    </row>
    <row r="46" spans="1:9" x14ac:dyDescent="0.25">
      <c r="A46" s="296">
        <f>inputPrYr!$B$31</f>
        <v>0</v>
      </c>
      <c r="B46" s="283" t="str">
        <f t="shared" si="0"/>
        <v>Actual for 2023</v>
      </c>
      <c r="C46" s="283" t="str">
        <f t="shared" si="0"/>
        <v>Estimate for 2024</v>
      </c>
      <c r="D46" s="162" t="str">
        <f t="shared" si="0"/>
        <v>Year for 2025</v>
      </c>
      <c r="F46" s="371"/>
      <c r="G46" s="371"/>
      <c r="H46" s="371"/>
      <c r="I46" s="371"/>
    </row>
    <row r="47" spans="1:9" x14ac:dyDescent="0.25">
      <c r="A47" s="98" t="s">
        <v>148</v>
      </c>
      <c r="B47" s="300"/>
      <c r="C47" s="282">
        <f>B76</f>
        <v>0</v>
      </c>
      <c r="D47" s="164">
        <f>C76</f>
        <v>0</v>
      </c>
      <c r="F47" s="371"/>
      <c r="G47" s="371"/>
      <c r="H47" s="371"/>
      <c r="I47" s="371"/>
    </row>
    <row r="48" spans="1:9" x14ac:dyDescent="0.25">
      <c r="A48" s="191" t="s">
        <v>150</v>
      </c>
      <c r="B48" s="111"/>
      <c r="C48" s="111"/>
      <c r="D48" s="64"/>
      <c r="F48" s="371"/>
      <c r="G48" s="371"/>
      <c r="H48" s="371"/>
      <c r="I48" s="371"/>
    </row>
    <row r="49" spans="1:10" x14ac:dyDescent="0.25">
      <c r="A49" s="98" t="s">
        <v>31</v>
      </c>
      <c r="B49" s="300"/>
      <c r="C49" s="282">
        <f>IF(inputPrYr!H30&gt;0,inputPrYr!H30,inputPrYr!E31)</f>
        <v>0</v>
      </c>
      <c r="D49" s="212" t="s">
        <v>16</v>
      </c>
      <c r="F49" s="371"/>
      <c r="G49" s="371"/>
      <c r="H49" s="371"/>
      <c r="I49" s="371"/>
    </row>
    <row r="50" spans="1:10" x14ac:dyDescent="0.25">
      <c r="A50" s="98" t="s">
        <v>32</v>
      </c>
      <c r="B50" s="300"/>
      <c r="C50" s="300"/>
      <c r="D50" s="51"/>
      <c r="F50" s="371"/>
      <c r="G50" s="371"/>
      <c r="H50" s="371"/>
      <c r="I50" s="371"/>
    </row>
    <row r="51" spans="1:10" x14ac:dyDescent="0.25">
      <c r="A51" s="98" t="s">
        <v>33</v>
      </c>
      <c r="B51" s="300"/>
      <c r="C51" s="300"/>
      <c r="D51" s="164" t="str">
        <f>Mvalloc!D22</f>
        <v xml:space="preserve">  </v>
      </c>
      <c r="F51" s="371"/>
      <c r="G51" s="371"/>
      <c r="H51" s="371"/>
      <c r="I51" s="371"/>
    </row>
    <row r="52" spans="1:10" x14ac:dyDescent="0.2">
      <c r="A52" s="98" t="s">
        <v>34</v>
      </c>
      <c r="B52" s="300"/>
      <c r="C52" s="300"/>
      <c r="D52" s="164" t="str">
        <f>Mvalloc!E22</f>
        <v xml:space="preserve">  </v>
      </c>
      <c r="F52" s="655" t="str">
        <f>CONCATENATE("Desired Carryover Into ",D1+1,"")</f>
        <v>Desired Carryover Into 2026</v>
      </c>
      <c r="G52" s="656"/>
      <c r="H52" s="656"/>
      <c r="I52" s="657"/>
    </row>
    <row r="53" spans="1:10" x14ac:dyDescent="0.2">
      <c r="A53" s="111" t="s">
        <v>131</v>
      </c>
      <c r="B53" s="300"/>
      <c r="C53" s="300"/>
      <c r="D53" s="164" t="str">
        <f>Mvalloc!F22</f>
        <v xml:space="preserve">  </v>
      </c>
      <c r="F53" s="357"/>
      <c r="G53" s="358"/>
      <c r="H53" s="359"/>
      <c r="I53" s="360"/>
    </row>
    <row r="54" spans="1:10" x14ac:dyDescent="0.2">
      <c r="A54" s="191" t="s">
        <v>374</v>
      </c>
      <c r="B54" s="300"/>
      <c r="C54" s="300"/>
      <c r="D54" s="164" t="str">
        <f>Mvalloc!G22</f>
        <v xml:space="preserve"> </v>
      </c>
      <c r="F54" s="361" t="s">
        <v>327</v>
      </c>
      <c r="G54" s="359"/>
      <c r="H54" s="359"/>
      <c r="I54" s="362">
        <v>0</v>
      </c>
    </row>
    <row r="55" spans="1:10" x14ac:dyDescent="0.2">
      <c r="A55" s="191" t="s">
        <v>375</v>
      </c>
      <c r="B55" s="300"/>
      <c r="C55" s="300"/>
      <c r="D55" s="164" t="str">
        <f>Mvalloc!H22</f>
        <v xml:space="preserve"> </v>
      </c>
      <c r="F55" s="357" t="s">
        <v>328</v>
      </c>
      <c r="G55" s="358"/>
      <c r="H55" s="358"/>
      <c r="I55" s="363" t="str">
        <f>IF(I54=0,"",ROUND((I54+D82-F67)/inputOth!E5*1000,3)-F72)</f>
        <v/>
      </c>
    </row>
    <row r="56" spans="1:10" x14ac:dyDescent="0.2">
      <c r="A56" s="205"/>
      <c r="B56" s="300"/>
      <c r="C56" s="300"/>
      <c r="D56" s="51"/>
      <c r="F56" s="364" t="str">
        <f>CONCATENATE("",D1," Tot Exp/Non-Appr Must Be:")</f>
        <v>2025 Tot Exp/Non-Appr Must Be:</v>
      </c>
      <c r="G56" s="365"/>
      <c r="H56" s="366"/>
      <c r="I56" s="367">
        <f>IF(I54&gt;0,IF(D79&lt;D64,IF(I54=F67,D79,((I54-F67)*(1-C81))+D64),D79+(I54-F67)),0)</f>
        <v>0</v>
      </c>
    </row>
    <row r="57" spans="1:10" x14ac:dyDescent="0.2">
      <c r="A57" s="205"/>
      <c r="B57" s="300"/>
      <c r="C57" s="300"/>
      <c r="D57" s="51"/>
      <c r="F57" s="368" t="s">
        <v>349</v>
      </c>
      <c r="G57" s="369"/>
      <c r="H57" s="369"/>
      <c r="I57" s="370">
        <f>IF(I54&gt;0,I56-D79,0)</f>
        <v>0</v>
      </c>
    </row>
    <row r="58" spans="1:10" x14ac:dyDescent="0.25">
      <c r="A58" s="205"/>
      <c r="B58" s="300"/>
      <c r="C58" s="300"/>
      <c r="D58" s="51"/>
      <c r="F58" s="371"/>
      <c r="G58" s="371"/>
      <c r="H58" s="371"/>
      <c r="I58" s="371"/>
    </row>
    <row r="59" spans="1:10" x14ac:dyDescent="0.2">
      <c r="A59" s="195" t="s">
        <v>38</v>
      </c>
      <c r="B59" s="300"/>
      <c r="C59" s="300"/>
      <c r="D59" s="51"/>
      <c r="F59" s="655" t="str">
        <f>CONCATENATE("Projected Carryover Into ",D1+1,"")</f>
        <v>Projected Carryover Into 2026</v>
      </c>
      <c r="G59" s="676"/>
      <c r="H59" s="676"/>
      <c r="I59" s="675"/>
    </row>
    <row r="60" spans="1:10" x14ac:dyDescent="0.25">
      <c r="A60" s="196" t="s">
        <v>218</v>
      </c>
      <c r="B60" s="300"/>
      <c r="C60" s="300"/>
      <c r="D60" s="164">
        <f>'NR Rebate'!E20*-1</f>
        <v>0</v>
      </c>
      <c r="F60" s="382"/>
      <c r="G60" s="358"/>
      <c r="H60" s="358"/>
      <c r="I60" s="383"/>
    </row>
    <row r="61" spans="1:10" x14ac:dyDescent="0.25">
      <c r="A61" s="196" t="s">
        <v>219</v>
      </c>
      <c r="B61" s="300"/>
      <c r="C61" s="300"/>
      <c r="D61" s="51"/>
      <c r="F61" s="373">
        <f>C76</f>
        <v>0</v>
      </c>
      <c r="G61" s="374" t="str">
        <f>CONCATENATE("",D1-1," Ending Cash Balance (est.)")</f>
        <v>2024 Ending Cash Balance (est.)</v>
      </c>
      <c r="H61" s="375"/>
      <c r="I61" s="383"/>
    </row>
    <row r="62" spans="1:10" x14ac:dyDescent="0.25">
      <c r="A62" s="196" t="s">
        <v>221</v>
      </c>
      <c r="B62" s="281" t="str">
        <f>IF(B63*0.1&lt;B61,"Exceed 10% Rule","")</f>
        <v/>
      </c>
      <c r="C62" s="281" t="str">
        <f>IF(C63*0.1&lt;C61,"Exceed 10% Rule","")</f>
        <v/>
      </c>
      <c r="D62" s="217" t="str">
        <f>IF(D63*0.1+D82&lt;D61,"Exceed 10% Rule","")</f>
        <v/>
      </c>
      <c r="F62" s="373">
        <f>D63</f>
        <v>0</v>
      </c>
      <c r="G62" s="359" t="str">
        <f>CONCATENATE("",D1," Non-AV Receipts (est.)")</f>
        <v>2025 Non-AV Receipts (est.)</v>
      </c>
      <c r="H62" s="375"/>
      <c r="I62" s="383"/>
    </row>
    <row r="63" spans="1:10" x14ac:dyDescent="0.25">
      <c r="A63" s="198" t="s">
        <v>39</v>
      </c>
      <c r="B63" s="229">
        <f>SUM(B49:B61)</f>
        <v>0</v>
      </c>
      <c r="C63" s="229">
        <f>SUM(C49:C61)</f>
        <v>0</v>
      </c>
      <c r="D63" s="229">
        <f>SUM(D49:D61)</f>
        <v>0</v>
      </c>
      <c r="F63" s="376">
        <f>IF(D81&gt;0,D80,D82)</f>
        <v>0</v>
      </c>
      <c r="G63" s="359" t="str">
        <f>CONCATENATE("",D1," Ad Valorem Tax (est.)")</f>
        <v>2025 Ad Valorem Tax (est.)</v>
      </c>
      <c r="H63" s="375"/>
      <c r="I63" s="383"/>
      <c r="J63" s="394" t="str">
        <f>IF(F63=D82,"","Note: Does not include Delinquent Taxes")</f>
        <v/>
      </c>
    </row>
    <row r="64" spans="1:10" x14ac:dyDescent="0.25">
      <c r="A64" s="198" t="s">
        <v>40</v>
      </c>
      <c r="B64" s="229">
        <f>B47+B63</f>
        <v>0</v>
      </c>
      <c r="C64" s="229">
        <f>C47+C63</f>
        <v>0</v>
      </c>
      <c r="D64" s="229">
        <f>D47+D63</f>
        <v>0</v>
      </c>
      <c r="F64" s="384">
        <f>SUM(F61:F63)</f>
        <v>0</v>
      </c>
      <c r="G64" s="359" t="str">
        <f>CONCATENATE("Total ",D1," Resources Available")</f>
        <v>Total 2025 Resources Available</v>
      </c>
      <c r="H64" s="385"/>
      <c r="I64" s="383"/>
    </row>
    <row r="65" spans="1:9" x14ac:dyDescent="0.25">
      <c r="A65" s="98" t="s">
        <v>43</v>
      </c>
      <c r="B65" s="196"/>
      <c r="C65" s="196"/>
      <c r="D65" s="108"/>
      <c r="F65" s="386"/>
      <c r="G65" s="387"/>
      <c r="H65" s="358"/>
      <c r="I65" s="383"/>
    </row>
    <row r="66" spans="1:9" x14ac:dyDescent="0.25">
      <c r="A66" s="205"/>
      <c r="B66" s="300"/>
      <c r="C66" s="300"/>
      <c r="D66" s="51"/>
      <c r="F66" s="388">
        <f>ROUND(B75*0.05+B75,0)</f>
        <v>0</v>
      </c>
      <c r="G66" s="359" t="str">
        <f>CONCATENATE("Less ",D1-2," Expenditures + 5%")</f>
        <v>Less 2023 Expenditures + 5%</v>
      </c>
      <c r="H66" s="385"/>
      <c r="I66" s="383"/>
    </row>
    <row r="67" spans="1:9" x14ac:dyDescent="0.25">
      <c r="A67" s="205"/>
      <c r="B67" s="300"/>
      <c r="C67" s="300"/>
      <c r="D67" s="51"/>
      <c r="F67" s="389">
        <f>F64-F66</f>
        <v>0</v>
      </c>
      <c r="G67" s="379" t="str">
        <f>CONCATENATE("Projected ",D1+1," carryover (est.)")</f>
        <v>Projected 2026 carryover (est.)</v>
      </c>
      <c r="H67" s="390"/>
      <c r="I67" s="391"/>
    </row>
    <row r="68" spans="1:9" x14ac:dyDescent="0.25">
      <c r="A68" s="205"/>
      <c r="B68" s="300"/>
      <c r="C68" s="300"/>
      <c r="D68" s="51"/>
      <c r="F68" s="371"/>
      <c r="G68" s="371"/>
      <c r="H68" s="371"/>
      <c r="I68" s="371"/>
    </row>
    <row r="69" spans="1:9" x14ac:dyDescent="0.2">
      <c r="A69" s="205"/>
      <c r="B69" s="300"/>
      <c r="C69" s="300"/>
      <c r="D69" s="51"/>
      <c r="F69" s="658" t="s">
        <v>569</v>
      </c>
      <c r="G69" s="659"/>
      <c r="H69" s="659"/>
      <c r="I69" s="660"/>
    </row>
    <row r="70" spans="1:9" x14ac:dyDescent="0.2">
      <c r="A70" s="205"/>
      <c r="B70" s="300"/>
      <c r="C70" s="300"/>
      <c r="D70" s="51"/>
      <c r="F70" s="661"/>
      <c r="G70" s="662"/>
      <c r="H70" s="662"/>
      <c r="I70" s="663"/>
    </row>
    <row r="71" spans="1:9" x14ac:dyDescent="0.2">
      <c r="A71" s="205"/>
      <c r="B71" s="300"/>
      <c r="C71" s="300"/>
      <c r="D71" s="51"/>
      <c r="F71" s="534" t="str">
        <f>'Budget Hearing Notice'!H30</f>
        <v xml:space="preserve">  </v>
      </c>
      <c r="G71" s="374" t="str">
        <f>CONCATENATE("",D1," Estimated Fund Mill Rate")</f>
        <v>2025 Estimated Fund Mill Rate</v>
      </c>
      <c r="H71" s="535"/>
      <c r="I71" s="536"/>
    </row>
    <row r="72" spans="1:9" x14ac:dyDescent="0.2">
      <c r="A72" s="196" t="str">
        <f>CONCATENATE("Cash Reserve (",D1," column)")</f>
        <v>Cash Reserve (2025 column)</v>
      </c>
      <c r="B72" s="300"/>
      <c r="C72" s="300"/>
      <c r="D72" s="51"/>
      <c r="F72" s="537" t="str">
        <f>'Budget Hearing Notice'!E30</f>
        <v xml:space="preserve">  </v>
      </c>
      <c r="G72" s="374" t="str">
        <f>CONCATENATE("",D1-1," Fund Mill Rate")</f>
        <v>2024 Fund Mill Rate</v>
      </c>
      <c r="H72" s="535"/>
      <c r="I72" s="536"/>
    </row>
    <row r="73" spans="1:9" x14ac:dyDescent="0.2">
      <c r="A73" s="196" t="s">
        <v>219</v>
      </c>
      <c r="B73" s="300"/>
      <c r="C73" s="300"/>
      <c r="D73" s="51"/>
      <c r="F73" s="538">
        <f>'Budget Hearing Notice'!H53</f>
        <v>0</v>
      </c>
      <c r="G73" s="539" t="s">
        <v>570</v>
      </c>
      <c r="H73" s="535"/>
      <c r="I73" s="536"/>
    </row>
    <row r="74" spans="1:9" x14ac:dyDescent="0.2">
      <c r="A74" s="196" t="s">
        <v>220</v>
      </c>
      <c r="B74" s="281" t="str">
        <f>IF(B75*0.1&lt;B73,"Exceed 10% Rule","")</f>
        <v/>
      </c>
      <c r="C74" s="281" t="str">
        <f>IF(C75*0.1&lt;C73,"Exceed 10% Rule","")</f>
        <v/>
      </c>
      <c r="D74" s="217" t="str">
        <f>IF(D75*0.1&lt;D73,"Exceed 10% Rule","")</f>
        <v/>
      </c>
      <c r="F74" s="534">
        <f>'Budget Hearing Notice'!H52</f>
        <v>0</v>
      </c>
      <c r="G74" s="374" t="str">
        <f>CONCATENATE(D1," Estimated Total Mill Rate")</f>
        <v>2025 Estimated Total Mill Rate</v>
      </c>
      <c r="H74" s="535"/>
      <c r="I74" s="536"/>
    </row>
    <row r="75" spans="1:9" x14ac:dyDescent="0.2">
      <c r="A75" s="198" t="s">
        <v>44</v>
      </c>
      <c r="B75" s="229">
        <f>SUM(B66:B73)</f>
        <v>0</v>
      </c>
      <c r="C75" s="229">
        <f>SUM(C66:C73)</f>
        <v>0</v>
      </c>
      <c r="D75" s="229">
        <f>SUM(D66:D73)</f>
        <v>0</v>
      </c>
      <c r="F75" s="540">
        <f>'Budget Hearing Notice'!E52</f>
        <v>0</v>
      </c>
      <c r="G75" s="374" t="str">
        <f>CONCATENATE(D1-1," Total Mill Rate")</f>
        <v>2024 Total Mill Rate</v>
      </c>
      <c r="H75" s="535"/>
      <c r="I75" s="536"/>
    </row>
    <row r="76" spans="1:9" x14ac:dyDescent="0.2">
      <c r="A76" s="98" t="s">
        <v>149</v>
      </c>
      <c r="B76" s="164">
        <f>B64-B75</f>
        <v>0</v>
      </c>
      <c r="C76" s="164">
        <f>C64-C75</f>
        <v>0</v>
      </c>
      <c r="D76" s="212" t="s">
        <v>16</v>
      </c>
      <c r="F76" s="382"/>
      <c r="G76" s="358"/>
      <c r="H76" s="358"/>
      <c r="I76" s="385"/>
    </row>
    <row r="77" spans="1:9" x14ac:dyDescent="0.2">
      <c r="A77" s="120" t="str">
        <f>CONCATENATE("",D1-2,"/",D1-1,"/",D1," Budget Authority Amount:")</f>
        <v>2023/2024/2025 Budget Authority Amount:</v>
      </c>
      <c r="B77" s="214">
        <f>inputOth!B46</f>
        <v>0</v>
      </c>
      <c r="C77" s="214">
        <f>inputPrYr!D31</f>
        <v>0</v>
      </c>
      <c r="D77" s="164">
        <f>D75</f>
        <v>0</v>
      </c>
      <c r="E77" s="206"/>
      <c r="F77" s="664" t="s">
        <v>571</v>
      </c>
      <c r="G77" s="665"/>
      <c r="H77" s="665"/>
      <c r="I77" s="668" t="str">
        <f>IF(F74&gt;F73, "Yes", "No")</f>
        <v>No</v>
      </c>
    </row>
    <row r="78" spans="1:9" x14ac:dyDescent="0.2">
      <c r="A78" s="182"/>
      <c r="B78" s="651" t="s">
        <v>319</v>
      </c>
      <c r="C78" s="652"/>
      <c r="D78" s="51"/>
      <c r="E78" s="303" t="str">
        <f>IF(D75/0.95-D75&lt;D78,"Exceeds 5%","")</f>
        <v/>
      </c>
      <c r="F78" s="666"/>
      <c r="G78" s="667"/>
      <c r="H78" s="667"/>
      <c r="I78" s="669"/>
    </row>
    <row r="79" spans="1:9" x14ac:dyDescent="0.2">
      <c r="A79" s="304" t="str">
        <f>CONCATENATE(B97,"      ",C97)</f>
        <v xml:space="preserve">      </v>
      </c>
      <c r="B79" s="653" t="s">
        <v>320</v>
      </c>
      <c r="C79" s="654"/>
      <c r="D79" s="164">
        <f>D75+D78</f>
        <v>0</v>
      </c>
      <c r="F79" s="670" t="str">
        <f>IF(I77="Yes", "Follow procedure prescribed by KSA 79-2988 to exceed the Revenue Neutral Rate.", " ")</f>
        <v xml:space="preserve"> </v>
      </c>
      <c r="G79" s="670"/>
      <c r="H79" s="670"/>
      <c r="I79" s="670"/>
    </row>
    <row r="80" spans="1:9" x14ac:dyDescent="0.2">
      <c r="A80" s="304" t="str">
        <f>CONCATENATE(B98,"      ",C98)</f>
        <v xml:space="preserve">      </v>
      </c>
      <c r="B80" s="207"/>
      <c r="C80" s="63" t="s">
        <v>45</v>
      </c>
      <c r="D80" s="164">
        <f>IF(D79-D64&gt;0,D79-D64,0)</f>
        <v>0</v>
      </c>
      <c r="F80" s="671"/>
      <c r="G80" s="671"/>
      <c r="H80" s="671"/>
      <c r="I80" s="671"/>
    </row>
    <row r="81" spans="1:9" x14ac:dyDescent="0.2">
      <c r="A81" s="63"/>
      <c r="B81" s="293" t="s">
        <v>321</v>
      </c>
      <c r="C81" s="396">
        <f>inputOth!$E$25</f>
        <v>0</v>
      </c>
      <c r="D81" s="164">
        <f>ROUND(IF(C81&gt;0,(D80*C81),0),0)</f>
        <v>0</v>
      </c>
      <c r="F81" s="671"/>
      <c r="G81" s="671"/>
      <c r="H81" s="671"/>
      <c r="I81" s="671"/>
    </row>
    <row r="82" spans="1:9" x14ac:dyDescent="0.2">
      <c r="A82" s="32"/>
      <c r="B82" s="649" t="str">
        <f>CONCATENATE("Amount of  ",$D$1-1," Ad Valorem Tax")</f>
        <v>Amount of  2024 Ad Valorem Tax</v>
      </c>
      <c r="C82" s="650"/>
      <c r="D82" s="164">
        <f>D80+D81</f>
        <v>0</v>
      </c>
    </row>
    <row r="83" spans="1:9" x14ac:dyDescent="0.2">
      <c r="A83" s="32"/>
      <c r="B83" s="182"/>
      <c r="C83" s="182"/>
      <c r="D83" s="182"/>
    </row>
    <row r="84" spans="1:9" x14ac:dyDescent="0.2">
      <c r="A84" s="446" t="s">
        <v>380</v>
      </c>
      <c r="B84" s="456"/>
      <c r="C84" s="456"/>
      <c r="D84" s="457"/>
    </row>
    <row r="85" spans="1:9" x14ac:dyDescent="0.2">
      <c r="A85" s="183"/>
      <c r="B85" s="182"/>
      <c r="C85" s="182"/>
      <c r="D85" s="458"/>
    </row>
    <row r="86" spans="1:9" x14ac:dyDescent="0.2">
      <c r="A86" s="447"/>
      <c r="B86" s="461"/>
      <c r="C86" s="461"/>
      <c r="D86" s="462"/>
    </row>
    <row r="87" spans="1:9" x14ac:dyDescent="0.2">
      <c r="A87" s="32"/>
      <c r="B87" s="182"/>
      <c r="C87" s="182"/>
      <c r="D87" s="182"/>
    </row>
    <row r="88" spans="1:9" x14ac:dyDescent="0.2">
      <c r="A88" s="182" t="s">
        <v>96</v>
      </c>
      <c r="B88" s="428"/>
      <c r="C88" s="32"/>
      <c r="D88" s="32"/>
    </row>
    <row r="95" spans="1:9" hidden="1" x14ac:dyDescent="0.2">
      <c r="B95" s="27" t="str">
        <f>IF(B34&gt;B36,"See Tab A","")</f>
        <v/>
      </c>
      <c r="C95" s="27" t="str">
        <f>IF(C34&gt;C36,"See Tab C","")</f>
        <v/>
      </c>
    </row>
    <row r="96" spans="1:9" hidden="1" x14ac:dyDescent="0.2">
      <c r="B96" s="27" t="str">
        <f>IF(B35&lt;0,"See Tab B","")</f>
        <v/>
      </c>
      <c r="C96" s="27" t="str">
        <f>IF(C35&lt;0,"See Tab D","")</f>
        <v/>
      </c>
    </row>
    <row r="97" spans="2:3" hidden="1" x14ac:dyDescent="0.2">
      <c r="B97" s="27" t="str">
        <f>IF(B75&gt;B77,"See Tab A","")</f>
        <v/>
      </c>
      <c r="C97" s="27" t="str">
        <f>IF(C75&gt;C77,"See Tab C","")</f>
        <v/>
      </c>
    </row>
    <row r="98" spans="2:3" hidden="1" x14ac:dyDescent="0.2">
      <c r="B98" s="27" t="str">
        <f>IF(B76&lt;0,"See Tab B","")</f>
        <v/>
      </c>
      <c r="C98" s="27" t="str">
        <f>IF(C76&lt;0,"See Tab D","")</f>
        <v/>
      </c>
    </row>
  </sheetData>
  <sheetProtection sheet="1"/>
  <mergeCells count="18">
    <mergeCell ref="B82:C82"/>
    <mergeCell ref="B41:C41"/>
    <mergeCell ref="F28:I29"/>
    <mergeCell ref="F36:H37"/>
    <mergeCell ref="I36:I37"/>
    <mergeCell ref="F38:I40"/>
    <mergeCell ref="F69:I70"/>
    <mergeCell ref="F77:H78"/>
    <mergeCell ref="I77:I78"/>
    <mergeCell ref="F79:I81"/>
    <mergeCell ref="B37:C37"/>
    <mergeCell ref="B38:C38"/>
    <mergeCell ref="B78:C78"/>
    <mergeCell ref="B79:C79"/>
    <mergeCell ref="F11:I11"/>
    <mergeCell ref="F18:I18"/>
    <mergeCell ref="F52:I52"/>
    <mergeCell ref="F59:I59"/>
  </mergeCells>
  <phoneticPr fontId="0" type="noConversion"/>
  <conditionalFormatting sqref="B20">
    <cfRule type="cellIs" dxfId="196" priority="16" stopIfTrue="1" operator="greaterThan">
      <formula>$B$22*0.1</formula>
    </cfRule>
  </conditionalFormatting>
  <conditionalFormatting sqref="B32">
    <cfRule type="cellIs" dxfId="195" priority="30" stopIfTrue="1" operator="greaterThan">
      <formula>$B$34*0.1</formula>
    </cfRule>
  </conditionalFormatting>
  <conditionalFormatting sqref="B34">
    <cfRule type="cellIs" dxfId="194" priority="4" stopIfTrue="1" operator="greaterThan">
      <formula>$B$36</formula>
    </cfRule>
  </conditionalFormatting>
  <conditionalFormatting sqref="B61">
    <cfRule type="cellIs" dxfId="193" priority="29" stopIfTrue="1" operator="greaterThan">
      <formula>$B$63*0.1</formula>
    </cfRule>
  </conditionalFormatting>
  <conditionalFormatting sqref="B73">
    <cfRule type="cellIs" dxfId="192" priority="21" stopIfTrue="1" operator="greaterThan">
      <formula>$B$75*0.1</formula>
    </cfRule>
  </conditionalFormatting>
  <conditionalFormatting sqref="B75">
    <cfRule type="cellIs" dxfId="191" priority="8" stopIfTrue="1" operator="greaterThan">
      <formula>$B$77</formula>
    </cfRule>
  </conditionalFormatting>
  <conditionalFormatting sqref="B35:C35">
    <cfRule type="cellIs" dxfId="190" priority="1" stopIfTrue="1" operator="lessThan">
      <formula>0</formula>
    </cfRule>
  </conditionalFormatting>
  <conditionalFormatting sqref="B76:C76">
    <cfRule type="cellIs" dxfId="189" priority="5" stopIfTrue="1" operator="lessThan">
      <formula>0</formula>
    </cfRule>
  </conditionalFormatting>
  <conditionalFormatting sqref="C20">
    <cfRule type="cellIs" dxfId="188" priority="17" stopIfTrue="1" operator="greaterThan">
      <formula>$C$22*0.1</formula>
    </cfRule>
  </conditionalFormatting>
  <conditionalFormatting sqref="C32">
    <cfRule type="cellIs" dxfId="187" priority="31" stopIfTrue="1" operator="greaterThan">
      <formula>$C$34*0.1</formula>
    </cfRule>
  </conditionalFormatting>
  <conditionalFormatting sqref="C34">
    <cfRule type="cellIs" dxfId="186" priority="3" stopIfTrue="1" operator="greaterThan">
      <formula>$C$36</formula>
    </cfRule>
  </conditionalFormatting>
  <conditionalFormatting sqref="C61">
    <cfRule type="cellIs" dxfId="185" priority="28" stopIfTrue="1" operator="greaterThan">
      <formula>$C$63*0.1</formula>
    </cfRule>
  </conditionalFormatting>
  <conditionalFormatting sqref="C73">
    <cfRule type="cellIs" dxfId="184" priority="22" stopIfTrue="1" operator="greaterThan">
      <formula>$C$75*0.1</formula>
    </cfRule>
  </conditionalFormatting>
  <conditionalFormatting sqref="C75">
    <cfRule type="cellIs" dxfId="183" priority="7" stopIfTrue="1" operator="greaterThan">
      <formula>$C$77</formula>
    </cfRule>
  </conditionalFormatting>
  <conditionalFormatting sqref="D20">
    <cfRule type="cellIs" dxfId="182" priority="19" stopIfTrue="1" operator="greaterThan">
      <formula>$D$22*0.1+D41</formula>
    </cfRule>
  </conditionalFormatting>
  <conditionalFormatting sqref="D32">
    <cfRule type="cellIs" dxfId="181" priority="18" stopIfTrue="1" operator="greaterThan">
      <formula>$D$34*0.1</formula>
    </cfRule>
  </conditionalFormatting>
  <conditionalFormatting sqref="D37">
    <cfRule type="cellIs" dxfId="180" priority="13" stopIfTrue="1" operator="greaterThan">
      <formula>$D$34/0.95-$D$34</formula>
    </cfRule>
  </conditionalFormatting>
  <conditionalFormatting sqref="D61">
    <cfRule type="cellIs" dxfId="179" priority="20" stopIfTrue="1" operator="greaterThan">
      <formula>$D$63*0.1+D82</formula>
    </cfRule>
  </conditionalFormatting>
  <conditionalFormatting sqref="D73">
    <cfRule type="cellIs" dxfId="178" priority="15" stopIfTrue="1" operator="greaterThan">
      <formula>$D$75*0.1</formula>
    </cfRule>
  </conditionalFormatting>
  <conditionalFormatting sqref="D78">
    <cfRule type="cellIs" dxfId="177" priority="14" stopIfTrue="1" operator="greaterThan">
      <formula>$D$75/0.95-$D$75</formula>
    </cfRule>
  </conditionalFormatting>
  <conditionalFormatting sqref="I36">
    <cfRule type="containsText" dxfId="176" priority="10" operator="containsText" text="Yes">
      <formula>NOT(ISERROR(SEARCH("Yes",I36)))</formula>
    </cfRule>
  </conditionalFormatting>
  <conditionalFormatting sqref="I77">
    <cfRule type="containsText" dxfId="175" priority="9" operator="containsText" text="Yes">
      <formula>NOT(ISERROR(SEARCH("Yes",I77)))</formula>
    </cfRule>
  </conditionalFormatting>
  <pageMargins left="1.1200000000000001" right="0.5" top="0.74" bottom="0.34" header="0.5" footer="0"/>
  <pageSetup scale="57" orientation="portrait" blackAndWhite="1" horizontalDpi="120" verticalDpi="144" r:id="rId1"/>
  <headerFooter alignWithMargins="0">
    <oddHeader xml:space="preserve">&amp;RState of Kansas
County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rgb="FF00B0F0"/>
    <pageSetUpPr fitToPage="1"/>
  </sheetPr>
  <dimension ref="A1:J98"/>
  <sheetViews>
    <sheetView zoomScaleNormal="100" workbookViewId="0">
      <selection activeCell="A27" sqref="A27"/>
    </sheetView>
  </sheetViews>
  <sheetFormatPr defaultRowHeight="15.75" x14ac:dyDescent="0.2"/>
  <cols>
    <col min="1" max="1" width="31.109375" style="27" customWidth="1"/>
    <col min="2" max="3" width="15.77734375" style="27" customWidth="1"/>
    <col min="4" max="4" width="16.33203125" style="27" customWidth="1"/>
    <col min="5" max="5" width="8.88671875" style="27"/>
    <col min="6" max="6" width="10.21875" style="27" customWidth="1"/>
    <col min="7" max="7" width="8.88671875" style="27"/>
    <col min="8" max="8" width="5.88671875" style="27" customWidth="1"/>
    <col min="9" max="9" width="10" style="27" customWidth="1"/>
    <col min="10" max="16384" width="8.88671875" style="27"/>
  </cols>
  <sheetData>
    <row r="1" spans="1:9" x14ac:dyDescent="0.2">
      <c r="A1" s="73">
        <f>(inputPrYr!C3)</f>
        <v>0</v>
      </c>
      <c r="B1" s="32"/>
      <c r="C1" s="32"/>
      <c r="D1" s="182">
        <f>inputPrYr!C5</f>
        <v>2025</v>
      </c>
    </row>
    <row r="2" spans="1:9" x14ac:dyDescent="0.2">
      <c r="A2" s="133"/>
      <c r="B2" s="208"/>
      <c r="C2" s="208"/>
      <c r="D2" s="209"/>
    </row>
    <row r="3" spans="1:9" x14ac:dyDescent="0.2">
      <c r="A3" s="302" t="s">
        <v>138</v>
      </c>
      <c r="B3" s="91"/>
      <c r="C3" s="91"/>
      <c r="D3" s="91"/>
    </row>
    <row r="4" spans="1:9" x14ac:dyDescent="0.2">
      <c r="A4" s="31" t="s">
        <v>30</v>
      </c>
      <c r="B4" s="353" t="s">
        <v>346</v>
      </c>
      <c r="C4" s="354" t="s">
        <v>347</v>
      </c>
      <c r="D4" s="95" t="s">
        <v>348</v>
      </c>
    </row>
    <row r="5" spans="1:9" x14ac:dyDescent="0.2">
      <c r="A5" s="296">
        <f>inputPrYr!$B$32</f>
        <v>0</v>
      </c>
      <c r="B5" s="283" t="str">
        <f>CONCATENATE("Actual for ",D1-2,"")</f>
        <v>Actual for 2023</v>
      </c>
      <c r="C5" s="283" t="str">
        <f>CONCATENATE("Estimate for ",D1-1,"")</f>
        <v>Estimate for 2024</v>
      </c>
      <c r="D5" s="190" t="str">
        <f>CONCATENATE("Year for ",D1,"")</f>
        <v>Year for 2025</v>
      </c>
    </row>
    <row r="6" spans="1:9" x14ac:dyDescent="0.2">
      <c r="A6" s="98" t="s">
        <v>148</v>
      </c>
      <c r="B6" s="300"/>
      <c r="C6" s="282">
        <f>B35</f>
        <v>0</v>
      </c>
      <c r="D6" s="164">
        <f>C35</f>
        <v>0</v>
      </c>
    </row>
    <row r="7" spans="1:9" x14ac:dyDescent="0.2">
      <c r="A7" s="184" t="s">
        <v>150</v>
      </c>
      <c r="B7" s="111"/>
      <c r="C7" s="111"/>
      <c r="D7" s="64"/>
    </row>
    <row r="8" spans="1:9" x14ac:dyDescent="0.2">
      <c r="A8" s="98" t="s">
        <v>31</v>
      </c>
      <c r="B8" s="300"/>
      <c r="C8" s="282">
        <f>inputPrYr!E32</f>
        <v>0</v>
      </c>
      <c r="D8" s="212" t="s">
        <v>16</v>
      </c>
    </row>
    <row r="9" spans="1:9" x14ac:dyDescent="0.2">
      <c r="A9" s="98" t="s">
        <v>32</v>
      </c>
      <c r="B9" s="300"/>
      <c r="C9" s="300"/>
      <c r="D9" s="51"/>
    </row>
    <row r="10" spans="1:9" x14ac:dyDescent="0.2">
      <c r="A10" s="98" t="s">
        <v>33</v>
      </c>
      <c r="B10" s="300"/>
      <c r="C10" s="300"/>
      <c r="D10" s="164" t="str">
        <f>Mvalloc!D23</f>
        <v xml:space="preserve">  </v>
      </c>
      <c r="F10" s="655" t="str">
        <f>CONCATENATE("Desired Carryover Into ",D1+1,"")</f>
        <v>Desired Carryover Into 2026</v>
      </c>
      <c r="G10" s="656"/>
      <c r="H10" s="656"/>
      <c r="I10" s="657"/>
    </row>
    <row r="11" spans="1:9" x14ac:dyDescent="0.2">
      <c r="A11" s="98" t="s">
        <v>34</v>
      </c>
      <c r="B11" s="300"/>
      <c r="C11" s="300"/>
      <c r="D11" s="164" t="str">
        <f>Mvalloc!E23</f>
        <v xml:space="preserve">  </v>
      </c>
      <c r="F11" s="357"/>
      <c r="G11" s="358"/>
      <c r="H11" s="359"/>
      <c r="I11" s="360"/>
    </row>
    <row r="12" spans="1:9" x14ac:dyDescent="0.2">
      <c r="A12" s="111" t="s">
        <v>131</v>
      </c>
      <c r="B12" s="300"/>
      <c r="C12" s="300"/>
      <c r="D12" s="164" t="str">
        <f>Mvalloc!F23</f>
        <v xml:space="preserve">  </v>
      </c>
      <c r="F12" s="361" t="s">
        <v>327</v>
      </c>
      <c r="G12" s="359"/>
      <c r="H12" s="359"/>
      <c r="I12" s="362">
        <v>0</v>
      </c>
    </row>
    <row r="13" spans="1:9" x14ac:dyDescent="0.2">
      <c r="A13" s="191" t="s">
        <v>374</v>
      </c>
      <c r="B13" s="300"/>
      <c r="C13" s="300"/>
      <c r="D13" s="164" t="str">
        <f>Mvalloc!G23</f>
        <v xml:space="preserve"> </v>
      </c>
      <c r="F13" s="357" t="s">
        <v>328</v>
      </c>
      <c r="G13" s="358"/>
      <c r="H13" s="358"/>
      <c r="I13" s="363" t="str">
        <f>IF(I12=0,"",ROUND((I12+D41-F25)/inputOth!E5*1000,3)-F30)</f>
        <v/>
      </c>
    </row>
    <row r="14" spans="1:9" x14ac:dyDescent="0.2">
      <c r="A14" s="191" t="s">
        <v>375</v>
      </c>
      <c r="B14" s="300"/>
      <c r="C14" s="300"/>
      <c r="D14" s="164" t="str">
        <f>Mvalloc!H23</f>
        <v xml:space="preserve"> </v>
      </c>
      <c r="F14" s="364" t="str">
        <f>CONCATENATE("",D1," Tot Exp/Non-Appr Must Be:")</f>
        <v>2025 Tot Exp/Non-Appr Must Be:</v>
      </c>
      <c r="G14" s="365"/>
      <c r="H14" s="366"/>
      <c r="I14" s="367">
        <f>IF(I12&gt;0,IF(D38&lt;D23,IF(I12=F25,D38,((I12-F25)*(1-C40))+D23),D38+(I12-F25)),0)</f>
        <v>0</v>
      </c>
    </row>
    <row r="15" spans="1:9" x14ac:dyDescent="0.2">
      <c r="A15" s="205"/>
      <c r="B15" s="300"/>
      <c r="C15" s="300"/>
      <c r="D15" s="51"/>
      <c r="F15" s="368" t="s">
        <v>349</v>
      </c>
      <c r="G15" s="369"/>
      <c r="H15" s="369"/>
      <c r="I15" s="370">
        <f>IF(I12&gt;0,I14-D38,0)</f>
        <v>0</v>
      </c>
    </row>
    <row r="16" spans="1:9" x14ac:dyDescent="0.25">
      <c r="A16" s="205"/>
      <c r="B16" s="300"/>
      <c r="C16" s="300"/>
      <c r="D16" s="51"/>
      <c r="F16" s="371"/>
      <c r="G16" s="371"/>
      <c r="H16" s="371"/>
      <c r="I16" s="371"/>
    </row>
    <row r="17" spans="1:10" x14ac:dyDescent="0.2">
      <c r="A17" s="205"/>
      <c r="B17" s="300"/>
      <c r="C17" s="300"/>
      <c r="D17" s="51"/>
      <c r="F17" s="655" t="str">
        <f>CONCATENATE("Projected Carryover Into ",D1+1,"")</f>
        <v>Projected Carryover Into 2026</v>
      </c>
      <c r="G17" s="674"/>
      <c r="H17" s="674"/>
      <c r="I17" s="675"/>
    </row>
    <row r="18" spans="1:10" x14ac:dyDescent="0.2">
      <c r="A18" s="195" t="s">
        <v>38</v>
      </c>
      <c r="B18" s="300"/>
      <c r="C18" s="300"/>
      <c r="D18" s="51"/>
      <c r="F18" s="357"/>
      <c r="G18" s="359"/>
      <c r="H18" s="359"/>
      <c r="I18" s="372"/>
    </row>
    <row r="19" spans="1:10" x14ac:dyDescent="0.2">
      <c r="A19" s="196" t="s">
        <v>218</v>
      </c>
      <c r="B19" s="300"/>
      <c r="C19" s="300"/>
      <c r="D19" s="164">
        <f>'NR Rebate'!E21*-1</f>
        <v>0</v>
      </c>
      <c r="F19" s="373">
        <f>C35</f>
        <v>0</v>
      </c>
      <c r="G19" s="374" t="str">
        <f>CONCATENATE("",D1-1," Ending Cash Balance (est.)")</f>
        <v>2024 Ending Cash Balance (est.)</v>
      </c>
      <c r="H19" s="375"/>
      <c r="I19" s="372"/>
    </row>
    <row r="20" spans="1:10" x14ac:dyDescent="0.2">
      <c r="A20" s="196" t="s">
        <v>219</v>
      </c>
      <c r="B20" s="300"/>
      <c r="C20" s="300"/>
      <c r="D20" s="51"/>
      <c r="F20" s="373">
        <f>D22</f>
        <v>0</v>
      </c>
      <c r="G20" s="359" t="str">
        <f>CONCATENATE("",D1," Non-AV Receipts (est.)")</f>
        <v>2025 Non-AV Receipts (est.)</v>
      </c>
      <c r="H20" s="375"/>
      <c r="I20" s="372"/>
    </row>
    <row r="21" spans="1:10" x14ac:dyDescent="0.2">
      <c r="A21" s="196" t="s">
        <v>221</v>
      </c>
      <c r="B21" s="281" t="str">
        <f>IF(B22*0.1&lt;B20,"Exceed 10% Rule","")</f>
        <v/>
      </c>
      <c r="C21" s="281" t="str">
        <f>IF(C22*0.1&lt;C20,"Exceed 10% Rule","")</f>
        <v/>
      </c>
      <c r="D21" s="217" t="str">
        <f>IF(D22*0.1+D41&lt;D20,"Exceed 10% Rule","")</f>
        <v/>
      </c>
      <c r="F21" s="376">
        <f>IF(D40&gt;0,D39,D41)</f>
        <v>0</v>
      </c>
      <c r="G21" s="359" t="str">
        <f>CONCATENATE("",D1," Ad Valorem Tax (est.)")</f>
        <v>2025 Ad Valorem Tax (est.)</v>
      </c>
      <c r="H21" s="375"/>
      <c r="I21" s="372"/>
      <c r="J21" s="394" t="str">
        <f>IF(F21=D41,"","Note: Does not include Delinquent Taxes")</f>
        <v/>
      </c>
    </row>
    <row r="22" spans="1:10" x14ac:dyDescent="0.2">
      <c r="A22" s="198" t="s">
        <v>39</v>
      </c>
      <c r="B22" s="229">
        <f>SUM(B8:B20)</f>
        <v>0</v>
      </c>
      <c r="C22" s="229">
        <f>SUM(C8:C20)</f>
        <v>0</v>
      </c>
      <c r="D22" s="229">
        <f>SUM(D8:D20)</f>
        <v>0</v>
      </c>
      <c r="F22" s="373">
        <f>SUM(F19:F21)</f>
        <v>0</v>
      </c>
      <c r="G22" s="359" t="str">
        <f>CONCATENATE("Total ",D1," Resources Available")</f>
        <v>Total 2025 Resources Available</v>
      </c>
      <c r="H22" s="375"/>
      <c r="I22" s="372"/>
    </row>
    <row r="23" spans="1:10" x14ac:dyDescent="0.2">
      <c r="A23" s="198" t="s">
        <v>40</v>
      </c>
      <c r="B23" s="229">
        <f>B6+B22</f>
        <v>0</v>
      </c>
      <c r="C23" s="229">
        <f>C6+C22</f>
        <v>0</v>
      </c>
      <c r="D23" s="229">
        <f>D6+D22</f>
        <v>0</v>
      </c>
      <c r="F23" s="377"/>
      <c r="G23" s="359"/>
      <c r="H23" s="359"/>
      <c r="I23" s="372"/>
    </row>
    <row r="24" spans="1:10" x14ac:dyDescent="0.25">
      <c r="A24" s="98" t="s">
        <v>43</v>
      </c>
      <c r="B24" s="196"/>
      <c r="C24" s="196"/>
      <c r="D24" s="108"/>
      <c r="F24" s="376">
        <f>ROUND(B34*0.05+B34,0)</f>
        <v>0</v>
      </c>
      <c r="G24" s="359" t="str">
        <f>CONCATENATE("Less ",D1-2," Expenditures + 5%")</f>
        <v>Less 2023 Expenditures + 5%</v>
      </c>
      <c r="H24" s="375"/>
      <c r="I24" s="383"/>
    </row>
    <row r="25" spans="1:10" x14ac:dyDescent="0.2">
      <c r="A25" s="205"/>
      <c r="B25" s="300"/>
      <c r="C25" s="300"/>
      <c r="D25" s="51"/>
      <c r="F25" s="378">
        <f>F22-F24</f>
        <v>0</v>
      </c>
      <c r="G25" s="379" t="str">
        <f>CONCATENATE("Projected ",D1+1," carryover (est.)")</f>
        <v>Projected 2026 carryover (est.)</v>
      </c>
      <c r="H25" s="380"/>
      <c r="I25" s="381"/>
    </row>
    <row r="26" spans="1:10" x14ac:dyDescent="0.25">
      <c r="A26" s="205"/>
      <c r="B26" s="300"/>
      <c r="C26" s="300"/>
      <c r="D26" s="51"/>
      <c r="F26" s="371"/>
      <c r="G26" s="371"/>
      <c r="H26" s="371"/>
      <c r="I26" s="371"/>
    </row>
    <row r="27" spans="1:10" x14ac:dyDescent="0.2">
      <c r="A27" s="205"/>
      <c r="B27" s="300"/>
      <c r="C27" s="300"/>
      <c r="D27" s="51"/>
      <c r="F27" s="658" t="s">
        <v>569</v>
      </c>
      <c r="G27" s="659"/>
      <c r="H27" s="659"/>
      <c r="I27" s="660"/>
    </row>
    <row r="28" spans="1:10" x14ac:dyDescent="0.2">
      <c r="A28" s="205"/>
      <c r="B28" s="300"/>
      <c r="C28" s="300"/>
      <c r="D28" s="51"/>
      <c r="F28" s="661"/>
      <c r="G28" s="662"/>
      <c r="H28" s="662"/>
      <c r="I28" s="663"/>
    </row>
    <row r="29" spans="1:10" x14ac:dyDescent="0.2">
      <c r="A29" s="205"/>
      <c r="B29" s="300"/>
      <c r="C29" s="300"/>
      <c r="D29" s="51"/>
      <c r="F29" s="534" t="str">
        <f>'Budget Hearing Notice'!H31</f>
        <v xml:space="preserve">  </v>
      </c>
      <c r="G29" s="374" t="str">
        <f>CONCATENATE("",D1," Estimated Fund Mill Rate")</f>
        <v>2025 Estimated Fund Mill Rate</v>
      </c>
      <c r="H29" s="535"/>
      <c r="I29" s="536"/>
    </row>
    <row r="30" spans="1:10" x14ac:dyDescent="0.2">
      <c r="A30" s="205"/>
      <c r="B30" s="300"/>
      <c r="C30" s="300"/>
      <c r="D30" s="51"/>
      <c r="F30" s="537" t="str">
        <f>'Budget Hearing Notice'!E31</f>
        <v xml:space="preserve">  </v>
      </c>
      <c r="G30" s="374" t="str">
        <f>CONCATENATE("",D1-1," Fund Mill Rate")</f>
        <v>2024 Fund Mill Rate</v>
      </c>
      <c r="H30" s="535"/>
      <c r="I30" s="536"/>
    </row>
    <row r="31" spans="1:10" x14ac:dyDescent="0.2">
      <c r="A31" s="196" t="str">
        <f>CONCATENATE("Cash Reserve (",D1," column)")</f>
        <v>Cash Reserve (2025 column)</v>
      </c>
      <c r="B31" s="300"/>
      <c r="C31" s="300"/>
      <c r="D31" s="51"/>
      <c r="F31" s="538">
        <f>'Budget Hearing Notice'!H53</f>
        <v>0</v>
      </c>
      <c r="G31" s="539" t="s">
        <v>570</v>
      </c>
      <c r="H31" s="535"/>
      <c r="I31" s="536"/>
    </row>
    <row r="32" spans="1:10" x14ac:dyDescent="0.2">
      <c r="A32" s="196" t="s">
        <v>219</v>
      </c>
      <c r="B32" s="300"/>
      <c r="C32" s="300"/>
      <c r="D32" s="51"/>
      <c r="F32" s="534">
        <f>'Budget Hearing Notice'!H52</f>
        <v>0</v>
      </c>
      <c r="G32" s="374" t="str">
        <f>CONCATENATE(D1," Estimated Total Mill Rate")</f>
        <v>2025 Estimated Total Mill Rate</v>
      </c>
      <c r="H32" s="535"/>
      <c r="I32" s="536"/>
    </row>
    <row r="33" spans="1:9" x14ac:dyDescent="0.2">
      <c r="A33" s="196" t="s">
        <v>220</v>
      </c>
      <c r="B33" s="281" t="str">
        <f>IF(B34*0.1&lt;B32,"Exceed 10% Rule","")</f>
        <v/>
      </c>
      <c r="C33" s="281" t="str">
        <f>IF(C34*0.1&lt;C32,"Exceed 10% Rule","")</f>
        <v/>
      </c>
      <c r="D33" s="217" t="str">
        <f>IF(D34*0.1&lt;D32,"Exceed 10% Rule","")</f>
        <v/>
      </c>
      <c r="F33" s="540">
        <f>'Budget Hearing Notice'!E52</f>
        <v>0</v>
      </c>
      <c r="G33" s="374" t="str">
        <f>CONCATENATE(D1-1," Total Mill Rate")</f>
        <v>2024 Total Mill Rate</v>
      </c>
      <c r="H33" s="535"/>
      <c r="I33" s="536"/>
    </row>
    <row r="34" spans="1:9" x14ac:dyDescent="0.2">
      <c r="A34" s="198" t="s">
        <v>44</v>
      </c>
      <c r="B34" s="229">
        <f>SUM(B25:B32)</f>
        <v>0</v>
      </c>
      <c r="C34" s="229">
        <f>SUM(C25:C32)</f>
        <v>0</v>
      </c>
      <c r="D34" s="229">
        <f>SUM(D25:D32)</f>
        <v>0</v>
      </c>
      <c r="F34" s="382"/>
      <c r="G34" s="358"/>
      <c r="H34" s="358"/>
      <c r="I34" s="385"/>
    </row>
    <row r="35" spans="1:9" x14ac:dyDescent="0.2">
      <c r="A35" s="98" t="s">
        <v>149</v>
      </c>
      <c r="B35" s="164">
        <f>B23-B34</f>
        <v>0</v>
      </c>
      <c r="C35" s="164">
        <f>C23-C34</f>
        <v>0</v>
      </c>
      <c r="D35" s="212" t="s">
        <v>16</v>
      </c>
      <c r="F35" s="664" t="s">
        <v>571</v>
      </c>
      <c r="G35" s="665"/>
      <c r="H35" s="665"/>
      <c r="I35" s="668" t="str">
        <f>IF(F32&gt;F31, "Yes", "No")</f>
        <v>No</v>
      </c>
    </row>
    <row r="36" spans="1:9" x14ac:dyDescent="0.2">
      <c r="A36" s="120" t="str">
        <f>CONCATENATE("",D1-2,"/",D1-1,"/",D1," Budget Authority Amount:")</f>
        <v>2023/2024/2025 Budget Authority Amount:</v>
      </c>
      <c r="B36" s="214">
        <f>inputOth!B47</f>
        <v>0</v>
      </c>
      <c r="C36" s="214">
        <f>inputPrYr!D32</f>
        <v>0</v>
      </c>
      <c r="D36" s="164">
        <f>D34</f>
        <v>0</v>
      </c>
      <c r="E36" s="206"/>
      <c r="F36" s="666"/>
      <c r="G36" s="667"/>
      <c r="H36" s="667"/>
      <c r="I36" s="669"/>
    </row>
    <row r="37" spans="1:9" x14ac:dyDescent="0.2">
      <c r="A37" s="182"/>
      <c r="B37" s="651" t="s">
        <v>319</v>
      </c>
      <c r="C37" s="652"/>
      <c r="D37" s="51"/>
      <c r="E37" s="303" t="str">
        <f>IF(D34/0.95-D34&lt;D37,"Exceeds 5%","")</f>
        <v/>
      </c>
      <c r="F37" s="670" t="str">
        <f>IF(I35="Yes", "Follow procedure prescribed by KSA 79-2988 to exceed the Revenue Neutral Rate.", " ")</f>
        <v xml:space="preserve"> </v>
      </c>
      <c r="G37" s="670"/>
      <c r="H37" s="670"/>
      <c r="I37" s="670"/>
    </row>
    <row r="38" spans="1:9" x14ac:dyDescent="0.2">
      <c r="A38" s="304" t="str">
        <f>CONCATENATE(B95,"     ",C95)</f>
        <v xml:space="preserve">     </v>
      </c>
      <c r="B38" s="653" t="s">
        <v>320</v>
      </c>
      <c r="C38" s="654"/>
      <c r="D38" s="164">
        <f>D34+D37</f>
        <v>0</v>
      </c>
      <c r="F38" s="671"/>
      <c r="G38" s="671"/>
      <c r="H38" s="671"/>
      <c r="I38" s="671"/>
    </row>
    <row r="39" spans="1:9" x14ac:dyDescent="0.2">
      <c r="A39" s="304" t="str">
        <f>CONCATENATE(B96,"      ",C96)</f>
        <v xml:space="preserve">      </v>
      </c>
      <c r="B39" s="207"/>
      <c r="C39" s="63" t="s">
        <v>45</v>
      </c>
      <c r="D39" s="164">
        <f>IF(D38-D23&gt;0,D38-D23,0)</f>
        <v>0</v>
      </c>
      <c r="F39" s="671"/>
      <c r="G39" s="671"/>
      <c r="H39" s="671"/>
      <c r="I39" s="671"/>
    </row>
    <row r="40" spans="1:9" x14ac:dyDescent="0.25">
      <c r="A40" s="63"/>
      <c r="B40" s="293" t="s">
        <v>321</v>
      </c>
      <c r="C40" s="396">
        <f>inputOth!$E$25</f>
        <v>0</v>
      </c>
      <c r="D40" s="164">
        <f>ROUND(IF(C40&gt;0,(D39*C40),0),0)</f>
        <v>0</v>
      </c>
      <c r="F40" s="371"/>
      <c r="G40" s="371"/>
      <c r="H40" s="371"/>
      <c r="I40" s="371"/>
    </row>
    <row r="41" spans="1:9" x14ac:dyDescent="0.25">
      <c r="A41" s="32"/>
      <c r="B41" s="649" t="str">
        <f>CONCATENATE("Amount of  ",$D$1-1," Ad Valorem Tax")</f>
        <v>Amount of  2024 Ad Valorem Tax</v>
      </c>
      <c r="C41" s="650"/>
      <c r="D41" s="164">
        <f>D39+D40</f>
        <v>0</v>
      </c>
      <c r="F41" s="371"/>
      <c r="G41" s="371"/>
      <c r="H41" s="371"/>
      <c r="I41" s="371"/>
    </row>
    <row r="42" spans="1:9" x14ac:dyDescent="0.25">
      <c r="A42" s="32"/>
      <c r="B42" s="182"/>
      <c r="C42" s="32"/>
      <c r="D42" s="32"/>
      <c r="F42" s="371"/>
      <c r="G42" s="371"/>
      <c r="H42" s="371"/>
      <c r="I42" s="371"/>
    </row>
    <row r="43" spans="1:9" x14ac:dyDescent="0.25">
      <c r="A43" s="32"/>
      <c r="B43" s="182"/>
      <c r="C43" s="32"/>
      <c r="D43" s="32"/>
      <c r="F43" s="371"/>
      <c r="G43" s="371"/>
      <c r="H43" s="371"/>
      <c r="I43" s="371"/>
    </row>
    <row r="44" spans="1:9" x14ac:dyDescent="0.25">
      <c r="A44" s="32"/>
      <c r="B44" s="91"/>
      <c r="C44" s="91"/>
      <c r="D44" s="91"/>
      <c r="F44" s="371"/>
      <c r="G44" s="371"/>
      <c r="H44" s="371"/>
      <c r="I44" s="371"/>
    </row>
    <row r="45" spans="1:9" x14ac:dyDescent="0.25">
      <c r="A45" s="31" t="s">
        <v>30</v>
      </c>
      <c r="B45" s="353" t="str">
        <f t="shared" ref="B45:D46" si="0">B4</f>
        <v xml:space="preserve">Prior Year </v>
      </c>
      <c r="C45" s="354" t="str">
        <f t="shared" si="0"/>
        <v xml:space="preserve">Current Year </v>
      </c>
      <c r="D45" s="95" t="str">
        <f t="shared" si="0"/>
        <v xml:space="preserve">Proposed Budget </v>
      </c>
      <c r="F45" s="371"/>
      <c r="G45" s="371"/>
      <c r="H45" s="371"/>
      <c r="I45" s="371"/>
    </row>
    <row r="46" spans="1:9" x14ac:dyDescent="0.25">
      <c r="A46" s="296">
        <f>inputPrYr!$B$33</f>
        <v>0</v>
      </c>
      <c r="B46" s="283" t="str">
        <f t="shared" si="0"/>
        <v>Actual for 2023</v>
      </c>
      <c r="C46" s="283" t="str">
        <f t="shared" si="0"/>
        <v>Estimate for 2024</v>
      </c>
      <c r="D46" s="162" t="str">
        <f t="shared" si="0"/>
        <v>Year for 2025</v>
      </c>
      <c r="F46" s="371"/>
      <c r="G46" s="371"/>
      <c r="H46" s="371"/>
      <c r="I46" s="371"/>
    </row>
    <row r="47" spans="1:9" x14ac:dyDescent="0.25">
      <c r="A47" s="98" t="s">
        <v>148</v>
      </c>
      <c r="B47" s="300"/>
      <c r="C47" s="282">
        <f>B76</f>
        <v>0</v>
      </c>
      <c r="D47" s="164">
        <f>C76</f>
        <v>0</v>
      </c>
      <c r="F47" s="371"/>
      <c r="G47" s="371"/>
      <c r="H47" s="371"/>
      <c r="I47" s="371"/>
    </row>
    <row r="48" spans="1:9" x14ac:dyDescent="0.25">
      <c r="A48" s="191" t="s">
        <v>150</v>
      </c>
      <c r="B48" s="111"/>
      <c r="C48" s="111"/>
      <c r="D48" s="64"/>
      <c r="F48" s="371"/>
      <c r="G48" s="371"/>
      <c r="H48" s="371"/>
      <c r="I48" s="371"/>
    </row>
    <row r="49" spans="1:10" x14ac:dyDescent="0.25">
      <c r="A49" s="98" t="s">
        <v>31</v>
      </c>
      <c r="B49" s="300"/>
      <c r="C49" s="282">
        <f>inputPrYr!E33</f>
        <v>0</v>
      </c>
      <c r="D49" s="212" t="s">
        <v>16</v>
      </c>
      <c r="F49" s="371"/>
      <c r="G49" s="371"/>
      <c r="H49" s="371"/>
      <c r="I49" s="371"/>
    </row>
    <row r="50" spans="1:10" x14ac:dyDescent="0.25">
      <c r="A50" s="98" t="s">
        <v>32</v>
      </c>
      <c r="B50" s="300"/>
      <c r="C50" s="300"/>
      <c r="D50" s="51"/>
      <c r="F50" s="371"/>
      <c r="G50" s="371"/>
      <c r="H50" s="371"/>
      <c r="I50" s="371"/>
    </row>
    <row r="51" spans="1:10" x14ac:dyDescent="0.2">
      <c r="A51" s="98" t="s">
        <v>33</v>
      </c>
      <c r="B51" s="300"/>
      <c r="C51" s="300"/>
      <c r="D51" s="164" t="str">
        <f>Mvalloc!D24</f>
        <v xml:space="preserve">  </v>
      </c>
      <c r="F51" s="655" t="str">
        <f>CONCATENATE("Desired Carryover Into ",D1+1,"")</f>
        <v>Desired Carryover Into 2026</v>
      </c>
      <c r="G51" s="656"/>
      <c r="H51" s="656"/>
      <c r="I51" s="657"/>
    </row>
    <row r="52" spans="1:10" x14ac:dyDescent="0.2">
      <c r="A52" s="98" t="s">
        <v>34</v>
      </c>
      <c r="B52" s="300"/>
      <c r="C52" s="300"/>
      <c r="D52" s="164" t="str">
        <f>Mvalloc!E24</f>
        <v xml:space="preserve">  </v>
      </c>
      <c r="F52" s="357"/>
      <c r="G52" s="358"/>
      <c r="H52" s="359"/>
      <c r="I52" s="360"/>
    </row>
    <row r="53" spans="1:10" x14ac:dyDescent="0.2">
      <c r="A53" s="111" t="s">
        <v>131</v>
      </c>
      <c r="B53" s="300"/>
      <c r="C53" s="300"/>
      <c r="D53" s="164" t="str">
        <f>Mvalloc!F24</f>
        <v xml:space="preserve">  </v>
      </c>
      <c r="F53" s="361" t="s">
        <v>327</v>
      </c>
      <c r="G53" s="359"/>
      <c r="H53" s="359"/>
      <c r="I53" s="362">
        <v>0</v>
      </c>
    </row>
    <row r="54" spans="1:10" x14ac:dyDescent="0.2">
      <c r="A54" s="191" t="s">
        <v>374</v>
      </c>
      <c r="B54" s="300"/>
      <c r="C54" s="300"/>
      <c r="D54" s="164" t="str">
        <f>Mvalloc!G24</f>
        <v xml:space="preserve"> </v>
      </c>
      <c r="F54" s="357" t="s">
        <v>328</v>
      </c>
      <c r="G54" s="358"/>
      <c r="H54" s="358"/>
      <c r="I54" s="363" t="str">
        <f>IF(I53=0,"",ROUND((I53+D82-F66)/inputOth!E5*1000,3)-F71)</f>
        <v/>
      </c>
    </row>
    <row r="55" spans="1:10" x14ac:dyDescent="0.2">
      <c r="A55" s="191" t="s">
        <v>375</v>
      </c>
      <c r="B55" s="300"/>
      <c r="C55" s="300"/>
      <c r="D55" s="164" t="str">
        <f>Mvalloc!H24</f>
        <v xml:space="preserve"> </v>
      </c>
      <c r="F55" s="364" t="str">
        <f>CONCATENATE("",D1," Tot Exp/Non-Appr Must Be:")</f>
        <v>2025 Tot Exp/Non-Appr Must Be:</v>
      </c>
      <c r="G55" s="365"/>
      <c r="H55" s="366"/>
      <c r="I55" s="367">
        <f>IF(I53&gt;0,IF(D79&lt;D64,IF(I53=F66,D79,((I53-F66)*(1-C81))+D64),D79+(I53-F66)),0)</f>
        <v>0</v>
      </c>
    </row>
    <row r="56" spans="1:10" x14ac:dyDescent="0.2">
      <c r="A56" s="205"/>
      <c r="B56" s="300"/>
      <c r="C56" s="300"/>
      <c r="D56" s="51"/>
      <c r="F56" s="368" t="s">
        <v>349</v>
      </c>
      <c r="G56" s="369"/>
      <c r="H56" s="369"/>
      <c r="I56" s="370">
        <f>IF(I53&gt;0,I55-D79,0)</f>
        <v>0</v>
      </c>
    </row>
    <row r="57" spans="1:10" x14ac:dyDescent="0.25">
      <c r="A57" s="205"/>
      <c r="B57" s="300"/>
      <c r="C57" s="300"/>
      <c r="D57" s="51"/>
      <c r="F57" s="371"/>
      <c r="G57" s="371"/>
      <c r="H57" s="371"/>
      <c r="I57" s="371"/>
    </row>
    <row r="58" spans="1:10" x14ac:dyDescent="0.2">
      <c r="A58" s="205"/>
      <c r="B58" s="300"/>
      <c r="C58" s="300"/>
      <c r="D58" s="51"/>
      <c r="F58" s="655" t="str">
        <f>CONCATENATE("Projected Carryover Into ",D1+1,"")</f>
        <v>Projected Carryover Into 2026</v>
      </c>
      <c r="G58" s="676"/>
      <c r="H58" s="676"/>
      <c r="I58" s="675"/>
    </row>
    <row r="59" spans="1:10" x14ac:dyDescent="0.25">
      <c r="A59" s="195" t="s">
        <v>38</v>
      </c>
      <c r="B59" s="300"/>
      <c r="C59" s="300"/>
      <c r="D59" s="51"/>
      <c r="F59" s="382"/>
      <c r="G59" s="358"/>
      <c r="H59" s="358"/>
      <c r="I59" s="383"/>
    </row>
    <row r="60" spans="1:10" x14ac:dyDescent="0.25">
      <c r="A60" s="196" t="s">
        <v>218</v>
      </c>
      <c r="B60" s="300"/>
      <c r="C60" s="300"/>
      <c r="D60" s="214">
        <f>'NR Rebate'!E22*-1</f>
        <v>0</v>
      </c>
      <c r="F60" s="373">
        <f>C76</f>
        <v>0</v>
      </c>
      <c r="G60" s="374" t="str">
        <f>CONCATENATE("",D1-1," Ending Cash Balance (est.)")</f>
        <v>2024 Ending Cash Balance (est.)</v>
      </c>
      <c r="H60" s="375"/>
      <c r="I60" s="383"/>
    </row>
    <row r="61" spans="1:10" x14ac:dyDescent="0.25">
      <c r="A61" s="196" t="s">
        <v>219</v>
      </c>
      <c r="B61" s="300"/>
      <c r="C61" s="300"/>
      <c r="D61" s="51"/>
      <c r="F61" s="373">
        <f>D63</f>
        <v>0</v>
      </c>
      <c r="G61" s="359" t="str">
        <f>CONCATENATE("",D1," Non-AV Receipts (est.)")</f>
        <v>2025 Non-AV Receipts (est.)</v>
      </c>
      <c r="H61" s="375"/>
      <c r="I61" s="383"/>
    </row>
    <row r="62" spans="1:10" x14ac:dyDescent="0.25">
      <c r="A62" s="196" t="s">
        <v>221</v>
      </c>
      <c r="B62" s="281" t="str">
        <f>IF(B63*0.1&lt;B61,"Exceed 10% Rule","")</f>
        <v/>
      </c>
      <c r="C62" s="281" t="str">
        <f>IF(C63*0.1&lt;C61,"Exceed 10% Rule","")</f>
        <v/>
      </c>
      <c r="D62" s="217" t="str">
        <f>IF(D63*0.1+D82&lt;D61,"Exceed 10% Rule","")</f>
        <v/>
      </c>
      <c r="F62" s="376">
        <f>IF(D81&gt;0,D80,D82)</f>
        <v>0</v>
      </c>
      <c r="G62" s="359" t="str">
        <f>CONCATENATE("",D1," Ad Valorem Tax (est.)")</f>
        <v>2025 Ad Valorem Tax (est.)</v>
      </c>
      <c r="H62" s="375"/>
      <c r="I62" s="383"/>
      <c r="J62" s="394" t="str">
        <f>IF(F62=D82,"","Note: Does not include Delinquent Taxes")</f>
        <v/>
      </c>
    </row>
    <row r="63" spans="1:10" x14ac:dyDescent="0.25">
      <c r="A63" s="198" t="s">
        <v>39</v>
      </c>
      <c r="B63" s="229">
        <f>SUM(B49:B61)</f>
        <v>0</v>
      </c>
      <c r="C63" s="229">
        <f>SUM(C49:C61)</f>
        <v>0</v>
      </c>
      <c r="D63" s="229">
        <f>SUM(D49:D61)</f>
        <v>0</v>
      </c>
      <c r="F63" s="384">
        <f>SUM(F60:F62)</f>
        <v>0</v>
      </c>
      <c r="G63" s="359" t="str">
        <f>CONCATENATE("Total ",D1," Resources Available")</f>
        <v>Total 2025 Resources Available</v>
      </c>
      <c r="H63" s="385"/>
      <c r="I63" s="383"/>
    </row>
    <row r="64" spans="1:10" x14ac:dyDescent="0.25">
      <c r="A64" s="198" t="s">
        <v>40</v>
      </c>
      <c r="B64" s="229">
        <f>B47+B63</f>
        <v>0</v>
      </c>
      <c r="C64" s="229">
        <f>C47+C63</f>
        <v>0</v>
      </c>
      <c r="D64" s="229">
        <f>D47+D63</f>
        <v>0</v>
      </c>
      <c r="F64" s="386"/>
      <c r="G64" s="387"/>
      <c r="H64" s="358"/>
      <c r="I64" s="383"/>
    </row>
    <row r="65" spans="1:9" x14ac:dyDescent="0.25">
      <c r="A65" s="98" t="s">
        <v>43</v>
      </c>
      <c r="B65" s="196"/>
      <c r="C65" s="196"/>
      <c r="D65" s="108"/>
      <c r="F65" s="388">
        <f>ROUND(B75*0.05+B75,0)</f>
        <v>0</v>
      </c>
      <c r="G65" s="359" t="str">
        <f>CONCATENATE("Less ",D1-2," Expenditures + 5%")</f>
        <v>Less 2023 Expenditures + 5%</v>
      </c>
      <c r="H65" s="385"/>
      <c r="I65" s="383"/>
    </row>
    <row r="66" spans="1:9" x14ac:dyDescent="0.25">
      <c r="A66" s="205"/>
      <c r="B66" s="300"/>
      <c r="C66" s="300"/>
      <c r="D66" s="51"/>
      <c r="F66" s="389">
        <f>F63-F65</f>
        <v>0</v>
      </c>
      <c r="G66" s="379" t="str">
        <f>CONCATENATE("Projected ",D1+1," carryover (est.)")</f>
        <v>Projected 2026 carryover (est.)</v>
      </c>
      <c r="H66" s="390"/>
      <c r="I66" s="391"/>
    </row>
    <row r="67" spans="1:9" x14ac:dyDescent="0.25">
      <c r="A67" s="205"/>
      <c r="B67" s="300"/>
      <c r="C67" s="300"/>
      <c r="D67" s="51"/>
      <c r="F67" s="371"/>
      <c r="G67" s="371"/>
      <c r="H67" s="371"/>
      <c r="I67" s="371"/>
    </row>
    <row r="68" spans="1:9" x14ac:dyDescent="0.2">
      <c r="A68" s="205"/>
      <c r="B68" s="300"/>
      <c r="C68" s="300"/>
      <c r="D68" s="51"/>
      <c r="F68" s="658" t="s">
        <v>569</v>
      </c>
      <c r="G68" s="659"/>
      <c r="H68" s="659"/>
      <c r="I68" s="660"/>
    </row>
    <row r="69" spans="1:9" x14ac:dyDescent="0.2">
      <c r="A69" s="205"/>
      <c r="B69" s="300"/>
      <c r="C69" s="300"/>
      <c r="D69" s="51"/>
      <c r="F69" s="661"/>
      <c r="G69" s="662"/>
      <c r="H69" s="662"/>
      <c r="I69" s="663"/>
    </row>
    <row r="70" spans="1:9" x14ac:dyDescent="0.2">
      <c r="A70" s="205"/>
      <c r="B70" s="300"/>
      <c r="C70" s="300"/>
      <c r="D70" s="51"/>
      <c r="F70" s="534" t="str">
        <f>'Budget Hearing Notice'!H32</f>
        <v xml:space="preserve">  </v>
      </c>
      <c r="G70" s="374" t="str">
        <f>CONCATENATE("",D1," Estimated Fund Mill Rate")</f>
        <v>2025 Estimated Fund Mill Rate</v>
      </c>
      <c r="H70" s="535"/>
      <c r="I70" s="536"/>
    </row>
    <row r="71" spans="1:9" x14ac:dyDescent="0.2">
      <c r="A71" s="205"/>
      <c r="B71" s="300"/>
      <c r="C71" s="300"/>
      <c r="D71" s="51"/>
      <c r="F71" s="537" t="str">
        <f>'Budget Hearing Notice'!E32</f>
        <v xml:space="preserve">  </v>
      </c>
      <c r="G71" s="374" t="str">
        <f>CONCATENATE("",D1-1," Fund Mill Rate")</f>
        <v>2024 Fund Mill Rate</v>
      </c>
      <c r="H71" s="535"/>
      <c r="I71" s="536"/>
    </row>
    <row r="72" spans="1:9" x14ac:dyDescent="0.2">
      <c r="A72" s="196" t="str">
        <f>CONCATENATE("Cash Reserve (",D1," column)")</f>
        <v>Cash Reserve (2025 column)</v>
      </c>
      <c r="B72" s="300"/>
      <c r="C72" s="300"/>
      <c r="D72" s="51"/>
      <c r="F72" s="538">
        <f>'Budget Hearing Notice'!H53</f>
        <v>0</v>
      </c>
      <c r="G72" s="539" t="s">
        <v>570</v>
      </c>
      <c r="H72" s="535"/>
      <c r="I72" s="536"/>
    </row>
    <row r="73" spans="1:9" x14ac:dyDescent="0.2">
      <c r="A73" s="196" t="s">
        <v>219</v>
      </c>
      <c r="B73" s="300"/>
      <c r="C73" s="300"/>
      <c r="D73" s="51"/>
      <c r="F73" s="534">
        <f>'Budget Hearing Notice'!H52</f>
        <v>0</v>
      </c>
      <c r="G73" s="374" t="str">
        <f>CONCATENATE(D1," Estimated Total Mill Rate")</f>
        <v>2025 Estimated Total Mill Rate</v>
      </c>
      <c r="H73" s="535"/>
      <c r="I73" s="536"/>
    </row>
    <row r="74" spans="1:9" x14ac:dyDescent="0.2">
      <c r="A74" s="196" t="s">
        <v>220</v>
      </c>
      <c r="B74" s="281" t="str">
        <f>IF(B75*0.1&lt;B73,"Exceed 10% Rule","")</f>
        <v/>
      </c>
      <c r="C74" s="281" t="str">
        <f>IF(C75*0.1&lt;C73,"Exceed 10% Rule","")</f>
        <v/>
      </c>
      <c r="D74" s="217" t="str">
        <f>IF(D75*0.1&lt;D73,"Exceed 10% Rule","")</f>
        <v/>
      </c>
      <c r="F74" s="540">
        <f>'Budget Hearing Notice'!E52</f>
        <v>0</v>
      </c>
      <c r="G74" s="374" t="str">
        <f>CONCATENATE(D1-1," Total Mill Rate")</f>
        <v>2024 Total Mill Rate</v>
      </c>
      <c r="H74" s="535"/>
      <c r="I74" s="536"/>
    </row>
    <row r="75" spans="1:9" x14ac:dyDescent="0.2">
      <c r="A75" s="198" t="s">
        <v>44</v>
      </c>
      <c r="B75" s="229">
        <f>SUM(B66:B73)</f>
        <v>0</v>
      </c>
      <c r="C75" s="229">
        <f>SUM(C66:C73)</f>
        <v>0</v>
      </c>
      <c r="D75" s="229">
        <f>SUM(D66:D73)</f>
        <v>0</v>
      </c>
      <c r="F75" s="382"/>
      <c r="G75" s="358"/>
      <c r="H75" s="358"/>
      <c r="I75" s="385"/>
    </row>
    <row r="76" spans="1:9" x14ac:dyDescent="0.2">
      <c r="A76" s="98" t="s">
        <v>149</v>
      </c>
      <c r="B76" s="214">
        <f>B64-B75</f>
        <v>0</v>
      </c>
      <c r="C76" s="214">
        <f>C64-C75</f>
        <v>0</v>
      </c>
      <c r="D76" s="212" t="s">
        <v>16</v>
      </c>
      <c r="F76" s="664" t="s">
        <v>571</v>
      </c>
      <c r="G76" s="665"/>
      <c r="H76" s="665"/>
      <c r="I76" s="668" t="str">
        <f>IF(F73&gt;F72, "Yes", "No")</f>
        <v>No</v>
      </c>
    </row>
    <row r="77" spans="1:9" x14ac:dyDescent="0.2">
      <c r="A77" s="120" t="str">
        <f>CONCATENATE("",D1-2,"/",D1-1,"/",D1," Budget Authority Amount:")</f>
        <v>2023/2024/2025 Budget Authority Amount:</v>
      </c>
      <c r="B77" s="214">
        <f>inputOth!B48</f>
        <v>0</v>
      </c>
      <c r="C77" s="214">
        <f>inputPrYr!D33</f>
        <v>0</v>
      </c>
      <c r="D77" s="164">
        <f>D75</f>
        <v>0</v>
      </c>
      <c r="E77" s="206"/>
      <c r="F77" s="666"/>
      <c r="G77" s="667"/>
      <c r="H77" s="667"/>
      <c r="I77" s="669"/>
    </row>
    <row r="78" spans="1:9" x14ac:dyDescent="0.2">
      <c r="A78" s="182"/>
      <c r="B78" s="651" t="s">
        <v>319</v>
      </c>
      <c r="C78" s="652"/>
      <c r="D78" s="51"/>
      <c r="E78" s="303" t="str">
        <f>IF(D75/0.95-D75&lt;D78,"Exceeds 5%","")</f>
        <v/>
      </c>
      <c r="F78" s="670" t="str">
        <f>IF(I76="Yes", "Follow procedure prescribed by KSA 79-2988 to exceed the Revenue Neutral Rate.", " ")</f>
        <v xml:space="preserve"> </v>
      </c>
      <c r="G78" s="670"/>
      <c r="H78" s="670"/>
      <c r="I78" s="670"/>
    </row>
    <row r="79" spans="1:9" x14ac:dyDescent="0.2">
      <c r="A79" s="304" t="str">
        <f>CONCATENATE(B97,"      ",C97)</f>
        <v xml:space="preserve">      </v>
      </c>
      <c r="B79" s="653" t="s">
        <v>320</v>
      </c>
      <c r="C79" s="654"/>
      <c r="D79" s="164">
        <f>D75+D78</f>
        <v>0</v>
      </c>
      <c r="F79" s="671"/>
      <c r="G79" s="671"/>
      <c r="H79" s="671"/>
      <c r="I79" s="671"/>
    </row>
    <row r="80" spans="1:9" x14ac:dyDescent="0.2">
      <c r="A80" s="304" t="str">
        <f>CONCATENATE(B98,"      ",C98)</f>
        <v xml:space="preserve">      </v>
      </c>
      <c r="B80" s="207"/>
      <c r="C80" s="63" t="s">
        <v>45</v>
      </c>
      <c r="D80" s="214">
        <f>IF(D79-D64&gt;0,D79-D64,0)</f>
        <v>0</v>
      </c>
      <c r="F80" s="671"/>
      <c r="G80" s="671"/>
      <c r="H80" s="671"/>
      <c r="I80" s="671"/>
    </row>
    <row r="81" spans="1:4" x14ac:dyDescent="0.2">
      <c r="A81" s="63"/>
      <c r="B81" s="293" t="s">
        <v>321</v>
      </c>
      <c r="C81" s="396">
        <f>inputOth!$E$25</f>
        <v>0</v>
      </c>
      <c r="D81" s="164">
        <f>ROUND(IF(C81&gt;0,(D80*C81),0),0)</f>
        <v>0</v>
      </c>
    </row>
    <row r="82" spans="1:4" x14ac:dyDescent="0.2">
      <c r="A82" s="32"/>
      <c r="B82" s="649" t="str">
        <f>CONCATENATE("Amount of  ",$D$1-1," Ad Valorem Tax")</f>
        <v>Amount of  2024 Ad Valorem Tax</v>
      </c>
      <c r="C82" s="650"/>
      <c r="D82" s="214">
        <f>D80+D81</f>
        <v>0</v>
      </c>
    </row>
    <row r="83" spans="1:4" x14ac:dyDescent="0.2">
      <c r="A83" s="32"/>
      <c r="B83" s="182"/>
      <c r="C83" s="182"/>
      <c r="D83" s="182"/>
    </row>
    <row r="84" spans="1:4" x14ac:dyDescent="0.2">
      <c r="A84" s="446" t="s">
        <v>380</v>
      </c>
      <c r="B84" s="456"/>
      <c r="C84" s="456"/>
      <c r="D84" s="457"/>
    </row>
    <row r="85" spans="1:4" x14ac:dyDescent="0.2">
      <c r="A85" s="183"/>
      <c r="B85" s="182"/>
      <c r="C85" s="182"/>
      <c r="D85" s="458"/>
    </row>
    <row r="86" spans="1:4" x14ac:dyDescent="0.2">
      <c r="A86" s="447"/>
      <c r="B86" s="461"/>
      <c r="C86" s="461"/>
      <c r="D86" s="462"/>
    </row>
    <row r="87" spans="1:4" x14ac:dyDescent="0.2">
      <c r="A87" s="32"/>
      <c r="B87" s="182"/>
      <c r="C87" s="182"/>
      <c r="D87" s="182"/>
    </row>
    <row r="88" spans="1:4" x14ac:dyDescent="0.2">
      <c r="A88" s="182" t="s">
        <v>96</v>
      </c>
      <c r="B88" s="428"/>
      <c r="C88" s="32"/>
      <c r="D88" s="32"/>
    </row>
    <row r="90" spans="1:4" hidden="1" x14ac:dyDescent="0.2"/>
    <row r="91" spans="1:4" hidden="1" x14ac:dyDescent="0.2"/>
    <row r="92" spans="1:4" hidden="1" x14ac:dyDescent="0.2"/>
    <row r="93" spans="1:4" hidden="1" x14ac:dyDescent="0.2"/>
    <row r="95" spans="1:4" x14ac:dyDescent="0.2">
      <c r="B95" s="27" t="str">
        <f>IF(B34&gt;B36,"See Tab A","")</f>
        <v/>
      </c>
      <c r="C95" s="27" t="str">
        <f>IF(C34&gt;C36,"See Tab C","")</f>
        <v/>
      </c>
    </row>
    <row r="96" spans="1:4" x14ac:dyDescent="0.2">
      <c r="B96" s="27" t="str">
        <f>IF(B35&lt;0,"See Tab B","")</f>
        <v/>
      </c>
      <c r="C96" s="27" t="str">
        <f>IF(C35&lt;0,"See Tab D","")</f>
        <v/>
      </c>
    </row>
    <row r="97" spans="2:3" x14ac:dyDescent="0.2">
      <c r="B97" s="27" t="str">
        <f>IF(B75&gt;B77,"See Tab A","")</f>
        <v/>
      </c>
      <c r="C97" s="27" t="str">
        <f>IF(C75&gt;C77,"See Tab C","")</f>
        <v/>
      </c>
    </row>
    <row r="98" spans="2:3" x14ac:dyDescent="0.2">
      <c r="B98" s="27" t="str">
        <f>IF(B76&lt;0,"See Tab B","")</f>
        <v/>
      </c>
      <c r="C98" s="27" t="str">
        <f>IF(C76&lt;0,"See Tab D","")</f>
        <v/>
      </c>
    </row>
  </sheetData>
  <sheetProtection sheet="1"/>
  <mergeCells count="18">
    <mergeCell ref="B82:C82"/>
    <mergeCell ref="B41:C41"/>
    <mergeCell ref="F27:I28"/>
    <mergeCell ref="F35:H36"/>
    <mergeCell ref="I35:I36"/>
    <mergeCell ref="F37:I39"/>
    <mergeCell ref="F68:I69"/>
    <mergeCell ref="F76:H77"/>
    <mergeCell ref="I76:I77"/>
    <mergeCell ref="B37:C37"/>
    <mergeCell ref="B38:C38"/>
    <mergeCell ref="B78:C78"/>
    <mergeCell ref="B79:C79"/>
    <mergeCell ref="F10:I10"/>
    <mergeCell ref="F17:I17"/>
    <mergeCell ref="F51:I51"/>
    <mergeCell ref="F58:I58"/>
    <mergeCell ref="F78:I80"/>
  </mergeCells>
  <phoneticPr fontId="0" type="noConversion"/>
  <conditionalFormatting sqref="B20">
    <cfRule type="cellIs" dxfId="174" priority="16" stopIfTrue="1" operator="greaterThan">
      <formula>$B$22*0.1</formula>
    </cfRule>
  </conditionalFormatting>
  <conditionalFormatting sqref="B32">
    <cfRule type="cellIs" dxfId="173" priority="26" stopIfTrue="1" operator="greaterThan">
      <formula>$B$34*0.1</formula>
    </cfRule>
  </conditionalFormatting>
  <conditionalFormatting sqref="B34">
    <cfRule type="cellIs" dxfId="172" priority="4" stopIfTrue="1" operator="greaterThan">
      <formula>$B$36</formula>
    </cfRule>
  </conditionalFormatting>
  <conditionalFormatting sqref="B61">
    <cfRule type="cellIs" dxfId="171" priority="25" stopIfTrue="1" operator="greaterThan">
      <formula>$B$63*0.1</formula>
    </cfRule>
  </conditionalFormatting>
  <conditionalFormatting sqref="B73">
    <cfRule type="cellIs" dxfId="170" priority="22" stopIfTrue="1" operator="greaterThan">
      <formula>$B$75*0.1</formula>
    </cfRule>
  </conditionalFormatting>
  <conditionalFormatting sqref="B75">
    <cfRule type="cellIs" dxfId="169" priority="8" stopIfTrue="1" operator="greaterThan">
      <formula>$B$77</formula>
    </cfRule>
  </conditionalFormatting>
  <conditionalFormatting sqref="B35:C35">
    <cfRule type="cellIs" dxfId="168" priority="1" stopIfTrue="1" operator="lessThan">
      <formula>0</formula>
    </cfRule>
  </conditionalFormatting>
  <conditionalFormatting sqref="B76:C76">
    <cfRule type="cellIs" dxfId="167" priority="5" stopIfTrue="1" operator="lessThan">
      <formula>0</formula>
    </cfRule>
  </conditionalFormatting>
  <conditionalFormatting sqref="C20">
    <cfRule type="cellIs" dxfId="166" priority="17" stopIfTrue="1" operator="greaterThan">
      <formula>$C$22*0.1</formula>
    </cfRule>
  </conditionalFormatting>
  <conditionalFormatting sqref="C32">
    <cfRule type="cellIs" dxfId="165" priority="27" stopIfTrue="1" operator="greaterThan">
      <formula>$C$34*0.1</formula>
    </cfRule>
  </conditionalFormatting>
  <conditionalFormatting sqref="C34">
    <cfRule type="cellIs" dxfId="164" priority="3" stopIfTrue="1" operator="greaterThan">
      <formula>$C$36</formula>
    </cfRule>
  </conditionalFormatting>
  <conditionalFormatting sqref="C61">
    <cfRule type="cellIs" dxfId="163" priority="24" stopIfTrue="1" operator="greaterThan">
      <formula>$C$63*0.1</formula>
    </cfRule>
  </conditionalFormatting>
  <conditionalFormatting sqref="C73">
    <cfRule type="cellIs" dxfId="162" priority="23" stopIfTrue="1" operator="greaterThan">
      <formula>$C$75*0.1</formula>
    </cfRule>
  </conditionalFormatting>
  <conditionalFormatting sqref="C75">
    <cfRule type="cellIs" dxfId="161" priority="7" stopIfTrue="1" operator="greaterThan">
      <formula>$C$77</formula>
    </cfRule>
  </conditionalFormatting>
  <conditionalFormatting sqref="D20">
    <cfRule type="cellIs" dxfId="160" priority="20" stopIfTrue="1" operator="greaterThan">
      <formula>$D$22*0.1+D41</formula>
    </cfRule>
  </conditionalFormatting>
  <conditionalFormatting sqref="D32">
    <cfRule type="cellIs" dxfId="159" priority="18" stopIfTrue="1" operator="greaterThan">
      <formula>$D$34*0.1</formula>
    </cfRule>
  </conditionalFormatting>
  <conditionalFormatting sqref="D37">
    <cfRule type="cellIs" dxfId="158" priority="13" stopIfTrue="1" operator="greaterThan">
      <formula>$D$34/0.95-$D$34</formula>
    </cfRule>
  </conditionalFormatting>
  <conditionalFormatting sqref="D61">
    <cfRule type="cellIs" dxfId="157" priority="21" stopIfTrue="1" operator="greaterThan">
      <formula>$D$63*0.1+D82</formula>
    </cfRule>
  </conditionalFormatting>
  <conditionalFormatting sqref="D73">
    <cfRule type="cellIs" dxfId="156" priority="15" stopIfTrue="1" operator="greaterThan">
      <formula>$D$75*0.1</formula>
    </cfRule>
  </conditionalFormatting>
  <conditionalFormatting sqref="D78">
    <cfRule type="cellIs" dxfId="155" priority="14" stopIfTrue="1" operator="greaterThan">
      <formula>$D$75/0.95-$D$75</formula>
    </cfRule>
  </conditionalFormatting>
  <conditionalFormatting sqref="I35">
    <cfRule type="containsText" dxfId="154" priority="10" operator="containsText" text="Yes">
      <formula>NOT(ISERROR(SEARCH("Yes",I35)))</formula>
    </cfRule>
  </conditionalFormatting>
  <conditionalFormatting sqref="I76">
    <cfRule type="containsText" dxfId="153" priority="9" operator="containsText" text="Yes">
      <formula>NOT(ISERROR(SEARCH("Yes",I76)))</formula>
    </cfRule>
  </conditionalFormatting>
  <pageMargins left="1.1200000000000001" right="0.5" top="0.74" bottom="0.34" header="0.5" footer="0"/>
  <pageSetup scale="57" orientation="portrait" blackAndWhite="1" horizontalDpi="120" verticalDpi="144" r:id="rId1"/>
  <headerFooter alignWithMargins="0">
    <oddHeader xml:space="preserve">&amp;RState of Kansas
County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tabColor rgb="FF00B0F0"/>
    <pageSetUpPr fitToPage="1"/>
  </sheetPr>
  <dimension ref="A1:J98"/>
  <sheetViews>
    <sheetView zoomScaleNormal="100" workbookViewId="0">
      <selection activeCell="B73" sqref="B73:D73"/>
    </sheetView>
  </sheetViews>
  <sheetFormatPr defaultRowHeight="15.75" x14ac:dyDescent="0.2"/>
  <cols>
    <col min="1" max="1" width="31.109375" style="27" customWidth="1"/>
    <col min="2" max="3" width="15.77734375" style="27" customWidth="1"/>
    <col min="4" max="4" width="16.33203125" style="27" customWidth="1"/>
    <col min="5" max="5" width="8.88671875" style="27"/>
    <col min="6" max="6" width="10.21875" style="27" customWidth="1"/>
    <col min="7" max="7" width="8.88671875" style="27"/>
    <col min="8" max="8" width="5.77734375" style="27" customWidth="1"/>
    <col min="9" max="9" width="10" style="27" customWidth="1"/>
    <col min="10" max="16384" width="8.88671875" style="27"/>
  </cols>
  <sheetData>
    <row r="1" spans="1:9" x14ac:dyDescent="0.2">
      <c r="A1" s="73">
        <f>inputPrYr!C3</f>
        <v>0</v>
      </c>
      <c r="B1" s="32"/>
      <c r="C1" s="32"/>
      <c r="D1" s="182">
        <f>inputPrYr!C5</f>
        <v>2025</v>
      </c>
    </row>
    <row r="2" spans="1:9" x14ac:dyDescent="0.2">
      <c r="A2" s="133"/>
      <c r="B2" s="208"/>
      <c r="C2" s="208"/>
      <c r="D2" s="209"/>
    </row>
    <row r="3" spans="1:9" x14ac:dyDescent="0.2">
      <c r="A3" s="302" t="s">
        <v>138</v>
      </c>
      <c r="B3" s="91"/>
      <c r="C3" s="91"/>
      <c r="D3" s="91"/>
    </row>
    <row r="4" spans="1:9" x14ac:dyDescent="0.2">
      <c r="A4" s="31" t="s">
        <v>30</v>
      </c>
      <c r="B4" s="353" t="s">
        <v>346</v>
      </c>
      <c r="C4" s="354" t="s">
        <v>347</v>
      </c>
      <c r="D4" s="95" t="s">
        <v>348</v>
      </c>
    </row>
    <row r="5" spans="1:9" x14ac:dyDescent="0.2">
      <c r="A5" s="296">
        <f>inputPrYr!$B$34</f>
        <v>0</v>
      </c>
      <c r="B5" s="283" t="str">
        <f>CONCATENATE("Actual for ",D1-2,"")</f>
        <v>Actual for 2023</v>
      </c>
      <c r="C5" s="283" t="str">
        <f>CONCATENATE("Estimate for ",D1-1,"")</f>
        <v>Estimate for 2024</v>
      </c>
      <c r="D5" s="190" t="str">
        <f>CONCATENATE("Year for ",D1,"")</f>
        <v>Year for 2025</v>
      </c>
    </row>
    <row r="6" spans="1:9" x14ac:dyDescent="0.2">
      <c r="A6" s="98" t="s">
        <v>148</v>
      </c>
      <c r="B6" s="300"/>
      <c r="C6" s="282">
        <f>B35</f>
        <v>0</v>
      </c>
      <c r="D6" s="164">
        <f>C35</f>
        <v>0</v>
      </c>
    </row>
    <row r="7" spans="1:9" x14ac:dyDescent="0.2">
      <c r="A7" s="184" t="s">
        <v>150</v>
      </c>
      <c r="B7" s="111"/>
      <c r="C7" s="111"/>
      <c r="D7" s="64"/>
    </row>
    <row r="8" spans="1:9" x14ac:dyDescent="0.2">
      <c r="A8" s="98" t="s">
        <v>31</v>
      </c>
      <c r="B8" s="300"/>
      <c r="C8" s="282">
        <f>inputPrYr!E34</f>
        <v>0</v>
      </c>
      <c r="D8" s="212" t="s">
        <v>16</v>
      </c>
    </row>
    <row r="9" spans="1:9" x14ac:dyDescent="0.2">
      <c r="A9" s="98" t="s">
        <v>32</v>
      </c>
      <c r="B9" s="300"/>
      <c r="C9" s="300"/>
      <c r="D9" s="51"/>
    </row>
    <row r="10" spans="1:9" x14ac:dyDescent="0.2">
      <c r="A10" s="98" t="s">
        <v>33</v>
      </c>
      <c r="B10" s="300"/>
      <c r="C10" s="300"/>
      <c r="D10" s="164" t="str">
        <f>Mvalloc!D25</f>
        <v xml:space="preserve">  </v>
      </c>
      <c r="F10" s="655" t="str">
        <f>CONCATENATE("Desired Carryover Into ",D1+1,"")</f>
        <v>Desired Carryover Into 2026</v>
      </c>
      <c r="G10" s="656"/>
      <c r="H10" s="656"/>
      <c r="I10" s="657"/>
    </row>
    <row r="11" spans="1:9" x14ac:dyDescent="0.2">
      <c r="A11" s="98" t="s">
        <v>34</v>
      </c>
      <c r="B11" s="300"/>
      <c r="C11" s="300"/>
      <c r="D11" s="164" t="str">
        <f>Mvalloc!E25</f>
        <v xml:space="preserve">  </v>
      </c>
      <c r="F11" s="357"/>
      <c r="G11" s="358"/>
      <c r="H11" s="359"/>
      <c r="I11" s="360"/>
    </row>
    <row r="12" spans="1:9" x14ac:dyDescent="0.2">
      <c r="A12" s="111" t="s">
        <v>131</v>
      </c>
      <c r="B12" s="300"/>
      <c r="C12" s="300"/>
      <c r="D12" s="164" t="str">
        <f>Mvalloc!F25</f>
        <v xml:space="preserve">  </v>
      </c>
      <c r="F12" s="361" t="s">
        <v>327</v>
      </c>
      <c r="G12" s="359"/>
      <c r="H12" s="359"/>
      <c r="I12" s="362">
        <v>0</v>
      </c>
    </row>
    <row r="13" spans="1:9" x14ac:dyDescent="0.2">
      <c r="A13" s="191" t="s">
        <v>374</v>
      </c>
      <c r="B13" s="300"/>
      <c r="C13" s="300"/>
      <c r="D13" s="164" t="str">
        <f>Mvalloc!G25</f>
        <v xml:space="preserve"> </v>
      </c>
      <c r="F13" s="357" t="s">
        <v>328</v>
      </c>
      <c r="G13" s="358"/>
      <c r="H13" s="358"/>
      <c r="I13" s="363" t="str">
        <f>IF(I12=0,"",ROUND((I12+D41-F25)/inputOth!E5*1000,3)-F30)</f>
        <v/>
      </c>
    </row>
    <row r="14" spans="1:9" x14ac:dyDescent="0.2">
      <c r="A14" s="191" t="s">
        <v>375</v>
      </c>
      <c r="B14" s="300"/>
      <c r="C14" s="300"/>
      <c r="D14" s="164" t="str">
        <f>Mvalloc!H25</f>
        <v xml:space="preserve"> </v>
      </c>
      <c r="F14" s="364" t="str">
        <f>CONCATENATE("",D1," Tot Exp/Non-Appr Must Be:")</f>
        <v>2025 Tot Exp/Non-Appr Must Be:</v>
      </c>
      <c r="G14" s="365"/>
      <c r="H14" s="366"/>
      <c r="I14" s="367">
        <f>IF(I12&gt;0,IF(D38&lt;D23,IF(I12=F25,D38,((I12-F25)*(1-C40))+D23),D38+(I12-F25)),0)</f>
        <v>0</v>
      </c>
    </row>
    <row r="15" spans="1:9" x14ac:dyDescent="0.2">
      <c r="A15" s="205"/>
      <c r="B15" s="300"/>
      <c r="C15" s="300"/>
      <c r="D15" s="51"/>
      <c r="F15" s="368" t="s">
        <v>349</v>
      </c>
      <c r="G15" s="369"/>
      <c r="H15" s="369"/>
      <c r="I15" s="370">
        <f>IF(I12&gt;0,I14-D38,0)</f>
        <v>0</v>
      </c>
    </row>
    <row r="16" spans="1:9" x14ac:dyDescent="0.25">
      <c r="A16" s="205"/>
      <c r="B16" s="300"/>
      <c r="C16" s="300"/>
      <c r="D16" s="51"/>
      <c r="F16" s="371"/>
      <c r="G16" s="371"/>
      <c r="H16" s="371"/>
      <c r="I16" s="371"/>
    </row>
    <row r="17" spans="1:10" x14ac:dyDescent="0.2">
      <c r="A17" s="205"/>
      <c r="B17" s="300"/>
      <c r="C17" s="300"/>
      <c r="D17" s="51"/>
      <c r="F17" s="655" t="str">
        <f>CONCATENATE("Projected Carryover Into ",D1+1,"")</f>
        <v>Projected Carryover Into 2026</v>
      </c>
      <c r="G17" s="674"/>
      <c r="H17" s="674"/>
      <c r="I17" s="675"/>
    </row>
    <row r="18" spans="1:10" x14ac:dyDescent="0.2">
      <c r="A18" s="195" t="s">
        <v>38</v>
      </c>
      <c r="B18" s="300"/>
      <c r="C18" s="300"/>
      <c r="D18" s="51"/>
      <c r="F18" s="357"/>
      <c r="G18" s="359"/>
      <c r="H18" s="359"/>
      <c r="I18" s="372"/>
    </row>
    <row r="19" spans="1:10" x14ac:dyDescent="0.2">
      <c r="A19" s="196" t="s">
        <v>218</v>
      </c>
      <c r="B19" s="300"/>
      <c r="C19" s="300"/>
      <c r="D19" s="164">
        <f>'NR Rebate'!E23*-1</f>
        <v>0</v>
      </c>
      <c r="F19" s="373">
        <f>C35</f>
        <v>0</v>
      </c>
      <c r="G19" s="374" t="str">
        <f>CONCATENATE("",D1-1," Ending Cash Balance (est.)")</f>
        <v>2024 Ending Cash Balance (est.)</v>
      </c>
      <c r="H19" s="375"/>
      <c r="I19" s="372"/>
    </row>
    <row r="20" spans="1:10" x14ac:dyDescent="0.2">
      <c r="A20" s="196" t="s">
        <v>219</v>
      </c>
      <c r="B20" s="300"/>
      <c r="C20" s="300"/>
      <c r="D20" s="51"/>
      <c r="F20" s="373">
        <f>D22</f>
        <v>0</v>
      </c>
      <c r="G20" s="359" t="str">
        <f>CONCATENATE("",D1," Non-AV Receipts (est.)")</f>
        <v>2025 Non-AV Receipts (est.)</v>
      </c>
      <c r="H20" s="375"/>
      <c r="I20" s="372"/>
    </row>
    <row r="21" spans="1:10" x14ac:dyDescent="0.2">
      <c r="A21" s="196" t="s">
        <v>221</v>
      </c>
      <c r="B21" s="281" t="str">
        <f>IF(B22*0.1&lt;B20,"Exceed 10% Rule","")</f>
        <v/>
      </c>
      <c r="C21" s="281" t="str">
        <f>IF(C22*0.1&lt;C20,"Exceed 10% Rule","")</f>
        <v/>
      </c>
      <c r="D21" s="217" t="str">
        <f>IF(D22*0.1+D41&lt;D20,"Exceed 10% Rule","")</f>
        <v/>
      </c>
      <c r="F21" s="376">
        <f>IF(D40&gt;0,D39,D41)</f>
        <v>0</v>
      </c>
      <c r="G21" s="359" t="str">
        <f>CONCATENATE("",D1," Ad Valorem Tax (est.)")</f>
        <v>2025 Ad Valorem Tax (est.)</v>
      </c>
      <c r="H21" s="375"/>
      <c r="I21" s="372"/>
      <c r="J21" s="394" t="str">
        <f>IF(F21=D41,"","Note: Does not include Delinquent Taxes")</f>
        <v/>
      </c>
    </row>
    <row r="22" spans="1:10" x14ac:dyDescent="0.2">
      <c r="A22" s="198" t="s">
        <v>39</v>
      </c>
      <c r="B22" s="229">
        <f>SUM(B8:B20)</f>
        <v>0</v>
      </c>
      <c r="C22" s="229">
        <f>SUM(C8:C20)</f>
        <v>0</v>
      </c>
      <c r="D22" s="229">
        <f>SUM(D8:D20)</f>
        <v>0</v>
      </c>
      <c r="F22" s="373">
        <f>SUM(F19:F21)</f>
        <v>0</v>
      </c>
      <c r="G22" s="359" t="str">
        <f>CONCATENATE("Total ",D1," Resources Available")</f>
        <v>Total 2025 Resources Available</v>
      </c>
      <c r="H22" s="375"/>
      <c r="I22" s="372"/>
    </row>
    <row r="23" spans="1:10" x14ac:dyDescent="0.2">
      <c r="A23" s="198" t="s">
        <v>40</v>
      </c>
      <c r="B23" s="229">
        <f>B6+B22</f>
        <v>0</v>
      </c>
      <c r="C23" s="229">
        <f>C6+C22</f>
        <v>0</v>
      </c>
      <c r="D23" s="229">
        <f>D6+D22</f>
        <v>0</v>
      </c>
      <c r="F23" s="377"/>
      <c r="G23" s="359"/>
      <c r="H23" s="359"/>
      <c r="I23" s="372"/>
    </row>
    <row r="24" spans="1:10" x14ac:dyDescent="0.25">
      <c r="A24" s="98" t="s">
        <v>43</v>
      </c>
      <c r="B24" s="196"/>
      <c r="C24" s="196"/>
      <c r="D24" s="108"/>
      <c r="F24" s="376">
        <f>ROUND(B34*0.05+B34,0)</f>
        <v>0</v>
      </c>
      <c r="G24" s="359" t="str">
        <f>CONCATENATE("Less ",D1-2," Expenditures + 5%")</f>
        <v>Less 2023 Expenditures + 5%</v>
      </c>
      <c r="H24" s="375"/>
      <c r="I24" s="383"/>
    </row>
    <row r="25" spans="1:10" x14ac:dyDescent="0.2">
      <c r="A25" s="205"/>
      <c r="B25" s="300"/>
      <c r="C25" s="300"/>
      <c r="D25" s="51"/>
      <c r="F25" s="378">
        <f>F22-F24</f>
        <v>0</v>
      </c>
      <c r="G25" s="379" t="str">
        <f>CONCATENATE("Projected ",D1+1," carryover (est.)")</f>
        <v>Projected 2026 carryover (est.)</v>
      </c>
      <c r="H25" s="380"/>
      <c r="I25" s="381"/>
    </row>
    <row r="26" spans="1:10" x14ac:dyDescent="0.25">
      <c r="A26" s="205"/>
      <c r="B26" s="300"/>
      <c r="C26" s="300"/>
      <c r="D26" s="51"/>
      <c r="F26" s="371"/>
      <c r="G26" s="371"/>
      <c r="H26" s="371"/>
      <c r="I26" s="371"/>
    </row>
    <row r="27" spans="1:10" x14ac:dyDescent="0.2">
      <c r="A27" s="205"/>
      <c r="B27" s="300"/>
      <c r="C27" s="300"/>
      <c r="D27" s="51"/>
      <c r="F27" s="658" t="s">
        <v>569</v>
      </c>
      <c r="G27" s="659"/>
      <c r="H27" s="659"/>
      <c r="I27" s="660"/>
    </row>
    <row r="28" spans="1:10" x14ac:dyDescent="0.2">
      <c r="A28" s="205"/>
      <c r="B28" s="300"/>
      <c r="C28" s="300"/>
      <c r="D28" s="51"/>
      <c r="F28" s="661"/>
      <c r="G28" s="662"/>
      <c r="H28" s="662"/>
      <c r="I28" s="663"/>
    </row>
    <row r="29" spans="1:10" x14ac:dyDescent="0.2">
      <c r="A29" s="205"/>
      <c r="B29" s="300"/>
      <c r="C29" s="300"/>
      <c r="D29" s="51"/>
      <c r="F29" s="534" t="str">
        <f>'Budget Hearing Notice'!H33</f>
        <v xml:space="preserve">  </v>
      </c>
      <c r="G29" s="374" t="str">
        <f>CONCATENATE("",D1," Estimated Fund Mill Rate")</f>
        <v>2025 Estimated Fund Mill Rate</v>
      </c>
      <c r="H29" s="535"/>
      <c r="I29" s="536"/>
    </row>
    <row r="30" spans="1:10" x14ac:dyDescent="0.2">
      <c r="A30" s="205"/>
      <c r="B30" s="300"/>
      <c r="C30" s="300"/>
      <c r="D30" s="51"/>
      <c r="F30" s="537" t="str">
        <f>'Budget Hearing Notice'!E33</f>
        <v xml:space="preserve">  </v>
      </c>
      <c r="G30" s="374" t="str">
        <f>CONCATENATE("",D1-1," Fund Mill Rate")</f>
        <v>2024 Fund Mill Rate</v>
      </c>
      <c r="H30" s="535"/>
      <c r="I30" s="536"/>
    </row>
    <row r="31" spans="1:10" x14ac:dyDescent="0.2">
      <c r="A31" s="196" t="str">
        <f>CONCATENATE("Cash Reserve (",D1," column)")</f>
        <v>Cash Reserve (2025 column)</v>
      </c>
      <c r="B31" s="300"/>
      <c r="C31" s="300"/>
      <c r="D31" s="51"/>
      <c r="F31" s="538">
        <f>'Budget Hearing Notice'!H53</f>
        <v>0</v>
      </c>
      <c r="G31" s="539" t="s">
        <v>570</v>
      </c>
      <c r="H31" s="535"/>
      <c r="I31" s="536"/>
    </row>
    <row r="32" spans="1:10" x14ac:dyDescent="0.2">
      <c r="A32" s="196" t="s">
        <v>219</v>
      </c>
      <c r="B32" s="300"/>
      <c r="C32" s="300"/>
      <c r="D32" s="51"/>
      <c r="F32" s="534">
        <f>'Budget Hearing Notice'!H52</f>
        <v>0</v>
      </c>
      <c r="G32" s="374" t="str">
        <f>CONCATENATE(D1," Estimated Total Mill Rate")</f>
        <v>2025 Estimated Total Mill Rate</v>
      </c>
      <c r="H32" s="535"/>
      <c r="I32" s="536"/>
    </row>
    <row r="33" spans="1:9" x14ac:dyDescent="0.2">
      <c r="A33" s="196" t="s">
        <v>220</v>
      </c>
      <c r="B33" s="281" t="str">
        <f>IF(B34*0.1&lt;B32,"Exceed 10% Rule","")</f>
        <v/>
      </c>
      <c r="C33" s="281" t="str">
        <f>IF(C34*0.1&lt;C32,"Exceed 10% Rule","")</f>
        <v/>
      </c>
      <c r="D33" s="217" t="str">
        <f>IF(D34*0.1&lt;D32,"Exceed 10% Rule","")</f>
        <v/>
      </c>
      <c r="F33" s="540">
        <f>'Budget Hearing Notice'!E52</f>
        <v>0</v>
      </c>
      <c r="G33" s="374" t="str">
        <f>CONCATENATE(D1-1," Total Mill Rate")</f>
        <v>2024 Total Mill Rate</v>
      </c>
      <c r="H33" s="535"/>
      <c r="I33" s="536"/>
    </row>
    <row r="34" spans="1:9" x14ac:dyDescent="0.2">
      <c r="A34" s="198" t="s">
        <v>44</v>
      </c>
      <c r="B34" s="229">
        <f>SUM(B25:B32)</f>
        <v>0</v>
      </c>
      <c r="C34" s="229">
        <f>SUM(C25:C32)</f>
        <v>0</v>
      </c>
      <c r="D34" s="229">
        <f>SUM(D25:D32)</f>
        <v>0</v>
      </c>
      <c r="F34" s="382"/>
      <c r="G34" s="358"/>
      <c r="H34" s="358"/>
      <c r="I34" s="385"/>
    </row>
    <row r="35" spans="1:9" x14ac:dyDescent="0.2">
      <c r="A35" s="98" t="s">
        <v>149</v>
      </c>
      <c r="B35" s="164">
        <f>B23-B34</f>
        <v>0</v>
      </c>
      <c r="C35" s="164">
        <f>C23-C34</f>
        <v>0</v>
      </c>
      <c r="D35" s="212" t="s">
        <v>16</v>
      </c>
      <c r="F35" s="664" t="s">
        <v>571</v>
      </c>
      <c r="G35" s="665"/>
      <c r="H35" s="665"/>
      <c r="I35" s="668" t="str">
        <f>IF(F32&gt;F31, "Yes", "No")</f>
        <v>No</v>
      </c>
    </row>
    <row r="36" spans="1:9" x14ac:dyDescent="0.2">
      <c r="A36" s="120" t="str">
        <f>CONCATENATE("",D1-2,"/",D1-1,"/",D1," Budget Authority Amount:")</f>
        <v>2023/2024/2025 Budget Authority Amount:</v>
      </c>
      <c r="B36" s="214">
        <f>inputOth!B49</f>
        <v>0</v>
      </c>
      <c r="C36" s="214">
        <f>inputPrYr!D34</f>
        <v>0</v>
      </c>
      <c r="D36" s="164">
        <f>D34</f>
        <v>0</v>
      </c>
      <c r="E36" s="206"/>
      <c r="F36" s="666"/>
      <c r="G36" s="667"/>
      <c r="H36" s="667"/>
      <c r="I36" s="669"/>
    </row>
    <row r="37" spans="1:9" x14ac:dyDescent="0.2">
      <c r="A37" s="182"/>
      <c r="B37" s="651" t="s">
        <v>319</v>
      </c>
      <c r="C37" s="652"/>
      <c r="D37" s="51"/>
      <c r="E37" s="303" t="str">
        <f>IF(D34/0.95-D34&lt;D37,"Exceeds 5%","")</f>
        <v/>
      </c>
      <c r="F37" s="670" t="str">
        <f>IF(I35="Yes", "Follow procedure prescribed by KSA 79-2988 to exceed the Revenue Neutral Rate.", " ")</f>
        <v xml:space="preserve"> </v>
      </c>
      <c r="G37" s="670"/>
      <c r="H37" s="670"/>
      <c r="I37" s="670"/>
    </row>
    <row r="38" spans="1:9" x14ac:dyDescent="0.2">
      <c r="A38" s="304" t="str">
        <f>CONCATENATE(B95,"     ",C95)</f>
        <v xml:space="preserve">     </v>
      </c>
      <c r="B38" s="653" t="s">
        <v>320</v>
      </c>
      <c r="C38" s="654"/>
      <c r="D38" s="164">
        <f>D34+D37</f>
        <v>0</v>
      </c>
      <c r="F38" s="671"/>
      <c r="G38" s="671"/>
      <c r="H38" s="671"/>
      <c r="I38" s="671"/>
    </row>
    <row r="39" spans="1:9" x14ac:dyDescent="0.2">
      <c r="A39" s="304" t="str">
        <f>CONCATENATE(B96,"      ",C96)</f>
        <v xml:space="preserve">      </v>
      </c>
      <c r="B39" s="207"/>
      <c r="C39" s="63" t="s">
        <v>45</v>
      </c>
      <c r="D39" s="164">
        <f>IF(D38-D23&gt;0,D38-D23,0)</f>
        <v>0</v>
      </c>
      <c r="F39" s="671"/>
      <c r="G39" s="671"/>
      <c r="H39" s="671"/>
      <c r="I39" s="671"/>
    </row>
    <row r="40" spans="1:9" x14ac:dyDescent="0.25">
      <c r="A40" s="63"/>
      <c r="B40" s="293" t="s">
        <v>321</v>
      </c>
      <c r="C40" s="396">
        <f>inputOth!$E$25</f>
        <v>0</v>
      </c>
      <c r="D40" s="164">
        <f>ROUND(IF(C40&gt;0,(D39*C40),0),0)</f>
        <v>0</v>
      </c>
      <c r="F40" s="371"/>
      <c r="G40" s="371"/>
      <c r="H40" s="371"/>
      <c r="I40" s="371"/>
    </row>
    <row r="41" spans="1:9" x14ac:dyDescent="0.25">
      <c r="A41" s="32"/>
      <c r="B41" s="649" t="str">
        <f>CONCATENATE("Amount of  ",$D$1-1," Ad Valorem Tax")</f>
        <v>Amount of  2024 Ad Valorem Tax</v>
      </c>
      <c r="C41" s="650"/>
      <c r="D41" s="164">
        <f>D39+D40</f>
        <v>0</v>
      </c>
      <c r="F41" s="371"/>
      <c r="G41" s="371"/>
      <c r="H41" s="371"/>
      <c r="I41" s="371"/>
    </row>
    <row r="42" spans="1:9" x14ac:dyDescent="0.25">
      <c r="A42" s="32"/>
      <c r="B42" s="182"/>
      <c r="C42" s="32"/>
      <c r="D42" s="32"/>
      <c r="F42" s="371"/>
      <c r="G42" s="371"/>
      <c r="H42" s="371"/>
      <c r="I42" s="371"/>
    </row>
    <row r="43" spans="1:9" x14ac:dyDescent="0.25">
      <c r="A43" s="32"/>
      <c r="B43" s="182"/>
      <c r="C43" s="32"/>
      <c r="D43" s="32"/>
      <c r="F43" s="371"/>
      <c r="G43" s="371"/>
      <c r="H43" s="371"/>
      <c r="I43" s="371"/>
    </row>
    <row r="44" spans="1:9" x14ac:dyDescent="0.25">
      <c r="A44" s="31"/>
      <c r="B44" s="91"/>
      <c r="C44" s="91"/>
      <c r="D44" s="91"/>
      <c r="F44" s="371"/>
      <c r="G44" s="371"/>
      <c r="H44" s="371"/>
      <c r="I44" s="371"/>
    </row>
    <row r="45" spans="1:9" x14ac:dyDescent="0.25">
      <c r="A45" s="31" t="s">
        <v>30</v>
      </c>
      <c r="B45" s="353" t="str">
        <f t="shared" ref="B45:D46" si="0">B4</f>
        <v xml:space="preserve">Prior Year </v>
      </c>
      <c r="C45" s="354" t="str">
        <f t="shared" si="0"/>
        <v xml:space="preserve">Current Year </v>
      </c>
      <c r="D45" s="95" t="str">
        <f t="shared" si="0"/>
        <v xml:space="preserve">Proposed Budget </v>
      </c>
      <c r="F45" s="371"/>
      <c r="G45" s="371"/>
      <c r="H45" s="371"/>
      <c r="I45" s="371"/>
    </row>
    <row r="46" spans="1:9" x14ac:dyDescent="0.25">
      <c r="A46" s="296">
        <f>inputPrYr!$B$35</f>
        <v>0</v>
      </c>
      <c r="B46" s="283" t="str">
        <f t="shared" si="0"/>
        <v>Actual for 2023</v>
      </c>
      <c r="C46" s="283" t="str">
        <f t="shared" si="0"/>
        <v>Estimate for 2024</v>
      </c>
      <c r="D46" s="162" t="str">
        <f t="shared" si="0"/>
        <v>Year for 2025</v>
      </c>
      <c r="F46" s="371"/>
      <c r="G46" s="371"/>
      <c r="H46" s="371"/>
      <c r="I46" s="371"/>
    </row>
    <row r="47" spans="1:9" x14ac:dyDescent="0.25">
      <c r="A47" s="98" t="s">
        <v>148</v>
      </c>
      <c r="B47" s="300"/>
      <c r="C47" s="282">
        <f>B76</f>
        <v>0</v>
      </c>
      <c r="D47" s="164">
        <f>C76</f>
        <v>0</v>
      </c>
      <c r="F47" s="371"/>
      <c r="G47" s="371"/>
      <c r="H47" s="371"/>
      <c r="I47" s="371"/>
    </row>
    <row r="48" spans="1:9" x14ac:dyDescent="0.25">
      <c r="A48" s="191" t="s">
        <v>150</v>
      </c>
      <c r="B48" s="111"/>
      <c r="C48" s="111"/>
      <c r="D48" s="64"/>
      <c r="F48" s="371"/>
      <c r="G48" s="371"/>
      <c r="H48" s="371"/>
      <c r="I48" s="371"/>
    </row>
    <row r="49" spans="1:10" x14ac:dyDescent="0.25">
      <c r="A49" s="98" t="s">
        <v>31</v>
      </c>
      <c r="B49" s="300"/>
      <c r="C49" s="282">
        <f>inputPrYr!E35</f>
        <v>0</v>
      </c>
      <c r="D49" s="212" t="s">
        <v>16</v>
      </c>
      <c r="F49" s="371"/>
      <c r="G49" s="371"/>
      <c r="H49" s="371"/>
      <c r="I49" s="371"/>
    </row>
    <row r="50" spans="1:10" x14ac:dyDescent="0.25">
      <c r="A50" s="98" t="s">
        <v>32</v>
      </c>
      <c r="B50" s="300"/>
      <c r="C50" s="300"/>
      <c r="D50" s="51"/>
      <c r="F50" s="371"/>
      <c r="G50" s="371"/>
      <c r="H50" s="371"/>
      <c r="I50" s="371"/>
    </row>
    <row r="51" spans="1:10" x14ac:dyDescent="0.2">
      <c r="A51" s="98" t="s">
        <v>33</v>
      </c>
      <c r="B51" s="300"/>
      <c r="C51" s="300"/>
      <c r="D51" s="164" t="str">
        <f>Mvalloc!D26</f>
        <v xml:space="preserve">  </v>
      </c>
      <c r="F51" s="655" t="str">
        <f>CONCATENATE("Desired Carryover Into ",D1+1,"")</f>
        <v>Desired Carryover Into 2026</v>
      </c>
      <c r="G51" s="656"/>
      <c r="H51" s="656"/>
      <c r="I51" s="657"/>
    </row>
    <row r="52" spans="1:10" x14ac:dyDescent="0.2">
      <c r="A52" s="98" t="s">
        <v>34</v>
      </c>
      <c r="B52" s="300"/>
      <c r="C52" s="300"/>
      <c r="D52" s="164" t="str">
        <f>Mvalloc!E26</f>
        <v xml:space="preserve">  </v>
      </c>
      <c r="F52" s="357"/>
      <c r="G52" s="358"/>
      <c r="H52" s="359"/>
      <c r="I52" s="360"/>
    </row>
    <row r="53" spans="1:10" x14ac:dyDescent="0.2">
      <c r="A53" s="111" t="s">
        <v>131</v>
      </c>
      <c r="B53" s="300"/>
      <c r="C53" s="300"/>
      <c r="D53" s="164" t="str">
        <f>Mvalloc!F26</f>
        <v xml:space="preserve">  </v>
      </c>
      <c r="F53" s="361" t="s">
        <v>327</v>
      </c>
      <c r="G53" s="359"/>
      <c r="H53" s="359"/>
      <c r="I53" s="362">
        <v>0</v>
      </c>
    </row>
    <row r="54" spans="1:10" x14ac:dyDescent="0.2">
      <c r="A54" s="191" t="s">
        <v>374</v>
      </c>
      <c r="B54" s="300"/>
      <c r="C54" s="300"/>
      <c r="D54" s="164" t="str">
        <f>Mvalloc!G26</f>
        <v xml:space="preserve"> </v>
      </c>
      <c r="F54" s="357" t="s">
        <v>328</v>
      </c>
      <c r="G54" s="358"/>
      <c r="H54" s="358"/>
      <c r="I54" s="363" t="str">
        <f>IF(I53=0,"",ROUND((I53+D82-F66)/inputOth!E5*1000,3)-F71)</f>
        <v/>
      </c>
    </row>
    <row r="55" spans="1:10" x14ac:dyDescent="0.2">
      <c r="A55" s="191" t="s">
        <v>375</v>
      </c>
      <c r="B55" s="300"/>
      <c r="C55" s="300"/>
      <c r="D55" s="164" t="str">
        <f>Mvalloc!H26</f>
        <v xml:space="preserve"> </v>
      </c>
      <c r="F55" s="364" t="str">
        <f>CONCATENATE("",D1," Tot Exp/Non-Appr Must Be:")</f>
        <v>2025 Tot Exp/Non-Appr Must Be:</v>
      </c>
      <c r="G55" s="365"/>
      <c r="H55" s="366"/>
      <c r="I55" s="367">
        <f>IF(I53&gt;0,IF(D79&lt;D64,IF(I53=F66,D79,((I53-F66)*(1-C81))+D64),D79+(I53-F66)),0)</f>
        <v>0</v>
      </c>
    </row>
    <row r="56" spans="1:10" x14ac:dyDescent="0.2">
      <c r="A56" s="205"/>
      <c r="B56" s="300"/>
      <c r="C56" s="300"/>
      <c r="D56" s="51"/>
      <c r="F56" s="368" t="s">
        <v>349</v>
      </c>
      <c r="G56" s="369"/>
      <c r="H56" s="369"/>
      <c r="I56" s="370">
        <f>IF(I53&gt;0,I55-D79,0)</f>
        <v>0</v>
      </c>
    </row>
    <row r="57" spans="1:10" x14ac:dyDescent="0.25">
      <c r="A57" s="205"/>
      <c r="B57" s="300"/>
      <c r="C57" s="300"/>
      <c r="D57" s="51"/>
      <c r="F57" s="371"/>
      <c r="G57" s="371"/>
      <c r="H57" s="371"/>
      <c r="I57" s="371"/>
    </row>
    <row r="58" spans="1:10" x14ac:dyDescent="0.2">
      <c r="A58" s="205"/>
      <c r="B58" s="300"/>
      <c r="C58" s="300"/>
      <c r="D58" s="51"/>
      <c r="F58" s="655" t="str">
        <f>CONCATENATE("Projected Carryover Into ",D1+1,"")</f>
        <v>Projected Carryover Into 2026</v>
      </c>
      <c r="G58" s="676"/>
      <c r="H58" s="676"/>
      <c r="I58" s="675"/>
    </row>
    <row r="59" spans="1:10" x14ac:dyDescent="0.25">
      <c r="A59" s="195" t="s">
        <v>38</v>
      </c>
      <c r="B59" s="300"/>
      <c r="C59" s="300"/>
      <c r="D59" s="51"/>
      <c r="F59" s="382"/>
      <c r="G59" s="358"/>
      <c r="H59" s="358"/>
      <c r="I59" s="383"/>
    </row>
    <row r="60" spans="1:10" x14ac:dyDescent="0.25">
      <c r="A60" s="196" t="s">
        <v>218</v>
      </c>
      <c r="B60" s="300"/>
      <c r="C60" s="300"/>
      <c r="D60" s="164">
        <f>'NR Rebate'!E24*-1</f>
        <v>0</v>
      </c>
      <c r="F60" s="373">
        <f>C76</f>
        <v>0</v>
      </c>
      <c r="G60" s="374" t="str">
        <f>CONCATENATE("",D1-1," Ending Cash Balance (est.)")</f>
        <v>2024 Ending Cash Balance (est.)</v>
      </c>
      <c r="H60" s="375"/>
      <c r="I60" s="383"/>
    </row>
    <row r="61" spans="1:10" x14ac:dyDescent="0.25">
      <c r="A61" s="196" t="s">
        <v>219</v>
      </c>
      <c r="B61" s="300"/>
      <c r="C61" s="300"/>
      <c r="D61" s="51"/>
      <c r="F61" s="373">
        <f>D63</f>
        <v>0</v>
      </c>
      <c r="G61" s="359" t="str">
        <f>CONCATENATE("",D1," Non-AV Receipts (est.)")</f>
        <v>2025 Non-AV Receipts (est.)</v>
      </c>
      <c r="H61" s="375"/>
      <c r="I61" s="383"/>
    </row>
    <row r="62" spans="1:10" x14ac:dyDescent="0.25">
      <c r="A62" s="196" t="s">
        <v>221</v>
      </c>
      <c r="B62" s="281" t="str">
        <f>IF(B63*0.1&lt;B61,"Exceed 10% Rule","")</f>
        <v/>
      </c>
      <c r="C62" s="281" t="str">
        <f>IF(C63*0.1&lt;C61,"Exceed 10% Rule","")</f>
        <v/>
      </c>
      <c r="D62" s="217" t="str">
        <f>IF(D63*0.1+D82&lt;D61,"Exceed 10% Rule","")</f>
        <v/>
      </c>
      <c r="F62" s="376">
        <f>IF(D81&gt;0,D80,D82)</f>
        <v>0</v>
      </c>
      <c r="G62" s="359" t="str">
        <f>CONCATENATE("",D1," Ad Valorem Tax (est.)")</f>
        <v>2025 Ad Valorem Tax (est.)</v>
      </c>
      <c r="H62" s="375"/>
      <c r="I62" s="383"/>
      <c r="J62" s="394" t="str">
        <f>IF(F62=D82,"","Note: Does not include Delinquent Taxes")</f>
        <v/>
      </c>
    </row>
    <row r="63" spans="1:10" x14ac:dyDescent="0.25">
      <c r="A63" s="198" t="s">
        <v>39</v>
      </c>
      <c r="B63" s="229">
        <f>SUM(B49:B61)</f>
        <v>0</v>
      </c>
      <c r="C63" s="229">
        <f>SUM(C49:C61)</f>
        <v>0</v>
      </c>
      <c r="D63" s="229">
        <f>SUM(D49:D61)</f>
        <v>0</v>
      </c>
      <c r="F63" s="384">
        <f>SUM(F60:F62)</f>
        <v>0</v>
      </c>
      <c r="G63" s="359" t="str">
        <f>CONCATENATE("Total ",D1," Resources Available")</f>
        <v>Total 2025 Resources Available</v>
      </c>
      <c r="H63" s="385"/>
      <c r="I63" s="383"/>
    </row>
    <row r="64" spans="1:10" x14ac:dyDescent="0.25">
      <c r="A64" s="198" t="s">
        <v>40</v>
      </c>
      <c r="B64" s="229">
        <f>B47+B63</f>
        <v>0</v>
      </c>
      <c r="C64" s="229">
        <f>C47+C63</f>
        <v>0</v>
      </c>
      <c r="D64" s="229">
        <f>D47+D63</f>
        <v>0</v>
      </c>
      <c r="F64" s="386"/>
      <c r="G64" s="387"/>
      <c r="H64" s="358"/>
      <c r="I64" s="383"/>
    </row>
    <row r="65" spans="1:9" x14ac:dyDescent="0.25">
      <c r="A65" s="98" t="s">
        <v>43</v>
      </c>
      <c r="B65" s="196"/>
      <c r="C65" s="196"/>
      <c r="D65" s="108"/>
      <c r="F65" s="388">
        <f>ROUND(B75*0.05+B75,0)</f>
        <v>0</v>
      </c>
      <c r="G65" s="359" t="str">
        <f>CONCATENATE("Less ",D1-2," Expenditures + 5%")</f>
        <v>Less 2023 Expenditures + 5%</v>
      </c>
      <c r="H65" s="385"/>
      <c r="I65" s="383"/>
    </row>
    <row r="66" spans="1:9" x14ac:dyDescent="0.25">
      <c r="A66" s="205"/>
      <c r="B66" s="300"/>
      <c r="C66" s="300"/>
      <c r="D66" s="51"/>
      <c r="F66" s="389">
        <f>F63-F65</f>
        <v>0</v>
      </c>
      <c r="G66" s="379" t="str">
        <f>CONCATENATE("Projected ",D1+1," carryover (est.)")</f>
        <v>Projected 2026 carryover (est.)</v>
      </c>
      <c r="H66" s="390"/>
      <c r="I66" s="391"/>
    </row>
    <row r="67" spans="1:9" x14ac:dyDescent="0.25">
      <c r="A67" s="205"/>
      <c r="B67" s="300"/>
      <c r="C67" s="300"/>
      <c r="D67" s="51"/>
      <c r="F67" s="371"/>
      <c r="G67" s="371"/>
      <c r="H67" s="371"/>
      <c r="I67" s="371"/>
    </row>
    <row r="68" spans="1:9" x14ac:dyDescent="0.2">
      <c r="A68" s="205"/>
      <c r="B68" s="300"/>
      <c r="C68" s="300"/>
      <c r="D68" s="51"/>
      <c r="F68" s="658" t="s">
        <v>569</v>
      </c>
      <c r="G68" s="659"/>
      <c r="H68" s="659"/>
      <c r="I68" s="660"/>
    </row>
    <row r="69" spans="1:9" x14ac:dyDescent="0.2">
      <c r="A69" s="205"/>
      <c r="B69" s="300"/>
      <c r="C69" s="300"/>
      <c r="D69" s="51"/>
      <c r="F69" s="661"/>
      <c r="G69" s="662"/>
      <c r="H69" s="662"/>
      <c r="I69" s="663"/>
    </row>
    <row r="70" spans="1:9" x14ac:dyDescent="0.2">
      <c r="A70" s="205"/>
      <c r="B70" s="300"/>
      <c r="C70" s="300"/>
      <c r="D70" s="51"/>
      <c r="F70" s="534" t="str">
        <f>'Budget Hearing Notice'!H34</f>
        <v xml:space="preserve">  </v>
      </c>
      <c r="G70" s="374" t="str">
        <f>CONCATENATE("",D1," Estimated Fund Mill Rate")</f>
        <v>2025 Estimated Fund Mill Rate</v>
      </c>
      <c r="H70" s="535"/>
      <c r="I70" s="536"/>
    </row>
    <row r="71" spans="1:9" x14ac:dyDescent="0.2">
      <c r="A71" s="205"/>
      <c r="B71" s="300"/>
      <c r="C71" s="300"/>
      <c r="D71" s="51"/>
      <c r="F71" s="537" t="str">
        <f>'Budget Hearing Notice'!E34</f>
        <v xml:space="preserve">  </v>
      </c>
      <c r="G71" s="374" t="str">
        <f>CONCATENATE("",D1-1," Fund Mill Rate")</f>
        <v>2024 Fund Mill Rate</v>
      </c>
      <c r="H71" s="535"/>
      <c r="I71" s="536"/>
    </row>
    <row r="72" spans="1:9" x14ac:dyDescent="0.2">
      <c r="A72" s="196" t="str">
        <f>CONCATENATE("Cash Reserve (",D1," column)")</f>
        <v>Cash Reserve (2025 column)</v>
      </c>
      <c r="B72" s="300"/>
      <c r="C72" s="300"/>
      <c r="D72" s="51"/>
      <c r="F72" s="538">
        <f>'Budget Hearing Notice'!H53</f>
        <v>0</v>
      </c>
      <c r="G72" s="539" t="s">
        <v>570</v>
      </c>
      <c r="H72" s="535"/>
      <c r="I72" s="536"/>
    </row>
    <row r="73" spans="1:9" x14ac:dyDescent="0.2">
      <c r="A73" s="196" t="s">
        <v>219</v>
      </c>
      <c r="B73" s="300"/>
      <c r="C73" s="300"/>
      <c r="D73" s="51"/>
      <c r="F73" s="534">
        <f>'Budget Hearing Notice'!H52</f>
        <v>0</v>
      </c>
      <c r="G73" s="374" t="str">
        <f>CONCATENATE(D1," Estimated Total Mill Rate")</f>
        <v>2025 Estimated Total Mill Rate</v>
      </c>
      <c r="H73" s="535"/>
      <c r="I73" s="536"/>
    </row>
    <row r="74" spans="1:9" x14ac:dyDescent="0.2">
      <c r="A74" s="196" t="s">
        <v>220</v>
      </c>
      <c r="B74" s="281" t="str">
        <f>IF(B75*0.1&lt;B73,"Exceed 10% Rule","")</f>
        <v/>
      </c>
      <c r="C74" s="281" t="str">
        <f>IF(C75*0.1&lt;C73,"Exceed 10% Rule","")</f>
        <v/>
      </c>
      <c r="D74" s="217" t="str">
        <f>IF(D75*0.1&lt;D73,"Exceed 10% Rule","")</f>
        <v/>
      </c>
      <c r="F74" s="540">
        <f>'Budget Hearing Notice'!E52</f>
        <v>0</v>
      </c>
      <c r="G74" s="374" t="str">
        <f>CONCATENATE(D1-1," Total Mill Rate")</f>
        <v>2024 Total Mill Rate</v>
      </c>
      <c r="H74" s="535"/>
      <c r="I74" s="536"/>
    </row>
    <row r="75" spans="1:9" x14ac:dyDescent="0.2">
      <c r="A75" s="198" t="s">
        <v>44</v>
      </c>
      <c r="B75" s="229">
        <f>SUM(B66:B73)</f>
        <v>0</v>
      </c>
      <c r="C75" s="229">
        <f>SUM(C66:C73)</f>
        <v>0</v>
      </c>
      <c r="D75" s="229">
        <f>SUM(D66:D73)</f>
        <v>0</v>
      </c>
      <c r="F75" s="382"/>
      <c r="G75" s="358"/>
      <c r="H75" s="358"/>
      <c r="I75" s="385"/>
    </row>
    <row r="76" spans="1:9" x14ac:dyDescent="0.2">
      <c r="A76" s="98" t="s">
        <v>149</v>
      </c>
      <c r="B76" s="164">
        <f>B64-B75</f>
        <v>0</v>
      </c>
      <c r="C76" s="164">
        <f>C64-C75</f>
        <v>0</v>
      </c>
      <c r="D76" s="212" t="s">
        <v>16</v>
      </c>
      <c r="F76" s="664" t="s">
        <v>571</v>
      </c>
      <c r="G76" s="665"/>
      <c r="H76" s="665"/>
      <c r="I76" s="668" t="str">
        <f>IF(F73&gt;F72, "Yes", "No")</f>
        <v>No</v>
      </c>
    </row>
    <row r="77" spans="1:9" x14ac:dyDescent="0.2">
      <c r="A77" s="120" t="str">
        <f>CONCATENATE("",D1-2,"/",D1-1,"/",D1," Budget Authority Amount:")</f>
        <v>2023/2024/2025 Budget Authority Amount:</v>
      </c>
      <c r="B77" s="214">
        <f>inputOth!B50</f>
        <v>0</v>
      </c>
      <c r="C77" s="214">
        <f>inputPrYr!D35</f>
        <v>0</v>
      </c>
      <c r="D77" s="164">
        <f>D75</f>
        <v>0</v>
      </c>
      <c r="E77" s="206"/>
      <c r="F77" s="666"/>
      <c r="G77" s="667"/>
      <c r="H77" s="667"/>
      <c r="I77" s="669"/>
    </row>
    <row r="78" spans="1:9" x14ac:dyDescent="0.2">
      <c r="A78" s="182"/>
      <c r="B78" s="651" t="s">
        <v>319</v>
      </c>
      <c r="C78" s="652"/>
      <c r="D78" s="51"/>
      <c r="E78" s="303" t="str">
        <f>IF(D75/0.95-D75&lt;D78,"Exceeds 5%","")</f>
        <v/>
      </c>
      <c r="F78" s="670" t="str">
        <f>IF(I76="Yes", "Follow procedure prescribed by KSA 79-2988 to exceed the Revenue Neutral Rate.", " ")</f>
        <v xml:space="preserve"> </v>
      </c>
      <c r="G78" s="670"/>
      <c r="H78" s="670"/>
      <c r="I78" s="670"/>
    </row>
    <row r="79" spans="1:9" x14ac:dyDescent="0.2">
      <c r="A79" s="304" t="str">
        <f>CONCATENATE(B97,"      ",C97)</f>
        <v xml:space="preserve">      </v>
      </c>
      <c r="B79" s="653" t="s">
        <v>320</v>
      </c>
      <c r="C79" s="654"/>
      <c r="D79" s="164">
        <f>D75+D78</f>
        <v>0</v>
      </c>
      <c r="F79" s="671"/>
      <c r="G79" s="671"/>
      <c r="H79" s="671"/>
      <c r="I79" s="671"/>
    </row>
    <row r="80" spans="1:9" x14ac:dyDescent="0.2">
      <c r="A80" s="304" t="str">
        <f>CONCATENATE(B98,"      ",C98)</f>
        <v xml:space="preserve">      </v>
      </c>
      <c r="B80" s="207"/>
      <c r="C80" s="63" t="s">
        <v>45</v>
      </c>
      <c r="D80" s="164">
        <f>IF(D79-D64&gt;0,D79-D64,0)</f>
        <v>0</v>
      </c>
      <c r="F80" s="671"/>
      <c r="G80" s="671"/>
      <c r="H80" s="671"/>
      <c r="I80" s="671"/>
    </row>
    <row r="81" spans="1:4" x14ac:dyDescent="0.2">
      <c r="A81" s="63"/>
      <c r="B81" s="293" t="s">
        <v>321</v>
      </c>
      <c r="C81" s="396">
        <f>inputOth!$E$25</f>
        <v>0</v>
      </c>
      <c r="D81" s="164">
        <f>ROUND(IF(C81&gt;0,(D80*C81),0),0)</f>
        <v>0</v>
      </c>
    </row>
    <row r="82" spans="1:4" x14ac:dyDescent="0.2">
      <c r="A82" s="32"/>
      <c r="B82" s="649" t="str">
        <f>CONCATENATE("Amount of  ",$D$1-1," Ad Valorem Tax")</f>
        <v>Amount of  2024 Ad Valorem Tax</v>
      </c>
      <c r="C82" s="650"/>
      <c r="D82" s="164">
        <f>D80+D81</f>
        <v>0</v>
      </c>
    </row>
    <row r="83" spans="1:4" x14ac:dyDescent="0.2">
      <c r="A83" s="32"/>
      <c r="B83" s="182"/>
      <c r="C83" s="182"/>
      <c r="D83" s="182"/>
    </row>
    <row r="84" spans="1:4" x14ac:dyDescent="0.2">
      <c r="A84" s="446"/>
      <c r="B84" s="456"/>
      <c r="C84" s="456"/>
      <c r="D84" s="457"/>
    </row>
    <row r="85" spans="1:4" x14ac:dyDescent="0.2">
      <c r="A85" s="183"/>
      <c r="B85" s="182"/>
      <c r="C85" s="182"/>
      <c r="D85" s="458"/>
    </row>
    <row r="86" spans="1:4" x14ac:dyDescent="0.2">
      <c r="A86" s="447"/>
      <c r="B86" s="461"/>
      <c r="C86" s="461"/>
      <c r="D86" s="462"/>
    </row>
    <row r="87" spans="1:4" x14ac:dyDescent="0.2">
      <c r="A87" s="32"/>
      <c r="B87" s="182"/>
      <c r="C87" s="182"/>
      <c r="D87" s="182"/>
    </row>
    <row r="88" spans="1:4" x14ac:dyDescent="0.2">
      <c r="A88" s="182" t="s">
        <v>96</v>
      </c>
      <c r="B88" s="428"/>
      <c r="C88" s="32"/>
      <c r="D88" s="32"/>
    </row>
    <row r="95" spans="1:4" hidden="1" x14ac:dyDescent="0.2">
      <c r="B95" s="27" t="str">
        <f>IF(B34&gt;B36,"See Tab A","")</f>
        <v/>
      </c>
      <c r="C95" s="27" t="str">
        <f>IF(C34&gt;C36,"See Tab C","")</f>
        <v/>
      </c>
    </row>
    <row r="96" spans="1:4" hidden="1" x14ac:dyDescent="0.2">
      <c r="B96" s="27" t="str">
        <f>IF(B35&lt;0,"See Tab B","")</f>
        <v/>
      </c>
      <c r="C96" s="27" t="str">
        <f>IF(C35&lt;0,"See Tab D","")</f>
        <v/>
      </c>
    </row>
    <row r="97" spans="2:3" hidden="1" x14ac:dyDescent="0.2">
      <c r="B97" s="27" t="str">
        <f>IF(B75&gt;B77,"See Tab A","")</f>
        <v/>
      </c>
      <c r="C97" s="27" t="str">
        <f>IF(C75&gt;C77,"See Tab C","")</f>
        <v/>
      </c>
    </row>
    <row r="98" spans="2:3" hidden="1" x14ac:dyDescent="0.2">
      <c r="B98" s="27" t="str">
        <f>IF(B76&lt;0,"See Tab B","")</f>
        <v/>
      </c>
      <c r="C98" s="27" t="str">
        <f>IF(C76&lt;0,"See Tab D","")</f>
        <v/>
      </c>
    </row>
  </sheetData>
  <sheetProtection sheet="1"/>
  <mergeCells count="18">
    <mergeCell ref="B82:C82"/>
    <mergeCell ref="B41:C41"/>
    <mergeCell ref="F27:I28"/>
    <mergeCell ref="F35:H36"/>
    <mergeCell ref="I35:I36"/>
    <mergeCell ref="F37:I39"/>
    <mergeCell ref="F68:I69"/>
    <mergeCell ref="F76:H77"/>
    <mergeCell ref="I76:I77"/>
    <mergeCell ref="F78:I80"/>
    <mergeCell ref="B37:C37"/>
    <mergeCell ref="B38:C38"/>
    <mergeCell ref="B78:C78"/>
    <mergeCell ref="B79:C79"/>
    <mergeCell ref="F10:I10"/>
    <mergeCell ref="F17:I17"/>
    <mergeCell ref="F51:I51"/>
    <mergeCell ref="F58:I58"/>
  </mergeCells>
  <phoneticPr fontId="0" type="noConversion"/>
  <conditionalFormatting sqref="B20">
    <cfRule type="cellIs" dxfId="152" priority="17" stopIfTrue="1" operator="greaterThan">
      <formula>$B$22*0.1</formula>
    </cfRule>
  </conditionalFormatting>
  <conditionalFormatting sqref="B32">
    <cfRule type="cellIs" dxfId="151" priority="26" stopIfTrue="1" operator="greaterThan">
      <formula>$B$34*0.1</formula>
    </cfRule>
  </conditionalFormatting>
  <conditionalFormatting sqref="B34">
    <cfRule type="cellIs" dxfId="150" priority="5" stopIfTrue="1" operator="greaterThan">
      <formula>$B$36</formula>
    </cfRule>
  </conditionalFormatting>
  <conditionalFormatting sqref="B61">
    <cfRule type="cellIs" dxfId="149" priority="25" stopIfTrue="1" operator="greaterThan">
      <formula>$B$63*0.1</formula>
    </cfRule>
  </conditionalFormatting>
  <conditionalFormatting sqref="B73">
    <cfRule type="cellIs" dxfId="148" priority="22" stopIfTrue="1" operator="greaterThan">
      <formula>$B$75*0.1</formula>
    </cfRule>
  </conditionalFormatting>
  <conditionalFormatting sqref="B75">
    <cfRule type="cellIs" dxfId="147" priority="6" stopIfTrue="1" operator="greaterThan">
      <formula>$B$77</formula>
    </cfRule>
  </conditionalFormatting>
  <conditionalFormatting sqref="B35:C35">
    <cfRule type="cellIs" dxfId="146" priority="3" stopIfTrue="1" operator="lessThan">
      <formula>0</formula>
    </cfRule>
  </conditionalFormatting>
  <conditionalFormatting sqref="B76:C76">
    <cfRule type="cellIs" dxfId="145" priority="1" stopIfTrue="1" operator="lessThan">
      <formula>0</formula>
    </cfRule>
  </conditionalFormatting>
  <conditionalFormatting sqref="C20">
    <cfRule type="cellIs" dxfId="144" priority="18" stopIfTrue="1" operator="greaterThan">
      <formula>$C$22*0.1</formula>
    </cfRule>
  </conditionalFormatting>
  <conditionalFormatting sqref="C32">
    <cfRule type="cellIs" dxfId="143" priority="27" stopIfTrue="1" operator="greaterThan">
      <formula>$C$34*0.1</formula>
    </cfRule>
  </conditionalFormatting>
  <conditionalFormatting sqref="C34">
    <cfRule type="cellIs" dxfId="142" priority="7" stopIfTrue="1" operator="greaterThan">
      <formula>$C$36</formula>
    </cfRule>
  </conditionalFormatting>
  <conditionalFormatting sqref="C61">
    <cfRule type="cellIs" dxfId="141" priority="24" stopIfTrue="1" operator="greaterThan">
      <formula>$C$63*0.1</formula>
    </cfRule>
  </conditionalFormatting>
  <conditionalFormatting sqref="C73">
    <cfRule type="cellIs" dxfId="140" priority="23" stopIfTrue="1" operator="greaterThan">
      <formula>$C$75*0.1</formula>
    </cfRule>
  </conditionalFormatting>
  <conditionalFormatting sqref="C75">
    <cfRule type="cellIs" dxfId="139" priority="9" stopIfTrue="1" operator="greaterThan">
      <formula>$C$77</formula>
    </cfRule>
  </conditionalFormatting>
  <conditionalFormatting sqref="D20">
    <cfRule type="cellIs" dxfId="138" priority="20" stopIfTrue="1" operator="greaterThan">
      <formula>$D$22*0.1+D41</formula>
    </cfRule>
  </conditionalFormatting>
  <conditionalFormatting sqref="D32">
    <cfRule type="cellIs" dxfId="137" priority="19" stopIfTrue="1" operator="greaterThan">
      <formula>$D$34*0.1</formula>
    </cfRule>
  </conditionalFormatting>
  <conditionalFormatting sqref="D37">
    <cfRule type="cellIs" dxfId="136" priority="14" stopIfTrue="1" operator="greaterThan">
      <formula>$D$34/0.95-$D$34</formula>
    </cfRule>
  </conditionalFormatting>
  <conditionalFormatting sqref="D61">
    <cfRule type="cellIs" dxfId="135" priority="21" stopIfTrue="1" operator="greaterThan">
      <formula>$D$63*0.1+D82</formula>
    </cfRule>
  </conditionalFormatting>
  <conditionalFormatting sqref="D73">
    <cfRule type="cellIs" dxfId="134" priority="16" stopIfTrue="1" operator="greaterThan">
      <formula>$D$75*0.1</formula>
    </cfRule>
  </conditionalFormatting>
  <conditionalFormatting sqref="D78">
    <cfRule type="cellIs" dxfId="133" priority="15" stopIfTrue="1" operator="greaterThan">
      <formula>$D$75/0.95-$D$75</formula>
    </cfRule>
  </conditionalFormatting>
  <conditionalFormatting sqref="I35">
    <cfRule type="containsText" dxfId="132" priority="11" operator="containsText" text="Yes">
      <formula>NOT(ISERROR(SEARCH("Yes",I35)))</formula>
    </cfRule>
  </conditionalFormatting>
  <conditionalFormatting sqref="I76">
    <cfRule type="containsText" dxfId="131" priority="10" operator="containsText" text="Yes">
      <formula>NOT(ISERROR(SEARCH("Yes",I76)))</formula>
    </cfRule>
  </conditionalFormatting>
  <pageMargins left="1.1200000000000001" right="0.5" top="0.74" bottom="0.34" header="0.5" footer="0"/>
  <pageSetup scale="57" orientation="portrait" blackAndWhite="1" horizontalDpi="120" verticalDpi="144" r:id="rId1"/>
  <headerFooter alignWithMargins="0">
    <oddHeader xml:space="preserve">&amp;RState of Kansas
County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rgb="FF00B0F0"/>
    <pageSetUpPr fitToPage="1"/>
  </sheetPr>
  <dimension ref="A1:J99"/>
  <sheetViews>
    <sheetView zoomScaleNormal="100" workbookViewId="0">
      <selection activeCell="B73" sqref="B73:D73"/>
    </sheetView>
  </sheetViews>
  <sheetFormatPr defaultRowHeight="15.75" x14ac:dyDescent="0.2"/>
  <cols>
    <col min="1" max="1" width="31.109375" style="27" customWidth="1"/>
    <col min="2" max="3" width="15.77734375" style="27" customWidth="1"/>
    <col min="4" max="4" width="16.21875" style="27" customWidth="1"/>
    <col min="5" max="5" width="8.88671875" style="27"/>
    <col min="6" max="6" width="10.21875" style="27" customWidth="1"/>
    <col min="7" max="7" width="8.88671875" style="27"/>
    <col min="8" max="8" width="5.77734375" style="27" customWidth="1"/>
    <col min="9" max="9" width="10" style="27" customWidth="1"/>
    <col min="10" max="16384" width="8.88671875" style="27"/>
  </cols>
  <sheetData>
    <row r="1" spans="1:9" x14ac:dyDescent="0.2">
      <c r="A1" s="73">
        <f>inputPrYr!C3</f>
        <v>0</v>
      </c>
      <c r="B1" s="32"/>
      <c r="C1" s="32"/>
      <c r="D1" s="182">
        <f>inputPrYr!C5</f>
        <v>2025</v>
      </c>
    </row>
    <row r="2" spans="1:9" x14ac:dyDescent="0.2">
      <c r="A2" s="133"/>
      <c r="B2" s="208"/>
      <c r="C2" s="208"/>
      <c r="D2" s="209"/>
    </row>
    <row r="3" spans="1:9" x14ac:dyDescent="0.2">
      <c r="A3" s="302" t="s">
        <v>138</v>
      </c>
      <c r="B3" s="91"/>
      <c r="C3" s="91"/>
      <c r="D3" s="91"/>
    </row>
    <row r="4" spans="1:9" x14ac:dyDescent="0.2">
      <c r="A4" s="31" t="s">
        <v>30</v>
      </c>
      <c r="B4" s="353" t="s">
        <v>346</v>
      </c>
      <c r="C4" s="354" t="s">
        <v>347</v>
      </c>
      <c r="D4" s="95" t="s">
        <v>348</v>
      </c>
    </row>
    <row r="5" spans="1:9" x14ac:dyDescent="0.2">
      <c r="A5" s="296">
        <f>inputPrYr!$B$36</f>
        <v>0</v>
      </c>
      <c r="B5" s="283" t="str">
        <f>CONCATENATE("Actual for ",D1-2,"")</f>
        <v>Actual for 2023</v>
      </c>
      <c r="C5" s="283" t="str">
        <f>CONCATENATE("Estimate for ",D1-1,"")</f>
        <v>Estimate for 2024</v>
      </c>
      <c r="D5" s="190" t="str">
        <f>CONCATENATE("Year for ",D1,"")</f>
        <v>Year for 2025</v>
      </c>
    </row>
    <row r="6" spans="1:9" x14ac:dyDescent="0.2">
      <c r="A6" s="98" t="s">
        <v>148</v>
      </c>
      <c r="B6" s="300"/>
      <c r="C6" s="282">
        <f>B35</f>
        <v>0</v>
      </c>
      <c r="D6" s="164">
        <f>C35</f>
        <v>0</v>
      </c>
    </row>
    <row r="7" spans="1:9" x14ac:dyDescent="0.2">
      <c r="A7" s="184" t="s">
        <v>150</v>
      </c>
      <c r="B7" s="111"/>
      <c r="C7" s="111"/>
      <c r="D7" s="64"/>
    </row>
    <row r="8" spans="1:9" x14ac:dyDescent="0.2">
      <c r="A8" s="98" t="s">
        <v>31</v>
      </c>
      <c r="B8" s="300"/>
      <c r="C8" s="282">
        <f>inputPrYr!E36</f>
        <v>0</v>
      </c>
      <c r="D8" s="212" t="s">
        <v>16</v>
      </c>
    </row>
    <row r="9" spans="1:9" x14ac:dyDescent="0.2">
      <c r="A9" s="98" t="s">
        <v>32</v>
      </c>
      <c r="B9" s="300"/>
      <c r="C9" s="300"/>
      <c r="D9" s="51"/>
    </row>
    <row r="10" spans="1:9" x14ac:dyDescent="0.2">
      <c r="A10" s="98" t="s">
        <v>33</v>
      </c>
      <c r="B10" s="300"/>
      <c r="C10" s="300"/>
      <c r="D10" s="164" t="str">
        <f>Mvalloc!D27</f>
        <v xml:space="preserve">  </v>
      </c>
      <c r="F10" s="655" t="str">
        <f>CONCATENATE("Desired Carryover Into ",D1+1,"")</f>
        <v>Desired Carryover Into 2026</v>
      </c>
      <c r="G10" s="656"/>
      <c r="H10" s="656"/>
      <c r="I10" s="657"/>
    </row>
    <row r="11" spans="1:9" x14ac:dyDescent="0.2">
      <c r="A11" s="98" t="s">
        <v>34</v>
      </c>
      <c r="B11" s="300"/>
      <c r="C11" s="300"/>
      <c r="D11" s="164" t="str">
        <f>Mvalloc!E27</f>
        <v xml:space="preserve">  </v>
      </c>
      <c r="F11" s="357"/>
      <c r="G11" s="358"/>
      <c r="H11" s="359"/>
      <c r="I11" s="360"/>
    </row>
    <row r="12" spans="1:9" x14ac:dyDescent="0.2">
      <c r="A12" s="111" t="s">
        <v>131</v>
      </c>
      <c r="B12" s="300"/>
      <c r="C12" s="300"/>
      <c r="D12" s="164" t="str">
        <f>Mvalloc!F27</f>
        <v xml:space="preserve">  </v>
      </c>
      <c r="F12" s="361" t="s">
        <v>327</v>
      </c>
      <c r="G12" s="359"/>
      <c r="H12" s="359"/>
      <c r="I12" s="362">
        <v>0</v>
      </c>
    </row>
    <row r="13" spans="1:9" x14ac:dyDescent="0.2">
      <c r="A13" s="191" t="s">
        <v>374</v>
      </c>
      <c r="B13" s="300"/>
      <c r="C13" s="300"/>
      <c r="D13" s="164" t="str">
        <f>Mvalloc!G27</f>
        <v xml:space="preserve"> </v>
      </c>
      <c r="F13" s="357" t="s">
        <v>328</v>
      </c>
      <c r="G13" s="358"/>
      <c r="H13" s="358"/>
      <c r="I13" s="363" t="str">
        <f>IF(I12=0,"",ROUND((I12+D41-F25)/inputOth!E5*1000,3)-F30)</f>
        <v/>
      </c>
    </row>
    <row r="14" spans="1:9" x14ac:dyDescent="0.2">
      <c r="A14" s="191" t="s">
        <v>375</v>
      </c>
      <c r="B14" s="300"/>
      <c r="C14" s="300"/>
      <c r="D14" s="164" t="str">
        <f>Mvalloc!H27</f>
        <v xml:space="preserve"> </v>
      </c>
      <c r="F14" s="364" t="str">
        <f>CONCATENATE("",D1," Tot Exp/Non-Appr Must Be:")</f>
        <v>2025 Tot Exp/Non-Appr Must Be:</v>
      </c>
      <c r="G14" s="365"/>
      <c r="H14" s="366"/>
      <c r="I14" s="367">
        <f>IF(I12&gt;0,IF(D38&lt;D23,IF(I12=F25,D38,((I12-F25)*(1-C40))+D23),D38+(I12-F25)),0)</f>
        <v>0</v>
      </c>
    </row>
    <row r="15" spans="1:9" x14ac:dyDescent="0.2">
      <c r="A15" s="205"/>
      <c r="B15" s="300"/>
      <c r="C15" s="300"/>
      <c r="D15" s="51"/>
      <c r="F15" s="368" t="s">
        <v>349</v>
      </c>
      <c r="G15" s="369"/>
      <c r="H15" s="369"/>
      <c r="I15" s="370">
        <f>IF(I12&gt;0,I14-D38,0)</f>
        <v>0</v>
      </c>
    </row>
    <row r="16" spans="1:9" x14ac:dyDescent="0.25">
      <c r="A16" s="205"/>
      <c r="B16" s="300"/>
      <c r="C16" s="300"/>
      <c r="D16" s="51"/>
      <c r="F16" s="371"/>
      <c r="G16" s="371"/>
      <c r="H16" s="371"/>
      <c r="I16" s="371"/>
    </row>
    <row r="17" spans="1:10" x14ac:dyDescent="0.2">
      <c r="A17" s="205"/>
      <c r="B17" s="300"/>
      <c r="C17" s="300"/>
      <c r="D17" s="51"/>
      <c r="F17" s="655" t="str">
        <f>CONCATENATE("Projected Carryover Into ",D1+1,"")</f>
        <v>Projected Carryover Into 2026</v>
      </c>
      <c r="G17" s="674"/>
      <c r="H17" s="674"/>
      <c r="I17" s="675"/>
    </row>
    <row r="18" spans="1:10" x14ac:dyDescent="0.2">
      <c r="A18" s="195" t="s">
        <v>38</v>
      </c>
      <c r="B18" s="300"/>
      <c r="C18" s="300"/>
      <c r="D18" s="51"/>
      <c r="F18" s="357"/>
      <c r="G18" s="359"/>
      <c r="H18" s="359"/>
      <c r="I18" s="372"/>
    </row>
    <row r="19" spans="1:10" x14ac:dyDescent="0.2">
      <c r="A19" s="196" t="s">
        <v>218</v>
      </c>
      <c r="B19" s="300"/>
      <c r="C19" s="300"/>
      <c r="D19" s="164">
        <f>'NR Rebate'!E25*-1</f>
        <v>0</v>
      </c>
      <c r="F19" s="373">
        <f>C35</f>
        <v>0</v>
      </c>
      <c r="G19" s="374" t="str">
        <f>CONCATENATE("",D1-1," Ending Cash Balance (est.)")</f>
        <v>2024 Ending Cash Balance (est.)</v>
      </c>
      <c r="H19" s="375"/>
      <c r="I19" s="372"/>
    </row>
    <row r="20" spans="1:10" x14ac:dyDescent="0.2">
      <c r="A20" s="196" t="s">
        <v>219</v>
      </c>
      <c r="B20" s="300"/>
      <c r="C20" s="300"/>
      <c r="D20" s="51"/>
      <c r="F20" s="373">
        <f>D22</f>
        <v>0</v>
      </c>
      <c r="G20" s="359" t="str">
        <f>CONCATENATE("",D1," Non-AV Receipts (est.)")</f>
        <v>2025 Non-AV Receipts (est.)</v>
      </c>
      <c r="H20" s="375"/>
      <c r="I20" s="372"/>
    </row>
    <row r="21" spans="1:10" x14ac:dyDescent="0.2">
      <c r="A21" s="196" t="s">
        <v>221</v>
      </c>
      <c r="B21" s="281" t="str">
        <f>IF(B22*0.1&lt;B20,"Exceed 10% Rule","")</f>
        <v/>
      </c>
      <c r="C21" s="281" t="str">
        <f>IF(C22*0.1&lt;C20,"Exceed 10% Rule","")</f>
        <v/>
      </c>
      <c r="D21" s="217" t="str">
        <f>IF(D22*0.1+D41&lt;D20,"Exceed 10% Rule","")</f>
        <v/>
      </c>
      <c r="F21" s="376">
        <f>IF(D40&gt;0,D39,D41)</f>
        <v>0</v>
      </c>
      <c r="G21" s="359" t="str">
        <f>CONCATENATE("",D1," Ad Valorem Tax (est.)")</f>
        <v>2025 Ad Valorem Tax (est.)</v>
      </c>
      <c r="H21" s="375"/>
      <c r="I21" s="372"/>
      <c r="J21" s="394" t="str">
        <f>IF(F21=D41,"","Note: Does not include Delinquent Taxes")</f>
        <v/>
      </c>
    </row>
    <row r="22" spans="1:10" x14ac:dyDescent="0.2">
      <c r="A22" s="198" t="s">
        <v>39</v>
      </c>
      <c r="B22" s="229">
        <f>SUM(B8:B20)</f>
        <v>0</v>
      </c>
      <c r="C22" s="229">
        <f>SUM(C8:C20)</f>
        <v>0</v>
      </c>
      <c r="D22" s="229">
        <f>SUM(D8:D20)</f>
        <v>0</v>
      </c>
      <c r="F22" s="373">
        <f>SUM(F19:F21)</f>
        <v>0</v>
      </c>
      <c r="G22" s="359" t="str">
        <f>CONCATENATE("Total ",D1," Resources Available")</f>
        <v>Total 2025 Resources Available</v>
      </c>
      <c r="H22" s="375"/>
      <c r="I22" s="372"/>
    </row>
    <row r="23" spans="1:10" x14ac:dyDescent="0.2">
      <c r="A23" s="198" t="s">
        <v>40</v>
      </c>
      <c r="B23" s="229">
        <f>B6+B22</f>
        <v>0</v>
      </c>
      <c r="C23" s="229">
        <f>C6+C22</f>
        <v>0</v>
      </c>
      <c r="D23" s="229">
        <f>D6+D22</f>
        <v>0</v>
      </c>
      <c r="F23" s="377"/>
      <c r="G23" s="359"/>
      <c r="H23" s="359"/>
      <c r="I23" s="372"/>
    </row>
    <row r="24" spans="1:10" x14ac:dyDescent="0.25">
      <c r="A24" s="98" t="s">
        <v>43</v>
      </c>
      <c r="B24" s="196"/>
      <c r="C24" s="196"/>
      <c r="D24" s="108"/>
      <c r="F24" s="376">
        <f>ROUND(B34*0.05+B34,0)</f>
        <v>0</v>
      </c>
      <c r="G24" s="359" t="str">
        <f>CONCATENATE("Less ",D1-2," Expenditures + 5%")</f>
        <v>Less 2023 Expenditures + 5%</v>
      </c>
      <c r="H24" s="375"/>
      <c r="I24" s="383"/>
    </row>
    <row r="25" spans="1:10" x14ac:dyDescent="0.2">
      <c r="A25" s="205"/>
      <c r="B25" s="300"/>
      <c r="C25" s="300"/>
      <c r="D25" s="51"/>
      <c r="F25" s="378">
        <f>F22-F24</f>
        <v>0</v>
      </c>
      <c r="G25" s="379" t="str">
        <f>CONCATENATE("Projected ",D1+1," carryover (est.)")</f>
        <v>Projected 2026 carryover (est.)</v>
      </c>
      <c r="H25" s="380"/>
      <c r="I25" s="381"/>
    </row>
    <row r="26" spans="1:10" x14ac:dyDescent="0.25">
      <c r="A26" s="205"/>
      <c r="B26" s="300"/>
      <c r="C26" s="300"/>
      <c r="D26" s="51"/>
      <c r="F26" s="371"/>
      <c r="G26" s="371"/>
      <c r="H26" s="371"/>
      <c r="I26" s="371"/>
    </row>
    <row r="27" spans="1:10" x14ac:dyDescent="0.2">
      <c r="A27" s="205"/>
      <c r="B27" s="300"/>
      <c r="C27" s="300"/>
      <c r="D27" s="51"/>
      <c r="F27" s="658" t="s">
        <v>569</v>
      </c>
      <c r="G27" s="659"/>
      <c r="H27" s="659"/>
      <c r="I27" s="660"/>
    </row>
    <row r="28" spans="1:10" x14ac:dyDescent="0.2">
      <c r="A28" s="205"/>
      <c r="B28" s="300"/>
      <c r="C28" s="300"/>
      <c r="D28" s="51"/>
      <c r="F28" s="661"/>
      <c r="G28" s="662"/>
      <c r="H28" s="662"/>
      <c r="I28" s="663"/>
    </row>
    <row r="29" spans="1:10" x14ac:dyDescent="0.2">
      <c r="A29" s="205"/>
      <c r="B29" s="300"/>
      <c r="C29" s="300"/>
      <c r="D29" s="51"/>
      <c r="F29" s="534" t="str">
        <f>'Budget Hearing Notice'!H35</f>
        <v xml:space="preserve">  </v>
      </c>
      <c r="G29" s="374" t="str">
        <f>CONCATENATE("",D1," Estimated Fund Mill Rate")</f>
        <v>2025 Estimated Fund Mill Rate</v>
      </c>
      <c r="H29" s="535"/>
      <c r="I29" s="536"/>
    </row>
    <row r="30" spans="1:10" x14ac:dyDescent="0.2">
      <c r="A30" s="205"/>
      <c r="B30" s="300"/>
      <c r="C30" s="300"/>
      <c r="D30" s="51"/>
      <c r="F30" s="537" t="str">
        <f>'Budget Hearing Notice'!E35</f>
        <v xml:space="preserve">  </v>
      </c>
      <c r="G30" s="374" t="str">
        <f>CONCATENATE("",D1-1," Fund Mill Rate")</f>
        <v>2024 Fund Mill Rate</v>
      </c>
      <c r="H30" s="535"/>
      <c r="I30" s="536"/>
    </row>
    <row r="31" spans="1:10" x14ac:dyDescent="0.2">
      <c r="A31" s="196" t="str">
        <f>CONCATENATE("Cash Reserve (",D1," column)")</f>
        <v>Cash Reserve (2025 column)</v>
      </c>
      <c r="B31" s="300"/>
      <c r="C31" s="300"/>
      <c r="D31" s="51"/>
      <c r="F31" s="538">
        <f>'Budget Hearing Notice'!H53</f>
        <v>0</v>
      </c>
      <c r="G31" s="539" t="s">
        <v>570</v>
      </c>
      <c r="H31" s="535"/>
      <c r="I31" s="536"/>
    </row>
    <row r="32" spans="1:10" x14ac:dyDescent="0.2">
      <c r="A32" s="196" t="s">
        <v>219</v>
      </c>
      <c r="B32" s="300"/>
      <c r="C32" s="300"/>
      <c r="D32" s="51"/>
      <c r="F32" s="534">
        <f>'Budget Hearing Notice'!H52</f>
        <v>0</v>
      </c>
      <c r="G32" s="374" t="str">
        <f>CONCATENATE(D1," Estimated Total Mill Rate")</f>
        <v>2025 Estimated Total Mill Rate</v>
      </c>
      <c r="H32" s="535"/>
      <c r="I32" s="536"/>
    </row>
    <row r="33" spans="1:9" x14ac:dyDescent="0.2">
      <c r="A33" s="196" t="s">
        <v>220</v>
      </c>
      <c r="B33" s="281" t="str">
        <f>IF(B34*0.1&lt;B32,"Exceed 10% Rule","")</f>
        <v/>
      </c>
      <c r="C33" s="281" t="str">
        <f>IF(C34*0.1&lt;C32,"Exceed 10% Rule","")</f>
        <v/>
      </c>
      <c r="D33" s="217" t="str">
        <f>IF(D34*0.1&lt;D32,"Exceed 10% Rule","")</f>
        <v/>
      </c>
      <c r="F33" s="540">
        <f>'Budget Hearing Notice'!E52</f>
        <v>0</v>
      </c>
      <c r="G33" s="374" t="str">
        <f>CONCATENATE(D1-1," Total Mill Rate")</f>
        <v>2024 Total Mill Rate</v>
      </c>
      <c r="H33" s="535"/>
      <c r="I33" s="536"/>
    </row>
    <row r="34" spans="1:9" x14ac:dyDescent="0.2">
      <c r="A34" s="198" t="s">
        <v>44</v>
      </c>
      <c r="B34" s="229">
        <f>SUM(B25:B32)</f>
        <v>0</v>
      </c>
      <c r="C34" s="229">
        <f>SUM(C25:C32)</f>
        <v>0</v>
      </c>
      <c r="D34" s="229">
        <f>SUM(D25:D32)</f>
        <v>0</v>
      </c>
      <c r="F34" s="382"/>
      <c r="G34" s="358"/>
      <c r="H34" s="358"/>
      <c r="I34" s="385"/>
    </row>
    <row r="35" spans="1:9" x14ac:dyDescent="0.2">
      <c r="A35" s="98" t="s">
        <v>149</v>
      </c>
      <c r="B35" s="164">
        <f>B23-B34</f>
        <v>0</v>
      </c>
      <c r="C35" s="164">
        <f>C23-C34</f>
        <v>0</v>
      </c>
      <c r="D35" s="212" t="s">
        <v>16</v>
      </c>
      <c r="F35" s="664" t="s">
        <v>571</v>
      </c>
      <c r="G35" s="665"/>
      <c r="H35" s="665"/>
      <c r="I35" s="668" t="str">
        <f>IF(F32&gt;F31, "Yes", "No")</f>
        <v>No</v>
      </c>
    </row>
    <row r="36" spans="1:9" x14ac:dyDescent="0.2">
      <c r="A36" s="120" t="str">
        <f>CONCATENATE("",D1-2,"/",D1-1,"/",D1," Budget Authority Amount:")</f>
        <v>2023/2024/2025 Budget Authority Amount:</v>
      </c>
      <c r="B36" s="214">
        <f>inputOth!B51</f>
        <v>0</v>
      </c>
      <c r="C36" s="214">
        <f>inputPrYr!D36</f>
        <v>0</v>
      </c>
      <c r="D36" s="164">
        <f>D34</f>
        <v>0</v>
      </c>
      <c r="E36" s="206"/>
      <c r="F36" s="666"/>
      <c r="G36" s="667"/>
      <c r="H36" s="667"/>
      <c r="I36" s="669"/>
    </row>
    <row r="37" spans="1:9" x14ac:dyDescent="0.2">
      <c r="A37" s="182"/>
      <c r="B37" s="651" t="s">
        <v>319</v>
      </c>
      <c r="C37" s="652"/>
      <c r="D37" s="51"/>
      <c r="E37" s="303" t="str">
        <f>IF(D34/0.95-D34&lt;D37,"Exceeds 5%","")</f>
        <v/>
      </c>
      <c r="F37" s="670" t="str">
        <f>IF(I35="Yes", "Follow procedure prescribed by KSA 79-2988 to exceed the Revenue Neutral Rate.", " ")</f>
        <v xml:space="preserve"> </v>
      </c>
      <c r="G37" s="670"/>
      <c r="H37" s="670"/>
      <c r="I37" s="670"/>
    </row>
    <row r="38" spans="1:9" x14ac:dyDescent="0.2">
      <c r="A38" s="304" t="str">
        <f>CONCATENATE(B96,"     ",C96)</f>
        <v xml:space="preserve">     </v>
      </c>
      <c r="B38" s="653" t="s">
        <v>320</v>
      </c>
      <c r="C38" s="654"/>
      <c r="D38" s="164">
        <f>D34+D37</f>
        <v>0</v>
      </c>
      <c r="F38" s="671"/>
      <c r="G38" s="671"/>
      <c r="H38" s="671"/>
      <c r="I38" s="671"/>
    </row>
    <row r="39" spans="1:9" x14ac:dyDescent="0.2">
      <c r="A39" s="304" t="str">
        <f>CONCATENATE(B97,"      ",C97)</f>
        <v xml:space="preserve">      </v>
      </c>
      <c r="B39" s="207"/>
      <c r="C39" s="63" t="s">
        <v>45</v>
      </c>
      <c r="D39" s="164">
        <f>IF(D38-D23&gt;0,D38-D23,0)</f>
        <v>0</v>
      </c>
      <c r="F39" s="671"/>
      <c r="G39" s="671"/>
      <c r="H39" s="671"/>
      <c r="I39" s="671"/>
    </row>
    <row r="40" spans="1:9" x14ac:dyDescent="0.25">
      <c r="A40" s="63"/>
      <c r="B40" s="293" t="s">
        <v>321</v>
      </c>
      <c r="C40" s="396">
        <f>inputOth!$E$25</f>
        <v>0</v>
      </c>
      <c r="D40" s="164">
        <f>ROUND(IF(C40&gt;0,(D39*C40),0),0)</f>
        <v>0</v>
      </c>
      <c r="F40" s="371"/>
      <c r="G40" s="371"/>
      <c r="H40" s="371"/>
      <c r="I40" s="371"/>
    </row>
    <row r="41" spans="1:9" x14ac:dyDescent="0.25">
      <c r="A41" s="32"/>
      <c r="B41" s="649" t="str">
        <f>CONCATENATE("Amount of  ",$D$1-1," Ad Valorem Tax")</f>
        <v>Amount of  2024 Ad Valorem Tax</v>
      </c>
      <c r="C41" s="650"/>
      <c r="D41" s="164">
        <f>D39+D40</f>
        <v>0</v>
      </c>
      <c r="F41" s="371"/>
      <c r="G41" s="371"/>
      <c r="H41" s="371"/>
      <c r="I41" s="371"/>
    </row>
    <row r="42" spans="1:9" x14ac:dyDescent="0.25">
      <c r="A42" s="32"/>
      <c r="B42" s="182"/>
      <c r="C42" s="32"/>
      <c r="D42" s="32"/>
      <c r="F42" s="371"/>
      <c r="G42" s="371"/>
      <c r="H42" s="371"/>
      <c r="I42" s="371"/>
    </row>
    <row r="43" spans="1:9" x14ac:dyDescent="0.25">
      <c r="A43" s="32"/>
      <c r="B43" s="182"/>
      <c r="C43" s="32"/>
      <c r="D43" s="32"/>
      <c r="F43" s="371"/>
      <c r="G43" s="371"/>
      <c r="H43" s="371"/>
      <c r="I43" s="371"/>
    </row>
    <row r="44" spans="1:9" x14ac:dyDescent="0.25">
      <c r="A44" s="32"/>
      <c r="B44" s="91"/>
      <c r="C44" s="91"/>
      <c r="D44" s="91"/>
      <c r="F44" s="371"/>
      <c r="G44" s="371"/>
      <c r="H44" s="371"/>
      <c r="I44" s="371"/>
    </row>
    <row r="45" spans="1:9" x14ac:dyDescent="0.25">
      <c r="A45" s="31" t="s">
        <v>30</v>
      </c>
      <c r="B45" s="353" t="str">
        <f t="shared" ref="B45:D46" si="0">B4</f>
        <v xml:space="preserve">Prior Year </v>
      </c>
      <c r="C45" s="354" t="str">
        <f t="shared" si="0"/>
        <v xml:space="preserve">Current Year </v>
      </c>
      <c r="D45" s="95" t="str">
        <f t="shared" si="0"/>
        <v xml:space="preserve">Proposed Budget </v>
      </c>
      <c r="F45" s="371"/>
      <c r="G45" s="371"/>
      <c r="H45" s="371"/>
      <c r="I45" s="371"/>
    </row>
    <row r="46" spans="1:9" x14ac:dyDescent="0.25">
      <c r="A46" s="296">
        <f>inputPrYr!$B$37</f>
        <v>0</v>
      </c>
      <c r="B46" s="283" t="str">
        <f t="shared" si="0"/>
        <v>Actual for 2023</v>
      </c>
      <c r="C46" s="283" t="str">
        <f t="shared" si="0"/>
        <v>Estimate for 2024</v>
      </c>
      <c r="D46" s="162" t="str">
        <f t="shared" si="0"/>
        <v>Year for 2025</v>
      </c>
      <c r="F46" s="371"/>
      <c r="G46" s="371"/>
      <c r="H46" s="371"/>
      <c r="I46" s="371"/>
    </row>
    <row r="47" spans="1:9" x14ac:dyDescent="0.25">
      <c r="A47" s="98" t="s">
        <v>148</v>
      </c>
      <c r="B47" s="300"/>
      <c r="C47" s="282">
        <f>B76</f>
        <v>0</v>
      </c>
      <c r="D47" s="164">
        <f>C76</f>
        <v>0</v>
      </c>
      <c r="F47" s="371"/>
      <c r="G47" s="371"/>
      <c r="H47" s="371"/>
      <c r="I47" s="371"/>
    </row>
    <row r="48" spans="1:9" x14ac:dyDescent="0.25">
      <c r="A48" s="191" t="s">
        <v>150</v>
      </c>
      <c r="B48" s="111"/>
      <c r="C48" s="111"/>
      <c r="D48" s="64"/>
      <c r="F48" s="371"/>
      <c r="G48" s="371"/>
      <c r="H48" s="371"/>
      <c r="I48" s="371"/>
    </row>
    <row r="49" spans="1:10" x14ac:dyDescent="0.25">
      <c r="A49" s="98" t="s">
        <v>31</v>
      </c>
      <c r="B49" s="300"/>
      <c r="C49" s="282">
        <f>inputPrYr!E37</f>
        <v>0</v>
      </c>
      <c r="D49" s="212" t="s">
        <v>16</v>
      </c>
      <c r="F49" s="371"/>
      <c r="G49" s="371"/>
      <c r="H49" s="371"/>
      <c r="I49" s="371"/>
    </row>
    <row r="50" spans="1:10" x14ac:dyDescent="0.25">
      <c r="A50" s="98" t="s">
        <v>32</v>
      </c>
      <c r="B50" s="300"/>
      <c r="C50" s="300"/>
      <c r="D50" s="51"/>
      <c r="F50" s="371"/>
      <c r="G50" s="371"/>
      <c r="H50" s="371"/>
      <c r="I50" s="371"/>
    </row>
    <row r="51" spans="1:10" x14ac:dyDescent="0.2">
      <c r="A51" s="98" t="s">
        <v>33</v>
      </c>
      <c r="B51" s="300"/>
      <c r="C51" s="300"/>
      <c r="D51" s="164" t="str">
        <f>Mvalloc!D28</f>
        <v xml:space="preserve">  </v>
      </c>
      <c r="F51" s="655" t="str">
        <f>CONCATENATE("Desired Carryover Into ",D1+1,"")</f>
        <v>Desired Carryover Into 2026</v>
      </c>
      <c r="G51" s="656"/>
      <c r="H51" s="656"/>
      <c r="I51" s="657"/>
    </row>
    <row r="52" spans="1:10" x14ac:dyDescent="0.2">
      <c r="A52" s="98" t="s">
        <v>34</v>
      </c>
      <c r="B52" s="300"/>
      <c r="C52" s="300"/>
      <c r="D52" s="164" t="str">
        <f>Mvalloc!E28</f>
        <v xml:space="preserve">  </v>
      </c>
      <c r="F52" s="357"/>
      <c r="G52" s="358"/>
      <c r="H52" s="359"/>
      <c r="I52" s="360"/>
    </row>
    <row r="53" spans="1:10" x14ac:dyDescent="0.2">
      <c r="A53" s="111" t="s">
        <v>131</v>
      </c>
      <c r="B53" s="300"/>
      <c r="C53" s="300"/>
      <c r="D53" s="164" t="str">
        <f>Mvalloc!F28</f>
        <v xml:space="preserve">  </v>
      </c>
      <c r="F53" s="361" t="s">
        <v>327</v>
      </c>
      <c r="G53" s="359"/>
      <c r="H53" s="359"/>
      <c r="I53" s="362">
        <v>0</v>
      </c>
    </row>
    <row r="54" spans="1:10" x14ac:dyDescent="0.2">
      <c r="A54" s="191" t="s">
        <v>374</v>
      </c>
      <c r="B54" s="300"/>
      <c r="C54" s="300"/>
      <c r="D54" s="164" t="str">
        <f>Mvalloc!G28</f>
        <v xml:space="preserve"> </v>
      </c>
      <c r="F54" s="357" t="s">
        <v>328</v>
      </c>
      <c r="G54" s="358"/>
      <c r="H54" s="358"/>
      <c r="I54" s="363" t="str">
        <f>IF(I53=0,"",ROUND((I53+D82-F66)/inputOth!E5*1000,3)-F71)</f>
        <v/>
      </c>
    </row>
    <row r="55" spans="1:10" x14ac:dyDescent="0.2">
      <c r="A55" s="191" t="s">
        <v>375</v>
      </c>
      <c r="B55" s="300"/>
      <c r="C55" s="300"/>
      <c r="D55" s="164" t="str">
        <f>Mvalloc!H28</f>
        <v xml:space="preserve"> </v>
      </c>
      <c r="F55" s="364" t="str">
        <f>CONCATENATE("",D1," Tot Exp/Non-Appr Must Be:")</f>
        <v>2025 Tot Exp/Non-Appr Must Be:</v>
      </c>
      <c r="G55" s="365"/>
      <c r="H55" s="366"/>
      <c r="I55" s="367">
        <f>IF(I53&gt;0,IF(D79&lt;D64,IF(I53=F66,D79,((I53-F66)*(1-C81))+D64),D79+(I53-F66)),0)</f>
        <v>0</v>
      </c>
    </row>
    <row r="56" spans="1:10" x14ac:dyDescent="0.2">
      <c r="A56" s="205"/>
      <c r="B56" s="300"/>
      <c r="C56" s="300"/>
      <c r="D56" s="51"/>
      <c r="F56" s="368" t="s">
        <v>349</v>
      </c>
      <c r="G56" s="369"/>
      <c r="H56" s="369"/>
      <c r="I56" s="370">
        <f>IF(I53&gt;0,I55-D79,0)</f>
        <v>0</v>
      </c>
    </row>
    <row r="57" spans="1:10" x14ac:dyDescent="0.25">
      <c r="A57" s="205"/>
      <c r="B57" s="300"/>
      <c r="C57" s="300"/>
      <c r="D57" s="51"/>
      <c r="F57" s="371"/>
      <c r="G57" s="371"/>
      <c r="H57" s="371"/>
      <c r="I57" s="371"/>
    </row>
    <row r="58" spans="1:10" x14ac:dyDescent="0.2">
      <c r="A58" s="195"/>
      <c r="B58" s="300"/>
      <c r="C58" s="300"/>
      <c r="D58" s="51"/>
      <c r="F58" s="655" t="str">
        <f>CONCATENATE("Projected Carryover Into ",D1+1,"")</f>
        <v>Projected Carryover Into 2026</v>
      </c>
      <c r="G58" s="676"/>
      <c r="H58" s="676"/>
      <c r="I58" s="675"/>
    </row>
    <row r="59" spans="1:10" x14ac:dyDescent="0.25">
      <c r="A59" s="195" t="s">
        <v>38</v>
      </c>
      <c r="B59" s="300"/>
      <c r="C59" s="300"/>
      <c r="D59" s="46"/>
      <c r="F59" s="382"/>
      <c r="G59" s="358"/>
      <c r="H59" s="358"/>
      <c r="I59" s="383"/>
    </row>
    <row r="60" spans="1:10" x14ac:dyDescent="0.25">
      <c r="A60" s="196" t="s">
        <v>218</v>
      </c>
      <c r="B60" s="300"/>
      <c r="C60" s="300"/>
      <c r="D60" s="164">
        <f>'NR Rebate'!E26*-1</f>
        <v>0</v>
      </c>
      <c r="F60" s="373">
        <f>C76</f>
        <v>0</v>
      </c>
      <c r="G60" s="374" t="str">
        <f>CONCATENATE("",D1-1," Ending Cash Balance (est.)")</f>
        <v>2024 Ending Cash Balance (est.)</v>
      </c>
      <c r="H60" s="375"/>
      <c r="I60" s="383"/>
    </row>
    <row r="61" spans="1:10" x14ac:dyDescent="0.25">
      <c r="A61" s="196" t="s">
        <v>219</v>
      </c>
      <c r="B61" s="300"/>
      <c r="C61" s="300"/>
      <c r="D61" s="51"/>
      <c r="F61" s="373">
        <f>D63</f>
        <v>0</v>
      </c>
      <c r="G61" s="359" t="str">
        <f>CONCATENATE("",D1," Non-AV Receipts (est.)")</f>
        <v>2025 Non-AV Receipts (est.)</v>
      </c>
      <c r="H61" s="375"/>
      <c r="I61" s="383"/>
    </row>
    <row r="62" spans="1:10" x14ac:dyDescent="0.25">
      <c r="A62" s="196" t="s">
        <v>221</v>
      </c>
      <c r="B62" s="281" t="str">
        <f>IF(B63*0.1&lt;B61,"Exceed 10% Rule","")</f>
        <v/>
      </c>
      <c r="C62" s="281" t="str">
        <f>IF(C63*0.1&lt;C61,"Exceed 10% Rule","")</f>
        <v/>
      </c>
      <c r="D62" s="217" t="str">
        <f>IF(D63*0.1+D82&lt;D61,"Exceed 10% Rule","")</f>
        <v/>
      </c>
      <c r="F62" s="376">
        <f>IF(D81&gt;0,D80,D82)</f>
        <v>0</v>
      </c>
      <c r="G62" s="359" t="str">
        <f>CONCATENATE("",D1," Ad Valorem Tax (est.)")</f>
        <v>2025 Ad Valorem Tax (est.)</v>
      </c>
      <c r="H62" s="375"/>
      <c r="I62" s="383"/>
      <c r="J62" s="394" t="str">
        <f>IF(F62=D82,"","Note: Does not include Delinquent Taxes")</f>
        <v/>
      </c>
    </row>
    <row r="63" spans="1:10" x14ac:dyDescent="0.25">
      <c r="A63" s="198" t="s">
        <v>39</v>
      </c>
      <c r="B63" s="229">
        <f>SUM(B49:B61)</f>
        <v>0</v>
      </c>
      <c r="C63" s="229">
        <f>SUM(C49:C61)</f>
        <v>0</v>
      </c>
      <c r="D63" s="229">
        <f>SUM(D49:D61)</f>
        <v>0</v>
      </c>
      <c r="F63" s="384">
        <f>SUM(F60:F62)</f>
        <v>0</v>
      </c>
      <c r="G63" s="359" t="str">
        <f>CONCATENATE("Total ",D1," Resources Available")</f>
        <v>Total 2025 Resources Available</v>
      </c>
      <c r="H63" s="385"/>
      <c r="I63" s="383"/>
    </row>
    <row r="64" spans="1:10" x14ac:dyDescent="0.25">
      <c r="A64" s="198" t="s">
        <v>40</v>
      </c>
      <c r="B64" s="229">
        <f>B47+B63</f>
        <v>0</v>
      </c>
      <c r="C64" s="229">
        <f>C47+C63</f>
        <v>0</v>
      </c>
      <c r="D64" s="229">
        <f>D47+D63</f>
        <v>0</v>
      </c>
      <c r="F64" s="386"/>
      <c r="G64" s="387"/>
      <c r="H64" s="358"/>
      <c r="I64" s="383"/>
    </row>
    <row r="65" spans="1:9" x14ac:dyDescent="0.25">
      <c r="A65" s="98" t="s">
        <v>43</v>
      </c>
      <c r="B65" s="196"/>
      <c r="C65" s="196"/>
      <c r="D65" s="108"/>
      <c r="F65" s="388">
        <f>ROUND(B75*0.05+B75,0)</f>
        <v>0</v>
      </c>
      <c r="G65" s="359" t="str">
        <f>CONCATENATE("Less ",D1-2," Expenditures + 5%")</f>
        <v>Less 2023 Expenditures + 5%</v>
      </c>
      <c r="H65" s="385"/>
      <c r="I65" s="383"/>
    </row>
    <row r="66" spans="1:9" x14ac:dyDescent="0.25">
      <c r="A66" s="205"/>
      <c r="B66" s="300"/>
      <c r="C66" s="300"/>
      <c r="D66" s="51"/>
      <c r="F66" s="389">
        <f>F63-F65</f>
        <v>0</v>
      </c>
      <c r="G66" s="379" t="str">
        <f>CONCATENATE("Projected ",D1+1," carryover (est.)")</f>
        <v>Projected 2026 carryover (est.)</v>
      </c>
      <c r="H66" s="390"/>
      <c r="I66" s="391"/>
    </row>
    <row r="67" spans="1:9" x14ac:dyDescent="0.25">
      <c r="A67" s="205"/>
      <c r="B67" s="300"/>
      <c r="C67" s="300"/>
      <c r="D67" s="51"/>
      <c r="F67" s="371"/>
      <c r="G67" s="371"/>
      <c r="H67" s="371"/>
      <c r="I67" s="371"/>
    </row>
    <row r="68" spans="1:9" x14ac:dyDescent="0.2">
      <c r="A68" s="205"/>
      <c r="B68" s="300"/>
      <c r="C68" s="300"/>
      <c r="D68" s="51"/>
      <c r="F68" s="658" t="s">
        <v>569</v>
      </c>
      <c r="G68" s="659"/>
      <c r="H68" s="659"/>
      <c r="I68" s="660"/>
    </row>
    <row r="69" spans="1:9" x14ac:dyDescent="0.2">
      <c r="A69" s="205"/>
      <c r="B69" s="300"/>
      <c r="C69" s="300"/>
      <c r="D69" s="51"/>
      <c r="F69" s="661"/>
      <c r="G69" s="662"/>
      <c r="H69" s="662"/>
      <c r="I69" s="663"/>
    </row>
    <row r="70" spans="1:9" x14ac:dyDescent="0.2">
      <c r="A70" s="205"/>
      <c r="B70" s="300"/>
      <c r="C70" s="300"/>
      <c r="D70" s="51"/>
      <c r="F70" s="534" t="str">
        <f>'Budget Hearing Notice'!H36</f>
        <v xml:space="preserve">  </v>
      </c>
      <c r="G70" s="374" t="str">
        <f>CONCATENATE("",D1," Estimated Fund Mill Rate")</f>
        <v>2025 Estimated Fund Mill Rate</v>
      </c>
      <c r="H70" s="535"/>
      <c r="I70" s="536"/>
    </row>
    <row r="71" spans="1:9" x14ac:dyDescent="0.2">
      <c r="A71" s="205"/>
      <c r="B71" s="300"/>
      <c r="C71" s="300"/>
      <c r="D71" s="51"/>
      <c r="F71" s="537" t="str">
        <f>'Budget Hearing Notice'!E36</f>
        <v xml:space="preserve">  </v>
      </c>
      <c r="G71" s="374" t="str">
        <f>CONCATENATE("",D1-1," Fund Mill Rate")</f>
        <v>2024 Fund Mill Rate</v>
      </c>
      <c r="H71" s="535"/>
      <c r="I71" s="536"/>
    </row>
    <row r="72" spans="1:9" x14ac:dyDescent="0.2">
      <c r="A72" s="196" t="str">
        <f>CONCATENATE("Cash Reserve (",D1," column)")</f>
        <v>Cash Reserve (2025 column)</v>
      </c>
      <c r="B72" s="300"/>
      <c r="C72" s="300"/>
      <c r="D72" s="51"/>
      <c r="F72" s="538">
        <f>'Budget Hearing Notice'!H53</f>
        <v>0</v>
      </c>
      <c r="G72" s="539" t="s">
        <v>570</v>
      </c>
      <c r="H72" s="535"/>
      <c r="I72" s="536"/>
    </row>
    <row r="73" spans="1:9" x14ac:dyDescent="0.2">
      <c r="A73" s="196" t="s">
        <v>219</v>
      </c>
      <c r="B73" s="300"/>
      <c r="C73" s="300"/>
      <c r="D73" s="51"/>
      <c r="F73" s="534">
        <f>'Budget Hearing Notice'!H52</f>
        <v>0</v>
      </c>
      <c r="G73" s="374" t="str">
        <f>CONCATENATE(D1," Estimated Total Mill Rate")</f>
        <v>2025 Estimated Total Mill Rate</v>
      </c>
      <c r="H73" s="535"/>
      <c r="I73" s="536"/>
    </row>
    <row r="74" spans="1:9" x14ac:dyDescent="0.2">
      <c r="A74" s="196" t="s">
        <v>220</v>
      </c>
      <c r="B74" s="281" t="str">
        <f>IF(B75*0.1&lt;B73,"Exceed 10% Rule","")</f>
        <v/>
      </c>
      <c r="C74" s="281" t="str">
        <f>IF(C75*0.1&lt;C73,"Exceed 10% Rule","")</f>
        <v/>
      </c>
      <c r="D74" s="217" t="str">
        <f>IF(D75*0.1&lt;D73,"Exceed 10% Rule","")</f>
        <v/>
      </c>
      <c r="F74" s="540">
        <f>'Budget Hearing Notice'!E52</f>
        <v>0</v>
      </c>
      <c r="G74" s="374" t="str">
        <f>CONCATENATE(D1-1," Total Mill Rate")</f>
        <v>2024 Total Mill Rate</v>
      </c>
      <c r="H74" s="535"/>
      <c r="I74" s="536"/>
    </row>
    <row r="75" spans="1:9" x14ac:dyDescent="0.2">
      <c r="A75" s="198" t="s">
        <v>44</v>
      </c>
      <c r="B75" s="229">
        <f>SUM(B66:B73)</f>
        <v>0</v>
      </c>
      <c r="C75" s="229">
        <f>SUM(C66:C73)</f>
        <v>0</v>
      </c>
      <c r="D75" s="229">
        <f>SUM(D66:D73)</f>
        <v>0</v>
      </c>
      <c r="F75" s="382"/>
      <c r="G75" s="358"/>
      <c r="H75" s="358"/>
      <c r="I75" s="385"/>
    </row>
    <row r="76" spans="1:9" x14ac:dyDescent="0.2">
      <c r="A76" s="98" t="s">
        <v>149</v>
      </c>
      <c r="B76" s="164">
        <f>B64-B75</f>
        <v>0</v>
      </c>
      <c r="C76" s="164">
        <f>C64-C75</f>
        <v>0</v>
      </c>
      <c r="D76" s="212" t="s">
        <v>16</v>
      </c>
      <c r="F76" s="664" t="s">
        <v>571</v>
      </c>
      <c r="G76" s="665"/>
      <c r="H76" s="665"/>
      <c r="I76" s="668" t="str">
        <f>IF(F73&gt;F72, "Yes", "No")</f>
        <v>No</v>
      </c>
    </row>
    <row r="77" spans="1:9" x14ac:dyDescent="0.2">
      <c r="A77" s="120" t="str">
        <f>CONCATENATE("",D1-2,"/",D1-1,"/",D1," Budget Authority Amount:")</f>
        <v>2023/2024/2025 Budget Authority Amount:</v>
      </c>
      <c r="B77" s="214">
        <f>inputOth!B52</f>
        <v>0</v>
      </c>
      <c r="C77" s="214">
        <f>inputPrYr!D37</f>
        <v>0</v>
      </c>
      <c r="D77" s="164">
        <f>D75</f>
        <v>0</v>
      </c>
      <c r="E77" s="206"/>
      <c r="F77" s="666"/>
      <c r="G77" s="667"/>
      <c r="H77" s="667"/>
      <c r="I77" s="669"/>
    </row>
    <row r="78" spans="1:9" x14ac:dyDescent="0.2">
      <c r="A78" s="182"/>
      <c r="B78" s="651" t="s">
        <v>319</v>
      </c>
      <c r="C78" s="652"/>
      <c r="D78" s="51"/>
      <c r="E78" s="303" t="str">
        <f>IF(D75/0.95-D75&lt;D78,"Exceeds 5%","")</f>
        <v/>
      </c>
      <c r="F78" s="670" t="str">
        <f>IF(I76="Yes", "Follow procedure prescribed by KSA 79-2988 to exceed the Revenue Neutral Rate.", " ")</f>
        <v xml:space="preserve"> </v>
      </c>
      <c r="G78" s="670"/>
      <c r="H78" s="670"/>
      <c r="I78" s="670"/>
    </row>
    <row r="79" spans="1:9" x14ac:dyDescent="0.2">
      <c r="A79" s="304" t="str">
        <f>CONCATENATE(B98,"      ",C98)</f>
        <v xml:space="preserve">      </v>
      </c>
      <c r="B79" s="653" t="s">
        <v>320</v>
      </c>
      <c r="C79" s="654"/>
      <c r="D79" s="164">
        <f>D75+D78</f>
        <v>0</v>
      </c>
      <c r="F79" s="671"/>
      <c r="G79" s="671"/>
      <c r="H79" s="671"/>
      <c r="I79" s="671"/>
    </row>
    <row r="80" spans="1:9" x14ac:dyDescent="0.2">
      <c r="A80" s="304" t="str">
        <f>CONCATENATE(B99,"      ",C99)</f>
        <v xml:space="preserve">      </v>
      </c>
      <c r="B80" s="207"/>
      <c r="C80" s="63" t="s">
        <v>45</v>
      </c>
      <c r="D80" s="164">
        <f>IF(D79-D64&gt;0,D79-D64,0)</f>
        <v>0</v>
      </c>
      <c r="F80" s="671"/>
      <c r="G80" s="671"/>
      <c r="H80" s="671"/>
      <c r="I80" s="671"/>
    </row>
    <row r="81" spans="1:4" x14ac:dyDescent="0.2">
      <c r="A81" s="63"/>
      <c r="B81" s="293" t="s">
        <v>321</v>
      </c>
      <c r="C81" s="396">
        <f>inputOth!$E$25</f>
        <v>0</v>
      </c>
      <c r="D81" s="164">
        <f>ROUND(IF(C81&gt;0,(D80*C81),0),0)</f>
        <v>0</v>
      </c>
    </row>
    <row r="82" spans="1:4" x14ac:dyDescent="0.2">
      <c r="A82" s="32"/>
      <c r="B82" s="649" t="str">
        <f>CONCATENATE("Amount of  ",$D$1-1," Ad Valorem Tax")</f>
        <v>Amount of  2024 Ad Valorem Tax</v>
      </c>
      <c r="C82" s="650"/>
      <c r="D82" s="164">
        <f>D80+D81</f>
        <v>0</v>
      </c>
    </row>
    <row r="83" spans="1:4" x14ac:dyDescent="0.2">
      <c r="A83" s="32"/>
      <c r="B83" s="182"/>
      <c r="C83" s="182"/>
      <c r="D83" s="182"/>
    </row>
    <row r="84" spans="1:4" x14ac:dyDescent="0.2">
      <c r="A84" s="446" t="s">
        <v>380</v>
      </c>
      <c r="B84" s="456"/>
      <c r="C84" s="456"/>
      <c r="D84" s="457"/>
    </row>
    <row r="85" spans="1:4" x14ac:dyDescent="0.2">
      <c r="A85" s="183"/>
      <c r="B85" s="182"/>
      <c r="C85" s="182"/>
      <c r="D85" s="458"/>
    </row>
    <row r="86" spans="1:4" x14ac:dyDescent="0.2">
      <c r="A86" s="447"/>
      <c r="B86" s="461"/>
      <c r="C86" s="461"/>
      <c r="D86" s="462"/>
    </row>
    <row r="87" spans="1:4" x14ac:dyDescent="0.2">
      <c r="A87" s="32"/>
      <c r="B87" s="182"/>
      <c r="C87" s="182"/>
      <c r="D87" s="182"/>
    </row>
    <row r="88" spans="1:4" x14ac:dyDescent="0.2">
      <c r="A88" s="32"/>
      <c r="B88" s="182"/>
      <c r="C88" s="182"/>
      <c r="D88" s="182"/>
    </row>
    <row r="89" spans="1:4" x14ac:dyDescent="0.2">
      <c r="A89" s="182" t="s">
        <v>96</v>
      </c>
      <c r="B89" s="428"/>
      <c r="C89" s="32"/>
      <c r="D89" s="32"/>
    </row>
    <row r="90" spans="1:4" hidden="1" x14ac:dyDescent="0.2"/>
    <row r="91" spans="1:4" hidden="1" x14ac:dyDescent="0.2"/>
    <row r="92" spans="1:4" hidden="1" x14ac:dyDescent="0.2"/>
    <row r="93" spans="1:4" hidden="1" x14ac:dyDescent="0.2"/>
    <row r="96" spans="1:4" x14ac:dyDescent="0.2">
      <c r="B96" s="27" t="str">
        <f>IF(B34&gt;B36,"See Tab A","")</f>
        <v/>
      </c>
      <c r="C96" s="27" t="str">
        <f>IF(C34&gt;C36,"See Tab C","")</f>
        <v/>
      </c>
    </row>
    <row r="97" spans="2:3" x14ac:dyDescent="0.2">
      <c r="B97" s="27" t="str">
        <f>IF(B35&lt;0,"See Tab B","")</f>
        <v/>
      </c>
      <c r="C97" s="27" t="str">
        <f>IF(C35&lt;0,"See Tab D","")</f>
        <v/>
      </c>
    </row>
    <row r="98" spans="2:3" x14ac:dyDescent="0.2">
      <c r="B98" s="27" t="str">
        <f>IF(B75&gt;B77,"See Tab A","")</f>
        <v/>
      </c>
      <c r="C98" s="27" t="str">
        <f>IF(C75&gt;C77,"See Tab C","")</f>
        <v/>
      </c>
    </row>
    <row r="99" spans="2:3" x14ac:dyDescent="0.2">
      <c r="B99" s="27" t="str">
        <f>IF(B76&lt;0,"See Tab B","")</f>
        <v/>
      </c>
      <c r="C99" s="27" t="str">
        <f>IF(C76&lt;0,"See Tab D","")</f>
        <v/>
      </c>
    </row>
  </sheetData>
  <sheetProtection sheet="1"/>
  <mergeCells count="18">
    <mergeCell ref="B82:C82"/>
    <mergeCell ref="B41:C41"/>
    <mergeCell ref="F68:I69"/>
    <mergeCell ref="F76:H77"/>
    <mergeCell ref="I76:I77"/>
    <mergeCell ref="F78:I80"/>
    <mergeCell ref="B37:C37"/>
    <mergeCell ref="B38:C38"/>
    <mergeCell ref="B78:C78"/>
    <mergeCell ref="B79:C79"/>
    <mergeCell ref="F37:I39"/>
    <mergeCell ref="F10:I10"/>
    <mergeCell ref="F17:I17"/>
    <mergeCell ref="F51:I51"/>
    <mergeCell ref="F58:I58"/>
    <mergeCell ref="F27:I28"/>
    <mergeCell ref="F35:H36"/>
    <mergeCell ref="I35:I36"/>
  </mergeCells>
  <phoneticPr fontId="0" type="noConversion"/>
  <conditionalFormatting sqref="B20">
    <cfRule type="cellIs" dxfId="130" priority="16" stopIfTrue="1" operator="greaterThan">
      <formula>$B$22*0.1</formula>
    </cfRule>
  </conditionalFormatting>
  <conditionalFormatting sqref="B32">
    <cfRule type="cellIs" dxfId="129" priority="25" stopIfTrue="1" operator="greaterThan">
      <formula>$B$34*0.1</formula>
    </cfRule>
  </conditionalFormatting>
  <conditionalFormatting sqref="B34">
    <cfRule type="cellIs" dxfId="128" priority="8" stopIfTrue="1" operator="greaterThan">
      <formula>$B$36</formula>
    </cfRule>
  </conditionalFormatting>
  <conditionalFormatting sqref="B61">
    <cfRule type="cellIs" dxfId="127" priority="24" stopIfTrue="1" operator="greaterThan">
      <formula>$B$63*0.1</formula>
    </cfRule>
  </conditionalFormatting>
  <conditionalFormatting sqref="B73">
    <cfRule type="cellIs" dxfId="126" priority="21" stopIfTrue="1" operator="greaterThan">
      <formula>$B$75*0.1</formula>
    </cfRule>
  </conditionalFormatting>
  <conditionalFormatting sqref="B75">
    <cfRule type="cellIs" dxfId="125" priority="4" stopIfTrue="1" operator="greaterThan">
      <formula>$B$77</formula>
    </cfRule>
  </conditionalFormatting>
  <conditionalFormatting sqref="B35:C35">
    <cfRule type="cellIs" dxfId="124" priority="5" stopIfTrue="1" operator="lessThan">
      <formula>0</formula>
    </cfRule>
  </conditionalFormatting>
  <conditionalFormatting sqref="B76:C76">
    <cfRule type="cellIs" dxfId="123" priority="1" stopIfTrue="1" operator="lessThan">
      <formula>0</formula>
    </cfRule>
  </conditionalFormatting>
  <conditionalFormatting sqref="C20">
    <cfRule type="cellIs" dxfId="122" priority="17" stopIfTrue="1" operator="greaterThan">
      <formula>$C$22*0.1</formula>
    </cfRule>
  </conditionalFormatting>
  <conditionalFormatting sqref="C32">
    <cfRule type="cellIs" dxfId="121" priority="26" stopIfTrue="1" operator="greaterThan">
      <formula>$C$34*0.1</formula>
    </cfRule>
  </conditionalFormatting>
  <conditionalFormatting sqref="C34">
    <cfRule type="cellIs" dxfId="120" priority="7" stopIfTrue="1" operator="greaterThan">
      <formula>$C$36</formula>
    </cfRule>
  </conditionalFormatting>
  <conditionalFormatting sqref="C61">
    <cfRule type="cellIs" dxfId="119" priority="23" stopIfTrue="1" operator="greaterThan">
      <formula>$C$63*0.1</formula>
    </cfRule>
  </conditionalFormatting>
  <conditionalFormatting sqref="C73">
    <cfRule type="cellIs" dxfId="118" priority="22" stopIfTrue="1" operator="greaterThan">
      <formula>$C$75*0.1</formula>
    </cfRule>
  </conditionalFormatting>
  <conditionalFormatting sqref="C75">
    <cfRule type="cellIs" dxfId="117" priority="3" stopIfTrue="1" operator="greaterThan">
      <formula>$C$77</formula>
    </cfRule>
  </conditionalFormatting>
  <conditionalFormatting sqref="D20">
    <cfRule type="cellIs" dxfId="116" priority="19" stopIfTrue="1" operator="greaterThan">
      <formula>$D$22*0.1+D41</formula>
    </cfRule>
  </conditionalFormatting>
  <conditionalFormatting sqref="D32">
    <cfRule type="cellIs" dxfId="115" priority="18" stopIfTrue="1" operator="greaterThan">
      <formula>$D$34*0.1</formula>
    </cfRule>
  </conditionalFormatting>
  <conditionalFormatting sqref="D37">
    <cfRule type="cellIs" dxfId="114" priority="13" stopIfTrue="1" operator="greaterThan">
      <formula>$D$34/0.95-$D$34</formula>
    </cfRule>
  </conditionalFormatting>
  <conditionalFormatting sqref="D61">
    <cfRule type="cellIs" dxfId="113" priority="20" stopIfTrue="1" operator="greaterThan">
      <formula>$D$63*0.1+D82</formula>
    </cfRule>
  </conditionalFormatting>
  <conditionalFormatting sqref="D73">
    <cfRule type="cellIs" dxfId="112" priority="15" stopIfTrue="1" operator="greaterThan">
      <formula>$D$75*0.1</formula>
    </cfRule>
  </conditionalFormatting>
  <conditionalFormatting sqref="D78">
    <cfRule type="cellIs" dxfId="111" priority="14" stopIfTrue="1" operator="greaterThan">
      <formula>$D$75/0.95-$D$75</formula>
    </cfRule>
  </conditionalFormatting>
  <conditionalFormatting sqref="I35">
    <cfRule type="containsText" dxfId="110" priority="9" operator="containsText" text="Yes">
      <formula>NOT(ISERROR(SEARCH("Yes",I35)))</formula>
    </cfRule>
  </conditionalFormatting>
  <conditionalFormatting sqref="I76">
    <cfRule type="containsText" dxfId="109" priority="10" operator="containsText" text="Yes">
      <formula>NOT(ISERROR(SEARCH("Yes",I76)))</formula>
    </cfRule>
  </conditionalFormatting>
  <pageMargins left="1.1200000000000001" right="0.5" top="0.74" bottom="0.34" header="0.5" footer="0"/>
  <pageSetup scale="57" orientation="portrait" blackAndWhite="1" horizontalDpi="120" verticalDpi="144" r:id="rId1"/>
  <headerFooter alignWithMargins="0">
    <oddHeader xml:space="preserve">&amp;RState of Kansas
County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tabColor rgb="FF00B0F0"/>
    <pageSetUpPr fitToPage="1"/>
  </sheetPr>
  <dimension ref="A1:J98"/>
  <sheetViews>
    <sheetView zoomScaleNormal="100" workbookViewId="0">
      <selection activeCell="B73" sqref="B73:D73"/>
    </sheetView>
  </sheetViews>
  <sheetFormatPr defaultRowHeight="15.75" x14ac:dyDescent="0.2"/>
  <cols>
    <col min="1" max="1" width="31.109375" style="27" customWidth="1"/>
    <col min="2" max="3" width="15.77734375" style="27" customWidth="1"/>
    <col min="4" max="4" width="16.21875" style="27" customWidth="1"/>
    <col min="5" max="5" width="8.88671875" style="27"/>
    <col min="6" max="6" width="10.21875" style="27" customWidth="1"/>
    <col min="7" max="7" width="8.88671875" style="27"/>
    <col min="8" max="8" width="5.77734375" style="27" customWidth="1"/>
    <col min="9" max="9" width="10" style="27" customWidth="1"/>
    <col min="10" max="16384" width="8.88671875" style="27"/>
  </cols>
  <sheetData>
    <row r="1" spans="1:9" x14ac:dyDescent="0.2">
      <c r="A1" s="73">
        <f>inputPrYr!C3</f>
        <v>0</v>
      </c>
      <c r="B1" s="32"/>
      <c r="C1" s="32"/>
      <c r="D1" s="182">
        <f>inputPrYr!C5</f>
        <v>2025</v>
      </c>
    </row>
    <row r="2" spans="1:9" x14ac:dyDescent="0.2">
      <c r="A2" s="133"/>
      <c r="B2" s="208"/>
      <c r="C2" s="208"/>
      <c r="D2" s="209"/>
    </row>
    <row r="3" spans="1:9" x14ac:dyDescent="0.2">
      <c r="A3" s="302" t="s">
        <v>138</v>
      </c>
      <c r="B3" s="91"/>
      <c r="C3" s="91"/>
      <c r="D3" s="91"/>
    </row>
    <row r="4" spans="1:9" x14ac:dyDescent="0.2">
      <c r="A4" s="31" t="s">
        <v>30</v>
      </c>
      <c r="B4" s="353" t="s">
        <v>346</v>
      </c>
      <c r="C4" s="354" t="s">
        <v>347</v>
      </c>
      <c r="D4" s="95" t="s">
        <v>348</v>
      </c>
    </row>
    <row r="5" spans="1:9" x14ac:dyDescent="0.2">
      <c r="A5" s="73">
        <f>inputPrYr!B38</f>
        <v>0</v>
      </c>
      <c r="B5" s="283" t="str">
        <f>CONCATENATE("Actual for ",D1-2,"")</f>
        <v>Actual for 2023</v>
      </c>
      <c r="C5" s="283" t="str">
        <f>CONCATENATE("Estimate for ",D1-1,"")</f>
        <v>Estimate for 2024</v>
      </c>
      <c r="D5" s="190" t="str">
        <f>CONCATENATE("Year for ",D1,"")</f>
        <v>Year for 2025</v>
      </c>
    </row>
    <row r="6" spans="1:9" x14ac:dyDescent="0.2">
      <c r="A6" s="98" t="s">
        <v>148</v>
      </c>
      <c r="B6" s="300"/>
      <c r="C6" s="282">
        <f>B35</f>
        <v>0</v>
      </c>
      <c r="D6" s="164">
        <f>C35</f>
        <v>0</v>
      </c>
    </row>
    <row r="7" spans="1:9" x14ac:dyDescent="0.2">
      <c r="A7" s="184" t="s">
        <v>150</v>
      </c>
      <c r="B7" s="111"/>
      <c r="C7" s="111"/>
      <c r="D7" s="64"/>
    </row>
    <row r="8" spans="1:9" x14ac:dyDescent="0.2">
      <c r="A8" s="98" t="s">
        <v>31</v>
      </c>
      <c r="B8" s="300"/>
      <c r="C8" s="282">
        <f>inputPrYr!E38</f>
        <v>0</v>
      </c>
      <c r="D8" s="212" t="s">
        <v>16</v>
      </c>
    </row>
    <row r="9" spans="1:9" x14ac:dyDescent="0.2">
      <c r="A9" s="98" t="s">
        <v>32</v>
      </c>
      <c r="B9" s="300"/>
      <c r="C9" s="300"/>
      <c r="D9" s="51"/>
    </row>
    <row r="10" spans="1:9" x14ac:dyDescent="0.2">
      <c r="A10" s="98" t="s">
        <v>33</v>
      </c>
      <c r="B10" s="300"/>
      <c r="C10" s="300"/>
      <c r="D10" s="164" t="str">
        <f>Mvalloc!D29</f>
        <v xml:space="preserve">  </v>
      </c>
      <c r="F10" s="655" t="str">
        <f>CONCATENATE("Desired Carryover Into ",D1+1,"")</f>
        <v>Desired Carryover Into 2026</v>
      </c>
      <c r="G10" s="656"/>
      <c r="H10" s="656"/>
      <c r="I10" s="657"/>
    </row>
    <row r="11" spans="1:9" x14ac:dyDescent="0.2">
      <c r="A11" s="98" t="s">
        <v>34</v>
      </c>
      <c r="B11" s="300"/>
      <c r="C11" s="300"/>
      <c r="D11" s="164" t="str">
        <f>Mvalloc!E29</f>
        <v xml:space="preserve">  </v>
      </c>
      <c r="F11" s="357"/>
      <c r="G11" s="358"/>
      <c r="H11" s="359"/>
      <c r="I11" s="360"/>
    </row>
    <row r="12" spans="1:9" x14ac:dyDescent="0.2">
      <c r="A12" s="111" t="s">
        <v>131</v>
      </c>
      <c r="B12" s="300"/>
      <c r="C12" s="300"/>
      <c r="D12" s="164" t="str">
        <f>Mvalloc!F29</f>
        <v xml:space="preserve">  </v>
      </c>
      <c r="F12" s="361" t="s">
        <v>327</v>
      </c>
      <c r="G12" s="359"/>
      <c r="H12" s="359"/>
      <c r="I12" s="362">
        <v>0</v>
      </c>
    </row>
    <row r="13" spans="1:9" x14ac:dyDescent="0.2">
      <c r="A13" s="191" t="s">
        <v>374</v>
      </c>
      <c r="B13" s="300"/>
      <c r="C13" s="300"/>
      <c r="D13" s="164" t="str">
        <f>Mvalloc!G29</f>
        <v xml:space="preserve"> </v>
      </c>
      <c r="F13" s="357" t="s">
        <v>328</v>
      </c>
      <c r="G13" s="358"/>
      <c r="H13" s="358"/>
      <c r="I13" s="363" t="str">
        <f>IF(I12=0,"",ROUND((I12+D41-F25)/inputOth!E5*1000,3)-F30)</f>
        <v/>
      </c>
    </row>
    <row r="14" spans="1:9" x14ac:dyDescent="0.2">
      <c r="A14" s="191" t="s">
        <v>375</v>
      </c>
      <c r="B14" s="300"/>
      <c r="C14" s="300"/>
      <c r="D14" s="164" t="str">
        <f>Mvalloc!H29</f>
        <v xml:space="preserve"> </v>
      </c>
      <c r="F14" s="364" t="str">
        <f>CONCATENATE("",D1," Tot Exp/Non-Appr Must Be:")</f>
        <v>2025 Tot Exp/Non-Appr Must Be:</v>
      </c>
      <c r="G14" s="365"/>
      <c r="H14" s="366"/>
      <c r="I14" s="367">
        <f>IF(I12&gt;0,IF(D38&lt;D23,IF(I12=F25,D38,((I12-F25)*(1-C40))+D23),D38+(I12-F25)),0)</f>
        <v>0</v>
      </c>
    </row>
    <row r="15" spans="1:9" x14ac:dyDescent="0.2">
      <c r="A15" s="205"/>
      <c r="B15" s="300"/>
      <c r="C15" s="300"/>
      <c r="D15" s="51"/>
      <c r="F15" s="368" t="s">
        <v>349</v>
      </c>
      <c r="G15" s="369"/>
      <c r="H15" s="369"/>
      <c r="I15" s="370">
        <f>IF(I12&gt;0,I14-D38,0)</f>
        <v>0</v>
      </c>
    </row>
    <row r="16" spans="1:9" x14ac:dyDescent="0.25">
      <c r="A16" s="205"/>
      <c r="B16" s="300"/>
      <c r="C16" s="300"/>
      <c r="D16" s="51"/>
      <c r="F16" s="371"/>
      <c r="G16" s="371"/>
      <c r="H16" s="371"/>
      <c r="I16" s="371"/>
    </row>
    <row r="17" spans="1:10" x14ac:dyDescent="0.2">
      <c r="A17" s="205"/>
      <c r="B17" s="300"/>
      <c r="C17" s="300"/>
      <c r="D17" s="51"/>
      <c r="F17" s="655" t="str">
        <f>CONCATENATE("Projected Carryover Into ",D1+1,"")</f>
        <v>Projected Carryover Into 2026</v>
      </c>
      <c r="G17" s="674"/>
      <c r="H17" s="674"/>
      <c r="I17" s="675"/>
    </row>
    <row r="18" spans="1:10" x14ac:dyDescent="0.2">
      <c r="A18" s="195" t="s">
        <v>38</v>
      </c>
      <c r="B18" s="300"/>
      <c r="C18" s="300"/>
      <c r="D18" s="51"/>
      <c r="F18" s="357"/>
      <c r="G18" s="359"/>
      <c r="H18" s="359"/>
      <c r="I18" s="372"/>
    </row>
    <row r="19" spans="1:10" x14ac:dyDescent="0.2">
      <c r="A19" s="196" t="s">
        <v>218</v>
      </c>
      <c r="B19" s="300"/>
      <c r="C19" s="300"/>
      <c r="D19" s="164">
        <f>'NR Rebate'!E27*-1</f>
        <v>0</v>
      </c>
      <c r="F19" s="373">
        <f>C35</f>
        <v>0</v>
      </c>
      <c r="G19" s="374" t="str">
        <f>CONCATENATE("",D1-1," Ending Cash Balance (est.)")</f>
        <v>2024 Ending Cash Balance (est.)</v>
      </c>
      <c r="H19" s="375"/>
      <c r="I19" s="372"/>
    </row>
    <row r="20" spans="1:10" x14ac:dyDescent="0.2">
      <c r="A20" s="196" t="s">
        <v>219</v>
      </c>
      <c r="B20" s="300"/>
      <c r="C20" s="300"/>
      <c r="D20" s="51"/>
      <c r="F20" s="373">
        <f>D22</f>
        <v>0</v>
      </c>
      <c r="G20" s="359" t="str">
        <f>CONCATENATE("",D1," Non-AV Receipts (est.)")</f>
        <v>2025 Non-AV Receipts (est.)</v>
      </c>
      <c r="H20" s="375"/>
      <c r="I20" s="372"/>
    </row>
    <row r="21" spans="1:10" x14ac:dyDescent="0.2">
      <c r="A21" s="196" t="s">
        <v>221</v>
      </c>
      <c r="B21" s="281" t="str">
        <f>IF(B22*0.1&lt;B20,"Exceed 10% Rule","")</f>
        <v/>
      </c>
      <c r="C21" s="281" t="str">
        <f>IF(C22*0.1&lt;C20,"Exceed 10% Rule","")</f>
        <v/>
      </c>
      <c r="D21" s="217" t="str">
        <f>IF(D22*0.1+D41&lt;D20,"Exceed 10% Rule","")</f>
        <v/>
      </c>
      <c r="F21" s="376">
        <f>IF(D40&gt;0,D39,D41)</f>
        <v>0</v>
      </c>
      <c r="G21" s="359" t="str">
        <f>CONCATENATE("",D1," Ad Valorem Tax (est.)")</f>
        <v>2025 Ad Valorem Tax (est.)</v>
      </c>
      <c r="H21" s="375"/>
      <c r="I21" s="372"/>
      <c r="J21" s="394" t="str">
        <f>IF(F21=D41,"","Note: Does not include Delinquent Taxes")</f>
        <v/>
      </c>
    </row>
    <row r="22" spans="1:10" x14ac:dyDescent="0.2">
      <c r="A22" s="198" t="s">
        <v>39</v>
      </c>
      <c r="B22" s="229">
        <f>SUM(B8:B20)</f>
        <v>0</v>
      </c>
      <c r="C22" s="229">
        <f>SUM(C8:C20)</f>
        <v>0</v>
      </c>
      <c r="D22" s="229">
        <f>SUM(D8:D20)</f>
        <v>0</v>
      </c>
      <c r="F22" s="373">
        <f>SUM(F19:F21)</f>
        <v>0</v>
      </c>
      <c r="G22" s="359" t="str">
        <f>CONCATENATE("Total ",D1," Resources Available")</f>
        <v>Total 2025 Resources Available</v>
      </c>
      <c r="H22" s="375"/>
      <c r="I22" s="372"/>
    </row>
    <row r="23" spans="1:10" x14ac:dyDescent="0.2">
      <c r="A23" s="198" t="s">
        <v>40</v>
      </c>
      <c r="B23" s="229">
        <f>B6+B22</f>
        <v>0</v>
      </c>
      <c r="C23" s="229">
        <f>C6+C22</f>
        <v>0</v>
      </c>
      <c r="D23" s="229">
        <f>D6+D22</f>
        <v>0</v>
      </c>
      <c r="F23" s="377"/>
      <c r="G23" s="359"/>
      <c r="H23" s="359"/>
      <c r="I23" s="372"/>
    </row>
    <row r="24" spans="1:10" x14ac:dyDescent="0.25">
      <c r="A24" s="98" t="s">
        <v>43</v>
      </c>
      <c r="B24" s="196"/>
      <c r="C24" s="196"/>
      <c r="D24" s="108"/>
      <c r="F24" s="376">
        <f>ROUND(B34*0.05+B34,0)</f>
        <v>0</v>
      </c>
      <c r="G24" s="359" t="str">
        <f>CONCATENATE("Less ",D1-2," Expenditures + 5%")</f>
        <v>Less 2023 Expenditures + 5%</v>
      </c>
      <c r="H24" s="375"/>
      <c r="I24" s="383"/>
    </row>
    <row r="25" spans="1:10" x14ac:dyDescent="0.2">
      <c r="A25" s="205"/>
      <c r="B25" s="300"/>
      <c r="C25" s="300"/>
      <c r="D25" s="51"/>
      <c r="F25" s="378">
        <f>F22-F24</f>
        <v>0</v>
      </c>
      <c r="G25" s="379" t="str">
        <f>CONCATENATE("Projected ",D1+1," carryover (est.)")</f>
        <v>Projected 2026 carryover (est.)</v>
      </c>
      <c r="H25" s="380"/>
      <c r="I25" s="381"/>
    </row>
    <row r="26" spans="1:10" x14ac:dyDescent="0.25">
      <c r="A26" s="205"/>
      <c r="B26" s="300"/>
      <c r="C26" s="300"/>
      <c r="D26" s="51"/>
      <c r="F26" s="371"/>
      <c r="G26" s="371"/>
      <c r="H26" s="371"/>
      <c r="I26" s="371"/>
    </row>
    <row r="27" spans="1:10" x14ac:dyDescent="0.2">
      <c r="A27" s="205"/>
      <c r="B27" s="300"/>
      <c r="C27" s="300"/>
      <c r="D27" s="51"/>
      <c r="F27" s="658" t="s">
        <v>569</v>
      </c>
      <c r="G27" s="659"/>
      <c r="H27" s="659"/>
      <c r="I27" s="660"/>
    </row>
    <row r="28" spans="1:10" x14ac:dyDescent="0.2">
      <c r="A28" s="205"/>
      <c r="B28" s="300"/>
      <c r="C28" s="300"/>
      <c r="D28" s="51"/>
      <c r="F28" s="661"/>
      <c r="G28" s="662"/>
      <c r="H28" s="662"/>
      <c r="I28" s="663"/>
    </row>
    <row r="29" spans="1:10" x14ac:dyDescent="0.2">
      <c r="A29" s="205"/>
      <c r="B29" s="300"/>
      <c r="C29" s="300"/>
      <c r="D29" s="51"/>
      <c r="F29" s="534" t="str">
        <f>'Budget Hearing Notice'!H37</f>
        <v xml:space="preserve">  </v>
      </c>
      <c r="G29" s="374" t="str">
        <f>CONCATENATE("",D1," Estimated Fund Mill Rate")</f>
        <v>2025 Estimated Fund Mill Rate</v>
      </c>
      <c r="H29" s="535"/>
      <c r="I29" s="536"/>
    </row>
    <row r="30" spans="1:10" x14ac:dyDescent="0.2">
      <c r="A30" s="205"/>
      <c r="B30" s="300"/>
      <c r="C30" s="300"/>
      <c r="D30" s="51"/>
      <c r="F30" s="537" t="str">
        <f>'Budget Hearing Notice'!E37</f>
        <v xml:space="preserve">  </v>
      </c>
      <c r="G30" s="374" t="str">
        <f>CONCATENATE("",D1-1," Fund Mill Rate")</f>
        <v>2024 Fund Mill Rate</v>
      </c>
      <c r="H30" s="535"/>
      <c r="I30" s="536"/>
    </row>
    <row r="31" spans="1:10" x14ac:dyDescent="0.2">
      <c r="A31" s="196" t="str">
        <f>CONCATENATE("Cash Reserve (",D1," column)")</f>
        <v>Cash Reserve (2025 column)</v>
      </c>
      <c r="B31" s="300"/>
      <c r="C31" s="300"/>
      <c r="D31" s="51"/>
      <c r="F31" s="538">
        <f>'Budget Hearing Notice'!H53</f>
        <v>0</v>
      </c>
      <c r="G31" s="539" t="s">
        <v>570</v>
      </c>
      <c r="H31" s="535"/>
      <c r="I31" s="536"/>
    </row>
    <row r="32" spans="1:10" x14ac:dyDescent="0.2">
      <c r="A32" s="196" t="s">
        <v>219</v>
      </c>
      <c r="B32" s="300"/>
      <c r="C32" s="300"/>
      <c r="D32" s="51"/>
      <c r="F32" s="534">
        <f>'Budget Hearing Notice'!H52</f>
        <v>0</v>
      </c>
      <c r="G32" s="374" t="str">
        <f>CONCATENATE(D1," Estimated Total Mill Rate")</f>
        <v>2025 Estimated Total Mill Rate</v>
      </c>
      <c r="H32" s="535"/>
      <c r="I32" s="536"/>
    </row>
    <row r="33" spans="1:9" x14ac:dyDescent="0.2">
      <c r="A33" s="196" t="s">
        <v>220</v>
      </c>
      <c r="B33" s="281" t="str">
        <f>IF(B34*0.1&lt;B32,"Exceed 10% Rule","")</f>
        <v/>
      </c>
      <c r="C33" s="281" t="str">
        <f>IF(C34*0.1&lt;C32,"Exceed 10% Rule","")</f>
        <v/>
      </c>
      <c r="D33" s="217" t="str">
        <f>IF(D34*0.1&lt;D32,"Exceed 10% Rule","")</f>
        <v/>
      </c>
      <c r="F33" s="540">
        <f>'Budget Hearing Notice'!E52</f>
        <v>0</v>
      </c>
      <c r="G33" s="374" t="str">
        <f>CONCATENATE(D1-1," Total Mill Rate")</f>
        <v>2024 Total Mill Rate</v>
      </c>
      <c r="H33" s="535"/>
      <c r="I33" s="536"/>
    </row>
    <row r="34" spans="1:9" x14ac:dyDescent="0.2">
      <c r="A34" s="198" t="s">
        <v>44</v>
      </c>
      <c r="B34" s="229">
        <f>SUM(B25:B32)</f>
        <v>0</v>
      </c>
      <c r="C34" s="229">
        <f>SUM(C25:C32)</f>
        <v>0</v>
      </c>
      <c r="D34" s="229">
        <f>SUM(D25:D32)</f>
        <v>0</v>
      </c>
      <c r="F34" s="382"/>
      <c r="G34" s="358"/>
      <c r="H34" s="358"/>
      <c r="I34" s="385"/>
    </row>
    <row r="35" spans="1:9" x14ac:dyDescent="0.2">
      <c r="A35" s="98" t="s">
        <v>149</v>
      </c>
      <c r="B35" s="164">
        <f>B23-B34</f>
        <v>0</v>
      </c>
      <c r="C35" s="164">
        <f>C23-C34</f>
        <v>0</v>
      </c>
      <c r="D35" s="212" t="s">
        <v>16</v>
      </c>
      <c r="F35" s="664" t="s">
        <v>571</v>
      </c>
      <c r="G35" s="665"/>
      <c r="H35" s="665"/>
      <c r="I35" s="668" t="str">
        <f>IF(F32&gt;F31, "Yes", "No")</f>
        <v>No</v>
      </c>
    </row>
    <row r="36" spans="1:9" x14ac:dyDescent="0.2">
      <c r="A36" s="120" t="str">
        <f>CONCATENATE("",D1-2,"/",D1-1,"/",D1," Budget Authority Amount:")</f>
        <v>2023/2024/2025 Budget Authority Amount:</v>
      </c>
      <c r="B36" s="214">
        <f>inputOth!B53</f>
        <v>0</v>
      </c>
      <c r="C36" s="214">
        <f>inputPrYr!D38</f>
        <v>0</v>
      </c>
      <c r="D36" s="164">
        <f>D34</f>
        <v>0</v>
      </c>
      <c r="E36" s="206"/>
      <c r="F36" s="666"/>
      <c r="G36" s="667"/>
      <c r="H36" s="667"/>
      <c r="I36" s="669"/>
    </row>
    <row r="37" spans="1:9" x14ac:dyDescent="0.2">
      <c r="A37" s="182"/>
      <c r="B37" s="651" t="s">
        <v>319</v>
      </c>
      <c r="C37" s="652"/>
      <c r="D37" s="51"/>
      <c r="E37" s="303" t="str">
        <f>IF(D34/0.95-D34&lt;D37,"Exceeds 5%","")</f>
        <v/>
      </c>
      <c r="F37" s="670" t="str">
        <f>IF(I35="Yes", "Follow procedure prescribed by KSA 79-2988 to exceed the Revenue Neutral Rate.", " ")</f>
        <v xml:space="preserve"> </v>
      </c>
      <c r="G37" s="670"/>
      <c r="H37" s="670"/>
      <c r="I37" s="670"/>
    </row>
    <row r="38" spans="1:9" x14ac:dyDescent="0.2">
      <c r="A38" s="304" t="str">
        <f>CONCATENATE(B95,"     ",C95)</f>
        <v xml:space="preserve">     </v>
      </c>
      <c r="B38" s="653" t="s">
        <v>320</v>
      </c>
      <c r="C38" s="654"/>
      <c r="D38" s="164">
        <f>D34+D37</f>
        <v>0</v>
      </c>
      <c r="F38" s="671"/>
      <c r="G38" s="671"/>
      <c r="H38" s="671"/>
      <c r="I38" s="671"/>
    </row>
    <row r="39" spans="1:9" x14ac:dyDescent="0.2">
      <c r="A39" s="304" t="str">
        <f>CONCATENATE(B96,"      ",C96)</f>
        <v xml:space="preserve">      </v>
      </c>
      <c r="B39" s="207"/>
      <c r="C39" s="63" t="s">
        <v>45</v>
      </c>
      <c r="D39" s="164">
        <f>IF(D38-D23&gt;0,D38-D23,0)</f>
        <v>0</v>
      </c>
      <c r="F39" s="671"/>
      <c r="G39" s="671"/>
      <c r="H39" s="671"/>
      <c r="I39" s="671"/>
    </row>
    <row r="40" spans="1:9" x14ac:dyDescent="0.25">
      <c r="A40" s="63"/>
      <c r="B40" s="293" t="s">
        <v>321</v>
      </c>
      <c r="C40" s="396">
        <f>inputOth!$E$25</f>
        <v>0</v>
      </c>
      <c r="D40" s="164">
        <f>ROUND(IF(C40&gt;0,(D39*C40),0),0)</f>
        <v>0</v>
      </c>
      <c r="F40" s="371"/>
      <c r="G40" s="371"/>
      <c r="H40" s="371"/>
      <c r="I40" s="371"/>
    </row>
    <row r="41" spans="1:9" x14ac:dyDescent="0.25">
      <c r="A41" s="32"/>
      <c r="B41" s="649" t="str">
        <f>CONCATENATE("Amount of  ",$D$1-1," Ad Valorem Tax")</f>
        <v>Amount of  2024 Ad Valorem Tax</v>
      </c>
      <c r="C41" s="650"/>
      <c r="D41" s="164">
        <f>D39+D40</f>
        <v>0</v>
      </c>
      <c r="F41" s="371"/>
      <c r="G41" s="371"/>
      <c r="H41" s="371"/>
      <c r="I41" s="371"/>
    </row>
    <row r="42" spans="1:9" x14ac:dyDescent="0.25">
      <c r="A42" s="32"/>
      <c r="B42" s="182"/>
      <c r="C42" s="32"/>
      <c r="D42" s="32"/>
      <c r="F42" s="371"/>
      <c r="G42" s="371"/>
      <c r="H42" s="371"/>
      <c r="I42" s="371"/>
    </row>
    <row r="43" spans="1:9" x14ac:dyDescent="0.25">
      <c r="A43" s="32"/>
      <c r="B43" s="182"/>
      <c r="C43" s="32"/>
      <c r="D43" s="32"/>
      <c r="F43" s="371"/>
      <c r="G43" s="371"/>
      <c r="H43" s="371"/>
      <c r="I43" s="371"/>
    </row>
    <row r="44" spans="1:9" x14ac:dyDescent="0.25">
      <c r="A44" s="32"/>
      <c r="B44" s="91"/>
      <c r="C44" s="91"/>
      <c r="D44" s="91"/>
      <c r="F44" s="371"/>
      <c r="G44" s="371"/>
      <c r="H44" s="371"/>
      <c r="I44" s="371"/>
    </row>
    <row r="45" spans="1:9" x14ac:dyDescent="0.25">
      <c r="A45" s="31" t="s">
        <v>30</v>
      </c>
      <c r="B45" s="353" t="str">
        <f t="shared" ref="B45:D46" si="0">B4</f>
        <v xml:space="preserve">Prior Year </v>
      </c>
      <c r="C45" s="354" t="str">
        <f t="shared" si="0"/>
        <v xml:space="preserve">Current Year </v>
      </c>
      <c r="D45" s="95" t="str">
        <f t="shared" si="0"/>
        <v xml:space="preserve">Proposed Budget </v>
      </c>
      <c r="F45" s="371"/>
      <c r="G45" s="371"/>
      <c r="H45" s="371"/>
      <c r="I45" s="371"/>
    </row>
    <row r="46" spans="1:9" x14ac:dyDescent="0.25">
      <c r="A46" s="296">
        <f>inputPrYr!$B$39</f>
        <v>0</v>
      </c>
      <c r="B46" s="283" t="str">
        <f t="shared" si="0"/>
        <v>Actual for 2023</v>
      </c>
      <c r="C46" s="283" t="str">
        <f t="shared" si="0"/>
        <v>Estimate for 2024</v>
      </c>
      <c r="D46" s="162" t="str">
        <f t="shared" si="0"/>
        <v>Year for 2025</v>
      </c>
      <c r="F46" s="371"/>
      <c r="G46" s="371"/>
      <c r="H46" s="371"/>
      <c r="I46" s="371"/>
    </row>
    <row r="47" spans="1:9" x14ac:dyDescent="0.25">
      <c r="A47" s="98" t="s">
        <v>148</v>
      </c>
      <c r="B47" s="300"/>
      <c r="C47" s="282">
        <f>B76</f>
        <v>0</v>
      </c>
      <c r="D47" s="164">
        <f>C76</f>
        <v>0</v>
      </c>
      <c r="F47" s="371"/>
      <c r="G47" s="371"/>
      <c r="H47" s="371"/>
      <c r="I47" s="371"/>
    </row>
    <row r="48" spans="1:9" x14ac:dyDescent="0.25">
      <c r="A48" s="191" t="s">
        <v>150</v>
      </c>
      <c r="B48" s="111"/>
      <c r="C48" s="111"/>
      <c r="D48" s="64"/>
      <c r="F48" s="371"/>
      <c r="G48" s="371"/>
      <c r="H48" s="371"/>
      <c r="I48" s="371"/>
    </row>
    <row r="49" spans="1:10" x14ac:dyDescent="0.25">
      <c r="A49" s="98" t="s">
        <v>31</v>
      </c>
      <c r="B49" s="300"/>
      <c r="C49" s="282">
        <f>inputPrYr!E39</f>
        <v>0</v>
      </c>
      <c r="D49" s="212" t="s">
        <v>16</v>
      </c>
      <c r="F49" s="371"/>
      <c r="G49" s="371"/>
      <c r="H49" s="371"/>
      <c r="I49" s="371"/>
    </row>
    <row r="50" spans="1:10" x14ac:dyDescent="0.25">
      <c r="A50" s="98" t="s">
        <v>32</v>
      </c>
      <c r="B50" s="300"/>
      <c r="C50" s="300"/>
      <c r="D50" s="51"/>
      <c r="F50" s="371"/>
      <c r="G50" s="371"/>
      <c r="H50" s="371"/>
      <c r="I50" s="371"/>
    </row>
    <row r="51" spans="1:10" x14ac:dyDescent="0.2">
      <c r="A51" s="98" t="s">
        <v>33</v>
      </c>
      <c r="B51" s="300"/>
      <c r="C51" s="300"/>
      <c r="D51" s="164" t="str">
        <f>Mvalloc!D30</f>
        <v xml:space="preserve">  </v>
      </c>
      <c r="F51" s="655" t="str">
        <f>CONCATENATE("Desired Carryover Into ",D1+1,"")</f>
        <v>Desired Carryover Into 2026</v>
      </c>
      <c r="G51" s="656"/>
      <c r="H51" s="656"/>
      <c r="I51" s="657"/>
    </row>
    <row r="52" spans="1:10" x14ac:dyDescent="0.2">
      <c r="A52" s="98" t="s">
        <v>34</v>
      </c>
      <c r="B52" s="300"/>
      <c r="C52" s="300"/>
      <c r="D52" s="164" t="str">
        <f>Mvalloc!E30</f>
        <v xml:space="preserve">  </v>
      </c>
      <c r="F52" s="357"/>
      <c r="G52" s="358"/>
      <c r="H52" s="359"/>
      <c r="I52" s="360"/>
    </row>
    <row r="53" spans="1:10" x14ac:dyDescent="0.2">
      <c r="A53" s="111" t="s">
        <v>131</v>
      </c>
      <c r="B53" s="300"/>
      <c r="C53" s="300"/>
      <c r="D53" s="164" t="str">
        <f>Mvalloc!F30</f>
        <v xml:space="preserve">  </v>
      </c>
      <c r="F53" s="361" t="s">
        <v>327</v>
      </c>
      <c r="G53" s="359"/>
      <c r="H53" s="359"/>
      <c r="I53" s="362">
        <v>0</v>
      </c>
    </row>
    <row r="54" spans="1:10" x14ac:dyDescent="0.2">
      <c r="A54" s="191" t="s">
        <v>374</v>
      </c>
      <c r="B54" s="300"/>
      <c r="C54" s="300"/>
      <c r="D54" s="164" t="str">
        <f>Mvalloc!G30</f>
        <v xml:space="preserve"> </v>
      </c>
      <c r="F54" s="357" t="s">
        <v>328</v>
      </c>
      <c r="G54" s="358"/>
      <c r="H54" s="358"/>
      <c r="I54" s="363" t="str">
        <f>IF(I53=0,"",ROUND((I53+D82-F66)/inputOth!E5*1000,3)-F71)</f>
        <v/>
      </c>
    </row>
    <row r="55" spans="1:10" x14ac:dyDescent="0.2">
      <c r="A55" s="191" t="s">
        <v>375</v>
      </c>
      <c r="B55" s="300"/>
      <c r="C55" s="300"/>
      <c r="D55" s="164" t="str">
        <f>Mvalloc!H30</f>
        <v xml:space="preserve"> </v>
      </c>
      <c r="F55" s="364" t="str">
        <f>CONCATENATE("",D1," Tot Exp/Non-Appr Must Be:")</f>
        <v>2025 Tot Exp/Non-Appr Must Be:</v>
      </c>
      <c r="G55" s="365"/>
      <c r="H55" s="366"/>
      <c r="I55" s="367">
        <f>IF(I53&gt;0,IF(D79&lt;D64,IF(I53=F66,D79,((I53-F66)*(1-C81))+D64),D79+(I53-F66)),0)</f>
        <v>0</v>
      </c>
    </row>
    <row r="56" spans="1:10" x14ac:dyDescent="0.2">
      <c r="A56" s="205"/>
      <c r="B56" s="300"/>
      <c r="C56" s="300"/>
      <c r="D56" s="51"/>
      <c r="F56" s="368" t="s">
        <v>349</v>
      </c>
      <c r="G56" s="369"/>
      <c r="H56" s="369"/>
      <c r="I56" s="370">
        <f>IF(I53&gt;0,I55-D79,0)</f>
        <v>0</v>
      </c>
    </row>
    <row r="57" spans="1:10" x14ac:dyDescent="0.25">
      <c r="A57" s="205"/>
      <c r="B57" s="300"/>
      <c r="C57" s="300"/>
      <c r="D57" s="51"/>
      <c r="F57" s="371"/>
      <c r="G57" s="371"/>
      <c r="H57" s="371"/>
      <c r="I57" s="371"/>
    </row>
    <row r="58" spans="1:10" x14ac:dyDescent="0.2">
      <c r="A58" s="205"/>
      <c r="B58" s="300"/>
      <c r="C58" s="300"/>
      <c r="D58" s="51"/>
      <c r="F58" s="655" t="str">
        <f>CONCATENATE("Projected Carryover Into ",D1+1,"")</f>
        <v>Projected Carryover Into 2026</v>
      </c>
      <c r="G58" s="676"/>
      <c r="H58" s="676"/>
      <c r="I58" s="675"/>
    </row>
    <row r="59" spans="1:10" x14ac:dyDescent="0.25">
      <c r="A59" s="195" t="s">
        <v>38</v>
      </c>
      <c r="B59" s="300"/>
      <c r="C59" s="300"/>
      <c r="D59" s="51"/>
      <c r="F59" s="382"/>
      <c r="G59" s="358"/>
      <c r="H59" s="358"/>
      <c r="I59" s="383"/>
    </row>
    <row r="60" spans="1:10" x14ac:dyDescent="0.25">
      <c r="A60" s="196" t="s">
        <v>218</v>
      </c>
      <c r="B60" s="300"/>
      <c r="C60" s="300"/>
      <c r="D60" s="164">
        <f>'NR Rebate'!E28*-1</f>
        <v>0</v>
      </c>
      <c r="F60" s="373">
        <f>C76</f>
        <v>0</v>
      </c>
      <c r="G60" s="374" t="str">
        <f>CONCATENATE("",D1-1," Ending Cash Balance (est.)")</f>
        <v>2024 Ending Cash Balance (est.)</v>
      </c>
      <c r="H60" s="375"/>
      <c r="I60" s="383"/>
    </row>
    <row r="61" spans="1:10" x14ac:dyDescent="0.25">
      <c r="A61" s="196" t="s">
        <v>219</v>
      </c>
      <c r="B61" s="300"/>
      <c r="C61" s="300"/>
      <c r="D61" s="51"/>
      <c r="F61" s="373">
        <f>D63</f>
        <v>0</v>
      </c>
      <c r="G61" s="359" t="str">
        <f>CONCATENATE("",D1," Non-AV Receipts (est.)")</f>
        <v>2025 Non-AV Receipts (est.)</v>
      </c>
      <c r="H61" s="375"/>
      <c r="I61" s="383"/>
    </row>
    <row r="62" spans="1:10" x14ac:dyDescent="0.25">
      <c r="A62" s="196" t="s">
        <v>221</v>
      </c>
      <c r="B62" s="281" t="str">
        <f>IF(B63*0.1&lt;B61,"Exceed 10% Rule","")</f>
        <v/>
      </c>
      <c r="C62" s="281" t="str">
        <f>IF(C63*0.1&lt;C61,"Exceed 10% Rule","")</f>
        <v/>
      </c>
      <c r="D62" s="217" t="str">
        <f>IF(D63*0.1+D82&lt;D61,"Exceed 10% Rule","")</f>
        <v/>
      </c>
      <c r="F62" s="376">
        <f>IF(D81&gt;0,D80,D82)</f>
        <v>0</v>
      </c>
      <c r="G62" s="359" t="str">
        <f>CONCATENATE("",D1," Ad Valorem Tax (est.)")</f>
        <v>2025 Ad Valorem Tax (est.)</v>
      </c>
      <c r="H62" s="375"/>
      <c r="I62" s="383"/>
      <c r="J62" s="394" t="str">
        <f>IF(F62=D82,"","Note: Does not include Delinquent Taxes")</f>
        <v/>
      </c>
    </row>
    <row r="63" spans="1:10" x14ac:dyDescent="0.25">
      <c r="A63" s="198" t="s">
        <v>39</v>
      </c>
      <c r="B63" s="229">
        <f>SUM(B49:B61)</f>
        <v>0</v>
      </c>
      <c r="C63" s="229">
        <f>SUM(C49:C61)</f>
        <v>0</v>
      </c>
      <c r="D63" s="229">
        <f>SUM(D49:D61)</f>
        <v>0</v>
      </c>
      <c r="F63" s="384">
        <f>SUM(F60:F62)</f>
        <v>0</v>
      </c>
      <c r="G63" s="359" t="str">
        <f>CONCATENATE("Total ",D1," Resources Available")</f>
        <v>Total 2025 Resources Available</v>
      </c>
      <c r="H63" s="385"/>
      <c r="I63" s="383"/>
    </row>
    <row r="64" spans="1:10" x14ac:dyDescent="0.25">
      <c r="A64" s="198" t="s">
        <v>40</v>
      </c>
      <c r="B64" s="229">
        <f>B47+B63</f>
        <v>0</v>
      </c>
      <c r="C64" s="229">
        <f>C47+C63</f>
        <v>0</v>
      </c>
      <c r="D64" s="229">
        <f>D47+D63</f>
        <v>0</v>
      </c>
      <c r="F64" s="386"/>
      <c r="G64" s="387"/>
      <c r="H64" s="358"/>
      <c r="I64" s="383"/>
    </row>
    <row r="65" spans="1:9" x14ac:dyDescent="0.25">
      <c r="A65" s="98" t="s">
        <v>43</v>
      </c>
      <c r="B65" s="196"/>
      <c r="C65" s="196"/>
      <c r="D65" s="108"/>
      <c r="F65" s="388">
        <f>ROUND(B75*0.05+B75,0)</f>
        <v>0</v>
      </c>
      <c r="G65" s="359" t="str">
        <f>CONCATENATE("Less ",D1-2," Expenditures + 5%")</f>
        <v>Less 2023 Expenditures + 5%</v>
      </c>
      <c r="H65" s="385"/>
      <c r="I65" s="383"/>
    </row>
    <row r="66" spans="1:9" x14ac:dyDescent="0.25">
      <c r="A66" s="205"/>
      <c r="B66" s="300"/>
      <c r="C66" s="300"/>
      <c r="D66" s="51"/>
      <c r="F66" s="389">
        <f>F63-F65</f>
        <v>0</v>
      </c>
      <c r="G66" s="379" t="str">
        <f>CONCATENATE("Projected ",D1+1," carryover (est.)")</f>
        <v>Projected 2026 carryover (est.)</v>
      </c>
      <c r="H66" s="390"/>
      <c r="I66" s="391"/>
    </row>
    <row r="67" spans="1:9" x14ac:dyDescent="0.25">
      <c r="A67" s="205"/>
      <c r="B67" s="300"/>
      <c r="C67" s="300"/>
      <c r="D67" s="51"/>
      <c r="F67" s="371"/>
      <c r="G67" s="371"/>
      <c r="H67" s="371"/>
      <c r="I67" s="371"/>
    </row>
    <row r="68" spans="1:9" x14ac:dyDescent="0.2">
      <c r="A68" s="205"/>
      <c r="B68" s="300"/>
      <c r="C68" s="300"/>
      <c r="D68" s="51"/>
      <c r="F68" s="658" t="s">
        <v>569</v>
      </c>
      <c r="G68" s="659"/>
      <c r="H68" s="659"/>
      <c r="I68" s="660"/>
    </row>
    <row r="69" spans="1:9" x14ac:dyDescent="0.2">
      <c r="A69" s="205"/>
      <c r="B69" s="300"/>
      <c r="C69" s="300"/>
      <c r="D69" s="51"/>
      <c r="F69" s="661"/>
      <c r="G69" s="662"/>
      <c r="H69" s="662"/>
      <c r="I69" s="663"/>
    </row>
    <row r="70" spans="1:9" x14ac:dyDescent="0.2">
      <c r="A70" s="205"/>
      <c r="B70" s="300"/>
      <c r="C70" s="300"/>
      <c r="D70" s="51"/>
      <c r="F70" s="534" t="str">
        <f>'Budget Hearing Notice'!H38</f>
        <v xml:space="preserve">  </v>
      </c>
      <c r="G70" s="374" t="str">
        <f>CONCATENATE("",D1," Estimated Fund Mill Rate")</f>
        <v>2025 Estimated Fund Mill Rate</v>
      </c>
      <c r="H70" s="535"/>
      <c r="I70" s="536"/>
    </row>
    <row r="71" spans="1:9" x14ac:dyDescent="0.2">
      <c r="A71" s="205"/>
      <c r="B71" s="300"/>
      <c r="C71" s="300"/>
      <c r="D71" s="51"/>
      <c r="F71" s="537" t="str">
        <f>'Budget Hearing Notice'!E38</f>
        <v xml:space="preserve">  </v>
      </c>
      <c r="G71" s="374" t="str">
        <f>CONCATENATE("",D1-1," Fund Mill Rate")</f>
        <v>2024 Fund Mill Rate</v>
      </c>
      <c r="H71" s="535"/>
      <c r="I71" s="536"/>
    </row>
    <row r="72" spans="1:9" x14ac:dyDescent="0.2">
      <c r="A72" s="196" t="str">
        <f>CONCATENATE("Cash Reserve (",D1," column)")</f>
        <v>Cash Reserve (2025 column)</v>
      </c>
      <c r="B72" s="300"/>
      <c r="C72" s="300"/>
      <c r="D72" s="51"/>
      <c r="F72" s="538">
        <f>'Budget Hearing Notice'!H53</f>
        <v>0</v>
      </c>
      <c r="G72" s="539" t="s">
        <v>570</v>
      </c>
      <c r="H72" s="535"/>
      <c r="I72" s="536"/>
    </row>
    <row r="73" spans="1:9" x14ac:dyDescent="0.2">
      <c r="A73" s="196" t="s">
        <v>219</v>
      </c>
      <c r="B73" s="300"/>
      <c r="C73" s="300"/>
      <c r="D73" s="51"/>
      <c r="F73" s="534">
        <f>'Budget Hearing Notice'!H52</f>
        <v>0</v>
      </c>
      <c r="G73" s="374" t="str">
        <f>CONCATENATE(D1," Estimated Total Mill Rate")</f>
        <v>2025 Estimated Total Mill Rate</v>
      </c>
      <c r="H73" s="535"/>
      <c r="I73" s="536"/>
    </row>
    <row r="74" spans="1:9" x14ac:dyDescent="0.2">
      <c r="A74" s="196" t="s">
        <v>220</v>
      </c>
      <c r="B74" s="281" t="str">
        <f>IF(B75*0.1&lt;B73,"Exceed 10% Rule","")</f>
        <v/>
      </c>
      <c r="C74" s="281" t="str">
        <f>IF(C75*0.1&lt;C73,"Exceed 10% Rule","")</f>
        <v/>
      </c>
      <c r="D74" s="217" t="str">
        <f>IF(D75*0.1&lt;D73,"Exceed 10% Rule","")</f>
        <v/>
      </c>
      <c r="F74" s="540">
        <f>'Budget Hearing Notice'!E52</f>
        <v>0</v>
      </c>
      <c r="G74" s="374" t="str">
        <f>CONCATENATE(D1-1," Total Mill Rate")</f>
        <v>2024 Total Mill Rate</v>
      </c>
      <c r="H74" s="535"/>
      <c r="I74" s="536"/>
    </row>
    <row r="75" spans="1:9" x14ac:dyDescent="0.2">
      <c r="A75" s="198" t="s">
        <v>44</v>
      </c>
      <c r="B75" s="229">
        <f>SUM(B66:B73)</f>
        <v>0</v>
      </c>
      <c r="C75" s="229">
        <f>SUM(C66:C73)</f>
        <v>0</v>
      </c>
      <c r="D75" s="229">
        <f>SUM(D66:D73)</f>
        <v>0</v>
      </c>
      <c r="F75" s="382"/>
      <c r="G75" s="358"/>
      <c r="H75" s="358"/>
      <c r="I75" s="385"/>
    </row>
    <row r="76" spans="1:9" x14ac:dyDescent="0.2">
      <c r="A76" s="98" t="s">
        <v>149</v>
      </c>
      <c r="B76" s="164">
        <f>B64-B75</f>
        <v>0</v>
      </c>
      <c r="C76" s="164">
        <f>C64-C75</f>
        <v>0</v>
      </c>
      <c r="D76" s="212" t="s">
        <v>16</v>
      </c>
      <c r="F76" s="664" t="s">
        <v>571</v>
      </c>
      <c r="G76" s="665"/>
      <c r="H76" s="665"/>
      <c r="I76" s="668" t="str">
        <f>IF(F73&gt;F72, "Yes", "No")</f>
        <v>No</v>
      </c>
    </row>
    <row r="77" spans="1:9" x14ac:dyDescent="0.2">
      <c r="A77" s="120" t="str">
        <f>CONCATENATE("",D1-2,"/",D1-1,"/",D1," Budget Authority Amount:")</f>
        <v>2023/2024/2025 Budget Authority Amount:</v>
      </c>
      <c r="B77" s="214">
        <f>inputOth!B54</f>
        <v>0</v>
      </c>
      <c r="C77" s="214">
        <f>inputPrYr!D39</f>
        <v>0</v>
      </c>
      <c r="D77" s="164">
        <f>D75</f>
        <v>0</v>
      </c>
      <c r="E77" s="206"/>
      <c r="F77" s="666"/>
      <c r="G77" s="667"/>
      <c r="H77" s="667"/>
      <c r="I77" s="669"/>
    </row>
    <row r="78" spans="1:9" x14ac:dyDescent="0.2">
      <c r="A78" s="182"/>
      <c r="B78" s="651" t="s">
        <v>319</v>
      </c>
      <c r="C78" s="652"/>
      <c r="D78" s="51"/>
      <c r="E78" s="303" t="str">
        <f>IF(D75/0.95-D75&lt;D78,"Exceeds 5%","")</f>
        <v/>
      </c>
      <c r="F78" s="670" t="str">
        <f>IF(I76="Yes", "Follow procedure prescribed by KSA 79-2988 to exceed the Revenue Neutral Rate.", " ")</f>
        <v xml:space="preserve"> </v>
      </c>
      <c r="G78" s="670"/>
      <c r="H78" s="670"/>
      <c r="I78" s="670"/>
    </row>
    <row r="79" spans="1:9" x14ac:dyDescent="0.2">
      <c r="A79" s="304" t="str">
        <f>CONCATENATE(B97,"      ",C97)</f>
        <v xml:space="preserve">      </v>
      </c>
      <c r="B79" s="653" t="s">
        <v>320</v>
      </c>
      <c r="C79" s="654"/>
      <c r="D79" s="164">
        <f>D75+D78</f>
        <v>0</v>
      </c>
      <c r="F79" s="671"/>
      <c r="G79" s="671"/>
      <c r="H79" s="671"/>
      <c r="I79" s="671"/>
    </row>
    <row r="80" spans="1:9" x14ac:dyDescent="0.2">
      <c r="A80" s="304" t="str">
        <f>CONCATENATE(B98,"      ",C98)</f>
        <v xml:space="preserve">      </v>
      </c>
      <c r="B80" s="207"/>
      <c r="C80" s="63" t="s">
        <v>45</v>
      </c>
      <c r="D80" s="164">
        <f>IF(D79-D64&gt;0,D79-D64,0)</f>
        <v>0</v>
      </c>
      <c r="F80" s="671"/>
      <c r="G80" s="671"/>
      <c r="H80" s="671"/>
      <c r="I80" s="671"/>
    </row>
    <row r="81" spans="1:4" x14ac:dyDescent="0.2">
      <c r="A81" s="63"/>
      <c r="B81" s="293" t="s">
        <v>321</v>
      </c>
      <c r="C81" s="396">
        <f>inputOth!$E$25</f>
        <v>0</v>
      </c>
      <c r="D81" s="164">
        <f>ROUND(IF(C81&gt;0,(D80*C81),0),0)</f>
        <v>0</v>
      </c>
    </row>
    <row r="82" spans="1:4" x14ac:dyDescent="0.2">
      <c r="A82" s="32"/>
      <c r="B82" s="649" t="str">
        <f>CONCATENATE("Amount of  ",$D$1-1," Ad Valorem Tax")</f>
        <v>Amount of  2024 Ad Valorem Tax</v>
      </c>
      <c r="C82" s="650"/>
      <c r="D82" s="164">
        <f>D80+D81</f>
        <v>0</v>
      </c>
    </row>
    <row r="83" spans="1:4" x14ac:dyDescent="0.2">
      <c r="A83" s="32"/>
      <c r="B83" s="182"/>
      <c r="C83" s="182"/>
      <c r="D83" s="182"/>
    </row>
    <row r="84" spans="1:4" x14ac:dyDescent="0.2">
      <c r="A84" s="446" t="s">
        <v>380</v>
      </c>
      <c r="B84" s="456"/>
      <c r="C84" s="456"/>
      <c r="D84" s="457"/>
    </row>
    <row r="85" spans="1:4" x14ac:dyDescent="0.2">
      <c r="A85" s="183"/>
      <c r="B85" s="182"/>
      <c r="C85" s="182"/>
      <c r="D85" s="458"/>
    </row>
    <row r="86" spans="1:4" x14ac:dyDescent="0.2">
      <c r="A86" s="447"/>
      <c r="B86" s="461"/>
      <c r="C86" s="461"/>
      <c r="D86" s="462"/>
    </row>
    <row r="87" spans="1:4" x14ac:dyDescent="0.2">
      <c r="A87" s="32"/>
      <c r="B87" s="182"/>
      <c r="C87" s="182"/>
      <c r="D87" s="182"/>
    </row>
    <row r="88" spans="1:4" x14ac:dyDescent="0.2">
      <c r="A88" s="182" t="s">
        <v>96</v>
      </c>
      <c r="B88" s="428"/>
      <c r="C88" s="32"/>
      <c r="D88" s="32"/>
    </row>
    <row r="90" spans="1:4" hidden="1" x14ac:dyDescent="0.2"/>
    <row r="91" spans="1:4" hidden="1" x14ac:dyDescent="0.2"/>
    <row r="92" spans="1:4" hidden="1" x14ac:dyDescent="0.2"/>
    <row r="93" spans="1:4" hidden="1" x14ac:dyDescent="0.2"/>
    <row r="95" spans="1:4" x14ac:dyDescent="0.2">
      <c r="B95" s="27" t="str">
        <f>IF(B34&gt;B36,"See Tab A","")</f>
        <v/>
      </c>
      <c r="C95" s="27" t="str">
        <f>IF(C34&gt;C36,"See Tab C","")</f>
        <v/>
      </c>
    </row>
    <row r="96" spans="1:4" x14ac:dyDescent="0.2">
      <c r="B96" s="27" t="str">
        <f>IF(B35&lt;0,"See Tab B","")</f>
        <v/>
      </c>
      <c r="C96" s="27" t="str">
        <f>IF(C35&lt;0,"See Tab D","")</f>
        <v/>
      </c>
    </row>
    <row r="97" spans="2:3" x14ac:dyDescent="0.2">
      <c r="B97" s="27" t="str">
        <f>IF(B75&gt;B77,"See Tab A","")</f>
        <v/>
      </c>
      <c r="C97" s="27" t="str">
        <f>IF(C75&gt;C77,"See Tab C","")</f>
        <v/>
      </c>
    </row>
    <row r="98" spans="2:3" x14ac:dyDescent="0.2">
      <c r="B98" s="27" t="str">
        <f>IF(B76&lt;0,"See Tab B","")</f>
        <v/>
      </c>
      <c r="C98" s="27" t="str">
        <f>IF(C76&lt;0,"See Tab D","")</f>
        <v/>
      </c>
    </row>
  </sheetData>
  <sheetProtection sheet="1"/>
  <mergeCells count="18">
    <mergeCell ref="B82:C82"/>
    <mergeCell ref="B41:C41"/>
    <mergeCell ref="F68:I69"/>
    <mergeCell ref="F76:H77"/>
    <mergeCell ref="I76:I77"/>
    <mergeCell ref="F78:I80"/>
    <mergeCell ref="B37:C37"/>
    <mergeCell ref="B38:C38"/>
    <mergeCell ref="B78:C78"/>
    <mergeCell ref="B79:C79"/>
    <mergeCell ref="F37:I39"/>
    <mergeCell ref="F10:I10"/>
    <mergeCell ref="F17:I17"/>
    <mergeCell ref="F51:I51"/>
    <mergeCell ref="F58:I58"/>
    <mergeCell ref="F27:I28"/>
    <mergeCell ref="F35:H36"/>
    <mergeCell ref="I35:I36"/>
  </mergeCells>
  <phoneticPr fontId="0" type="noConversion"/>
  <conditionalFormatting sqref="B20">
    <cfRule type="cellIs" dxfId="108" priority="16" stopIfTrue="1" operator="greaterThan">
      <formula>$B$22*0.1</formula>
    </cfRule>
  </conditionalFormatting>
  <conditionalFormatting sqref="B32">
    <cfRule type="cellIs" dxfId="107" priority="25" stopIfTrue="1" operator="greaterThan">
      <formula>$B$34*0.1</formula>
    </cfRule>
  </conditionalFormatting>
  <conditionalFormatting sqref="B34">
    <cfRule type="cellIs" dxfId="106" priority="8" stopIfTrue="1" operator="greaterThan">
      <formula>$B$36</formula>
    </cfRule>
  </conditionalFormatting>
  <conditionalFormatting sqref="B61">
    <cfRule type="cellIs" dxfId="105" priority="24" stopIfTrue="1" operator="greaterThan">
      <formula>$B$63*0.1</formula>
    </cfRule>
  </conditionalFormatting>
  <conditionalFormatting sqref="B73">
    <cfRule type="cellIs" dxfId="104" priority="21" stopIfTrue="1" operator="greaterThan">
      <formula>$B$75*0.1</formula>
    </cfRule>
  </conditionalFormatting>
  <conditionalFormatting sqref="B75">
    <cfRule type="cellIs" dxfId="103" priority="4" stopIfTrue="1" operator="greaterThan">
      <formula>$B$77</formula>
    </cfRule>
  </conditionalFormatting>
  <conditionalFormatting sqref="B35:C35">
    <cfRule type="cellIs" dxfId="102" priority="5" stopIfTrue="1" operator="lessThan">
      <formula>0</formula>
    </cfRule>
  </conditionalFormatting>
  <conditionalFormatting sqref="B76:C76">
    <cfRule type="cellIs" dxfId="101" priority="1" stopIfTrue="1" operator="lessThan">
      <formula>0</formula>
    </cfRule>
  </conditionalFormatting>
  <conditionalFormatting sqref="C20">
    <cfRule type="cellIs" dxfId="100" priority="17" stopIfTrue="1" operator="greaterThan">
      <formula>$C$22*0.1</formula>
    </cfRule>
  </conditionalFormatting>
  <conditionalFormatting sqref="C32">
    <cfRule type="cellIs" dxfId="99" priority="26" stopIfTrue="1" operator="greaterThan">
      <formula>$C$34*0.1</formula>
    </cfRule>
  </conditionalFormatting>
  <conditionalFormatting sqref="C34">
    <cfRule type="cellIs" dxfId="98" priority="7" stopIfTrue="1" operator="greaterThan">
      <formula>$C$36</formula>
    </cfRule>
  </conditionalFormatting>
  <conditionalFormatting sqref="C61">
    <cfRule type="cellIs" dxfId="97" priority="23" stopIfTrue="1" operator="greaterThan">
      <formula>$C$63*0.1</formula>
    </cfRule>
  </conditionalFormatting>
  <conditionalFormatting sqref="C73">
    <cfRule type="cellIs" dxfId="96" priority="22" stopIfTrue="1" operator="greaterThan">
      <formula>$C$75*0.1</formula>
    </cfRule>
  </conditionalFormatting>
  <conditionalFormatting sqref="C75">
    <cfRule type="cellIs" dxfId="95" priority="3" stopIfTrue="1" operator="greaterThan">
      <formula>$C$77</formula>
    </cfRule>
  </conditionalFormatting>
  <conditionalFormatting sqref="D20">
    <cfRule type="cellIs" dxfId="94" priority="19" stopIfTrue="1" operator="greaterThan">
      <formula>$D$22*0.1+D41</formula>
    </cfRule>
  </conditionalFormatting>
  <conditionalFormatting sqref="D32">
    <cfRule type="cellIs" dxfId="93" priority="18" stopIfTrue="1" operator="greaterThan">
      <formula>$D$34*0.1</formula>
    </cfRule>
  </conditionalFormatting>
  <conditionalFormatting sqref="D37">
    <cfRule type="cellIs" dxfId="92" priority="13" stopIfTrue="1" operator="greaterThan">
      <formula>$D$34/0.95-$D$34</formula>
    </cfRule>
  </conditionalFormatting>
  <conditionalFormatting sqref="D61">
    <cfRule type="cellIs" dxfId="91" priority="20" stopIfTrue="1" operator="greaterThan">
      <formula>$D$63*0.1+D82</formula>
    </cfRule>
  </conditionalFormatting>
  <conditionalFormatting sqref="D73">
    <cfRule type="cellIs" dxfId="90" priority="15" stopIfTrue="1" operator="greaterThan">
      <formula>$D$75*0.1</formula>
    </cfRule>
  </conditionalFormatting>
  <conditionalFormatting sqref="D78">
    <cfRule type="cellIs" dxfId="89" priority="14" stopIfTrue="1" operator="greaterThan">
      <formula>$D$75/0.95-$D$75</formula>
    </cfRule>
  </conditionalFormatting>
  <conditionalFormatting sqref="I35">
    <cfRule type="containsText" dxfId="88" priority="9" operator="containsText" text="Yes">
      <formula>NOT(ISERROR(SEARCH("Yes",I35)))</formula>
    </cfRule>
  </conditionalFormatting>
  <conditionalFormatting sqref="I76">
    <cfRule type="containsText" dxfId="87" priority="10" operator="containsText" text="Yes">
      <formula>NOT(ISERROR(SEARCH("Yes",I76)))</formula>
    </cfRule>
  </conditionalFormatting>
  <pageMargins left="1.1200000000000001" right="0.5" top="0.74" bottom="0.34" header="0.5" footer="0"/>
  <pageSetup scale="57" orientation="portrait" blackAndWhite="1" horizontalDpi="300" verticalDpi="300" r:id="rId1"/>
  <headerFooter alignWithMargins="0">
    <oddHeader xml:space="preserve">&amp;RState of Kansas
County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rgb="FF00B0F0"/>
    <pageSetUpPr fitToPage="1"/>
  </sheetPr>
  <dimension ref="A1:J101"/>
  <sheetViews>
    <sheetView zoomScaleNormal="100" workbookViewId="0">
      <selection activeCell="B73" sqref="B73:D73"/>
    </sheetView>
  </sheetViews>
  <sheetFormatPr defaultRowHeight="15.75" x14ac:dyDescent="0.2"/>
  <cols>
    <col min="1" max="1" width="31.109375" style="27" customWidth="1"/>
    <col min="2" max="3" width="15.77734375" style="27" customWidth="1"/>
    <col min="4" max="4" width="16.21875" style="27" customWidth="1"/>
    <col min="5" max="5" width="8.88671875" style="27"/>
    <col min="6" max="6" width="10.21875" style="27" customWidth="1"/>
    <col min="7" max="7" width="8.88671875" style="27"/>
    <col min="8" max="8" width="5.88671875" style="27" customWidth="1"/>
    <col min="9" max="9" width="10" style="27" customWidth="1"/>
    <col min="10" max="16384" width="8.88671875" style="27"/>
  </cols>
  <sheetData>
    <row r="1" spans="1:9" x14ac:dyDescent="0.2">
      <c r="A1" s="73">
        <f>inputPrYr!C3</f>
        <v>0</v>
      </c>
      <c r="B1" s="32"/>
      <c r="C1" s="32"/>
      <c r="D1" s="182">
        <f>inputPrYr!C5</f>
        <v>2025</v>
      </c>
    </row>
    <row r="2" spans="1:9" x14ac:dyDescent="0.2">
      <c r="A2" s="133"/>
      <c r="B2" s="208"/>
      <c r="C2" s="208"/>
      <c r="D2" s="209"/>
    </row>
    <row r="3" spans="1:9" x14ac:dyDescent="0.2">
      <c r="A3" s="302" t="s">
        <v>138</v>
      </c>
      <c r="B3" s="91"/>
      <c r="C3" s="91"/>
      <c r="D3" s="91"/>
    </row>
    <row r="4" spans="1:9" x14ac:dyDescent="0.2">
      <c r="A4" s="31" t="s">
        <v>30</v>
      </c>
      <c r="B4" s="353" t="s">
        <v>346</v>
      </c>
      <c r="C4" s="354" t="s">
        <v>347</v>
      </c>
      <c r="D4" s="95" t="s">
        <v>348</v>
      </c>
    </row>
    <row r="5" spans="1:9" x14ac:dyDescent="0.2">
      <c r="A5" s="296">
        <f>inputPrYr!$B$40</f>
        <v>0</v>
      </c>
      <c r="B5" s="283" t="str">
        <f>CONCATENATE("Actual for ",D1-2,"")</f>
        <v>Actual for 2023</v>
      </c>
      <c r="C5" s="283" t="str">
        <f>CONCATENATE("Estimate for ",D1-1,"")</f>
        <v>Estimate for 2024</v>
      </c>
      <c r="D5" s="190" t="str">
        <f>CONCATENATE("Year for ",D1,"")</f>
        <v>Year for 2025</v>
      </c>
    </row>
    <row r="6" spans="1:9" x14ac:dyDescent="0.2">
      <c r="A6" s="98" t="s">
        <v>148</v>
      </c>
      <c r="B6" s="300"/>
      <c r="C6" s="282">
        <f>B35</f>
        <v>0</v>
      </c>
      <c r="D6" s="164">
        <f>C35</f>
        <v>0</v>
      </c>
    </row>
    <row r="7" spans="1:9" x14ac:dyDescent="0.2">
      <c r="A7" s="184" t="s">
        <v>150</v>
      </c>
      <c r="B7" s="111"/>
      <c r="C7" s="111"/>
      <c r="D7" s="64"/>
    </row>
    <row r="8" spans="1:9" x14ac:dyDescent="0.2">
      <c r="A8" s="98" t="s">
        <v>31</v>
      </c>
      <c r="B8" s="300"/>
      <c r="C8" s="282">
        <f>inputPrYr!E40</f>
        <v>0</v>
      </c>
      <c r="D8" s="212" t="s">
        <v>16</v>
      </c>
    </row>
    <row r="9" spans="1:9" x14ac:dyDescent="0.2">
      <c r="A9" s="98" t="s">
        <v>32</v>
      </c>
      <c r="B9" s="300"/>
      <c r="C9" s="300"/>
      <c r="D9" s="51"/>
    </row>
    <row r="10" spans="1:9" x14ac:dyDescent="0.2">
      <c r="A10" s="98" t="s">
        <v>33</v>
      </c>
      <c r="B10" s="300"/>
      <c r="C10" s="300"/>
      <c r="D10" s="164" t="str">
        <f>Mvalloc!D31</f>
        <v xml:space="preserve">  </v>
      </c>
    </row>
    <row r="11" spans="1:9" x14ac:dyDescent="0.2">
      <c r="A11" s="98" t="s">
        <v>34</v>
      </c>
      <c r="B11" s="300"/>
      <c r="C11" s="300"/>
      <c r="D11" s="164" t="str">
        <f>Mvalloc!E31</f>
        <v xml:space="preserve">  </v>
      </c>
      <c r="F11" s="655" t="str">
        <f>CONCATENATE("Desired Carryover Into ",D1+1,"")</f>
        <v>Desired Carryover Into 2026</v>
      </c>
      <c r="G11" s="656"/>
      <c r="H11" s="656"/>
      <c r="I11" s="657"/>
    </row>
    <row r="12" spans="1:9" x14ac:dyDescent="0.2">
      <c r="A12" s="111" t="s">
        <v>131</v>
      </c>
      <c r="B12" s="300"/>
      <c r="C12" s="300"/>
      <c r="D12" s="164" t="str">
        <f>Mvalloc!F31</f>
        <v xml:space="preserve">  </v>
      </c>
      <c r="F12" s="357"/>
      <c r="G12" s="358"/>
      <c r="H12" s="359"/>
      <c r="I12" s="360"/>
    </row>
    <row r="13" spans="1:9" x14ac:dyDescent="0.2">
      <c r="A13" s="191" t="s">
        <v>374</v>
      </c>
      <c r="B13" s="300"/>
      <c r="C13" s="300"/>
      <c r="D13" s="164" t="str">
        <f>Mvalloc!G31</f>
        <v xml:space="preserve"> </v>
      </c>
      <c r="F13" s="361" t="s">
        <v>327</v>
      </c>
      <c r="G13" s="359"/>
      <c r="H13" s="359"/>
      <c r="I13" s="362">
        <v>0</v>
      </c>
    </row>
    <row r="14" spans="1:9" x14ac:dyDescent="0.2">
      <c r="A14" s="191" t="s">
        <v>375</v>
      </c>
      <c r="B14" s="300"/>
      <c r="C14" s="300"/>
      <c r="D14" s="164" t="str">
        <f>Mvalloc!H31</f>
        <v xml:space="preserve"> </v>
      </c>
      <c r="F14" s="357" t="s">
        <v>328</v>
      </c>
      <c r="G14" s="358"/>
      <c r="H14" s="358"/>
      <c r="I14" s="363" t="str">
        <f>IF(I13=0,"",ROUND((I13+D41-F26)/inputOth!E5*1000,3)-F31)</f>
        <v/>
      </c>
    </row>
    <row r="15" spans="1:9" x14ac:dyDescent="0.2">
      <c r="A15" s="205"/>
      <c r="B15" s="300"/>
      <c r="C15" s="300"/>
      <c r="D15" s="51"/>
      <c r="F15" s="364" t="str">
        <f>CONCATENATE("",D1," Tot Exp/Non-Appr Must Be:")</f>
        <v>2025 Tot Exp/Non-Appr Must Be:</v>
      </c>
      <c r="G15" s="365"/>
      <c r="H15" s="366"/>
      <c r="I15" s="367">
        <f>IF(I13&gt;0,IF(D38&lt;D23,IF(I13=F26,D38,((I13-F26)*(1-C40))+D23),D38+(I13-F26)),0)</f>
        <v>0</v>
      </c>
    </row>
    <row r="16" spans="1:9" x14ac:dyDescent="0.2">
      <c r="A16" s="205"/>
      <c r="B16" s="300"/>
      <c r="C16" s="300"/>
      <c r="D16" s="51"/>
      <c r="F16" s="368" t="s">
        <v>349</v>
      </c>
      <c r="G16" s="369"/>
      <c r="H16" s="369"/>
      <c r="I16" s="370">
        <f>IF(I13&gt;0,I15-D38,0)</f>
        <v>0</v>
      </c>
    </row>
    <row r="17" spans="1:10" x14ac:dyDescent="0.25">
      <c r="A17" s="205"/>
      <c r="B17" s="300"/>
      <c r="C17" s="300"/>
      <c r="D17" s="51"/>
      <c r="F17" s="371"/>
      <c r="G17" s="371"/>
      <c r="H17" s="371"/>
      <c r="I17" s="371"/>
    </row>
    <row r="18" spans="1:10" x14ac:dyDescent="0.2">
      <c r="A18" s="195" t="s">
        <v>38</v>
      </c>
      <c r="B18" s="300"/>
      <c r="C18" s="300"/>
      <c r="D18" s="51"/>
      <c r="F18" s="655" t="str">
        <f>CONCATENATE("Projected Carryover Into ",D1+1,"")</f>
        <v>Projected Carryover Into 2026</v>
      </c>
      <c r="G18" s="674"/>
      <c r="H18" s="674"/>
      <c r="I18" s="675"/>
    </row>
    <row r="19" spans="1:10" x14ac:dyDescent="0.2">
      <c r="A19" s="196" t="s">
        <v>218</v>
      </c>
      <c r="B19" s="300"/>
      <c r="C19" s="300"/>
      <c r="D19" s="164">
        <f>'NR Rebate'!E29*-1</f>
        <v>0</v>
      </c>
      <c r="F19" s="357"/>
      <c r="G19" s="359"/>
      <c r="H19" s="359"/>
      <c r="I19" s="372"/>
    </row>
    <row r="20" spans="1:10" x14ac:dyDescent="0.2">
      <c r="A20" s="196" t="s">
        <v>219</v>
      </c>
      <c r="B20" s="300"/>
      <c r="C20" s="300"/>
      <c r="D20" s="51"/>
      <c r="F20" s="373">
        <f>C35</f>
        <v>0</v>
      </c>
      <c r="G20" s="374" t="str">
        <f>CONCATENATE("",D1-1," Ending Cash Balance (est.)")</f>
        <v>2024 Ending Cash Balance (est.)</v>
      </c>
      <c r="H20" s="375"/>
      <c r="I20" s="372"/>
    </row>
    <row r="21" spans="1:10" x14ac:dyDescent="0.2">
      <c r="A21" s="196" t="s">
        <v>221</v>
      </c>
      <c r="B21" s="281" t="str">
        <f>IF(B22*0.1&lt;B20,"Exceed 10% Rule","")</f>
        <v/>
      </c>
      <c r="C21" s="281" t="str">
        <f>IF(C22*0.1&lt;C20,"Exceed 10% Rule","")</f>
        <v/>
      </c>
      <c r="D21" s="217" t="str">
        <f>IF(D22*0.1+D41&lt;D20,"Exceed 10% Rule","")</f>
        <v/>
      </c>
      <c r="F21" s="373">
        <f>D22</f>
        <v>0</v>
      </c>
      <c r="G21" s="359" t="str">
        <f>CONCATENATE("",D1," Non-AV Receipts (est.)")</f>
        <v>2025 Non-AV Receipts (est.)</v>
      </c>
      <c r="H21" s="375"/>
      <c r="I21" s="372"/>
    </row>
    <row r="22" spans="1:10" x14ac:dyDescent="0.2">
      <c r="A22" s="198" t="s">
        <v>39</v>
      </c>
      <c r="B22" s="229">
        <f>SUM(B8:B20)</f>
        <v>0</v>
      </c>
      <c r="C22" s="229">
        <f>SUM(C8:C20)</f>
        <v>0</v>
      </c>
      <c r="D22" s="229">
        <f>SUM(D8:D20)</f>
        <v>0</v>
      </c>
      <c r="F22" s="376">
        <f>IF(D40&gt;0,D39,D41)</f>
        <v>0</v>
      </c>
      <c r="G22" s="359" t="str">
        <f>CONCATENATE("",D1," Ad Valorem Tax (est.)")</f>
        <v>2025 Ad Valorem Tax (est.)</v>
      </c>
      <c r="H22" s="375"/>
      <c r="I22" s="372"/>
      <c r="J22" s="394" t="str">
        <f>IF(F22=D41,"","Note: Does not include Delinquent Taxes")</f>
        <v/>
      </c>
    </row>
    <row r="23" spans="1:10" x14ac:dyDescent="0.2">
      <c r="A23" s="198" t="s">
        <v>40</v>
      </c>
      <c r="B23" s="229">
        <f>B6+B22</f>
        <v>0</v>
      </c>
      <c r="C23" s="229">
        <f>C6+C22</f>
        <v>0</v>
      </c>
      <c r="D23" s="229">
        <f>D6+D22</f>
        <v>0</v>
      </c>
      <c r="F23" s="373">
        <f>SUM(F20:F22)</f>
        <v>0</v>
      </c>
      <c r="G23" s="359" t="str">
        <f>CONCATENATE("Total ",D1," Resources Available")</f>
        <v>Total 2025 Resources Available</v>
      </c>
      <c r="H23" s="375"/>
      <c r="I23" s="372"/>
    </row>
    <row r="24" spans="1:10" x14ac:dyDescent="0.2">
      <c r="A24" s="98" t="s">
        <v>43</v>
      </c>
      <c r="B24" s="196"/>
      <c r="C24" s="196"/>
      <c r="D24" s="108"/>
      <c r="F24" s="377"/>
      <c r="G24" s="359"/>
      <c r="H24" s="359"/>
      <c r="I24" s="372"/>
    </row>
    <row r="25" spans="1:10" x14ac:dyDescent="0.25">
      <c r="A25" s="205"/>
      <c r="B25" s="300"/>
      <c r="C25" s="300"/>
      <c r="D25" s="51"/>
      <c r="F25" s="376">
        <f>ROUND(B34*0.05+B34,0)</f>
        <v>0</v>
      </c>
      <c r="G25" s="359" t="str">
        <f>CONCATENATE("Less ",D1-2," Expenditures + 5%")</f>
        <v>Less 2023 Expenditures + 5%</v>
      </c>
      <c r="H25" s="375"/>
      <c r="I25" s="383"/>
    </row>
    <row r="26" spans="1:10" x14ac:dyDescent="0.2">
      <c r="A26" s="205"/>
      <c r="B26" s="300"/>
      <c r="C26" s="300"/>
      <c r="D26" s="51"/>
      <c r="F26" s="378">
        <f>F23-F25</f>
        <v>0</v>
      </c>
      <c r="G26" s="379" t="str">
        <f>CONCATENATE("Projected ",D1+1," carryover (est.)")</f>
        <v>Projected 2026 carryover (est.)</v>
      </c>
      <c r="H26" s="380"/>
      <c r="I26" s="381"/>
    </row>
    <row r="27" spans="1:10" x14ac:dyDescent="0.25">
      <c r="A27" s="205"/>
      <c r="B27" s="300"/>
      <c r="C27" s="300"/>
      <c r="D27" s="51"/>
      <c r="F27" s="371"/>
      <c r="G27" s="371"/>
      <c r="H27" s="371"/>
      <c r="I27" s="371"/>
    </row>
    <row r="28" spans="1:10" x14ac:dyDescent="0.2">
      <c r="A28" s="205"/>
      <c r="B28" s="300"/>
      <c r="C28" s="300"/>
      <c r="D28" s="51"/>
      <c r="F28" s="658" t="s">
        <v>569</v>
      </c>
      <c r="G28" s="659"/>
      <c r="H28" s="659"/>
      <c r="I28" s="660"/>
    </row>
    <row r="29" spans="1:10" x14ac:dyDescent="0.2">
      <c r="A29" s="205"/>
      <c r="B29" s="300"/>
      <c r="C29" s="300"/>
      <c r="D29" s="51"/>
      <c r="F29" s="661"/>
      <c r="G29" s="662"/>
      <c r="H29" s="662"/>
      <c r="I29" s="663"/>
    </row>
    <row r="30" spans="1:10" x14ac:dyDescent="0.2">
      <c r="A30" s="205"/>
      <c r="B30" s="300"/>
      <c r="C30" s="300"/>
      <c r="D30" s="51"/>
      <c r="F30" s="534" t="str">
        <f>'Budget Hearing Notice'!H39</f>
        <v xml:space="preserve">  </v>
      </c>
      <c r="G30" s="374" t="str">
        <f>CONCATENATE("",D1," Estimated Fund Mill Rate")</f>
        <v>2025 Estimated Fund Mill Rate</v>
      </c>
      <c r="H30" s="535"/>
      <c r="I30" s="536"/>
    </row>
    <row r="31" spans="1:10" x14ac:dyDescent="0.2">
      <c r="A31" s="196" t="str">
        <f>CONCATENATE("Cash Reserve (",D1," column)")</f>
        <v>Cash Reserve (2025 column)</v>
      </c>
      <c r="B31" s="300"/>
      <c r="C31" s="300"/>
      <c r="D31" s="51"/>
      <c r="F31" s="537" t="str">
        <f>'Budget Hearing Notice'!E39</f>
        <v xml:space="preserve">  </v>
      </c>
      <c r="G31" s="374" t="str">
        <f>CONCATENATE("",D1-1," Fund Mill Rate")</f>
        <v>2024 Fund Mill Rate</v>
      </c>
      <c r="H31" s="535"/>
      <c r="I31" s="536"/>
    </row>
    <row r="32" spans="1:10" x14ac:dyDescent="0.2">
      <c r="A32" s="196" t="s">
        <v>219</v>
      </c>
      <c r="B32" s="300"/>
      <c r="C32" s="300"/>
      <c r="D32" s="51"/>
      <c r="F32" s="538">
        <f>'Budget Hearing Notice'!H53</f>
        <v>0</v>
      </c>
      <c r="G32" s="539" t="s">
        <v>570</v>
      </c>
      <c r="H32" s="535"/>
      <c r="I32" s="536"/>
    </row>
    <row r="33" spans="1:9" x14ac:dyDescent="0.2">
      <c r="A33" s="196" t="s">
        <v>220</v>
      </c>
      <c r="B33" s="281" t="str">
        <f>IF(B34*0.1&lt;B32,"Exceed 10% Rule","")</f>
        <v/>
      </c>
      <c r="C33" s="281" t="str">
        <f>IF(C34*0.1&lt;C32,"Exceed 10% Rule","")</f>
        <v/>
      </c>
      <c r="D33" s="217" t="str">
        <f>IF(D34*0.1&lt;D32,"Exceed 10% Rule","")</f>
        <v/>
      </c>
      <c r="F33" s="534">
        <f>'Budget Hearing Notice'!H52</f>
        <v>0</v>
      </c>
      <c r="G33" s="374" t="str">
        <f>CONCATENATE(D1," Estimated Total Mill Rate")</f>
        <v>2025 Estimated Total Mill Rate</v>
      </c>
      <c r="H33" s="535"/>
      <c r="I33" s="536"/>
    </row>
    <row r="34" spans="1:9" x14ac:dyDescent="0.2">
      <c r="A34" s="198" t="s">
        <v>44</v>
      </c>
      <c r="B34" s="229">
        <f>SUM(B25:B32)</f>
        <v>0</v>
      </c>
      <c r="C34" s="229">
        <f>SUM(C25:C32)</f>
        <v>0</v>
      </c>
      <c r="D34" s="229">
        <f>SUM(D25:D32)</f>
        <v>0</v>
      </c>
      <c r="F34" s="540">
        <f>'Budget Hearing Notice'!E52</f>
        <v>0</v>
      </c>
      <c r="G34" s="374" t="str">
        <f>CONCATENATE(D1-1," Total Mill Rate")</f>
        <v>2024 Total Mill Rate</v>
      </c>
      <c r="H34" s="535"/>
      <c r="I34" s="536"/>
    </row>
    <row r="35" spans="1:9" x14ac:dyDescent="0.2">
      <c r="A35" s="98" t="s">
        <v>149</v>
      </c>
      <c r="B35" s="164">
        <f>B23-B34</f>
        <v>0</v>
      </c>
      <c r="C35" s="164">
        <f>C23-C34</f>
        <v>0</v>
      </c>
      <c r="D35" s="212" t="s">
        <v>16</v>
      </c>
      <c r="F35" s="382"/>
      <c r="G35" s="358"/>
      <c r="H35" s="358"/>
      <c r="I35" s="385"/>
    </row>
    <row r="36" spans="1:9" x14ac:dyDescent="0.2">
      <c r="A36" s="120" t="str">
        <f>CONCATENATE("",D1-2,"/",D1-1,"/",D1," Budget Authority Amount:")</f>
        <v>2023/2024/2025 Budget Authority Amount:</v>
      </c>
      <c r="B36" s="214">
        <f>inputOth!B55</f>
        <v>0</v>
      </c>
      <c r="C36" s="214">
        <f>inputPrYr!D40</f>
        <v>0</v>
      </c>
      <c r="D36" s="164">
        <f>D34</f>
        <v>0</v>
      </c>
      <c r="E36" s="206"/>
      <c r="F36" s="664" t="s">
        <v>571</v>
      </c>
      <c r="G36" s="665"/>
      <c r="H36" s="665"/>
      <c r="I36" s="668" t="str">
        <f>IF(F33&gt;F32, "Yes", "No")</f>
        <v>No</v>
      </c>
    </row>
    <row r="37" spans="1:9" x14ac:dyDescent="0.2">
      <c r="A37" s="182"/>
      <c r="B37" s="651" t="s">
        <v>319</v>
      </c>
      <c r="C37" s="652"/>
      <c r="D37" s="51"/>
      <c r="E37" s="303" t="str">
        <f>IF(D34/0.95-D34&lt;D37,"Exceeds 5%","")</f>
        <v/>
      </c>
      <c r="F37" s="666"/>
      <c r="G37" s="667"/>
      <c r="H37" s="667"/>
      <c r="I37" s="669"/>
    </row>
    <row r="38" spans="1:9" x14ac:dyDescent="0.2">
      <c r="A38" s="304" t="str">
        <f>CONCATENATE(B95,"     ",C95)</f>
        <v xml:space="preserve">     </v>
      </c>
      <c r="B38" s="653" t="s">
        <v>320</v>
      </c>
      <c r="C38" s="654"/>
      <c r="D38" s="164">
        <f>D34+D37</f>
        <v>0</v>
      </c>
      <c r="F38" s="670" t="str">
        <f>IF(I36="Yes", "Follow procedure prescribed by KSA 79-2988 to exceed the Revenue Neutral Rate.", " ")</f>
        <v xml:space="preserve"> </v>
      </c>
      <c r="G38" s="670"/>
      <c r="H38" s="670"/>
      <c r="I38" s="670"/>
    </row>
    <row r="39" spans="1:9" x14ac:dyDescent="0.2">
      <c r="A39" s="304" t="str">
        <f>CONCATENATE(B96,"      ",C96)</f>
        <v xml:space="preserve">      </v>
      </c>
      <c r="B39" s="207"/>
      <c r="C39" s="63" t="s">
        <v>45</v>
      </c>
      <c r="D39" s="164">
        <f>IF(D38-D23&gt;0,D38-D23,0)</f>
        <v>0</v>
      </c>
      <c r="F39" s="671"/>
      <c r="G39" s="671"/>
      <c r="H39" s="671"/>
      <c r="I39" s="671"/>
    </row>
    <row r="40" spans="1:9" x14ac:dyDescent="0.2">
      <c r="A40" s="63"/>
      <c r="B40" s="293" t="s">
        <v>321</v>
      </c>
      <c r="C40" s="396">
        <f>inputOth!$E$25</f>
        <v>0</v>
      </c>
      <c r="D40" s="164">
        <f>ROUND(IF(C40&gt;0,(D39*C40),0),0)</f>
        <v>0</v>
      </c>
      <c r="F40" s="671"/>
      <c r="G40" s="671"/>
      <c r="H40" s="671"/>
      <c r="I40" s="671"/>
    </row>
    <row r="41" spans="1:9" x14ac:dyDescent="0.25">
      <c r="A41" s="32"/>
      <c r="B41" s="649" t="str">
        <f>CONCATENATE("Amount of  ",$D$1-1," Ad Valorem Tax")</f>
        <v>Amount of  2024 Ad Valorem Tax</v>
      </c>
      <c r="C41" s="650"/>
      <c r="D41" s="164">
        <f>D39+D40</f>
        <v>0</v>
      </c>
      <c r="F41" s="371"/>
      <c r="G41" s="371"/>
      <c r="H41" s="371"/>
      <c r="I41" s="371"/>
    </row>
    <row r="42" spans="1:9" x14ac:dyDescent="0.25">
      <c r="A42" s="32"/>
      <c r="B42" s="182"/>
      <c r="C42" s="32"/>
      <c r="D42" s="32"/>
      <c r="F42" s="371"/>
      <c r="G42" s="371"/>
      <c r="H42" s="371"/>
      <c r="I42" s="371"/>
    </row>
    <row r="43" spans="1:9" x14ac:dyDescent="0.25">
      <c r="A43" s="32"/>
      <c r="B43" s="182"/>
      <c r="C43" s="32"/>
      <c r="D43" s="32"/>
      <c r="F43" s="371"/>
      <c r="G43" s="371"/>
      <c r="H43" s="371"/>
      <c r="I43" s="371"/>
    </row>
    <row r="44" spans="1:9" x14ac:dyDescent="0.25">
      <c r="A44" s="32"/>
      <c r="B44" s="91"/>
      <c r="C44" s="91"/>
      <c r="D44" s="91"/>
      <c r="F44" s="371"/>
      <c r="G44" s="371"/>
      <c r="H44" s="371"/>
      <c r="I44" s="371"/>
    </row>
    <row r="45" spans="1:9" x14ac:dyDescent="0.25">
      <c r="A45" s="31" t="s">
        <v>30</v>
      </c>
      <c r="B45" s="353" t="str">
        <f t="shared" ref="B45:D46" si="0">B4</f>
        <v xml:space="preserve">Prior Year </v>
      </c>
      <c r="C45" s="354" t="str">
        <f t="shared" si="0"/>
        <v xml:space="preserve">Current Year </v>
      </c>
      <c r="D45" s="95" t="str">
        <f t="shared" si="0"/>
        <v xml:space="preserve">Proposed Budget </v>
      </c>
      <c r="F45" s="371"/>
      <c r="G45" s="371"/>
      <c r="H45" s="371"/>
      <c r="I45" s="371"/>
    </row>
    <row r="46" spans="1:9" x14ac:dyDescent="0.25">
      <c r="A46" s="296">
        <f>inputPrYr!$B$41</f>
        <v>0</v>
      </c>
      <c r="B46" s="283" t="str">
        <f t="shared" si="0"/>
        <v>Actual for 2023</v>
      </c>
      <c r="C46" s="283" t="str">
        <f t="shared" si="0"/>
        <v>Estimate for 2024</v>
      </c>
      <c r="D46" s="162" t="str">
        <f t="shared" si="0"/>
        <v>Year for 2025</v>
      </c>
      <c r="F46" s="371"/>
      <c r="G46" s="371"/>
      <c r="H46" s="371"/>
      <c r="I46" s="371"/>
    </row>
    <row r="47" spans="1:9" x14ac:dyDescent="0.25">
      <c r="A47" s="98" t="s">
        <v>148</v>
      </c>
      <c r="B47" s="300"/>
      <c r="C47" s="282">
        <f>B76</f>
        <v>0</v>
      </c>
      <c r="D47" s="164">
        <f>C76</f>
        <v>0</v>
      </c>
      <c r="F47" s="371"/>
      <c r="G47" s="371"/>
      <c r="H47" s="371"/>
      <c r="I47" s="371"/>
    </row>
    <row r="48" spans="1:9" x14ac:dyDescent="0.25">
      <c r="A48" s="191" t="s">
        <v>150</v>
      </c>
      <c r="B48" s="111"/>
      <c r="C48" s="111"/>
      <c r="D48" s="64"/>
      <c r="F48" s="371"/>
      <c r="G48" s="371"/>
      <c r="H48" s="371"/>
      <c r="I48" s="371"/>
    </row>
    <row r="49" spans="1:10" x14ac:dyDescent="0.25">
      <c r="A49" s="98" t="s">
        <v>31</v>
      </c>
      <c r="B49" s="300"/>
      <c r="C49" s="282">
        <f>inputPrYr!E41</f>
        <v>0</v>
      </c>
      <c r="D49" s="212" t="s">
        <v>16</v>
      </c>
      <c r="F49" s="371"/>
      <c r="G49" s="371"/>
      <c r="H49" s="371"/>
      <c r="I49" s="371"/>
    </row>
    <row r="50" spans="1:10" x14ac:dyDescent="0.25">
      <c r="A50" s="98" t="s">
        <v>32</v>
      </c>
      <c r="B50" s="300"/>
      <c r="C50" s="300"/>
      <c r="D50" s="51"/>
      <c r="F50" s="371"/>
      <c r="G50" s="371"/>
      <c r="H50" s="371"/>
      <c r="I50" s="371"/>
    </row>
    <row r="51" spans="1:10" x14ac:dyDescent="0.25">
      <c r="A51" s="98" t="s">
        <v>33</v>
      </c>
      <c r="B51" s="300"/>
      <c r="C51" s="300"/>
      <c r="D51" s="164" t="str">
        <f>Mvalloc!D32</f>
        <v xml:space="preserve">  </v>
      </c>
      <c r="F51" s="371"/>
      <c r="G51" s="371"/>
      <c r="H51" s="371"/>
      <c r="I51" s="371"/>
    </row>
    <row r="52" spans="1:10" x14ac:dyDescent="0.2">
      <c r="A52" s="98" t="s">
        <v>34</v>
      </c>
      <c r="B52" s="300"/>
      <c r="C52" s="300"/>
      <c r="D52" s="164" t="str">
        <f>Mvalloc!E32</f>
        <v xml:space="preserve">  </v>
      </c>
      <c r="F52" s="655" t="str">
        <f>CONCATENATE("Desired Carryover Into ",D1+1,"")</f>
        <v>Desired Carryover Into 2026</v>
      </c>
      <c r="G52" s="656"/>
      <c r="H52" s="656"/>
      <c r="I52" s="657"/>
    </row>
    <row r="53" spans="1:10" x14ac:dyDescent="0.2">
      <c r="A53" s="111" t="s">
        <v>131</v>
      </c>
      <c r="B53" s="300"/>
      <c r="C53" s="300"/>
      <c r="D53" s="164" t="str">
        <f>Mvalloc!F32</f>
        <v xml:space="preserve">  </v>
      </c>
      <c r="F53" s="357"/>
      <c r="G53" s="358"/>
      <c r="H53" s="359"/>
      <c r="I53" s="360"/>
    </row>
    <row r="54" spans="1:10" x14ac:dyDescent="0.2">
      <c r="A54" s="191" t="s">
        <v>374</v>
      </c>
      <c r="B54" s="300"/>
      <c r="C54" s="300"/>
      <c r="D54" s="164" t="str">
        <f>Mvalloc!G32</f>
        <v xml:space="preserve"> </v>
      </c>
      <c r="F54" s="361" t="s">
        <v>327</v>
      </c>
      <c r="G54" s="359"/>
      <c r="H54" s="359"/>
      <c r="I54" s="362">
        <v>0</v>
      </c>
    </row>
    <row r="55" spans="1:10" x14ac:dyDescent="0.2">
      <c r="A55" s="191" t="s">
        <v>375</v>
      </c>
      <c r="B55" s="300"/>
      <c r="C55" s="300"/>
      <c r="D55" s="164" t="str">
        <f>Mvalloc!H32</f>
        <v xml:space="preserve"> </v>
      </c>
      <c r="F55" s="357" t="s">
        <v>328</v>
      </c>
      <c r="G55" s="358"/>
      <c r="H55" s="358"/>
      <c r="I55" s="363" t="str">
        <f>IF(I54=0,"",ROUND((I54+D82-F67)/inputOth!E5*1000,3)-F72)</f>
        <v/>
      </c>
    </row>
    <row r="56" spans="1:10" x14ac:dyDescent="0.2">
      <c r="A56" s="205"/>
      <c r="B56" s="300"/>
      <c r="C56" s="300"/>
      <c r="D56" s="51"/>
      <c r="F56" s="364" t="str">
        <f>CONCATENATE("",D1," Tot Exp/Non-Appr Must Be:")</f>
        <v>2025 Tot Exp/Non-Appr Must Be:</v>
      </c>
      <c r="G56" s="365"/>
      <c r="H56" s="366"/>
      <c r="I56" s="367">
        <f>IF(I54&gt;0,IF(D79&lt;D64,IF(I54=F67,D79,((I54-F67)*(1-C81))+D64),D79+(I54-F67)),0)</f>
        <v>0</v>
      </c>
    </row>
    <row r="57" spans="1:10" x14ac:dyDescent="0.2">
      <c r="A57" s="205"/>
      <c r="B57" s="300"/>
      <c r="C57" s="300"/>
      <c r="D57" s="51"/>
      <c r="F57" s="368" t="s">
        <v>349</v>
      </c>
      <c r="G57" s="369"/>
      <c r="H57" s="369"/>
      <c r="I57" s="370">
        <f>IF(I54&gt;0,I56-D79,0)</f>
        <v>0</v>
      </c>
    </row>
    <row r="58" spans="1:10" x14ac:dyDescent="0.25">
      <c r="A58" s="205"/>
      <c r="B58" s="300"/>
      <c r="C58" s="300"/>
      <c r="D58" s="51"/>
      <c r="F58" s="371"/>
      <c r="G58" s="371"/>
      <c r="H58" s="371"/>
      <c r="I58" s="371"/>
    </row>
    <row r="59" spans="1:10" x14ac:dyDescent="0.2">
      <c r="A59" s="195" t="s">
        <v>38</v>
      </c>
      <c r="B59" s="300"/>
      <c r="C59" s="300"/>
      <c r="D59" s="51"/>
      <c r="F59" s="655" t="str">
        <f>CONCATENATE("Projected Carryover Into ",D1+1,"")</f>
        <v>Projected Carryover Into 2026</v>
      </c>
      <c r="G59" s="676"/>
      <c r="H59" s="676"/>
      <c r="I59" s="675"/>
    </row>
    <row r="60" spans="1:10" x14ac:dyDescent="0.25">
      <c r="A60" s="196" t="s">
        <v>218</v>
      </c>
      <c r="B60" s="300"/>
      <c r="C60" s="300"/>
      <c r="D60" s="164">
        <f>'NR Rebate'!E30*-1</f>
        <v>0</v>
      </c>
      <c r="F60" s="382"/>
      <c r="G60" s="358"/>
      <c r="H60" s="358"/>
      <c r="I60" s="383"/>
    </row>
    <row r="61" spans="1:10" x14ac:dyDescent="0.25">
      <c r="A61" s="196" t="s">
        <v>219</v>
      </c>
      <c r="B61" s="300"/>
      <c r="C61" s="300"/>
      <c r="D61" s="51"/>
      <c r="F61" s="373">
        <f>C76</f>
        <v>0</v>
      </c>
      <c r="G61" s="374" t="str">
        <f>CONCATENATE("",D1-1," Ending Cash Balance (est.)")</f>
        <v>2024 Ending Cash Balance (est.)</v>
      </c>
      <c r="H61" s="375"/>
      <c r="I61" s="383"/>
    </row>
    <row r="62" spans="1:10" x14ac:dyDescent="0.25">
      <c r="A62" s="196" t="s">
        <v>221</v>
      </c>
      <c r="B62" s="281" t="str">
        <f>IF(B63*0.1&lt;B61,"Exceed 10% Rule","")</f>
        <v/>
      </c>
      <c r="C62" s="281" t="str">
        <f>IF(C63*0.1&lt;C61,"Exceed 10% Rule","")</f>
        <v/>
      </c>
      <c r="D62" s="217" t="str">
        <f>IF(D63*0.1+D82&lt;D61,"Exceed 10% Rule","")</f>
        <v/>
      </c>
      <c r="F62" s="373">
        <f>D63</f>
        <v>0</v>
      </c>
      <c r="G62" s="359" t="str">
        <f>CONCATENATE("",D1," Non-AV Receipts (est.)")</f>
        <v>2025 Non-AV Receipts (est.)</v>
      </c>
      <c r="H62" s="375"/>
      <c r="I62" s="383"/>
    </row>
    <row r="63" spans="1:10" x14ac:dyDescent="0.25">
      <c r="A63" s="198" t="s">
        <v>39</v>
      </c>
      <c r="B63" s="229">
        <f>SUM(B49:B61)</f>
        <v>0</v>
      </c>
      <c r="C63" s="229">
        <f>SUM(C49:C61)</f>
        <v>0</v>
      </c>
      <c r="D63" s="229">
        <f>SUM(D49:D61)</f>
        <v>0</v>
      </c>
      <c r="F63" s="376">
        <f>IF(D81&gt;0,D80,D82)</f>
        <v>0</v>
      </c>
      <c r="G63" s="359" t="str">
        <f>CONCATENATE("",D1," Ad Valorem Tax (est.)")</f>
        <v>2025 Ad Valorem Tax (est.)</v>
      </c>
      <c r="H63" s="375"/>
      <c r="I63" s="383"/>
      <c r="J63" s="394" t="str">
        <f>IF(F63=D82,"","Note: Does not include Delinquent Taxes")</f>
        <v/>
      </c>
    </row>
    <row r="64" spans="1:10" x14ac:dyDescent="0.25">
      <c r="A64" s="198" t="s">
        <v>40</v>
      </c>
      <c r="B64" s="229">
        <f>B47+B63</f>
        <v>0</v>
      </c>
      <c r="C64" s="229">
        <f>C47+C63</f>
        <v>0</v>
      </c>
      <c r="D64" s="229">
        <f>D47+D63</f>
        <v>0</v>
      </c>
      <c r="F64" s="384">
        <f>SUM(F61:F63)</f>
        <v>0</v>
      </c>
      <c r="G64" s="359" t="str">
        <f>CONCATENATE("Total ",D1," Resources Available")</f>
        <v>Total 2025 Resources Available</v>
      </c>
      <c r="H64" s="385"/>
      <c r="I64" s="383"/>
    </row>
    <row r="65" spans="1:9" x14ac:dyDescent="0.25">
      <c r="A65" s="98" t="s">
        <v>43</v>
      </c>
      <c r="B65" s="196"/>
      <c r="C65" s="196"/>
      <c r="D65" s="108"/>
      <c r="F65" s="386"/>
      <c r="G65" s="387"/>
      <c r="H65" s="358"/>
      <c r="I65" s="383"/>
    </row>
    <row r="66" spans="1:9" x14ac:dyDescent="0.25">
      <c r="A66" s="205"/>
      <c r="B66" s="300"/>
      <c r="C66" s="300"/>
      <c r="D66" s="51"/>
      <c r="F66" s="388">
        <f>ROUND(B75*0.05+B75,0)</f>
        <v>0</v>
      </c>
      <c r="G66" s="359" t="str">
        <f>CONCATENATE("Less ",D1-2," Expenditures + 5%")</f>
        <v>Less 2023 Expenditures + 5%</v>
      </c>
      <c r="H66" s="385"/>
      <c r="I66" s="383"/>
    </row>
    <row r="67" spans="1:9" x14ac:dyDescent="0.25">
      <c r="A67" s="205"/>
      <c r="B67" s="300"/>
      <c r="C67" s="300"/>
      <c r="D67" s="51"/>
      <c r="F67" s="389">
        <f>F64-F66</f>
        <v>0</v>
      </c>
      <c r="G67" s="379" t="str">
        <f>CONCATENATE("Projected ",D1+1," carryover (est.)")</f>
        <v>Projected 2026 carryover (est.)</v>
      </c>
      <c r="H67" s="390"/>
      <c r="I67" s="391"/>
    </row>
    <row r="68" spans="1:9" x14ac:dyDescent="0.25">
      <c r="A68" s="205"/>
      <c r="B68" s="300"/>
      <c r="C68" s="300"/>
      <c r="D68" s="51"/>
      <c r="F68" s="371"/>
      <c r="G68" s="371"/>
      <c r="H68" s="371"/>
      <c r="I68" s="371"/>
    </row>
    <row r="69" spans="1:9" x14ac:dyDescent="0.2">
      <c r="A69" s="205"/>
      <c r="B69" s="300"/>
      <c r="C69" s="300"/>
      <c r="D69" s="51"/>
      <c r="F69" s="658" t="s">
        <v>569</v>
      </c>
      <c r="G69" s="659"/>
      <c r="H69" s="659"/>
      <c r="I69" s="660"/>
    </row>
    <row r="70" spans="1:9" x14ac:dyDescent="0.2">
      <c r="A70" s="205"/>
      <c r="B70" s="300"/>
      <c r="C70" s="300"/>
      <c r="D70" s="51"/>
      <c r="F70" s="661"/>
      <c r="G70" s="662"/>
      <c r="H70" s="662"/>
      <c r="I70" s="663"/>
    </row>
    <row r="71" spans="1:9" x14ac:dyDescent="0.2">
      <c r="A71" s="205"/>
      <c r="B71" s="300"/>
      <c r="C71" s="300"/>
      <c r="D71" s="51"/>
      <c r="F71" s="534" t="str">
        <f>'Budget Hearing Notice'!H40</f>
        <v xml:space="preserve">  </v>
      </c>
      <c r="G71" s="374" t="str">
        <f>CONCATENATE("",D1," Estimated Fund Mill Rate")</f>
        <v>2025 Estimated Fund Mill Rate</v>
      </c>
      <c r="H71" s="535"/>
      <c r="I71" s="536"/>
    </row>
    <row r="72" spans="1:9" x14ac:dyDescent="0.2">
      <c r="A72" s="196" t="str">
        <f>CONCATENATE("Cash Reserve (",D1," column)")</f>
        <v>Cash Reserve (2025 column)</v>
      </c>
      <c r="B72" s="300"/>
      <c r="C72" s="300"/>
      <c r="D72" s="51"/>
      <c r="F72" s="537" t="str">
        <f>'Budget Hearing Notice'!E40</f>
        <v xml:space="preserve">  </v>
      </c>
      <c r="G72" s="374" t="str">
        <f>CONCATENATE("",D1-1," Fund Mill Rate")</f>
        <v>2024 Fund Mill Rate</v>
      </c>
      <c r="H72" s="535"/>
      <c r="I72" s="536"/>
    </row>
    <row r="73" spans="1:9" x14ac:dyDescent="0.2">
      <c r="A73" s="196" t="s">
        <v>219</v>
      </c>
      <c r="B73" s="300"/>
      <c r="C73" s="300"/>
      <c r="D73" s="51"/>
      <c r="F73" s="538">
        <f>'Budget Hearing Notice'!H53</f>
        <v>0</v>
      </c>
      <c r="G73" s="539" t="s">
        <v>570</v>
      </c>
      <c r="H73" s="535"/>
      <c r="I73" s="536"/>
    </row>
    <row r="74" spans="1:9" x14ac:dyDescent="0.2">
      <c r="A74" s="196" t="s">
        <v>220</v>
      </c>
      <c r="B74" s="281" t="str">
        <f>IF(B75*0.1&lt;B73,"Exceed 10% Rule","")</f>
        <v/>
      </c>
      <c r="C74" s="281" t="str">
        <f>IF(C75*0.1&lt;C73,"Exceed 10% Rule","")</f>
        <v/>
      </c>
      <c r="D74" s="217" t="str">
        <f>IF(D75*0.1&lt;D73,"Exceed 10% Rule","")</f>
        <v/>
      </c>
      <c r="F74" s="534">
        <f>'Budget Hearing Notice'!H52</f>
        <v>0</v>
      </c>
      <c r="G74" s="374" t="str">
        <f>CONCATENATE(D1," Estimated Total Mill Rate")</f>
        <v>2025 Estimated Total Mill Rate</v>
      </c>
      <c r="H74" s="535"/>
      <c r="I74" s="536"/>
    </row>
    <row r="75" spans="1:9" x14ac:dyDescent="0.2">
      <c r="A75" s="198" t="s">
        <v>44</v>
      </c>
      <c r="B75" s="229">
        <f>SUM(B66:B73)</f>
        <v>0</v>
      </c>
      <c r="C75" s="229">
        <f>SUM(C66:C73)</f>
        <v>0</v>
      </c>
      <c r="D75" s="229">
        <f>SUM(D66:D73)</f>
        <v>0</v>
      </c>
      <c r="F75" s="540">
        <f>'Budget Hearing Notice'!E52</f>
        <v>0</v>
      </c>
      <c r="G75" s="374" t="str">
        <f>CONCATENATE(D1-1," Total Mill Rate")</f>
        <v>2024 Total Mill Rate</v>
      </c>
      <c r="H75" s="535"/>
      <c r="I75" s="536"/>
    </row>
    <row r="76" spans="1:9" x14ac:dyDescent="0.2">
      <c r="A76" s="98" t="s">
        <v>149</v>
      </c>
      <c r="B76" s="164">
        <f>B64-B75</f>
        <v>0</v>
      </c>
      <c r="C76" s="164">
        <f>C64-C75</f>
        <v>0</v>
      </c>
      <c r="D76" s="212" t="s">
        <v>16</v>
      </c>
      <c r="F76" s="382"/>
      <c r="G76" s="358"/>
      <c r="H76" s="358"/>
      <c r="I76" s="385"/>
    </row>
    <row r="77" spans="1:9" x14ac:dyDescent="0.2">
      <c r="A77" s="120" t="str">
        <f>CONCATENATE("",D1-2,"/",D1-1,"/",D1," Budget Authority Amount:")</f>
        <v>2023/2024/2025 Budget Authority Amount:</v>
      </c>
      <c r="B77" s="214">
        <f>inputOth!B56</f>
        <v>0</v>
      </c>
      <c r="C77" s="214">
        <f>inputPrYr!D41</f>
        <v>0</v>
      </c>
      <c r="D77" s="164">
        <f>D75</f>
        <v>0</v>
      </c>
      <c r="E77" s="206"/>
      <c r="F77" s="664" t="s">
        <v>571</v>
      </c>
      <c r="G77" s="665"/>
      <c r="H77" s="665"/>
      <c r="I77" s="668" t="str">
        <f>IF(F74&gt;F73, "Yes", "No")</f>
        <v>No</v>
      </c>
    </row>
    <row r="78" spans="1:9" x14ac:dyDescent="0.2">
      <c r="A78" s="182"/>
      <c r="B78" s="651" t="s">
        <v>319</v>
      </c>
      <c r="C78" s="652"/>
      <c r="D78" s="51"/>
      <c r="E78" s="303" t="str">
        <f>IF(D75/0.95-D75&lt;D78,"Exceeds 5%","")</f>
        <v/>
      </c>
      <c r="F78" s="666"/>
      <c r="G78" s="667"/>
      <c r="H78" s="667"/>
      <c r="I78" s="669"/>
    </row>
    <row r="79" spans="1:9" x14ac:dyDescent="0.2">
      <c r="A79" s="304" t="str">
        <f>CONCATENATE(B97,"      ",C97)</f>
        <v xml:space="preserve">      </v>
      </c>
      <c r="B79" s="653" t="s">
        <v>320</v>
      </c>
      <c r="C79" s="654"/>
      <c r="D79" s="164">
        <f>D75+D78</f>
        <v>0</v>
      </c>
      <c r="F79" s="670" t="str">
        <f>IF(I77="Yes", "Follow procedure prescribed by KSA 79-2988 to exceed the Revenue Neutral Rate.", " ")</f>
        <v xml:space="preserve"> </v>
      </c>
      <c r="G79" s="670"/>
      <c r="H79" s="670"/>
      <c r="I79" s="670"/>
    </row>
    <row r="80" spans="1:9" x14ac:dyDescent="0.2">
      <c r="A80" s="304" t="str">
        <f>CONCATENATE(B98,"      ",C98)</f>
        <v xml:space="preserve">      </v>
      </c>
      <c r="B80" s="207"/>
      <c r="C80" s="63" t="s">
        <v>45</v>
      </c>
      <c r="D80" s="164">
        <f>IF(D79-D64&gt;0,D79-D64,0)</f>
        <v>0</v>
      </c>
      <c r="F80" s="671"/>
      <c r="G80" s="671"/>
      <c r="H80" s="671"/>
      <c r="I80" s="671"/>
    </row>
    <row r="81" spans="1:9" x14ac:dyDescent="0.2">
      <c r="A81" s="63"/>
      <c r="B81" s="293" t="s">
        <v>321</v>
      </c>
      <c r="C81" s="396">
        <f>inputOth!$E$25</f>
        <v>0</v>
      </c>
      <c r="D81" s="164">
        <f>ROUND(IF(C81&gt;0,(D80*C81),0),0)</f>
        <v>0</v>
      </c>
      <c r="F81" s="671"/>
      <c r="G81" s="671"/>
      <c r="H81" s="671"/>
      <c r="I81" s="671"/>
    </row>
    <row r="82" spans="1:9" x14ac:dyDescent="0.2">
      <c r="A82" s="32"/>
      <c r="B82" s="649" t="str">
        <f>CONCATENATE("Amount of  ",$D$1-1," Ad Valorem Tax")</f>
        <v>Amount of  2024 Ad Valorem Tax</v>
      </c>
      <c r="C82" s="650"/>
      <c r="D82" s="164">
        <f>D80+D81</f>
        <v>0</v>
      </c>
    </row>
    <row r="83" spans="1:9" x14ac:dyDescent="0.2">
      <c r="A83" s="32"/>
      <c r="B83" s="182"/>
      <c r="C83" s="182"/>
      <c r="D83" s="182"/>
    </row>
    <row r="84" spans="1:9" x14ac:dyDescent="0.2">
      <c r="A84" s="446" t="s">
        <v>380</v>
      </c>
      <c r="B84" s="456"/>
      <c r="C84" s="456"/>
      <c r="D84" s="457"/>
    </row>
    <row r="85" spans="1:9" x14ac:dyDescent="0.2">
      <c r="A85" s="183"/>
      <c r="B85" s="182"/>
      <c r="C85" s="182"/>
      <c r="D85" s="458"/>
    </row>
    <row r="86" spans="1:9" x14ac:dyDescent="0.2">
      <c r="A86" s="447"/>
      <c r="B86" s="461"/>
      <c r="C86" s="461"/>
      <c r="D86" s="462"/>
    </row>
    <row r="87" spans="1:9" x14ac:dyDescent="0.2">
      <c r="A87" s="32"/>
      <c r="B87" s="182"/>
      <c r="C87" s="182"/>
      <c r="D87" s="182"/>
    </row>
    <row r="88" spans="1:9" x14ac:dyDescent="0.2">
      <c r="A88" s="182" t="s">
        <v>96</v>
      </c>
      <c r="B88" s="428"/>
      <c r="C88" s="32"/>
      <c r="D88" s="32"/>
    </row>
    <row r="90" spans="1:9" hidden="1" x14ac:dyDescent="0.2"/>
    <row r="91" spans="1:9" hidden="1" x14ac:dyDescent="0.2"/>
    <row r="92" spans="1:9" hidden="1" x14ac:dyDescent="0.2"/>
    <row r="93" spans="1:9" hidden="1" x14ac:dyDescent="0.2"/>
    <row r="95" spans="1:9" x14ac:dyDescent="0.2">
      <c r="B95" s="27" t="str">
        <f>IF(B34&gt;B36,"See Tab A","")</f>
        <v/>
      </c>
      <c r="C95" s="27" t="str">
        <f>IF(C34&gt;C36,"See Tab C","")</f>
        <v/>
      </c>
    </row>
    <row r="96" spans="1:9" x14ac:dyDescent="0.2">
      <c r="B96" s="27" t="str">
        <f>IF(B35&lt;0,"See Tab B","")</f>
        <v/>
      </c>
      <c r="C96" s="27" t="str">
        <f>IF(C35&lt;0,"See Tab D","")</f>
        <v/>
      </c>
    </row>
    <row r="97" spans="2:3" x14ac:dyDescent="0.2">
      <c r="B97" s="27" t="str">
        <f>IF(B75&gt;B77,"See Tab A","")</f>
        <v/>
      </c>
      <c r="C97" s="27" t="str">
        <f>IF(C75&gt;C77,"See Tab C","")</f>
        <v/>
      </c>
    </row>
    <row r="98" spans="2:3" x14ac:dyDescent="0.2">
      <c r="B98" s="27" t="str">
        <f>IF(B76&lt;0,"See Tab B","")</f>
        <v/>
      </c>
      <c r="C98" s="27" t="str">
        <f>IF(C76&lt;0,"See Tab D","")</f>
        <v/>
      </c>
    </row>
    <row r="101" spans="2:3" x14ac:dyDescent="0.2">
      <c r="B101" s="27" t="str">
        <f>IF(B79&lt;0,"See Tab B","")</f>
        <v/>
      </c>
      <c r="C101" s="27" t="str">
        <f>IF(C79&lt;0,"See Tab D","")</f>
        <v/>
      </c>
    </row>
  </sheetData>
  <sheetProtection sheet="1"/>
  <mergeCells count="18">
    <mergeCell ref="B82:C82"/>
    <mergeCell ref="B41:C41"/>
    <mergeCell ref="F28:I29"/>
    <mergeCell ref="F36:H37"/>
    <mergeCell ref="I36:I37"/>
    <mergeCell ref="F38:I40"/>
    <mergeCell ref="F69:I70"/>
    <mergeCell ref="F77:H78"/>
    <mergeCell ref="I77:I78"/>
    <mergeCell ref="F79:I81"/>
    <mergeCell ref="B37:C37"/>
    <mergeCell ref="B38:C38"/>
    <mergeCell ref="B78:C78"/>
    <mergeCell ref="B79:C79"/>
    <mergeCell ref="F11:I11"/>
    <mergeCell ref="F18:I18"/>
    <mergeCell ref="F52:I52"/>
    <mergeCell ref="F59:I59"/>
  </mergeCells>
  <phoneticPr fontId="0" type="noConversion"/>
  <conditionalFormatting sqref="B20">
    <cfRule type="cellIs" dxfId="86" priority="17" stopIfTrue="1" operator="greaterThan">
      <formula>$B$22*0.1</formula>
    </cfRule>
  </conditionalFormatting>
  <conditionalFormatting sqref="B32">
    <cfRule type="cellIs" dxfId="85" priority="29" stopIfTrue="1" operator="greaterThan">
      <formula>$B$34*0.1</formula>
    </cfRule>
  </conditionalFormatting>
  <conditionalFormatting sqref="B34">
    <cfRule type="cellIs" dxfId="84" priority="9" stopIfTrue="1" operator="greaterThan">
      <formula>$B$36</formula>
    </cfRule>
  </conditionalFormatting>
  <conditionalFormatting sqref="B61">
    <cfRule type="cellIs" dxfId="83" priority="28" stopIfTrue="1" operator="greaterThan">
      <formula>$B$63*0.1</formula>
    </cfRule>
  </conditionalFormatting>
  <conditionalFormatting sqref="B73">
    <cfRule type="cellIs" dxfId="82" priority="22" stopIfTrue="1" operator="greaterThan">
      <formula>$B$75*0.1</formula>
    </cfRule>
  </conditionalFormatting>
  <conditionalFormatting sqref="B75">
    <cfRule type="cellIs" dxfId="81" priority="4" stopIfTrue="1" operator="greaterThan">
      <formula>$B$77</formula>
    </cfRule>
  </conditionalFormatting>
  <conditionalFormatting sqref="B35:C35">
    <cfRule type="cellIs" dxfId="80" priority="5" stopIfTrue="1" operator="lessThan">
      <formula>0</formula>
    </cfRule>
  </conditionalFormatting>
  <conditionalFormatting sqref="B76:C76">
    <cfRule type="cellIs" dxfId="79" priority="1" stopIfTrue="1" operator="lessThan">
      <formula>0</formula>
    </cfRule>
  </conditionalFormatting>
  <conditionalFormatting sqref="C20">
    <cfRule type="cellIs" dxfId="78" priority="18" stopIfTrue="1" operator="greaterThan">
      <formula>$C$22*0.1</formula>
    </cfRule>
  </conditionalFormatting>
  <conditionalFormatting sqref="C32">
    <cfRule type="cellIs" dxfId="77" priority="30" stopIfTrue="1" operator="greaterThan">
      <formula>$C$34*0.1</formula>
    </cfRule>
  </conditionalFormatting>
  <conditionalFormatting sqref="C34">
    <cfRule type="cellIs" dxfId="76" priority="7" stopIfTrue="1" operator="greaterThan">
      <formula>$C$36</formula>
    </cfRule>
  </conditionalFormatting>
  <conditionalFormatting sqref="C61">
    <cfRule type="cellIs" dxfId="75" priority="27" stopIfTrue="1" operator="greaterThan">
      <formula>$C$63*0.1</formula>
    </cfRule>
  </conditionalFormatting>
  <conditionalFormatting sqref="C73">
    <cfRule type="cellIs" dxfId="74" priority="23" stopIfTrue="1" operator="greaterThan">
      <formula>$C$75*0.1</formula>
    </cfRule>
  </conditionalFormatting>
  <conditionalFormatting sqref="C75">
    <cfRule type="cellIs" dxfId="73" priority="3" stopIfTrue="1" operator="greaterThan">
      <formula>$C$77</formula>
    </cfRule>
  </conditionalFormatting>
  <conditionalFormatting sqref="D20">
    <cfRule type="cellIs" dxfId="72" priority="20" stopIfTrue="1" operator="greaterThan">
      <formula>$D$22*0.1+D41</formula>
    </cfRule>
  </conditionalFormatting>
  <conditionalFormatting sqref="D32">
    <cfRule type="cellIs" dxfId="71" priority="19" stopIfTrue="1" operator="greaterThan">
      <formula>$D$34*0.1</formula>
    </cfRule>
  </conditionalFormatting>
  <conditionalFormatting sqref="D37">
    <cfRule type="cellIs" dxfId="70" priority="14" stopIfTrue="1" operator="greaterThan">
      <formula>$D$34/0.95-$D$34</formula>
    </cfRule>
  </conditionalFormatting>
  <conditionalFormatting sqref="D61">
    <cfRule type="cellIs" dxfId="69" priority="21" stopIfTrue="1" operator="greaterThan">
      <formula>$D$63*0.1+D82</formula>
    </cfRule>
  </conditionalFormatting>
  <conditionalFormatting sqref="D73">
    <cfRule type="cellIs" dxfId="68" priority="16" stopIfTrue="1" operator="greaterThan">
      <formula>$D$75*0.1</formula>
    </cfRule>
  </conditionalFormatting>
  <conditionalFormatting sqref="D78">
    <cfRule type="cellIs" dxfId="67" priority="15" stopIfTrue="1" operator="greaterThan">
      <formula>$D$75/0.95-$D$75</formula>
    </cfRule>
  </conditionalFormatting>
  <conditionalFormatting sqref="I36">
    <cfRule type="containsText" dxfId="66" priority="11" operator="containsText" text="Yes">
      <formula>NOT(ISERROR(SEARCH("Yes",I36)))</formula>
    </cfRule>
  </conditionalFormatting>
  <conditionalFormatting sqref="I77">
    <cfRule type="containsText" dxfId="65" priority="10" operator="containsText" text="Yes">
      <formula>NOT(ISERROR(SEARCH("Yes",I77)))</formula>
    </cfRule>
  </conditionalFormatting>
  <pageMargins left="1.1200000000000001" right="0.5" top="0.74" bottom="0.34" header="0.5" footer="0"/>
  <pageSetup scale="51" orientation="portrait" blackAndWhite="1" horizontalDpi="300" verticalDpi="300" r:id="rId1"/>
  <headerFooter alignWithMargins="0">
    <oddHeader xml:space="preserve">&amp;RState of Kansas
County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rgb="FF00B0F0"/>
    <pageSetUpPr fitToPage="1"/>
  </sheetPr>
  <dimension ref="A1:D65"/>
  <sheetViews>
    <sheetView zoomScaleNormal="100" workbookViewId="0">
      <selection activeCell="E1" sqref="E1"/>
    </sheetView>
  </sheetViews>
  <sheetFormatPr defaultRowHeight="15.75" x14ac:dyDescent="0.2"/>
  <cols>
    <col min="1" max="1" width="31.109375" style="27" customWidth="1"/>
    <col min="2" max="3" width="15.77734375" style="27" customWidth="1"/>
    <col min="4" max="4" width="16.109375" style="27" customWidth="1"/>
    <col min="5" max="16384" width="8.88671875" style="27"/>
  </cols>
  <sheetData>
    <row r="1" spans="1:4" x14ac:dyDescent="0.2">
      <c r="A1" s="73">
        <f>(inputPrYr!C3)</f>
        <v>0</v>
      </c>
      <c r="B1" s="32"/>
      <c r="C1" s="32"/>
      <c r="D1" s="182">
        <f>inputPrYr!C5</f>
        <v>2025</v>
      </c>
    </row>
    <row r="2" spans="1:4" x14ac:dyDescent="0.2">
      <c r="A2" s="133"/>
      <c r="B2" s="208"/>
      <c r="C2" s="208"/>
      <c r="D2" s="209"/>
    </row>
    <row r="3" spans="1:4" x14ac:dyDescent="0.2">
      <c r="A3" s="133" t="s">
        <v>139</v>
      </c>
      <c r="B3" s="91"/>
      <c r="C3" s="91"/>
      <c r="D3" s="91"/>
    </row>
    <row r="4" spans="1:4" x14ac:dyDescent="0.2">
      <c r="A4" s="31" t="s">
        <v>30</v>
      </c>
      <c r="B4" s="353" t="s">
        <v>346</v>
      </c>
      <c r="C4" s="354" t="s">
        <v>347</v>
      </c>
      <c r="D4" s="95" t="s">
        <v>348</v>
      </c>
    </row>
    <row r="5" spans="1:4" x14ac:dyDescent="0.2">
      <c r="A5" s="296">
        <f>inputPrYr!$B$45</f>
        <v>0</v>
      </c>
      <c r="B5" s="283" t="str">
        <f>CONCATENATE("Actual for ",D1-2,"")</f>
        <v>Actual for 2023</v>
      </c>
      <c r="C5" s="283" t="str">
        <f>CONCATENATE("Estimate for ",D1-1,"")</f>
        <v>Estimate for 2024</v>
      </c>
      <c r="D5" s="190" t="str">
        <f>CONCATENATE("Year for ",D1,"")</f>
        <v>Year for 2025</v>
      </c>
    </row>
    <row r="6" spans="1:4" x14ac:dyDescent="0.2">
      <c r="A6" s="98" t="s">
        <v>148</v>
      </c>
      <c r="B6" s="51"/>
      <c r="C6" s="164">
        <f>B28</f>
        <v>0</v>
      </c>
      <c r="D6" s="164">
        <f>C28</f>
        <v>0</v>
      </c>
    </row>
    <row r="7" spans="1:4" x14ac:dyDescent="0.2">
      <c r="A7" s="116" t="s">
        <v>150</v>
      </c>
      <c r="B7" s="108"/>
      <c r="C7" s="108"/>
      <c r="D7" s="108"/>
    </row>
    <row r="8" spans="1:4" x14ac:dyDescent="0.2">
      <c r="A8" s="205"/>
      <c r="B8" s="51"/>
      <c r="C8" s="51"/>
      <c r="D8" s="51"/>
    </row>
    <row r="9" spans="1:4" x14ac:dyDescent="0.2">
      <c r="A9" s="205"/>
      <c r="B9" s="51"/>
      <c r="C9" s="51"/>
      <c r="D9" s="51"/>
    </row>
    <row r="10" spans="1:4" x14ac:dyDescent="0.2">
      <c r="A10" s="205"/>
      <c r="B10" s="51"/>
      <c r="C10" s="51"/>
      <c r="D10" s="51"/>
    </row>
    <row r="11" spans="1:4" x14ac:dyDescent="0.2">
      <c r="A11" s="195" t="s">
        <v>38</v>
      </c>
      <c r="B11" s="51"/>
      <c r="C11" s="51"/>
      <c r="D11" s="51"/>
    </row>
    <row r="12" spans="1:4" x14ac:dyDescent="0.2">
      <c r="A12" s="196" t="s">
        <v>219</v>
      </c>
      <c r="B12" s="51"/>
      <c r="C12" s="211"/>
      <c r="D12" s="211"/>
    </row>
    <row r="13" spans="1:4" x14ac:dyDescent="0.2">
      <c r="A13" s="196" t="s">
        <v>317</v>
      </c>
      <c r="B13" s="290" t="str">
        <f>IF(B14*0.1&lt;B12,"Exceed 10% Rule","")</f>
        <v/>
      </c>
      <c r="C13" s="197" t="str">
        <f>IF(C14*0.1&lt;C12,"Exceed 10% Rule","")</f>
        <v/>
      </c>
      <c r="D13" s="197" t="str">
        <f>IF(D14*0.1&lt;D12,"Exceed 10% Rule","")</f>
        <v/>
      </c>
    </row>
    <row r="14" spans="1:4" x14ac:dyDescent="0.2">
      <c r="A14" s="198" t="s">
        <v>39</v>
      </c>
      <c r="B14" s="229">
        <f>SUM(B8:B12)</f>
        <v>0</v>
      </c>
      <c r="C14" s="229">
        <f>SUM(C8:C12)</f>
        <v>0</v>
      </c>
      <c r="D14" s="229">
        <f>SUM(D8:D12)</f>
        <v>0</v>
      </c>
    </row>
    <row r="15" spans="1:4" x14ac:dyDescent="0.2">
      <c r="A15" s="198" t="s">
        <v>40</v>
      </c>
      <c r="B15" s="229">
        <f>B14+B6</f>
        <v>0</v>
      </c>
      <c r="C15" s="229">
        <f>C14+C6</f>
        <v>0</v>
      </c>
      <c r="D15" s="229">
        <f>D14+D6</f>
        <v>0</v>
      </c>
    </row>
    <row r="16" spans="1:4" x14ac:dyDescent="0.2">
      <c r="A16" s="98" t="s">
        <v>43</v>
      </c>
      <c r="B16" s="164"/>
      <c r="C16" s="164"/>
      <c r="D16" s="164"/>
    </row>
    <row r="17" spans="1:4" x14ac:dyDescent="0.2">
      <c r="A17" s="205"/>
      <c r="B17" s="51"/>
      <c r="C17" s="51"/>
      <c r="D17" s="51"/>
    </row>
    <row r="18" spans="1:4" x14ac:dyDescent="0.2">
      <c r="A18" s="205"/>
      <c r="B18" s="51"/>
      <c r="C18" s="51"/>
      <c r="D18" s="51"/>
    </row>
    <row r="19" spans="1:4" x14ac:dyDescent="0.2">
      <c r="A19" s="205"/>
      <c r="B19" s="51"/>
      <c r="C19" s="51"/>
      <c r="D19" s="51"/>
    </row>
    <row r="20" spans="1:4" x14ac:dyDescent="0.2">
      <c r="A20" s="205"/>
      <c r="B20" s="51"/>
      <c r="C20" s="51"/>
      <c r="D20" s="51"/>
    </row>
    <row r="21" spans="1:4" x14ac:dyDescent="0.2">
      <c r="A21" s="205"/>
      <c r="B21" s="51"/>
      <c r="C21" s="51"/>
      <c r="D21" s="51"/>
    </row>
    <row r="22" spans="1:4" x14ac:dyDescent="0.2">
      <c r="A22" s="205"/>
      <c r="B22" s="51"/>
      <c r="C22" s="51"/>
      <c r="D22" s="51"/>
    </row>
    <row r="23" spans="1:4" x14ac:dyDescent="0.2">
      <c r="A23" s="205"/>
      <c r="B23" s="51"/>
      <c r="C23" s="51"/>
      <c r="D23" s="51"/>
    </row>
    <row r="24" spans="1:4" x14ac:dyDescent="0.2">
      <c r="A24" s="196" t="str">
        <f>CONCATENATE("Cash Reserve (",D1," column)")</f>
        <v>Cash Reserve (2025 column)</v>
      </c>
      <c r="B24" s="51"/>
      <c r="C24" s="51"/>
      <c r="D24" s="51"/>
    </row>
    <row r="25" spans="1:4" x14ac:dyDescent="0.2">
      <c r="A25" s="196" t="s">
        <v>219</v>
      </c>
      <c r="B25" s="51"/>
      <c r="C25" s="211"/>
      <c r="D25" s="211"/>
    </row>
    <row r="26" spans="1:4" x14ac:dyDescent="0.2">
      <c r="A26" s="196" t="s">
        <v>318</v>
      </c>
      <c r="B26" s="290" t="str">
        <f>IF(B27*0.1&lt;B25,"Exceed 10% Rule","")</f>
        <v/>
      </c>
      <c r="C26" s="197" t="str">
        <f>IF(C27*0.1&lt;C25,"Exceed 10% Rule","")</f>
        <v/>
      </c>
      <c r="D26" s="197" t="str">
        <f>IF(D27*0.1&lt;D25,"Exceed 10% Rule","")</f>
        <v/>
      </c>
    </row>
    <row r="27" spans="1:4" x14ac:dyDescent="0.2">
      <c r="A27" s="198" t="s">
        <v>44</v>
      </c>
      <c r="B27" s="229">
        <f>SUM(B17:B25)</f>
        <v>0</v>
      </c>
      <c r="C27" s="229">
        <f>SUM(C17:C25)</f>
        <v>0</v>
      </c>
      <c r="D27" s="229">
        <f>SUM(D17:D25)</f>
        <v>0</v>
      </c>
    </row>
    <row r="28" spans="1:4" x14ac:dyDescent="0.2">
      <c r="A28" s="98" t="s">
        <v>149</v>
      </c>
      <c r="B28" s="164">
        <f>B15-B27</f>
        <v>0</v>
      </c>
      <c r="C28" s="164">
        <f>C15-C27</f>
        <v>0</v>
      </c>
      <c r="D28" s="164">
        <f>D15-D27</f>
        <v>0</v>
      </c>
    </row>
    <row r="29" spans="1:4" x14ac:dyDescent="0.2">
      <c r="A29" s="120" t="str">
        <f>CONCATENATE("",D1-2,"/",D1-1,"/",D1," Budget Authority Amount:")</f>
        <v>2023/2024/2025 Budget Authority Amount:</v>
      </c>
      <c r="B29" s="214">
        <f>inputOth!B57</f>
        <v>0</v>
      </c>
      <c r="C29" s="214">
        <f>inputPrYr!D45</f>
        <v>0</v>
      </c>
      <c r="D29" s="401">
        <f>D27</f>
        <v>0</v>
      </c>
    </row>
    <row r="30" spans="1:4" x14ac:dyDescent="0.2">
      <c r="A30" s="182"/>
      <c r="B30" s="207" t="str">
        <f>IF(B27&gt;B29,"See Tab A","")</f>
        <v/>
      </c>
      <c r="C30" s="207" t="str">
        <f>IF(C27&gt;C29,"See Tab C","")</f>
        <v/>
      </c>
      <c r="D30" s="402" t="str">
        <f>IF($D$28&lt;0,"See Tab E","")</f>
        <v/>
      </c>
    </row>
    <row r="31" spans="1:4" x14ac:dyDescent="0.2">
      <c r="A31" s="182"/>
      <c r="B31" s="207" t="str">
        <f>IF(B28&lt;0,"See Tab B","")</f>
        <v/>
      </c>
      <c r="C31" s="207" t="str">
        <f>IF(C28&lt;0,"See Tab D","")</f>
        <v/>
      </c>
      <c r="D31" s="56"/>
    </row>
    <row r="32" spans="1:4" x14ac:dyDescent="0.2">
      <c r="A32" s="32"/>
      <c r="B32" s="56"/>
      <c r="C32" s="56"/>
      <c r="D32" s="56"/>
    </row>
    <row r="33" spans="1:4" x14ac:dyDescent="0.2">
      <c r="A33" s="31"/>
      <c r="B33" s="91"/>
      <c r="C33" s="91"/>
      <c r="D33" s="91"/>
    </row>
    <row r="34" spans="1:4" x14ac:dyDescent="0.2">
      <c r="A34" s="31" t="s">
        <v>30</v>
      </c>
      <c r="B34" s="220" t="str">
        <f t="shared" ref="B34:D35" si="0">B4</f>
        <v xml:space="preserve">Prior Year </v>
      </c>
      <c r="C34" s="95" t="str">
        <f t="shared" si="0"/>
        <v xml:space="preserve">Current Year </v>
      </c>
      <c r="D34" s="95" t="str">
        <f t="shared" si="0"/>
        <v xml:space="preserve">Proposed Budget </v>
      </c>
    </row>
    <row r="35" spans="1:4" x14ac:dyDescent="0.2">
      <c r="A35" s="296">
        <f>inputPrYr!$B$46</f>
        <v>0</v>
      </c>
      <c r="B35" s="162" t="str">
        <f t="shared" si="0"/>
        <v>Actual for 2023</v>
      </c>
      <c r="C35" s="162" t="str">
        <f t="shared" si="0"/>
        <v>Estimate for 2024</v>
      </c>
      <c r="D35" s="162" t="str">
        <f t="shared" si="0"/>
        <v>Year for 2025</v>
      </c>
    </row>
    <row r="36" spans="1:4" x14ac:dyDescent="0.2">
      <c r="A36" s="98" t="s">
        <v>148</v>
      </c>
      <c r="B36" s="51"/>
      <c r="C36" s="164">
        <f>B58</f>
        <v>0</v>
      </c>
      <c r="D36" s="164">
        <f>C58</f>
        <v>0</v>
      </c>
    </row>
    <row r="37" spans="1:4" x14ac:dyDescent="0.2">
      <c r="A37" s="98" t="s">
        <v>150</v>
      </c>
      <c r="B37" s="108"/>
      <c r="C37" s="108"/>
      <c r="D37" s="108"/>
    </row>
    <row r="38" spans="1:4" x14ac:dyDescent="0.2">
      <c r="A38" s="205"/>
      <c r="B38" s="51"/>
      <c r="C38" s="51"/>
      <c r="D38" s="51"/>
    </row>
    <row r="39" spans="1:4" x14ac:dyDescent="0.2">
      <c r="A39" s="205"/>
      <c r="B39" s="51"/>
      <c r="C39" s="51"/>
      <c r="D39" s="51"/>
    </row>
    <row r="40" spans="1:4" x14ac:dyDescent="0.2">
      <c r="A40" s="205"/>
      <c r="B40" s="51"/>
      <c r="C40" s="51"/>
      <c r="D40" s="51"/>
    </row>
    <row r="41" spans="1:4" x14ac:dyDescent="0.2">
      <c r="A41" s="195" t="s">
        <v>38</v>
      </c>
      <c r="B41" s="51"/>
      <c r="C41" s="51"/>
      <c r="D41" s="51"/>
    </row>
    <row r="42" spans="1:4" x14ac:dyDescent="0.2">
      <c r="A42" s="196" t="s">
        <v>219</v>
      </c>
      <c r="B42" s="51"/>
      <c r="C42" s="211"/>
      <c r="D42" s="211"/>
    </row>
    <row r="43" spans="1:4" x14ac:dyDescent="0.2">
      <c r="A43" s="196" t="s">
        <v>317</v>
      </c>
      <c r="B43" s="290" t="str">
        <f>IF(B44*0.1&lt;B42,"Exceed 10% Rule","")</f>
        <v/>
      </c>
      <c r="C43" s="197" t="str">
        <f>IF(C44*0.1&lt;C42,"Exceed 10% Rule","")</f>
        <v/>
      </c>
      <c r="D43" s="197" t="str">
        <f>IF(D44*0.1&lt;D42,"Exceed 10% Rule","")</f>
        <v/>
      </c>
    </row>
    <row r="44" spans="1:4" x14ac:dyDescent="0.2">
      <c r="A44" s="198" t="s">
        <v>39</v>
      </c>
      <c r="B44" s="229">
        <f>SUM(B38:B42)</f>
        <v>0</v>
      </c>
      <c r="C44" s="229">
        <f>SUM(C38:C42)</f>
        <v>0</v>
      </c>
      <c r="D44" s="229">
        <f>SUM(D38:D42)</f>
        <v>0</v>
      </c>
    </row>
    <row r="45" spans="1:4" x14ac:dyDescent="0.2">
      <c r="A45" s="198" t="s">
        <v>40</v>
      </c>
      <c r="B45" s="229">
        <f>B36+B44</f>
        <v>0</v>
      </c>
      <c r="C45" s="229">
        <f>C36+C44</f>
        <v>0</v>
      </c>
      <c r="D45" s="229">
        <f>D36+D44</f>
        <v>0</v>
      </c>
    </row>
    <row r="46" spans="1:4" x14ac:dyDescent="0.2">
      <c r="A46" s="98" t="s">
        <v>43</v>
      </c>
      <c r="B46" s="164"/>
      <c r="C46" s="164"/>
      <c r="D46" s="164"/>
    </row>
    <row r="47" spans="1:4" x14ac:dyDescent="0.2">
      <c r="A47" s="205"/>
      <c r="B47" s="51"/>
      <c r="C47" s="51"/>
      <c r="D47" s="51"/>
    </row>
    <row r="48" spans="1:4" x14ac:dyDescent="0.2">
      <c r="A48" s="205"/>
      <c r="B48" s="51"/>
      <c r="C48" s="51"/>
      <c r="D48" s="51"/>
    </row>
    <row r="49" spans="1:4" x14ac:dyDescent="0.2">
      <c r="A49" s="205"/>
      <c r="B49" s="51"/>
      <c r="C49" s="51"/>
      <c r="D49" s="51"/>
    </row>
    <row r="50" spans="1:4" x14ac:dyDescent="0.2">
      <c r="A50" s="205"/>
      <c r="B50" s="51"/>
      <c r="C50" s="51"/>
      <c r="D50" s="51"/>
    </row>
    <row r="51" spans="1:4" x14ac:dyDescent="0.2">
      <c r="A51" s="205"/>
      <c r="B51" s="51"/>
      <c r="C51" s="51"/>
      <c r="D51" s="51"/>
    </row>
    <row r="52" spans="1:4" x14ac:dyDescent="0.2">
      <c r="A52" s="205"/>
      <c r="B52" s="51"/>
      <c r="C52" s="51"/>
      <c r="D52" s="51"/>
    </row>
    <row r="53" spans="1:4" x14ac:dyDescent="0.2">
      <c r="A53" s="205"/>
      <c r="B53" s="51"/>
      <c r="C53" s="51"/>
      <c r="D53" s="51"/>
    </row>
    <row r="54" spans="1:4" x14ac:dyDescent="0.2">
      <c r="A54" s="196" t="str">
        <f>CONCATENATE("Cash Reserve (",D1," column)")</f>
        <v>Cash Reserve (2025 column)</v>
      </c>
      <c r="B54" s="51"/>
      <c r="C54" s="51"/>
      <c r="D54" s="51"/>
    </row>
    <row r="55" spans="1:4" x14ac:dyDescent="0.2">
      <c r="A55" s="196" t="s">
        <v>219</v>
      </c>
      <c r="B55" s="51"/>
      <c r="C55" s="211"/>
      <c r="D55" s="211"/>
    </row>
    <row r="56" spans="1:4" x14ac:dyDescent="0.2">
      <c r="A56" s="196" t="s">
        <v>318</v>
      </c>
      <c r="B56" s="290" t="str">
        <f>IF(B57*0.1&lt;B55,"Exceed 10% Rule","")</f>
        <v/>
      </c>
      <c r="C56" s="197" t="str">
        <f>IF(C57*0.1&lt;C55,"Exceed 10% Rule","")</f>
        <v/>
      </c>
      <c r="D56" s="197" t="str">
        <f>IF(D57*0.1&lt;D55,"Exceed 10% Rule","")</f>
        <v/>
      </c>
    </row>
    <row r="57" spans="1:4" x14ac:dyDescent="0.2">
      <c r="A57" s="198" t="s">
        <v>44</v>
      </c>
      <c r="B57" s="229">
        <f>SUM(B47:B55)</f>
        <v>0</v>
      </c>
      <c r="C57" s="229">
        <f>SUM(C47:C55)</f>
        <v>0</v>
      </c>
      <c r="D57" s="229">
        <f>SUM(D47:D55)</f>
        <v>0</v>
      </c>
    </row>
    <row r="58" spans="1:4" x14ac:dyDescent="0.2">
      <c r="A58" s="98" t="s">
        <v>149</v>
      </c>
      <c r="B58" s="164">
        <f>B45-B57</f>
        <v>0</v>
      </c>
      <c r="C58" s="164">
        <f>C45-C57</f>
        <v>0</v>
      </c>
      <c r="D58" s="164">
        <f>D45-D57</f>
        <v>0</v>
      </c>
    </row>
    <row r="59" spans="1:4" x14ac:dyDescent="0.2">
      <c r="A59" s="120" t="str">
        <f>CONCATENATE("",D1-2,"/",D1-1,"/",D1," Budget Authority Amount:")</f>
        <v>2023/2024/2025 Budget Authority Amount:</v>
      </c>
      <c r="B59" s="214">
        <f>inputOth!B58</f>
        <v>0</v>
      </c>
      <c r="C59" s="214">
        <f>inputPrYr!D46</f>
        <v>0</v>
      </c>
      <c r="D59" s="401">
        <f>D57</f>
        <v>0</v>
      </c>
    </row>
    <row r="60" spans="1:4" x14ac:dyDescent="0.2">
      <c r="A60" s="182"/>
      <c r="B60" s="207" t="str">
        <f>IF(B57&gt;B59,"See Tab A","")</f>
        <v/>
      </c>
      <c r="C60" s="207" t="str">
        <f>IF(C57&gt;C59,"See Tab C","")</f>
        <v/>
      </c>
      <c r="D60" s="403" t="str">
        <f>IF($D$58&lt;0,"See Tab E","")</f>
        <v/>
      </c>
    </row>
    <row r="61" spans="1:4" x14ac:dyDescent="0.2">
      <c r="A61" s="468" t="s">
        <v>380</v>
      </c>
      <c r="B61" s="403"/>
      <c r="C61" s="403"/>
      <c r="D61" s="463"/>
    </row>
    <row r="62" spans="1:4" x14ac:dyDescent="0.2">
      <c r="A62" s="464"/>
      <c r="B62" s="207"/>
      <c r="C62" s="207"/>
      <c r="D62" s="465"/>
    </row>
    <row r="63" spans="1:4" x14ac:dyDescent="0.2">
      <c r="A63" s="466"/>
      <c r="B63" s="467" t="str">
        <f>IF(B58&lt;0,"See Tab B","")</f>
        <v/>
      </c>
      <c r="C63" s="467" t="str">
        <f>IF(C58&lt;0,"See Tab D","")</f>
        <v/>
      </c>
      <c r="D63" s="60"/>
    </row>
    <row r="64" spans="1:4" x14ac:dyDescent="0.2">
      <c r="A64" s="32"/>
      <c r="B64" s="32"/>
      <c r="C64" s="32"/>
      <c r="D64" s="32"/>
    </row>
    <row r="65" spans="1:4" x14ac:dyDescent="0.2">
      <c r="A65" s="182" t="s">
        <v>96</v>
      </c>
      <c r="B65" s="428"/>
      <c r="C65" s="32"/>
      <c r="D65" s="32"/>
    </row>
  </sheetData>
  <sheetProtection sheet="1"/>
  <phoneticPr fontId="0" type="noConversion"/>
  <conditionalFormatting sqref="B12">
    <cfRule type="cellIs" dxfId="64" priority="14" stopIfTrue="1" operator="greaterThan">
      <formula>$B$14*0.1</formula>
    </cfRule>
  </conditionalFormatting>
  <conditionalFormatting sqref="B25">
    <cfRule type="cellIs" dxfId="63" priority="11" stopIfTrue="1" operator="greaterThan">
      <formula>$B$27*0.1</formula>
    </cfRule>
  </conditionalFormatting>
  <conditionalFormatting sqref="B42">
    <cfRule type="cellIs" dxfId="62" priority="5" stopIfTrue="1" operator="greaterThan">
      <formula>$B$44*0.1</formula>
    </cfRule>
  </conditionalFormatting>
  <conditionalFormatting sqref="B55">
    <cfRule type="cellIs" dxfId="61" priority="8" stopIfTrue="1" operator="greaterThan">
      <formula>$B$57*0.1</formula>
    </cfRule>
  </conditionalFormatting>
  <conditionalFormatting sqref="C12">
    <cfRule type="cellIs" dxfId="60" priority="15" stopIfTrue="1" operator="greaterThan">
      <formula>$C$14*0.1</formula>
    </cfRule>
  </conditionalFormatting>
  <conditionalFormatting sqref="C25">
    <cfRule type="cellIs" dxfId="59" priority="12" stopIfTrue="1" operator="greaterThan">
      <formula>$C$27*0.1</formula>
    </cfRule>
  </conditionalFormatting>
  <conditionalFormatting sqref="C42">
    <cfRule type="cellIs" dxfId="58" priority="6" stopIfTrue="1" operator="greaterThan">
      <formula>$C$44*0.1</formula>
    </cfRule>
  </conditionalFormatting>
  <conditionalFormatting sqref="C55">
    <cfRule type="cellIs" dxfId="57" priority="9" stopIfTrue="1" operator="greaterThan">
      <formula>$C$57*0.1</formula>
    </cfRule>
  </conditionalFormatting>
  <conditionalFormatting sqref="D12">
    <cfRule type="cellIs" dxfId="56" priority="16" stopIfTrue="1" operator="greaterThan">
      <formula>$D$14*0.1</formula>
    </cfRule>
  </conditionalFormatting>
  <conditionalFormatting sqref="D25">
    <cfRule type="cellIs" dxfId="55" priority="13" stopIfTrue="1" operator="greaterThan">
      <formula>$D$27*0.1</formula>
    </cfRule>
  </conditionalFormatting>
  <conditionalFormatting sqref="D42">
    <cfRule type="cellIs" dxfId="54" priority="7" stopIfTrue="1" operator="greaterThan">
      <formula>$D$44*0.1</formula>
    </cfRule>
  </conditionalFormatting>
  <conditionalFormatting sqref="D55">
    <cfRule type="cellIs" dxfId="53" priority="10" stopIfTrue="1" operator="greaterThan">
      <formula>$D$57*0.1</formula>
    </cfRule>
  </conditionalFormatting>
  <pageMargins left="1.1200000000000001" right="0.5" top="0.74" bottom="0.34" header="0.5" footer="0"/>
  <pageSetup scale="76" orientation="portrait" blackAndWhite="1" horizontalDpi="120" verticalDpi="144" r:id="rId1"/>
  <headerFooter alignWithMargins="0">
    <oddHeader xml:space="preserve">&amp;RState of Kansas
County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66"/>
  <sheetViews>
    <sheetView topLeftCell="A20" workbookViewId="0">
      <selection activeCell="A22" sqref="A22:E23"/>
    </sheetView>
  </sheetViews>
  <sheetFormatPr defaultRowHeight="15" x14ac:dyDescent="0.2"/>
  <cols>
    <col min="1" max="1" width="15.77734375" style="23" customWidth="1"/>
    <col min="2" max="2" width="20.77734375" style="23" customWidth="1"/>
    <col min="3" max="3" width="9.77734375" style="23" customWidth="1"/>
    <col min="4" max="4" width="15.33203125" style="23" customWidth="1"/>
    <col min="5" max="5" width="15.77734375" style="23" customWidth="1"/>
    <col min="6" max="16384" width="8.88671875" style="23"/>
  </cols>
  <sheetData>
    <row r="1" spans="1:5" ht="15.75" x14ac:dyDescent="0.2">
      <c r="A1" s="73">
        <f>inputPrYr!C3</f>
        <v>0</v>
      </c>
      <c r="B1" s="74"/>
      <c r="C1" s="74"/>
      <c r="D1" s="74"/>
      <c r="E1" s="32">
        <f>inputPrYr!C5</f>
        <v>2025</v>
      </c>
    </row>
    <row r="2" spans="1:5" x14ac:dyDescent="0.2">
      <c r="A2" s="74"/>
      <c r="B2" s="74"/>
      <c r="C2" s="74"/>
      <c r="D2" s="74"/>
      <c r="E2" s="74"/>
    </row>
    <row r="3" spans="1:5" ht="15.75" x14ac:dyDescent="0.2">
      <c r="A3" s="32"/>
      <c r="B3" s="32"/>
      <c r="C3" s="32"/>
      <c r="D3" s="32"/>
      <c r="E3" s="56"/>
    </row>
    <row r="4" spans="1:5" ht="15.75" x14ac:dyDescent="0.2">
      <c r="A4" s="427" t="str">
        <f>CONCATENATE("From the County Clerk's ",E1," Budget Information:")</f>
        <v>From the County Clerk's 2025 Budget Information:</v>
      </c>
      <c r="B4" s="70"/>
      <c r="C4" s="420"/>
      <c r="D4" s="32"/>
      <c r="E4" s="56"/>
    </row>
    <row r="5" spans="1:5" ht="15.75" x14ac:dyDescent="0.2">
      <c r="A5" s="75" t="str">
        <f>CONCATENATE("Total Assessed Valuation for ",E1-1,"")</f>
        <v>Total Assessed Valuation for 2024</v>
      </c>
      <c r="B5" s="54"/>
      <c r="C5" s="54"/>
      <c r="D5" s="54"/>
      <c r="E5" s="51"/>
    </row>
    <row r="6" spans="1:5" ht="15.75" hidden="1" x14ac:dyDescent="0.2">
      <c r="A6" s="75" t="str">
        <f>CONCATENATE("New Improvements, Remodeling and Renovations for ",E1-1,"")</f>
        <v>New Improvements, Remodeling and Renovations for 2024</v>
      </c>
      <c r="B6" s="54"/>
      <c r="C6" s="54"/>
      <c r="D6" s="54"/>
      <c r="E6" s="76"/>
    </row>
    <row r="7" spans="1:5" ht="15.75" hidden="1" x14ac:dyDescent="0.2">
      <c r="A7" s="75" t="str">
        <f>CONCATENATE("Personal Property - ",E1-1,"")</f>
        <v>Personal Property - 2024</v>
      </c>
      <c r="B7" s="54"/>
      <c r="C7" s="54"/>
      <c r="D7" s="54"/>
      <c r="E7" s="76"/>
    </row>
    <row r="8" spans="1:5" ht="15.75" hidden="1" x14ac:dyDescent="0.2">
      <c r="A8" s="75" t="str">
        <f>CONCATENATE("Property that has changed in use for ",E1-1,"")</f>
        <v>Property that has changed in use for 2024</v>
      </c>
      <c r="B8" s="54"/>
      <c r="C8" s="54"/>
      <c r="D8" s="54"/>
      <c r="E8" s="76"/>
    </row>
    <row r="9" spans="1:5" ht="15.75" hidden="1" x14ac:dyDescent="0.2">
      <c r="A9" s="75" t="str">
        <f>CONCATENATE("Personal Property  - ",E1-2,"")</f>
        <v>Personal Property  - 2023</v>
      </c>
      <c r="B9" s="54"/>
      <c r="C9" s="54"/>
      <c r="D9" s="54"/>
      <c r="E9" s="76"/>
    </row>
    <row r="10" spans="1:5" ht="15.75" hidden="1" x14ac:dyDescent="0.2">
      <c r="A10" s="75" t="s">
        <v>381</v>
      </c>
      <c r="B10" s="54"/>
      <c r="C10" s="54"/>
      <c r="D10" s="54"/>
      <c r="E10" s="76"/>
    </row>
    <row r="11" spans="1:5" ht="15.75" x14ac:dyDescent="0.2">
      <c r="A11" s="75" t="str">
        <f>CONCATENATE("Gross earnings (intangible) tax estimate for ",E1,"")</f>
        <v>Gross earnings (intangible) tax estimate for 2025</v>
      </c>
      <c r="B11" s="54"/>
      <c r="C11" s="54"/>
      <c r="D11" s="54"/>
      <c r="E11" s="51"/>
    </row>
    <row r="12" spans="1:5" ht="15.75" x14ac:dyDescent="0.2">
      <c r="A12" s="75" t="s">
        <v>175</v>
      </c>
      <c r="B12" s="54"/>
      <c r="C12" s="54"/>
      <c r="D12" s="54"/>
      <c r="E12" s="51"/>
    </row>
    <row r="13" spans="1:5" ht="15.75" x14ac:dyDescent="0.2">
      <c r="A13" s="31"/>
      <c r="B13" s="32"/>
      <c r="C13" s="32"/>
      <c r="D13" s="32"/>
      <c r="E13" s="32"/>
    </row>
    <row r="14" spans="1:5" ht="15.75" x14ac:dyDescent="0.2">
      <c r="A14" s="80" t="s">
        <v>383</v>
      </c>
      <c r="B14" s="32"/>
      <c r="C14" s="32"/>
      <c r="D14" s="32"/>
      <c r="E14" s="501"/>
    </row>
    <row r="15" spans="1:5" ht="15.75" x14ac:dyDescent="0.2">
      <c r="A15" s="32"/>
      <c r="B15" s="32"/>
      <c r="C15" s="32"/>
      <c r="D15" s="42"/>
      <c r="E15" s="42"/>
    </row>
    <row r="16" spans="1:5" ht="15.75" x14ac:dyDescent="0.2">
      <c r="A16" s="427" t="str">
        <f>CONCATENATE("From the County Treasurer's ",E1," Budget Information:")</f>
        <v>From the County Treasurer's 2025 Budget Information:</v>
      </c>
      <c r="B16" s="70"/>
      <c r="C16" s="426"/>
      <c r="D16" s="56"/>
      <c r="E16" s="56"/>
    </row>
    <row r="17" spans="1:5" ht="15.75" x14ac:dyDescent="0.2">
      <c r="A17" s="52" t="s">
        <v>3</v>
      </c>
      <c r="B17" s="53"/>
      <c r="C17" s="53"/>
      <c r="D17" s="77"/>
      <c r="E17" s="438"/>
    </row>
    <row r="18" spans="1:5" ht="15.75" x14ac:dyDescent="0.2">
      <c r="A18" s="75" t="s">
        <v>4</v>
      </c>
      <c r="B18" s="54"/>
      <c r="C18" s="54"/>
      <c r="D18" s="78"/>
      <c r="E18" s="438"/>
    </row>
    <row r="19" spans="1:5" ht="15.75" x14ac:dyDescent="0.2">
      <c r="A19" s="75" t="s">
        <v>142</v>
      </c>
      <c r="B19" s="54"/>
      <c r="C19" s="54"/>
      <c r="D19" s="78"/>
      <c r="E19" s="438"/>
    </row>
    <row r="20" spans="1:5" ht="15.75" x14ac:dyDescent="0.2">
      <c r="A20" s="444" t="s">
        <v>372</v>
      </c>
      <c r="B20" s="54"/>
      <c r="C20" s="54"/>
      <c r="D20" s="79"/>
      <c r="E20" s="438"/>
    </row>
    <row r="21" spans="1:5" ht="15.75" x14ac:dyDescent="0.2">
      <c r="A21" s="444" t="s">
        <v>373</v>
      </c>
      <c r="B21" s="54"/>
      <c r="C21" s="54"/>
      <c r="D21" s="79"/>
      <c r="E21" s="438"/>
    </row>
    <row r="22" spans="1:5" ht="15.75" x14ac:dyDescent="0.2">
      <c r="A22" s="32"/>
      <c r="B22" s="32"/>
      <c r="C22" s="32"/>
      <c r="D22" s="32"/>
      <c r="E22" s="32"/>
    </row>
    <row r="23" spans="1:5" ht="15.75" x14ac:dyDescent="0.2">
      <c r="A23" s="80" t="s">
        <v>176</v>
      </c>
      <c r="B23" s="37"/>
      <c r="C23" s="37"/>
      <c r="D23" s="32"/>
      <c r="E23" s="32"/>
    </row>
    <row r="24" spans="1:5" ht="15.75" x14ac:dyDescent="0.2">
      <c r="A24" s="31" t="str">
        <f>CONCATENATE("Actual Delinquency for ",E1-3," Tax - (e.g. rate .01213 = 1.213%;  key in 1.2)")</f>
        <v>Actual Delinquency for 2022 Tax - (e.g. rate .01213 = 1.213%;  key in 1.2)</v>
      </c>
      <c r="B24" s="32"/>
      <c r="C24" s="32"/>
      <c r="D24" s="32"/>
      <c r="E24" s="32"/>
    </row>
    <row r="25" spans="1:5" ht="15.75" x14ac:dyDescent="0.2">
      <c r="A25" s="52" t="s">
        <v>350</v>
      </c>
      <c r="B25" s="31"/>
      <c r="C25" s="32"/>
      <c r="D25" s="32"/>
      <c r="E25" s="395">
        <v>0</v>
      </c>
    </row>
    <row r="26" spans="1:5" ht="15.75" x14ac:dyDescent="0.2">
      <c r="A26" s="81" t="s">
        <v>177</v>
      </c>
      <c r="B26" s="81"/>
      <c r="C26" s="82"/>
      <c r="D26" s="82"/>
      <c r="E26" s="83"/>
    </row>
    <row r="27" spans="1:5" x14ac:dyDescent="0.2">
      <c r="A27" s="74"/>
      <c r="B27" s="74"/>
      <c r="C27" s="74"/>
      <c r="D27" s="74"/>
      <c r="E27" s="74"/>
    </row>
    <row r="28" spans="1:5" ht="15.75" x14ac:dyDescent="0.2">
      <c r="A28" s="597" t="str">
        <f>CONCATENATE("From the ",E1-2," Budget Certificate Page")</f>
        <v>From the 2023 Budget Certificate Page</v>
      </c>
      <c r="B28" s="598"/>
      <c r="C28" s="74"/>
      <c r="D28" s="74"/>
      <c r="E28" s="74"/>
    </row>
    <row r="29" spans="1:5" ht="15.75" x14ac:dyDescent="0.2">
      <c r="A29" s="41"/>
      <c r="B29" s="599" t="str">
        <f>CONCATENATE("",E1-2,"                         Expenditure Amt Budget Authority")</f>
        <v>2023                         Expenditure Amt Budget Authority</v>
      </c>
      <c r="C29" s="602" t="str">
        <f>CONCATENATE("Note: If the ",E1-2," budget was amended, then the")</f>
        <v>Note: If the 2023 budget was amended, then the</v>
      </c>
      <c r="D29" s="603"/>
      <c r="E29" s="603"/>
    </row>
    <row r="30" spans="1:5" ht="15.75" x14ac:dyDescent="0.2">
      <c r="A30" s="84" t="s">
        <v>214</v>
      </c>
      <c r="B30" s="600"/>
      <c r="C30" s="85" t="s">
        <v>215</v>
      </c>
      <c r="D30" s="86"/>
      <c r="E30" s="86"/>
    </row>
    <row r="31" spans="1:5" ht="15.75" x14ac:dyDescent="0.2">
      <c r="A31" s="87"/>
      <c r="B31" s="601"/>
      <c r="C31" s="85" t="s">
        <v>216</v>
      </c>
      <c r="D31" s="86"/>
      <c r="E31" s="86"/>
    </row>
    <row r="32" spans="1:5" ht="15.75" x14ac:dyDescent="0.2">
      <c r="A32" s="88" t="str">
        <f>inputPrYr!B17</f>
        <v>General</v>
      </c>
      <c r="B32" s="89"/>
      <c r="C32" s="85"/>
      <c r="D32" s="86"/>
      <c r="E32" s="86"/>
    </row>
    <row r="33" spans="1:5" ht="15.75" x14ac:dyDescent="0.2">
      <c r="A33" s="88" t="str">
        <f>inputPrYr!B18</f>
        <v>Debt Service</v>
      </c>
      <c r="B33" s="46"/>
      <c r="C33" s="85"/>
      <c r="D33" s="86"/>
      <c r="E33" s="86"/>
    </row>
    <row r="34" spans="1:5" ht="15.75" x14ac:dyDescent="0.2">
      <c r="A34" s="88" t="str">
        <f>inputPrYr!B19</f>
        <v>Road &amp; Bridge</v>
      </c>
      <c r="B34" s="46"/>
      <c r="C34" s="74"/>
      <c r="D34" s="74"/>
      <c r="E34" s="74"/>
    </row>
    <row r="35" spans="1:5" ht="15.75" x14ac:dyDescent="0.2">
      <c r="A35" s="88">
        <f>inputPrYr!B20</f>
        <v>0</v>
      </c>
      <c r="B35" s="46"/>
      <c r="C35" s="74"/>
      <c r="D35" s="74"/>
      <c r="E35" s="74"/>
    </row>
    <row r="36" spans="1:5" ht="15.75" x14ac:dyDescent="0.2">
      <c r="A36" s="88">
        <f>inputPrYr!B21</f>
        <v>0</v>
      </c>
      <c r="B36" s="46"/>
      <c r="C36" s="74"/>
      <c r="D36" s="74"/>
      <c r="E36" s="74"/>
    </row>
    <row r="37" spans="1:5" ht="15.75" x14ac:dyDescent="0.2">
      <c r="A37" s="88">
        <f>inputPrYr!B22</f>
        <v>0</v>
      </c>
      <c r="B37" s="46"/>
      <c r="C37" s="74"/>
      <c r="D37" s="74"/>
      <c r="E37" s="74"/>
    </row>
    <row r="38" spans="1:5" ht="15.75" x14ac:dyDescent="0.2">
      <c r="A38" s="88">
        <f>inputPrYr!B23</f>
        <v>0</v>
      </c>
      <c r="B38" s="46"/>
      <c r="C38" s="74"/>
      <c r="D38" s="74"/>
      <c r="E38" s="74"/>
    </row>
    <row r="39" spans="1:5" ht="15.75" x14ac:dyDescent="0.2">
      <c r="A39" s="88">
        <f>inputPrYr!B24</f>
        <v>0</v>
      </c>
      <c r="B39" s="46"/>
      <c r="C39" s="74"/>
      <c r="D39" s="74"/>
      <c r="E39" s="74"/>
    </row>
    <row r="40" spans="1:5" ht="15.75" x14ac:dyDescent="0.2">
      <c r="A40" s="88">
        <f>inputPrYr!B25</f>
        <v>0</v>
      </c>
      <c r="B40" s="46"/>
      <c r="C40" s="74"/>
      <c r="D40" s="74"/>
      <c r="E40" s="74"/>
    </row>
    <row r="41" spans="1:5" ht="15.75" x14ac:dyDescent="0.2">
      <c r="A41" s="88">
        <f>inputPrYr!B26</f>
        <v>0</v>
      </c>
      <c r="B41" s="46"/>
      <c r="C41" s="74"/>
      <c r="D41" s="74"/>
      <c r="E41" s="74"/>
    </row>
    <row r="42" spans="1:5" ht="15.75" x14ac:dyDescent="0.2">
      <c r="A42" s="88">
        <f>inputPrYr!B27</f>
        <v>0</v>
      </c>
      <c r="B42" s="46"/>
      <c r="C42" s="74"/>
      <c r="D42" s="74"/>
      <c r="E42" s="74"/>
    </row>
    <row r="43" spans="1:5" ht="15.75" x14ac:dyDescent="0.2">
      <c r="A43" s="88">
        <f>inputPrYr!B28</f>
        <v>0</v>
      </c>
      <c r="B43" s="46"/>
      <c r="C43" s="74"/>
      <c r="D43" s="74"/>
      <c r="E43" s="74"/>
    </row>
    <row r="44" spans="1:5" ht="15.75" x14ac:dyDescent="0.2">
      <c r="A44" s="88">
        <f>inputPrYr!B29</f>
        <v>0</v>
      </c>
      <c r="B44" s="46"/>
      <c r="C44" s="74"/>
      <c r="D44" s="74"/>
      <c r="E44" s="74"/>
    </row>
    <row r="45" spans="1:5" ht="15.75" x14ac:dyDescent="0.2">
      <c r="A45" s="88">
        <f>inputPrYr!B30</f>
        <v>0</v>
      </c>
      <c r="B45" s="46"/>
      <c r="C45" s="74"/>
      <c r="D45" s="74"/>
      <c r="E45" s="74"/>
    </row>
    <row r="46" spans="1:5" ht="15.75" x14ac:dyDescent="0.2">
      <c r="A46" s="88">
        <f>inputPrYr!B31</f>
        <v>0</v>
      </c>
      <c r="B46" s="46"/>
      <c r="C46" s="74"/>
      <c r="D46" s="74"/>
      <c r="E46" s="74"/>
    </row>
    <row r="47" spans="1:5" ht="15.75" x14ac:dyDescent="0.2">
      <c r="A47" s="88">
        <f>inputPrYr!B32</f>
        <v>0</v>
      </c>
      <c r="B47" s="46"/>
      <c r="C47" s="74"/>
      <c r="D47" s="74"/>
      <c r="E47" s="74"/>
    </row>
    <row r="48" spans="1:5" ht="15.75" x14ac:dyDescent="0.2">
      <c r="A48" s="88">
        <f>inputPrYr!B33</f>
        <v>0</v>
      </c>
      <c r="B48" s="46"/>
      <c r="C48" s="74"/>
      <c r="D48" s="74"/>
      <c r="E48" s="74"/>
    </row>
    <row r="49" spans="1:5" ht="15.75" x14ac:dyDescent="0.2">
      <c r="A49" s="88">
        <f>inputPrYr!B34</f>
        <v>0</v>
      </c>
      <c r="B49" s="46"/>
      <c r="C49" s="74"/>
      <c r="D49" s="74"/>
      <c r="E49" s="74"/>
    </row>
    <row r="50" spans="1:5" ht="15.75" x14ac:dyDescent="0.2">
      <c r="A50" s="88">
        <f>inputPrYr!B35</f>
        <v>0</v>
      </c>
      <c r="B50" s="46"/>
      <c r="C50" s="74"/>
      <c r="D50" s="74"/>
      <c r="E50" s="74"/>
    </row>
    <row r="51" spans="1:5" ht="15.75" x14ac:dyDescent="0.2">
      <c r="A51" s="88">
        <f>inputPrYr!B36</f>
        <v>0</v>
      </c>
      <c r="B51" s="46"/>
      <c r="C51" s="74"/>
      <c r="D51" s="74"/>
      <c r="E51" s="74"/>
    </row>
    <row r="52" spans="1:5" ht="15.75" x14ac:dyDescent="0.2">
      <c r="A52" s="88">
        <f>inputPrYr!B37</f>
        <v>0</v>
      </c>
      <c r="B52" s="46"/>
      <c r="C52" s="74"/>
      <c r="D52" s="74"/>
      <c r="E52" s="74"/>
    </row>
    <row r="53" spans="1:5" ht="15.75" x14ac:dyDescent="0.2">
      <c r="A53" s="88">
        <f>inputPrYr!B38</f>
        <v>0</v>
      </c>
      <c r="B53" s="46"/>
      <c r="C53" s="74"/>
      <c r="D53" s="74"/>
      <c r="E53" s="74"/>
    </row>
    <row r="54" spans="1:5" ht="15.75" x14ac:dyDescent="0.2">
      <c r="A54" s="88">
        <f>inputPrYr!B39</f>
        <v>0</v>
      </c>
      <c r="B54" s="46"/>
      <c r="C54" s="74"/>
      <c r="D54" s="74"/>
      <c r="E54" s="74"/>
    </row>
    <row r="55" spans="1:5" ht="15.75" x14ac:dyDescent="0.2">
      <c r="A55" s="88">
        <f>inputPrYr!B40</f>
        <v>0</v>
      </c>
      <c r="B55" s="46"/>
      <c r="C55" s="74"/>
      <c r="D55" s="74"/>
      <c r="E55" s="74"/>
    </row>
    <row r="56" spans="1:5" ht="15.75" x14ac:dyDescent="0.2">
      <c r="A56" s="88">
        <f>inputPrYr!B41</f>
        <v>0</v>
      </c>
      <c r="B56" s="46"/>
      <c r="C56" s="74"/>
      <c r="D56" s="74"/>
      <c r="E56" s="74"/>
    </row>
    <row r="57" spans="1:5" ht="15.75" x14ac:dyDescent="0.2">
      <c r="A57" s="88">
        <f>inputPrYr!B45</f>
        <v>0</v>
      </c>
      <c r="B57" s="46"/>
      <c r="C57" s="74"/>
      <c r="D57" s="74"/>
      <c r="E57" s="74"/>
    </row>
    <row r="58" spans="1:5" ht="15.75" x14ac:dyDescent="0.2">
      <c r="A58" s="88">
        <f>inputPrYr!B46</f>
        <v>0</v>
      </c>
      <c r="B58" s="46"/>
      <c r="C58" s="74"/>
      <c r="D58" s="74"/>
      <c r="E58" s="74"/>
    </row>
    <row r="59" spans="1:5" ht="15.75" x14ac:dyDescent="0.2">
      <c r="A59" s="88">
        <f>inputPrYr!B47</f>
        <v>0</v>
      </c>
      <c r="B59" s="46"/>
      <c r="C59" s="74"/>
      <c r="D59" s="74"/>
      <c r="E59" s="74"/>
    </row>
    <row r="60" spans="1:5" ht="15.75" x14ac:dyDescent="0.2">
      <c r="A60" s="88">
        <f>inputPrYr!B48</f>
        <v>0</v>
      </c>
      <c r="B60" s="46"/>
      <c r="C60" s="74"/>
      <c r="D60" s="74"/>
      <c r="E60" s="74"/>
    </row>
    <row r="61" spans="1:5" ht="15.75" x14ac:dyDescent="0.2">
      <c r="A61" s="88">
        <f>inputPrYr!B49</f>
        <v>0</v>
      </c>
      <c r="B61" s="46"/>
      <c r="C61" s="74"/>
      <c r="D61" s="74"/>
      <c r="E61" s="74"/>
    </row>
    <row r="62" spans="1:5" ht="15.75" x14ac:dyDescent="0.2">
      <c r="A62" s="88">
        <f>inputPrYr!B50</f>
        <v>0</v>
      </c>
      <c r="B62" s="46"/>
      <c r="C62" s="74"/>
      <c r="D62" s="74"/>
      <c r="E62" s="74"/>
    </row>
    <row r="63" spans="1:5" ht="15.75" x14ac:dyDescent="0.2">
      <c r="A63" s="88">
        <f>inputPrYr!B51</f>
        <v>0</v>
      </c>
      <c r="B63" s="46"/>
      <c r="C63" s="74"/>
      <c r="D63" s="74"/>
      <c r="E63" s="74"/>
    </row>
    <row r="64" spans="1:5" ht="15.75" x14ac:dyDescent="0.2">
      <c r="A64" s="88">
        <f>inputPrYr!B52</f>
        <v>0</v>
      </c>
      <c r="B64" s="46"/>
      <c r="C64" s="74"/>
      <c r="D64" s="74"/>
      <c r="E64" s="74"/>
    </row>
    <row r="65" spans="1:5" ht="15.75" x14ac:dyDescent="0.2">
      <c r="A65" s="88">
        <f>inputPrYr!B53</f>
        <v>0</v>
      </c>
      <c r="B65" s="46"/>
      <c r="C65" s="74"/>
      <c r="D65" s="74"/>
      <c r="E65" s="74"/>
    </row>
    <row r="66" spans="1:5" ht="15.75" x14ac:dyDescent="0.2">
      <c r="A66" s="88">
        <f>inputPrYr!B54</f>
        <v>0</v>
      </c>
      <c r="B66" s="46"/>
      <c r="C66" s="74"/>
      <c r="D66" s="74"/>
      <c r="E66" s="74"/>
    </row>
  </sheetData>
  <sheetProtection sheet="1" objects="1" scenarios="1"/>
  <mergeCells count="3">
    <mergeCell ref="A28:B28"/>
    <mergeCell ref="B29:B31"/>
    <mergeCell ref="C29:E29"/>
  </mergeCells>
  <phoneticPr fontId="10" type="noConversion"/>
  <pageMargins left="0.75" right="0.75" top="1" bottom="1" header="0.5" footer="0.5"/>
  <pageSetup scale="70"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tabColor rgb="FF00B0F0"/>
    <pageSetUpPr fitToPage="1"/>
  </sheetPr>
  <dimension ref="A1:D65"/>
  <sheetViews>
    <sheetView workbookViewId="0">
      <selection activeCell="E2" sqref="E2"/>
    </sheetView>
  </sheetViews>
  <sheetFormatPr defaultRowHeight="15.75" x14ac:dyDescent="0.2"/>
  <cols>
    <col min="1" max="1" width="31.109375" style="27" customWidth="1"/>
    <col min="2" max="3" width="15.77734375" style="27" customWidth="1"/>
    <col min="4" max="4" width="16.21875" style="27" customWidth="1"/>
    <col min="5" max="16384" width="8.88671875" style="27"/>
  </cols>
  <sheetData>
    <row r="1" spans="1:4" x14ac:dyDescent="0.2">
      <c r="A1" s="73">
        <f>(inputPrYr!C3)</f>
        <v>0</v>
      </c>
      <c r="B1" s="32"/>
      <c r="C1" s="32"/>
      <c r="D1" s="182">
        <f>inputPrYr!C5</f>
        <v>2025</v>
      </c>
    </row>
    <row r="2" spans="1:4" x14ac:dyDescent="0.2">
      <c r="A2" s="133"/>
      <c r="B2" s="208"/>
      <c r="C2" s="208"/>
      <c r="D2" s="209"/>
    </row>
    <row r="3" spans="1:4" x14ac:dyDescent="0.2">
      <c r="A3" s="133" t="s">
        <v>139</v>
      </c>
      <c r="B3" s="91"/>
      <c r="C3" s="91"/>
      <c r="D3" s="91"/>
    </row>
    <row r="4" spans="1:4" x14ac:dyDescent="0.2">
      <c r="A4" s="31" t="s">
        <v>30</v>
      </c>
      <c r="B4" s="353" t="s">
        <v>346</v>
      </c>
      <c r="C4" s="354" t="s">
        <v>347</v>
      </c>
      <c r="D4" s="95" t="s">
        <v>348</v>
      </c>
    </row>
    <row r="5" spans="1:4" x14ac:dyDescent="0.2">
      <c r="A5" s="296">
        <f>inputPrYr!$B$47</f>
        <v>0</v>
      </c>
      <c r="B5" s="283" t="str">
        <f>CONCATENATE("Actual for ",D1-2,"")</f>
        <v>Actual for 2023</v>
      </c>
      <c r="C5" s="283" t="str">
        <f>CONCATENATE("Estimate for ",D1-1,"")</f>
        <v>Estimate for 2024</v>
      </c>
      <c r="D5" s="190" t="str">
        <f>CONCATENATE("Year for ",D1,"")</f>
        <v>Year for 2025</v>
      </c>
    </row>
    <row r="6" spans="1:4" x14ac:dyDescent="0.2">
      <c r="A6" s="98" t="s">
        <v>148</v>
      </c>
      <c r="B6" s="51"/>
      <c r="C6" s="164">
        <f>B28</f>
        <v>0</v>
      </c>
      <c r="D6" s="164">
        <f>C28</f>
        <v>0</v>
      </c>
    </row>
    <row r="7" spans="1:4" x14ac:dyDescent="0.2">
      <c r="A7" s="116" t="s">
        <v>150</v>
      </c>
      <c r="B7" s="108"/>
      <c r="C7" s="108"/>
      <c r="D7" s="108"/>
    </row>
    <row r="8" spans="1:4" x14ac:dyDescent="0.2">
      <c r="A8" s="205"/>
      <c r="B8" s="51"/>
      <c r="C8" s="51"/>
      <c r="D8" s="51"/>
    </row>
    <row r="9" spans="1:4" x14ac:dyDescent="0.2">
      <c r="A9" s="205"/>
      <c r="B9" s="51"/>
      <c r="C9" s="51"/>
      <c r="D9" s="51"/>
    </row>
    <row r="10" spans="1:4" x14ac:dyDescent="0.2">
      <c r="A10" s="205"/>
      <c r="B10" s="51"/>
      <c r="C10" s="51"/>
      <c r="D10" s="51"/>
    </row>
    <row r="11" spans="1:4" x14ac:dyDescent="0.2">
      <c r="A11" s="195" t="s">
        <v>38</v>
      </c>
      <c r="B11" s="51"/>
      <c r="C11" s="51"/>
      <c r="D11" s="51"/>
    </row>
    <row r="12" spans="1:4" x14ac:dyDescent="0.2">
      <c r="A12" s="196" t="s">
        <v>219</v>
      </c>
      <c r="B12" s="51"/>
      <c r="C12" s="211"/>
      <c r="D12" s="211"/>
    </row>
    <row r="13" spans="1:4" x14ac:dyDescent="0.2">
      <c r="A13" s="196" t="s">
        <v>317</v>
      </c>
      <c r="B13" s="290" t="str">
        <f>IF(B14*0.1&lt;B12,"Exceed 10% Rule","")</f>
        <v/>
      </c>
      <c r="C13" s="197" t="str">
        <f>IF(C14*0.1&lt;C12,"Exceed 10% Rule","")</f>
        <v/>
      </c>
      <c r="D13" s="197" t="str">
        <f>IF(D14*0.1&lt;D12,"Exceed 10% Rule","")</f>
        <v/>
      </c>
    </row>
    <row r="14" spans="1:4" x14ac:dyDescent="0.2">
      <c r="A14" s="198" t="s">
        <v>39</v>
      </c>
      <c r="B14" s="229">
        <f>SUM(B8:B12)</f>
        <v>0</v>
      </c>
      <c r="C14" s="229">
        <f>SUM(C8:C12)</f>
        <v>0</v>
      </c>
      <c r="D14" s="229">
        <f>SUM(D8:D12)</f>
        <v>0</v>
      </c>
    </row>
    <row r="15" spans="1:4" x14ac:dyDescent="0.2">
      <c r="A15" s="198" t="s">
        <v>40</v>
      </c>
      <c r="B15" s="229">
        <f>B14+B6</f>
        <v>0</v>
      </c>
      <c r="C15" s="229">
        <f>C14+C6</f>
        <v>0</v>
      </c>
      <c r="D15" s="229">
        <f>D14+D6</f>
        <v>0</v>
      </c>
    </row>
    <row r="16" spans="1:4" x14ac:dyDescent="0.2">
      <c r="A16" s="98" t="s">
        <v>43</v>
      </c>
      <c r="B16" s="164"/>
      <c r="C16" s="164"/>
      <c r="D16" s="164"/>
    </row>
    <row r="17" spans="1:4" x14ac:dyDescent="0.2">
      <c r="A17" s="205"/>
      <c r="B17" s="51"/>
      <c r="C17" s="51"/>
      <c r="D17" s="51"/>
    </row>
    <row r="18" spans="1:4" x14ac:dyDescent="0.2">
      <c r="A18" s="205"/>
      <c r="B18" s="51"/>
      <c r="C18" s="51"/>
      <c r="D18" s="51"/>
    </row>
    <row r="19" spans="1:4" x14ac:dyDescent="0.2">
      <c r="A19" s="205"/>
      <c r="B19" s="51"/>
      <c r="C19" s="51"/>
      <c r="D19" s="51"/>
    </row>
    <row r="20" spans="1:4" x14ac:dyDescent="0.2">
      <c r="A20" s="205"/>
      <c r="B20" s="51"/>
      <c r="C20" s="51"/>
      <c r="D20" s="51"/>
    </row>
    <row r="21" spans="1:4" x14ac:dyDescent="0.2">
      <c r="A21" s="205"/>
      <c r="B21" s="51"/>
      <c r="C21" s="51"/>
      <c r="D21" s="51"/>
    </row>
    <row r="22" spans="1:4" x14ac:dyDescent="0.2">
      <c r="A22" s="205"/>
      <c r="B22" s="51"/>
      <c r="C22" s="51"/>
      <c r="D22" s="51"/>
    </row>
    <row r="23" spans="1:4" x14ac:dyDescent="0.2">
      <c r="A23" s="205"/>
      <c r="B23" s="51"/>
      <c r="C23" s="51"/>
      <c r="D23" s="51"/>
    </row>
    <row r="24" spans="1:4" x14ac:dyDescent="0.2">
      <c r="A24" s="196" t="str">
        <f>CONCATENATE("Cash Reserve (",D1," column)")</f>
        <v>Cash Reserve (2025 column)</v>
      </c>
      <c r="B24" s="51"/>
      <c r="C24" s="51"/>
      <c r="D24" s="51"/>
    </row>
    <row r="25" spans="1:4" x14ac:dyDescent="0.2">
      <c r="A25" s="196" t="s">
        <v>219</v>
      </c>
      <c r="B25" s="51"/>
      <c r="C25" s="211"/>
      <c r="D25" s="211"/>
    </row>
    <row r="26" spans="1:4" x14ac:dyDescent="0.2">
      <c r="A26" s="196" t="s">
        <v>318</v>
      </c>
      <c r="B26" s="290" t="str">
        <f>IF(B27*0.1&lt;B25,"Exceed 10% Rule","")</f>
        <v/>
      </c>
      <c r="C26" s="197" t="str">
        <f>IF(C27*0.1&lt;C25,"Exceed 10% Rule","")</f>
        <v/>
      </c>
      <c r="D26" s="197" t="str">
        <f>IF(D27*0.1&lt;D25,"Exceed 10% Rule","")</f>
        <v/>
      </c>
    </row>
    <row r="27" spans="1:4" x14ac:dyDescent="0.2">
      <c r="A27" s="198" t="s">
        <v>44</v>
      </c>
      <c r="B27" s="229">
        <f>SUM(B17:B25)</f>
        <v>0</v>
      </c>
      <c r="C27" s="229">
        <f>SUM(C17:C25)</f>
        <v>0</v>
      </c>
      <c r="D27" s="229">
        <f>SUM(D17:D25)</f>
        <v>0</v>
      </c>
    </row>
    <row r="28" spans="1:4" x14ac:dyDescent="0.2">
      <c r="A28" s="98" t="s">
        <v>149</v>
      </c>
      <c r="B28" s="164">
        <f>B15-B27</f>
        <v>0</v>
      </c>
      <c r="C28" s="164">
        <f>C15-C27</f>
        <v>0</v>
      </c>
      <c r="D28" s="164">
        <f>D15-D27</f>
        <v>0</v>
      </c>
    </row>
    <row r="29" spans="1:4" x14ac:dyDescent="0.2">
      <c r="A29" s="120" t="str">
        <f>CONCATENATE("",D1-2,"/",D1-1,"/",D1," Budget Authority Amount:")</f>
        <v>2023/2024/2025 Budget Authority Amount:</v>
      </c>
      <c r="B29" s="214">
        <f>inputOth!B59</f>
        <v>0</v>
      </c>
      <c r="C29" s="214">
        <f>inputPrYr!D47</f>
        <v>0</v>
      </c>
      <c r="D29" s="401">
        <f>D27</f>
        <v>0</v>
      </c>
    </row>
    <row r="30" spans="1:4" x14ac:dyDescent="0.2">
      <c r="A30" s="182"/>
      <c r="B30" s="207" t="str">
        <f>IF(B27&gt;B29,"See Tab A","")</f>
        <v/>
      </c>
      <c r="C30" s="207" t="str">
        <f>IF(C27&gt;C29,"See Tab C","")</f>
        <v/>
      </c>
      <c r="D30" s="402" t="str">
        <f>IF($D$28&lt;0,"See Tab E","")</f>
        <v/>
      </c>
    </row>
    <row r="31" spans="1:4" x14ac:dyDescent="0.2">
      <c r="A31" s="182"/>
      <c r="B31" s="207" t="str">
        <f>IF(B28&lt;0,"See Tab B","")</f>
        <v/>
      </c>
      <c r="C31" s="207" t="str">
        <f>IF(C28&lt;0,"See Tab D","")</f>
        <v/>
      </c>
      <c r="D31" s="56"/>
    </row>
    <row r="32" spans="1:4" x14ac:dyDescent="0.2">
      <c r="A32" s="32"/>
      <c r="B32" s="56"/>
      <c r="C32" s="56"/>
      <c r="D32" s="56"/>
    </row>
    <row r="33" spans="1:4" x14ac:dyDescent="0.2">
      <c r="A33" s="31"/>
      <c r="B33" s="91"/>
      <c r="C33" s="91"/>
      <c r="D33" s="91"/>
    </row>
    <row r="34" spans="1:4" x14ac:dyDescent="0.2">
      <c r="A34" s="31" t="s">
        <v>30</v>
      </c>
      <c r="B34" s="220" t="str">
        <f t="shared" ref="B34:D35" si="0">B4</f>
        <v xml:space="preserve">Prior Year </v>
      </c>
      <c r="C34" s="95" t="str">
        <f t="shared" si="0"/>
        <v xml:space="preserve">Current Year </v>
      </c>
      <c r="D34" s="95" t="str">
        <f t="shared" si="0"/>
        <v xml:space="preserve">Proposed Budget </v>
      </c>
    </row>
    <row r="35" spans="1:4" x14ac:dyDescent="0.2">
      <c r="A35" s="296">
        <f>inputPrYr!$B$48</f>
        <v>0</v>
      </c>
      <c r="B35" s="162" t="str">
        <f t="shared" si="0"/>
        <v>Actual for 2023</v>
      </c>
      <c r="C35" s="162" t="str">
        <f t="shared" si="0"/>
        <v>Estimate for 2024</v>
      </c>
      <c r="D35" s="162" t="str">
        <f t="shared" si="0"/>
        <v>Year for 2025</v>
      </c>
    </row>
    <row r="36" spans="1:4" x14ac:dyDescent="0.2">
      <c r="A36" s="98" t="s">
        <v>148</v>
      </c>
      <c r="B36" s="51"/>
      <c r="C36" s="164">
        <f>B58</f>
        <v>0</v>
      </c>
      <c r="D36" s="164">
        <f>C58</f>
        <v>0</v>
      </c>
    </row>
    <row r="37" spans="1:4" x14ac:dyDescent="0.2">
      <c r="A37" s="98" t="s">
        <v>150</v>
      </c>
      <c r="B37" s="108"/>
      <c r="C37" s="108"/>
      <c r="D37" s="108"/>
    </row>
    <row r="38" spans="1:4" x14ac:dyDescent="0.2">
      <c r="A38" s="205"/>
      <c r="B38" s="51"/>
      <c r="C38" s="51"/>
      <c r="D38" s="51"/>
    </row>
    <row r="39" spans="1:4" x14ac:dyDescent="0.2">
      <c r="A39" s="205"/>
      <c r="B39" s="51"/>
      <c r="C39" s="51"/>
      <c r="D39" s="51"/>
    </row>
    <row r="40" spans="1:4" x14ac:dyDescent="0.2">
      <c r="A40" s="205"/>
      <c r="B40" s="51"/>
      <c r="C40" s="51"/>
      <c r="D40" s="51"/>
    </row>
    <row r="41" spans="1:4" x14ac:dyDescent="0.2">
      <c r="A41" s="195" t="s">
        <v>38</v>
      </c>
      <c r="B41" s="51"/>
      <c r="C41" s="51"/>
      <c r="D41" s="51"/>
    </row>
    <row r="42" spans="1:4" x14ac:dyDescent="0.2">
      <c r="A42" s="196" t="s">
        <v>219</v>
      </c>
      <c r="B42" s="51"/>
      <c r="C42" s="211"/>
      <c r="D42" s="211"/>
    </row>
    <row r="43" spans="1:4" x14ac:dyDescent="0.2">
      <c r="A43" s="196" t="s">
        <v>317</v>
      </c>
      <c r="B43" s="290" t="str">
        <f>IF(B44*0.1&lt;B42,"Exceed 10% Rule","")</f>
        <v/>
      </c>
      <c r="C43" s="197" t="str">
        <f>IF(C44*0.1&lt;C42,"Exceed 10% Rule","")</f>
        <v/>
      </c>
      <c r="D43" s="197" t="str">
        <f>IF(D44*0.1&lt;D42,"Exceed 10% Rule","")</f>
        <v/>
      </c>
    </row>
    <row r="44" spans="1:4" x14ac:dyDescent="0.2">
      <c r="A44" s="198" t="s">
        <v>39</v>
      </c>
      <c r="B44" s="229">
        <f>SUM(B38:B42)</f>
        <v>0</v>
      </c>
      <c r="C44" s="229">
        <f>SUM(C38:C42)</f>
        <v>0</v>
      </c>
      <c r="D44" s="229">
        <f>SUM(D38:D42)</f>
        <v>0</v>
      </c>
    </row>
    <row r="45" spans="1:4" x14ac:dyDescent="0.2">
      <c r="A45" s="198" t="s">
        <v>40</v>
      </c>
      <c r="B45" s="229">
        <f>B36+B44</f>
        <v>0</v>
      </c>
      <c r="C45" s="229">
        <f>C36+C44</f>
        <v>0</v>
      </c>
      <c r="D45" s="229">
        <f>D36+D44</f>
        <v>0</v>
      </c>
    </row>
    <row r="46" spans="1:4" x14ac:dyDescent="0.2">
      <c r="A46" s="98" t="s">
        <v>43</v>
      </c>
      <c r="B46" s="164"/>
      <c r="C46" s="164"/>
      <c r="D46" s="164"/>
    </row>
    <row r="47" spans="1:4" x14ac:dyDescent="0.2">
      <c r="A47" s="205"/>
      <c r="B47" s="51"/>
      <c r="C47" s="51"/>
      <c r="D47" s="51"/>
    </row>
    <row r="48" spans="1:4" x14ac:dyDescent="0.2">
      <c r="A48" s="205"/>
      <c r="B48" s="51"/>
      <c r="C48" s="51"/>
      <c r="D48" s="51"/>
    </row>
    <row r="49" spans="1:4" x14ac:dyDescent="0.2">
      <c r="A49" s="205"/>
      <c r="B49" s="51"/>
      <c r="C49" s="51"/>
      <c r="D49" s="51"/>
    </row>
    <row r="50" spans="1:4" x14ac:dyDescent="0.2">
      <c r="A50" s="205"/>
      <c r="B50" s="51"/>
      <c r="C50" s="51"/>
      <c r="D50" s="51"/>
    </row>
    <row r="51" spans="1:4" x14ac:dyDescent="0.2">
      <c r="A51" s="205"/>
      <c r="B51" s="51"/>
      <c r="C51" s="51"/>
      <c r="D51" s="51"/>
    </row>
    <row r="52" spans="1:4" x14ac:dyDescent="0.2">
      <c r="A52" s="205"/>
      <c r="B52" s="51"/>
      <c r="C52" s="51"/>
      <c r="D52" s="51"/>
    </row>
    <row r="53" spans="1:4" x14ac:dyDescent="0.2">
      <c r="A53" s="205"/>
      <c r="B53" s="51"/>
      <c r="C53" s="51"/>
      <c r="D53" s="51"/>
    </row>
    <row r="54" spans="1:4" x14ac:dyDescent="0.2">
      <c r="A54" s="196" t="str">
        <f>CONCATENATE("Cash Reserve (",D1," column)")</f>
        <v>Cash Reserve (2025 column)</v>
      </c>
      <c r="B54" s="51"/>
      <c r="C54" s="51"/>
      <c r="D54" s="51"/>
    </row>
    <row r="55" spans="1:4" x14ac:dyDescent="0.2">
      <c r="A55" s="196" t="s">
        <v>219</v>
      </c>
      <c r="B55" s="51"/>
      <c r="C55" s="211"/>
      <c r="D55" s="211"/>
    </row>
    <row r="56" spans="1:4" x14ac:dyDescent="0.2">
      <c r="A56" s="196" t="s">
        <v>318</v>
      </c>
      <c r="B56" s="290" t="str">
        <f>IF(B57*0.1&lt;B55,"Exceed 10% Rule","")</f>
        <v/>
      </c>
      <c r="C56" s="197" t="str">
        <f>IF(C57*0.1&lt;C55,"Exceed 10% Rule","")</f>
        <v/>
      </c>
      <c r="D56" s="197" t="str">
        <f>IF(D57*0.1&lt;D55,"Exceed 10% Rule","")</f>
        <v/>
      </c>
    </row>
    <row r="57" spans="1:4" x14ac:dyDescent="0.2">
      <c r="A57" s="198" t="s">
        <v>44</v>
      </c>
      <c r="B57" s="229">
        <f>SUM(B47:B55)</f>
        <v>0</v>
      </c>
      <c r="C57" s="229">
        <f>SUM(C47:C55)</f>
        <v>0</v>
      </c>
      <c r="D57" s="229">
        <f>SUM(D47:D55)</f>
        <v>0</v>
      </c>
    </row>
    <row r="58" spans="1:4" x14ac:dyDescent="0.2">
      <c r="A58" s="98" t="s">
        <v>149</v>
      </c>
      <c r="B58" s="164">
        <f>B45-B57</f>
        <v>0</v>
      </c>
      <c r="C58" s="164">
        <f>C45-C57</f>
        <v>0</v>
      </c>
      <c r="D58" s="164">
        <f>D45-D57</f>
        <v>0</v>
      </c>
    </row>
    <row r="59" spans="1:4" x14ac:dyDescent="0.2">
      <c r="A59" s="120" t="str">
        <f>CONCATENATE("",D1-2,"/",D1-1,"/",D1," Budget Authority Amount:")</f>
        <v>2023/2024/2025 Budget Authority Amount:</v>
      </c>
      <c r="B59" s="214">
        <f>inputOth!B60</f>
        <v>0</v>
      </c>
      <c r="C59" s="214">
        <f>inputPrYr!D48</f>
        <v>0</v>
      </c>
      <c r="D59" s="401">
        <f>D57</f>
        <v>0</v>
      </c>
    </row>
    <row r="60" spans="1:4" x14ac:dyDescent="0.2">
      <c r="A60" s="182"/>
      <c r="B60" s="207" t="str">
        <f>IF(B57&gt;B59,"See Tab A","")</f>
        <v/>
      </c>
      <c r="C60" s="207" t="str">
        <f>IF(C57&gt;C59,"See Tab C","")</f>
        <v/>
      </c>
      <c r="D60" s="403" t="str">
        <f>IF($D$58&lt;0,"See Tab E","")</f>
        <v/>
      </c>
    </row>
    <row r="61" spans="1:4" x14ac:dyDescent="0.2">
      <c r="A61" s="468" t="s">
        <v>380</v>
      </c>
      <c r="B61" s="403"/>
      <c r="C61" s="403"/>
      <c r="D61" s="463"/>
    </row>
    <row r="62" spans="1:4" x14ac:dyDescent="0.2">
      <c r="A62" s="464"/>
      <c r="B62" s="207"/>
      <c r="C62" s="207"/>
      <c r="D62" s="465"/>
    </row>
    <row r="63" spans="1:4" x14ac:dyDescent="0.2">
      <c r="A63" s="466"/>
      <c r="B63" s="467" t="str">
        <f>IF(B58&lt;0,"See Tab B","")</f>
        <v/>
      </c>
      <c r="C63" s="467" t="str">
        <f>IF(C58&lt;0,"See Tab D","")</f>
        <v/>
      </c>
      <c r="D63" s="60"/>
    </row>
    <row r="64" spans="1:4" x14ac:dyDescent="0.2">
      <c r="A64" s="32"/>
      <c r="B64" s="32"/>
      <c r="C64" s="32"/>
      <c r="D64" s="32"/>
    </row>
    <row r="65" spans="1:4" x14ac:dyDescent="0.2">
      <c r="A65" s="182" t="s">
        <v>96</v>
      </c>
      <c r="B65" s="428"/>
      <c r="C65" s="32"/>
      <c r="D65" s="32"/>
    </row>
  </sheetData>
  <sheetProtection sheet="1"/>
  <phoneticPr fontId="0" type="noConversion"/>
  <conditionalFormatting sqref="B12">
    <cfRule type="cellIs" dxfId="52" priority="12" stopIfTrue="1" operator="greaterThan">
      <formula>$B$14*0.1</formula>
    </cfRule>
  </conditionalFormatting>
  <conditionalFormatting sqref="B25">
    <cfRule type="cellIs" dxfId="51" priority="9" stopIfTrue="1" operator="greaterThan">
      <formula>$B$27*0.1</formula>
    </cfRule>
  </conditionalFormatting>
  <conditionalFormatting sqref="B42">
    <cfRule type="cellIs" dxfId="50" priority="3" stopIfTrue="1" operator="greaterThan">
      <formula>$B$44*0.1</formula>
    </cfRule>
  </conditionalFormatting>
  <conditionalFormatting sqref="B55">
    <cfRule type="cellIs" dxfId="49" priority="6" stopIfTrue="1" operator="greaterThan">
      <formula>$B$57*0.1</formula>
    </cfRule>
  </conditionalFormatting>
  <conditionalFormatting sqref="C12">
    <cfRule type="cellIs" dxfId="48" priority="13" stopIfTrue="1" operator="greaterThan">
      <formula>$C$14*0.1</formula>
    </cfRule>
  </conditionalFormatting>
  <conditionalFormatting sqref="C25">
    <cfRule type="cellIs" dxfId="47" priority="10" stopIfTrue="1" operator="greaterThan">
      <formula>$C$27*0.1</formula>
    </cfRule>
  </conditionalFormatting>
  <conditionalFormatting sqref="C42">
    <cfRule type="cellIs" dxfId="46" priority="4" stopIfTrue="1" operator="greaterThan">
      <formula>$C$44*0.1</formula>
    </cfRule>
  </conditionalFormatting>
  <conditionalFormatting sqref="C55">
    <cfRule type="cellIs" dxfId="45" priority="7" stopIfTrue="1" operator="greaterThan">
      <formula>$C$57*0.1</formula>
    </cfRule>
  </conditionalFormatting>
  <conditionalFormatting sqref="D12">
    <cfRule type="cellIs" dxfId="44" priority="14" stopIfTrue="1" operator="greaterThan">
      <formula>$D$14*0.1</formula>
    </cfRule>
  </conditionalFormatting>
  <conditionalFormatting sqref="D25">
    <cfRule type="cellIs" dxfId="43" priority="11" stopIfTrue="1" operator="greaterThan">
      <formula>$D$27*0.1</formula>
    </cfRule>
  </conditionalFormatting>
  <conditionalFormatting sqref="D42">
    <cfRule type="cellIs" dxfId="42" priority="5" stopIfTrue="1" operator="greaterThan">
      <formula>$D$44*0.1</formula>
    </cfRule>
  </conditionalFormatting>
  <conditionalFormatting sqref="D55">
    <cfRule type="cellIs" dxfId="41" priority="8" stopIfTrue="1" operator="greaterThan">
      <formula>$D$57*0.1</formula>
    </cfRule>
  </conditionalFormatting>
  <pageMargins left="1.1200000000000001" right="0.5" top="0.74" bottom="0.34" header="0.5" footer="0"/>
  <pageSetup scale="75" orientation="portrait" blackAndWhite="1" horizontalDpi="120" verticalDpi="144" r:id="rId1"/>
  <headerFooter alignWithMargins="0">
    <oddHeader xml:space="preserve">&amp;RState of Kansas
County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tabColor rgb="FF00B0F0"/>
    <pageSetUpPr fitToPage="1"/>
  </sheetPr>
  <dimension ref="A1:D65"/>
  <sheetViews>
    <sheetView workbookViewId="0">
      <selection activeCell="E1" sqref="E1"/>
    </sheetView>
  </sheetViews>
  <sheetFormatPr defaultRowHeight="15.75" x14ac:dyDescent="0.25"/>
  <cols>
    <col min="1" max="1" width="31.109375" style="1" customWidth="1"/>
    <col min="2" max="3" width="15.77734375" style="1" customWidth="1"/>
    <col min="4" max="4" width="16.33203125" style="1" customWidth="1"/>
    <col min="5" max="16384" width="8.88671875" style="1"/>
  </cols>
  <sheetData>
    <row r="1" spans="1:4" x14ac:dyDescent="0.25">
      <c r="A1" s="9">
        <f>(inputPrYr!C3)</f>
        <v>0</v>
      </c>
      <c r="B1" s="5"/>
      <c r="C1" s="5"/>
      <c r="D1" s="13">
        <f>inputPrYr!C5</f>
        <v>2025</v>
      </c>
    </row>
    <row r="2" spans="1:4" x14ac:dyDescent="0.25">
      <c r="A2" s="11"/>
      <c r="B2" s="12"/>
      <c r="C2" s="12"/>
      <c r="D2" s="15"/>
    </row>
    <row r="3" spans="1:4" x14ac:dyDescent="0.25">
      <c r="A3" s="11" t="s">
        <v>139</v>
      </c>
      <c r="B3" s="7"/>
      <c r="C3" s="7"/>
      <c r="D3" s="7"/>
    </row>
    <row r="4" spans="1:4" x14ac:dyDescent="0.25">
      <c r="A4" s="6" t="s">
        <v>30</v>
      </c>
      <c r="B4" s="353" t="s">
        <v>346</v>
      </c>
      <c r="C4" s="354" t="s">
        <v>347</v>
      </c>
      <c r="D4" s="95" t="s">
        <v>348</v>
      </c>
    </row>
    <row r="5" spans="1:4" x14ac:dyDescent="0.25">
      <c r="A5" s="294">
        <f>inputPrYr!$B$49</f>
        <v>0</v>
      </c>
      <c r="B5" s="283" t="str">
        <f>CONCATENATE("Actual for ",D1-2,"")</f>
        <v>Actual for 2023</v>
      </c>
      <c r="C5" s="283" t="str">
        <f>CONCATENATE("Estimate for ",D1-1,"")</f>
        <v>Estimate for 2024</v>
      </c>
      <c r="D5" s="190" t="str">
        <f>CONCATENATE("Year for ",D1,"")</f>
        <v>Year for 2025</v>
      </c>
    </row>
    <row r="6" spans="1:4" x14ac:dyDescent="0.25">
      <c r="A6" s="4" t="s">
        <v>148</v>
      </c>
      <c r="B6" s="2"/>
      <c r="C6" s="14">
        <f>B28</f>
        <v>0</v>
      </c>
      <c r="D6" s="14">
        <f>C28</f>
        <v>0</v>
      </c>
    </row>
    <row r="7" spans="1:4" x14ac:dyDescent="0.25">
      <c r="A7" s="19" t="s">
        <v>150</v>
      </c>
      <c r="B7" s="8"/>
      <c r="C7" s="8"/>
      <c r="D7" s="8"/>
    </row>
    <row r="8" spans="1:4" x14ac:dyDescent="0.25">
      <c r="A8" s="20"/>
      <c r="B8" s="2"/>
      <c r="C8" s="2"/>
      <c r="D8" s="2"/>
    </row>
    <row r="9" spans="1:4" x14ac:dyDescent="0.25">
      <c r="A9" s="20"/>
      <c r="B9" s="2"/>
      <c r="C9" s="2"/>
      <c r="D9" s="2"/>
    </row>
    <row r="10" spans="1:4" x14ac:dyDescent="0.25">
      <c r="A10" s="20"/>
      <c r="B10" s="2"/>
      <c r="C10" s="2"/>
      <c r="D10" s="2"/>
    </row>
    <row r="11" spans="1:4" x14ac:dyDescent="0.25">
      <c r="A11" s="3" t="s">
        <v>38</v>
      </c>
      <c r="B11" s="2"/>
      <c r="C11" s="2"/>
      <c r="D11" s="2"/>
    </row>
    <row r="12" spans="1:4" x14ac:dyDescent="0.25">
      <c r="A12" s="16" t="s">
        <v>219</v>
      </c>
      <c r="B12" s="2"/>
      <c r="C12" s="21"/>
      <c r="D12" s="21"/>
    </row>
    <row r="13" spans="1:4" x14ac:dyDescent="0.25">
      <c r="A13" s="16" t="s">
        <v>317</v>
      </c>
      <c r="B13" s="291" t="str">
        <f>IF(B14*0.1&lt;B12,"Exceed 10% Rule","")</f>
        <v/>
      </c>
      <c r="C13" s="22" t="str">
        <f>IF(C14*0.1&lt;C12,"Exceed 10% Rule","")</f>
        <v/>
      </c>
      <c r="D13" s="22" t="str">
        <f>IF(D14*0.1&lt;D12,"Exceed 10% Rule","")</f>
        <v/>
      </c>
    </row>
    <row r="14" spans="1:4" x14ac:dyDescent="0.25">
      <c r="A14" s="18" t="s">
        <v>39</v>
      </c>
      <c r="B14" s="229">
        <f>SUM(B8:B12)</f>
        <v>0</v>
      </c>
      <c r="C14" s="229">
        <f>SUM(C8:C12)</f>
        <v>0</v>
      </c>
      <c r="D14" s="229">
        <f>SUM(D8:D12)</f>
        <v>0</v>
      </c>
    </row>
    <row r="15" spans="1:4" x14ac:dyDescent="0.25">
      <c r="A15" s="18" t="s">
        <v>40</v>
      </c>
      <c r="B15" s="229">
        <f>B14+B6</f>
        <v>0</v>
      </c>
      <c r="C15" s="229">
        <f>C14+C6</f>
        <v>0</v>
      </c>
      <c r="D15" s="229">
        <f>D14+D6</f>
        <v>0</v>
      </c>
    </row>
    <row r="16" spans="1:4" x14ac:dyDescent="0.25">
      <c r="A16" s="4" t="s">
        <v>43</v>
      </c>
      <c r="B16" s="14"/>
      <c r="C16" s="14"/>
      <c r="D16" s="14"/>
    </row>
    <row r="17" spans="1:4" x14ac:dyDescent="0.25">
      <c r="A17" s="20"/>
      <c r="B17" s="2"/>
      <c r="C17" s="2"/>
      <c r="D17" s="2"/>
    </row>
    <row r="18" spans="1:4" x14ac:dyDescent="0.25">
      <c r="A18" s="20"/>
      <c r="B18" s="2"/>
      <c r="C18" s="2"/>
      <c r="D18" s="2"/>
    </row>
    <row r="19" spans="1:4" x14ac:dyDescent="0.25">
      <c r="A19" s="20"/>
      <c r="B19" s="2"/>
      <c r="C19" s="2"/>
      <c r="D19" s="2"/>
    </row>
    <row r="20" spans="1:4" x14ac:dyDescent="0.25">
      <c r="A20" s="20"/>
      <c r="B20" s="2"/>
      <c r="C20" s="2"/>
      <c r="D20" s="2"/>
    </row>
    <row r="21" spans="1:4" x14ac:dyDescent="0.25">
      <c r="A21" s="20"/>
      <c r="B21" s="2"/>
      <c r="C21" s="2"/>
      <c r="D21" s="2"/>
    </row>
    <row r="22" spans="1:4" x14ac:dyDescent="0.25">
      <c r="A22" s="20"/>
      <c r="B22" s="2"/>
      <c r="C22" s="2"/>
      <c r="D22" s="2"/>
    </row>
    <row r="23" spans="1:4" x14ac:dyDescent="0.25">
      <c r="A23" s="20"/>
      <c r="B23" s="2"/>
      <c r="C23" s="2"/>
      <c r="D23" s="2"/>
    </row>
    <row r="24" spans="1:4" x14ac:dyDescent="0.25">
      <c r="A24" s="16" t="str">
        <f>CONCATENATE("Cash Reserve (",D1," column)")</f>
        <v>Cash Reserve (2025 column)</v>
      </c>
      <c r="B24" s="2"/>
      <c r="C24" s="2"/>
      <c r="D24" s="2"/>
    </row>
    <row r="25" spans="1:4" x14ac:dyDescent="0.25">
      <c r="A25" s="16" t="s">
        <v>219</v>
      </c>
      <c r="B25" s="2"/>
      <c r="C25" s="21"/>
      <c r="D25" s="21"/>
    </row>
    <row r="26" spans="1:4" x14ac:dyDescent="0.25">
      <c r="A26" s="16" t="s">
        <v>318</v>
      </c>
      <c r="B26" s="291" t="str">
        <f>IF(B27*0.1&lt;B25,"Exceed 10% Rule","")</f>
        <v/>
      </c>
      <c r="C26" s="22" t="str">
        <f>IF(C27*0.1&lt;C25,"Exceed 10% Rule","")</f>
        <v/>
      </c>
      <c r="D26" s="22" t="str">
        <f>IF(D27*0.1&lt;D25,"Exceed 10% Rule","")</f>
        <v/>
      </c>
    </row>
    <row r="27" spans="1:4" x14ac:dyDescent="0.25">
      <c r="A27" s="18" t="s">
        <v>44</v>
      </c>
      <c r="B27" s="229">
        <f>SUM(B17:B25)</f>
        <v>0</v>
      </c>
      <c r="C27" s="229">
        <f>SUM(C17:C25)</f>
        <v>0</v>
      </c>
      <c r="D27" s="229">
        <f>SUM(D17:D25)</f>
        <v>0</v>
      </c>
    </row>
    <row r="28" spans="1:4" x14ac:dyDescent="0.25">
      <c r="A28" s="4" t="s">
        <v>149</v>
      </c>
      <c r="B28" s="164">
        <f>B15-B27</f>
        <v>0</v>
      </c>
      <c r="C28" s="164">
        <f>C15-C27</f>
        <v>0</v>
      </c>
      <c r="D28" s="164">
        <f>D15-D27</f>
        <v>0</v>
      </c>
    </row>
    <row r="29" spans="1:4" x14ac:dyDescent="0.25">
      <c r="A29" s="405" t="str">
        <f>CONCATENATE("",D1-2,"/",D1-1,"/",D1," Budget Authority Amount:")</f>
        <v>2023/2024/2025 Budget Authority Amount:</v>
      </c>
      <c r="B29" s="404">
        <f>inputOth!B61</f>
        <v>0</v>
      </c>
      <c r="C29" s="404">
        <f>inputPrYr!D49</f>
        <v>0</v>
      </c>
      <c r="D29" s="406">
        <f>D27</f>
        <v>0</v>
      </c>
    </row>
    <row r="30" spans="1:4" x14ac:dyDescent="0.25">
      <c r="A30" s="13"/>
      <c r="B30" s="207" t="str">
        <f>IF(B27&gt;B29,"See Tab A","")</f>
        <v/>
      </c>
      <c r="C30" s="207" t="str">
        <f>IF(C27&gt;C29,"See Tab C","")</f>
        <v/>
      </c>
      <c r="D30" s="402" t="str">
        <f>IF($D$28&lt;0,"See Tab E","")</f>
        <v/>
      </c>
    </row>
    <row r="31" spans="1:4" x14ac:dyDescent="0.25">
      <c r="A31" s="13"/>
      <c r="B31" s="207" t="str">
        <f>IF(B28&lt;0,"See Tab B","")</f>
        <v/>
      </c>
      <c r="C31" s="207" t="str">
        <f>IF(C28&lt;0,"See Tab D","")</f>
        <v/>
      </c>
      <c r="D31" s="10"/>
    </row>
    <row r="32" spans="1:4" x14ac:dyDescent="0.25">
      <c r="A32" s="5"/>
      <c r="B32" s="10"/>
      <c r="C32" s="10"/>
      <c r="D32" s="10"/>
    </row>
    <row r="33" spans="1:4" x14ac:dyDescent="0.25">
      <c r="A33" s="6"/>
      <c r="B33" s="7"/>
      <c r="C33" s="7"/>
      <c r="D33" s="7"/>
    </row>
    <row r="34" spans="1:4" x14ac:dyDescent="0.25">
      <c r="A34" s="6" t="s">
        <v>30</v>
      </c>
      <c r="B34" s="355" t="str">
        <f t="shared" ref="B34:D35" si="0">B4</f>
        <v xml:space="preserve">Prior Year </v>
      </c>
      <c r="C34" s="356" t="str">
        <f t="shared" si="0"/>
        <v xml:space="preserve">Current Year </v>
      </c>
      <c r="D34" s="356" t="str">
        <f t="shared" si="0"/>
        <v xml:space="preserve">Proposed Budget </v>
      </c>
    </row>
    <row r="35" spans="1:4" x14ac:dyDescent="0.25">
      <c r="A35" s="294">
        <f>inputPrYr!$B$50</f>
        <v>0</v>
      </c>
      <c r="B35" s="17" t="str">
        <f t="shared" si="0"/>
        <v>Actual for 2023</v>
      </c>
      <c r="C35" s="17" t="str">
        <f t="shared" si="0"/>
        <v>Estimate for 2024</v>
      </c>
      <c r="D35" s="17" t="str">
        <f t="shared" si="0"/>
        <v>Year for 2025</v>
      </c>
    </row>
    <row r="36" spans="1:4" x14ac:dyDescent="0.25">
      <c r="A36" s="4" t="s">
        <v>148</v>
      </c>
      <c r="B36" s="2"/>
      <c r="C36" s="14">
        <f>B58</f>
        <v>0</v>
      </c>
      <c r="D36" s="14">
        <f>C58</f>
        <v>0</v>
      </c>
    </row>
    <row r="37" spans="1:4" x14ac:dyDescent="0.25">
      <c r="A37" s="4" t="s">
        <v>150</v>
      </c>
      <c r="B37" s="8"/>
      <c r="C37" s="8"/>
      <c r="D37" s="8"/>
    </row>
    <row r="38" spans="1:4" x14ac:dyDescent="0.25">
      <c r="A38" s="20"/>
      <c r="B38" s="2"/>
      <c r="C38" s="2"/>
      <c r="D38" s="2"/>
    </row>
    <row r="39" spans="1:4" x14ac:dyDescent="0.25">
      <c r="A39" s="20"/>
      <c r="B39" s="2"/>
      <c r="C39" s="2"/>
      <c r="D39" s="2"/>
    </row>
    <row r="40" spans="1:4" x14ac:dyDescent="0.25">
      <c r="A40" s="20"/>
      <c r="B40" s="2"/>
      <c r="C40" s="2"/>
      <c r="D40" s="2"/>
    </row>
    <row r="41" spans="1:4" x14ac:dyDescent="0.25">
      <c r="A41" s="3" t="s">
        <v>38</v>
      </c>
      <c r="B41" s="2"/>
      <c r="C41" s="2"/>
      <c r="D41" s="2"/>
    </row>
    <row r="42" spans="1:4" x14ac:dyDescent="0.25">
      <c r="A42" s="16" t="s">
        <v>219</v>
      </c>
      <c r="B42" s="2"/>
      <c r="C42" s="21"/>
      <c r="D42" s="21"/>
    </row>
    <row r="43" spans="1:4" x14ac:dyDescent="0.25">
      <c r="A43" s="16" t="s">
        <v>317</v>
      </c>
      <c r="B43" s="291" t="str">
        <f>IF(B44*0.1&lt;B42,"Exceed 10% Rule","")</f>
        <v/>
      </c>
      <c r="C43" s="22" t="str">
        <f>IF(C44*0.1&lt;C42,"Exceed 10% Rule","")</f>
        <v/>
      </c>
      <c r="D43" s="22" t="str">
        <f>IF(D44*0.1&lt;D42,"Exceed 10% Rule","")</f>
        <v/>
      </c>
    </row>
    <row r="44" spans="1:4" x14ac:dyDescent="0.25">
      <c r="A44" s="18" t="s">
        <v>39</v>
      </c>
      <c r="B44" s="229">
        <f>SUM(B38:B42)</f>
        <v>0</v>
      </c>
      <c r="C44" s="229">
        <f>SUM(C38:C42)</f>
        <v>0</v>
      </c>
      <c r="D44" s="229">
        <f>SUM(D38:D42)</f>
        <v>0</v>
      </c>
    </row>
    <row r="45" spans="1:4" x14ac:dyDescent="0.25">
      <c r="A45" s="18" t="s">
        <v>40</v>
      </c>
      <c r="B45" s="229">
        <f>B36+B44</f>
        <v>0</v>
      </c>
      <c r="C45" s="229">
        <f>C36+C44</f>
        <v>0</v>
      </c>
      <c r="D45" s="229">
        <f>D36+D44</f>
        <v>0</v>
      </c>
    </row>
    <row r="46" spans="1:4" x14ac:dyDescent="0.25">
      <c r="A46" s="4" t="s">
        <v>43</v>
      </c>
      <c r="B46" s="14"/>
      <c r="C46" s="14"/>
      <c r="D46" s="14"/>
    </row>
    <row r="47" spans="1:4" x14ac:dyDescent="0.25">
      <c r="A47" s="20"/>
      <c r="B47" s="2"/>
      <c r="C47" s="2"/>
      <c r="D47" s="2"/>
    </row>
    <row r="48" spans="1:4" x14ac:dyDescent="0.25">
      <c r="A48" s="20"/>
      <c r="B48" s="2"/>
      <c r="C48" s="2"/>
      <c r="D48" s="2"/>
    </row>
    <row r="49" spans="1:4" x14ac:dyDescent="0.25">
      <c r="A49" s="20"/>
      <c r="B49" s="2"/>
      <c r="C49" s="2"/>
      <c r="D49" s="2"/>
    </row>
    <row r="50" spans="1:4" x14ac:dyDescent="0.25">
      <c r="A50" s="20"/>
      <c r="B50" s="2"/>
      <c r="C50" s="2"/>
      <c r="D50" s="2"/>
    </row>
    <row r="51" spans="1:4" x14ac:dyDescent="0.25">
      <c r="A51" s="20"/>
      <c r="B51" s="2"/>
      <c r="C51" s="2"/>
      <c r="D51" s="2"/>
    </row>
    <row r="52" spans="1:4" x14ac:dyDescent="0.25">
      <c r="A52" s="20"/>
      <c r="B52" s="2"/>
      <c r="C52" s="2"/>
      <c r="D52" s="2"/>
    </row>
    <row r="53" spans="1:4" x14ac:dyDescent="0.25">
      <c r="A53" s="20"/>
      <c r="B53" s="2"/>
      <c r="C53" s="2"/>
      <c r="D53" s="2"/>
    </row>
    <row r="54" spans="1:4" x14ac:dyDescent="0.25">
      <c r="A54" s="16" t="str">
        <f>CONCATENATE("Cash Reserve (",D1," column)")</f>
        <v>Cash Reserve (2025 column)</v>
      </c>
      <c r="B54" s="2"/>
      <c r="C54" s="2"/>
      <c r="D54" s="2"/>
    </row>
    <row r="55" spans="1:4" x14ac:dyDescent="0.25">
      <c r="A55" s="16" t="s">
        <v>219</v>
      </c>
      <c r="B55" s="2"/>
      <c r="C55" s="21"/>
      <c r="D55" s="21"/>
    </row>
    <row r="56" spans="1:4" x14ac:dyDescent="0.25">
      <c r="A56" s="16" t="s">
        <v>318</v>
      </c>
      <c r="B56" s="291" t="str">
        <f>IF(B57*0.1&lt;B55,"Exceed 10% Rule","")</f>
        <v/>
      </c>
      <c r="C56" s="22" t="str">
        <f>IF(C57*0.1&lt;C55,"Exceed 10% Rule","")</f>
        <v/>
      </c>
      <c r="D56" s="22" t="str">
        <f>IF(D57*0.1&lt;D55,"Exceed 10% Rule","")</f>
        <v/>
      </c>
    </row>
    <row r="57" spans="1:4" x14ac:dyDescent="0.25">
      <c r="A57" s="18" t="s">
        <v>44</v>
      </c>
      <c r="B57" s="229">
        <f>SUM(B47:B55)</f>
        <v>0</v>
      </c>
      <c r="C57" s="229">
        <f>SUM(C47:C55)</f>
        <v>0</v>
      </c>
      <c r="D57" s="229">
        <f>SUM(D47:D55)</f>
        <v>0</v>
      </c>
    </row>
    <row r="58" spans="1:4" x14ac:dyDescent="0.25">
      <c r="A58" s="4" t="s">
        <v>149</v>
      </c>
      <c r="B58" s="164">
        <f>B45-B57</f>
        <v>0</v>
      </c>
      <c r="C58" s="164">
        <f>C45-C57</f>
        <v>0</v>
      </c>
      <c r="D58" s="164">
        <f>D45-D57</f>
        <v>0</v>
      </c>
    </row>
    <row r="59" spans="1:4" x14ac:dyDescent="0.25">
      <c r="A59" s="405" t="str">
        <f>CONCATENATE("",D1-2,"/",D1-1,"/",D1," Budget Authority Amount:")</f>
        <v>2023/2024/2025 Budget Authority Amount:</v>
      </c>
      <c r="B59" s="404">
        <f>inputOth!B62</f>
        <v>0</v>
      </c>
      <c r="C59" s="404">
        <f>inputPrYr!D50</f>
        <v>0</v>
      </c>
      <c r="D59" s="406">
        <f>D57</f>
        <v>0</v>
      </c>
    </row>
    <row r="60" spans="1:4" x14ac:dyDescent="0.25">
      <c r="A60" s="13"/>
      <c r="B60" s="207" t="str">
        <f>IF(B57&gt;B59,"See Tab A","")</f>
        <v/>
      </c>
      <c r="C60" s="207" t="str">
        <f>IF(C57&gt;C59,"See Tab C","")</f>
        <v/>
      </c>
      <c r="D60" s="407" t="str">
        <f>IF($D$58&lt;0,"See Tab E","")</f>
        <v/>
      </c>
    </row>
    <row r="61" spans="1:4" x14ac:dyDescent="0.25">
      <c r="A61" s="474" t="s">
        <v>380</v>
      </c>
      <c r="B61" s="403"/>
      <c r="C61" s="403"/>
      <c r="D61" s="469"/>
    </row>
    <row r="62" spans="1:4" x14ac:dyDescent="0.25">
      <c r="A62" s="470"/>
      <c r="B62" s="207"/>
      <c r="C62" s="207"/>
      <c r="D62" s="471"/>
    </row>
    <row r="63" spans="1:4" x14ac:dyDescent="0.25">
      <c r="A63" s="472"/>
      <c r="B63" s="467" t="str">
        <f>IF(B58&lt;0,"See Tab B","")</f>
        <v/>
      </c>
      <c r="C63" s="467" t="str">
        <f>IF(C58&lt;0,"See Tab D","")</f>
        <v/>
      </c>
      <c r="D63" s="473"/>
    </row>
    <row r="64" spans="1:4" x14ac:dyDescent="0.25">
      <c r="A64" s="5"/>
      <c r="B64" s="5"/>
      <c r="C64" s="5"/>
      <c r="D64" s="5"/>
    </row>
    <row r="65" spans="1:4" x14ac:dyDescent="0.25">
      <c r="A65" s="182" t="s">
        <v>96</v>
      </c>
      <c r="B65" s="429"/>
      <c r="C65" s="5"/>
      <c r="D65" s="5"/>
    </row>
  </sheetData>
  <sheetProtection sheet="1"/>
  <phoneticPr fontId="0" type="noConversion"/>
  <conditionalFormatting sqref="B12">
    <cfRule type="cellIs" dxfId="40" priority="12" stopIfTrue="1" operator="greaterThan">
      <formula>$B$14*0.1</formula>
    </cfRule>
  </conditionalFormatting>
  <conditionalFormatting sqref="B25">
    <cfRule type="cellIs" dxfId="39" priority="9" stopIfTrue="1" operator="greaterThan">
      <formula>$B$27*0.1</formula>
    </cfRule>
  </conditionalFormatting>
  <conditionalFormatting sqref="B42">
    <cfRule type="cellIs" dxfId="38" priority="3" stopIfTrue="1" operator="greaterThan">
      <formula>$B$44*0.1</formula>
    </cfRule>
  </conditionalFormatting>
  <conditionalFormatting sqref="B55">
    <cfRule type="cellIs" dxfId="37" priority="6" stopIfTrue="1" operator="greaterThan">
      <formula>$B$57*0.1</formula>
    </cfRule>
  </conditionalFormatting>
  <conditionalFormatting sqref="C12">
    <cfRule type="cellIs" dxfId="36" priority="13" stopIfTrue="1" operator="greaterThan">
      <formula>$C$14*0.1</formula>
    </cfRule>
  </conditionalFormatting>
  <conditionalFormatting sqref="C25">
    <cfRule type="cellIs" dxfId="35" priority="10" stopIfTrue="1" operator="greaterThan">
      <formula>$C$27*0.1</formula>
    </cfRule>
  </conditionalFormatting>
  <conditionalFormatting sqref="C42">
    <cfRule type="cellIs" dxfId="34" priority="4" stopIfTrue="1" operator="greaterThan">
      <formula>$C$44*0.1</formula>
    </cfRule>
  </conditionalFormatting>
  <conditionalFormatting sqref="C55">
    <cfRule type="cellIs" dxfId="33" priority="7" stopIfTrue="1" operator="greaterThan">
      <formula>$C$57*0.1</formula>
    </cfRule>
  </conditionalFormatting>
  <conditionalFormatting sqref="D12">
    <cfRule type="cellIs" dxfId="32" priority="14" stopIfTrue="1" operator="greaterThan">
      <formula>$D$14*0.1</formula>
    </cfRule>
  </conditionalFormatting>
  <conditionalFormatting sqref="D25">
    <cfRule type="cellIs" dxfId="31" priority="11" stopIfTrue="1" operator="greaterThan">
      <formula>$D$27*0.1</formula>
    </cfRule>
  </conditionalFormatting>
  <conditionalFormatting sqref="D42">
    <cfRule type="cellIs" dxfId="30" priority="5" stopIfTrue="1" operator="greaterThan">
      <formula>$D$44*0.1</formula>
    </cfRule>
  </conditionalFormatting>
  <conditionalFormatting sqref="D55">
    <cfRule type="cellIs" dxfId="29" priority="8" stopIfTrue="1" operator="greaterThan">
      <formula>$D$57*0.1</formula>
    </cfRule>
  </conditionalFormatting>
  <pageMargins left="1.1200000000000001" right="0.5" top="0.74" bottom="0.34" header="0.5" footer="0"/>
  <pageSetup scale="75" orientation="portrait" blackAndWhite="1" horizontalDpi="120" verticalDpi="144" r:id="rId1"/>
  <headerFooter alignWithMargins="0">
    <oddHeader xml:space="preserve">&amp;RState of Kansas
County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tabColor rgb="FF00B0F0"/>
    <pageSetUpPr fitToPage="1"/>
  </sheetPr>
  <dimension ref="A1:D65"/>
  <sheetViews>
    <sheetView workbookViewId="0">
      <selection activeCell="E1" sqref="E1"/>
    </sheetView>
  </sheetViews>
  <sheetFormatPr defaultRowHeight="15.75" x14ac:dyDescent="0.2"/>
  <cols>
    <col min="1" max="1" width="31.109375" style="27" customWidth="1"/>
    <col min="2" max="3" width="15.77734375" style="27" customWidth="1"/>
    <col min="4" max="4" width="16.21875" style="27" customWidth="1"/>
    <col min="5" max="16384" width="8.88671875" style="27"/>
  </cols>
  <sheetData>
    <row r="1" spans="1:4" x14ac:dyDescent="0.2">
      <c r="A1" s="73">
        <f>(inputPrYr!C3)</f>
        <v>0</v>
      </c>
      <c r="B1" s="32"/>
      <c r="C1" s="32"/>
      <c r="D1" s="182">
        <f>inputPrYr!C5</f>
        <v>2025</v>
      </c>
    </row>
    <row r="2" spans="1:4" x14ac:dyDescent="0.2">
      <c r="A2" s="133"/>
      <c r="B2" s="208"/>
      <c r="C2" s="208"/>
      <c r="D2" s="209"/>
    </row>
    <row r="3" spans="1:4" x14ac:dyDescent="0.2">
      <c r="A3" s="133" t="s">
        <v>139</v>
      </c>
      <c r="B3" s="91"/>
      <c r="C3" s="91"/>
      <c r="D3" s="91"/>
    </row>
    <row r="4" spans="1:4" x14ac:dyDescent="0.2">
      <c r="A4" s="31" t="s">
        <v>30</v>
      </c>
      <c r="B4" s="353" t="s">
        <v>346</v>
      </c>
      <c r="C4" s="354" t="s">
        <v>347</v>
      </c>
      <c r="D4" s="95" t="s">
        <v>348</v>
      </c>
    </row>
    <row r="5" spans="1:4" x14ac:dyDescent="0.2">
      <c r="A5" s="296">
        <f>inputPrYr!$B$51</f>
        <v>0</v>
      </c>
      <c r="B5" s="283" t="str">
        <f>CONCATENATE("Actual for ",D1-2,"")</f>
        <v>Actual for 2023</v>
      </c>
      <c r="C5" s="283" t="str">
        <f>CONCATENATE("Estimate for ",D1-1,"")</f>
        <v>Estimate for 2024</v>
      </c>
      <c r="D5" s="190" t="str">
        <f>CONCATENATE("Year for ",D1,"")</f>
        <v>Year for 2025</v>
      </c>
    </row>
    <row r="6" spans="1:4" x14ac:dyDescent="0.2">
      <c r="A6" s="98" t="s">
        <v>148</v>
      </c>
      <c r="B6" s="51"/>
      <c r="C6" s="164">
        <f>B28</f>
        <v>0</v>
      </c>
      <c r="D6" s="164">
        <f>C28</f>
        <v>0</v>
      </c>
    </row>
    <row r="7" spans="1:4" x14ac:dyDescent="0.2">
      <c r="A7" s="116" t="s">
        <v>150</v>
      </c>
      <c r="B7" s="108"/>
      <c r="C7" s="108"/>
      <c r="D7" s="108"/>
    </row>
    <row r="8" spans="1:4" x14ac:dyDescent="0.2">
      <c r="A8" s="205"/>
      <c r="B8" s="51"/>
      <c r="C8" s="51"/>
      <c r="D8" s="51"/>
    </row>
    <row r="9" spans="1:4" x14ac:dyDescent="0.2">
      <c r="A9" s="205"/>
      <c r="B9" s="51"/>
      <c r="C9" s="51"/>
      <c r="D9" s="51"/>
    </row>
    <row r="10" spans="1:4" x14ac:dyDescent="0.2">
      <c r="A10" s="205"/>
      <c r="B10" s="51"/>
      <c r="C10" s="51"/>
      <c r="D10" s="51"/>
    </row>
    <row r="11" spans="1:4" x14ac:dyDescent="0.2">
      <c r="A11" s="195" t="s">
        <v>38</v>
      </c>
      <c r="B11" s="51"/>
      <c r="C11" s="51"/>
      <c r="D11" s="51"/>
    </row>
    <row r="12" spans="1:4" x14ac:dyDescent="0.2">
      <c r="A12" s="196" t="s">
        <v>219</v>
      </c>
      <c r="B12" s="51"/>
      <c r="C12" s="211"/>
      <c r="D12" s="211"/>
    </row>
    <row r="13" spans="1:4" x14ac:dyDescent="0.2">
      <c r="A13" s="196" t="s">
        <v>317</v>
      </c>
      <c r="B13" s="290" t="str">
        <f>IF(B14*0.1&lt;B12,"Exceed 10% Rule","")</f>
        <v/>
      </c>
      <c r="C13" s="197" t="str">
        <f>IF(C14*0.1&lt;C12,"Exceed 10% Rule","")</f>
        <v/>
      </c>
      <c r="D13" s="197" t="str">
        <f>IF(D14*0.1&lt;D12,"Exceed 10% Rule","")</f>
        <v/>
      </c>
    </row>
    <row r="14" spans="1:4" x14ac:dyDescent="0.2">
      <c r="A14" s="198" t="s">
        <v>39</v>
      </c>
      <c r="B14" s="229">
        <f>SUM(B8:B12)</f>
        <v>0</v>
      </c>
      <c r="C14" s="229">
        <f>SUM(C8:C12)</f>
        <v>0</v>
      </c>
      <c r="D14" s="229">
        <f>SUM(D8:D12)</f>
        <v>0</v>
      </c>
    </row>
    <row r="15" spans="1:4" x14ac:dyDescent="0.2">
      <c r="A15" s="198" t="s">
        <v>40</v>
      </c>
      <c r="B15" s="229">
        <f>B14+B6</f>
        <v>0</v>
      </c>
      <c r="C15" s="229">
        <f>C14+C6</f>
        <v>0</v>
      </c>
      <c r="D15" s="229">
        <f>D14+D6</f>
        <v>0</v>
      </c>
    </row>
    <row r="16" spans="1:4" x14ac:dyDescent="0.2">
      <c r="A16" s="98" t="s">
        <v>43</v>
      </c>
      <c r="B16" s="164"/>
      <c r="C16" s="164"/>
      <c r="D16" s="164"/>
    </row>
    <row r="17" spans="1:4" x14ac:dyDescent="0.2">
      <c r="A17" s="205"/>
      <c r="B17" s="51"/>
      <c r="C17" s="51"/>
      <c r="D17" s="51"/>
    </row>
    <row r="18" spans="1:4" x14ac:dyDescent="0.2">
      <c r="A18" s="205"/>
      <c r="B18" s="51"/>
      <c r="C18" s="51"/>
      <c r="D18" s="51"/>
    </row>
    <row r="19" spans="1:4" x14ac:dyDescent="0.2">
      <c r="A19" s="205"/>
      <c r="B19" s="51"/>
      <c r="C19" s="51"/>
      <c r="D19" s="51"/>
    </row>
    <row r="20" spans="1:4" x14ac:dyDescent="0.2">
      <c r="A20" s="205"/>
      <c r="B20" s="51"/>
      <c r="C20" s="51"/>
      <c r="D20" s="51"/>
    </row>
    <row r="21" spans="1:4" x14ac:dyDescent="0.2">
      <c r="A21" s="205"/>
      <c r="B21" s="51"/>
      <c r="C21" s="51"/>
      <c r="D21" s="51"/>
    </row>
    <row r="22" spans="1:4" x14ac:dyDescent="0.2">
      <c r="A22" s="205"/>
      <c r="B22" s="51"/>
      <c r="C22" s="51"/>
      <c r="D22" s="51"/>
    </row>
    <row r="23" spans="1:4" x14ac:dyDescent="0.2">
      <c r="A23" s="205"/>
      <c r="B23" s="51"/>
      <c r="C23" s="51"/>
      <c r="D23" s="51"/>
    </row>
    <row r="24" spans="1:4" x14ac:dyDescent="0.2">
      <c r="A24" s="196" t="str">
        <f>CONCATENATE("Cash Reserve (",D1," column)")</f>
        <v>Cash Reserve (2025 column)</v>
      </c>
      <c r="B24" s="51"/>
      <c r="C24" s="51"/>
      <c r="D24" s="51"/>
    </row>
    <row r="25" spans="1:4" x14ac:dyDescent="0.2">
      <c r="A25" s="196" t="s">
        <v>219</v>
      </c>
      <c r="B25" s="51"/>
      <c r="C25" s="211"/>
      <c r="D25" s="211"/>
    </row>
    <row r="26" spans="1:4" x14ac:dyDescent="0.2">
      <c r="A26" s="196" t="s">
        <v>318</v>
      </c>
      <c r="B26" s="290" t="str">
        <f>IF(B27*0.1&lt;B25,"Exceed 10% Rule","")</f>
        <v/>
      </c>
      <c r="C26" s="197" t="str">
        <f>IF(C27*0.1&lt;C25,"Exceed 10% Rule","")</f>
        <v/>
      </c>
      <c r="D26" s="197" t="str">
        <f>IF(D27*0.1&lt;D25,"Exceed 10% Rule","")</f>
        <v/>
      </c>
    </row>
    <row r="27" spans="1:4" x14ac:dyDescent="0.2">
      <c r="A27" s="198" t="s">
        <v>44</v>
      </c>
      <c r="B27" s="229">
        <f>SUM(B17:B25)</f>
        <v>0</v>
      </c>
      <c r="C27" s="229">
        <f>SUM(C17:C25)</f>
        <v>0</v>
      </c>
      <c r="D27" s="229">
        <f>SUM(D17:D25)</f>
        <v>0</v>
      </c>
    </row>
    <row r="28" spans="1:4" x14ac:dyDescent="0.2">
      <c r="A28" s="98" t="s">
        <v>149</v>
      </c>
      <c r="B28" s="164">
        <f>B15-B27</f>
        <v>0</v>
      </c>
      <c r="C28" s="164">
        <f>C15-C27</f>
        <v>0</v>
      </c>
      <c r="D28" s="164">
        <f>D15-D27</f>
        <v>0</v>
      </c>
    </row>
    <row r="29" spans="1:4" x14ac:dyDescent="0.2">
      <c r="A29" s="120" t="str">
        <f>CONCATENATE("",D1-2,"/",D1-1,"/",D1," Budget Authority Amount:")</f>
        <v>2023/2024/2025 Budget Authority Amount:</v>
      </c>
      <c r="B29" s="214">
        <f>inputOth!B63</f>
        <v>0</v>
      </c>
      <c r="C29" s="214">
        <f>inputPrYr!D51</f>
        <v>0</v>
      </c>
      <c r="D29" s="401">
        <f>D27</f>
        <v>0</v>
      </c>
    </row>
    <row r="30" spans="1:4" x14ac:dyDescent="0.2">
      <c r="A30" s="182"/>
      <c r="B30" s="207" t="str">
        <f>IF(B27&gt;B29,"See Tab A","")</f>
        <v/>
      </c>
      <c r="C30" s="207" t="str">
        <f>IF(C27&gt;C29,"See Tab C","")</f>
        <v/>
      </c>
      <c r="D30" s="402" t="str">
        <f>IF($D$28&lt;0,"See Tab E","")</f>
        <v/>
      </c>
    </row>
    <row r="31" spans="1:4" x14ac:dyDescent="0.2">
      <c r="A31" s="182"/>
      <c r="B31" s="207" t="str">
        <f>IF(B28&lt;0,"See Tab B","")</f>
        <v/>
      </c>
      <c r="C31" s="207" t="str">
        <f>IF(C28&lt;0,"See Tab D","")</f>
        <v/>
      </c>
      <c r="D31" s="56"/>
    </row>
    <row r="32" spans="1:4" x14ac:dyDescent="0.2">
      <c r="A32" s="32"/>
      <c r="B32" s="56"/>
      <c r="C32" s="56"/>
      <c r="D32" s="56"/>
    </row>
    <row r="33" spans="1:4" x14ac:dyDescent="0.2">
      <c r="A33" s="31"/>
      <c r="B33" s="91"/>
      <c r="C33" s="91"/>
      <c r="D33" s="91"/>
    </row>
    <row r="34" spans="1:4" x14ac:dyDescent="0.2">
      <c r="A34" s="31" t="s">
        <v>30</v>
      </c>
      <c r="B34" s="220" t="str">
        <f t="shared" ref="B34:D35" si="0">B4</f>
        <v xml:space="preserve">Prior Year </v>
      </c>
      <c r="C34" s="95" t="str">
        <f t="shared" si="0"/>
        <v xml:space="preserve">Current Year </v>
      </c>
      <c r="D34" s="95" t="str">
        <f t="shared" si="0"/>
        <v xml:space="preserve">Proposed Budget </v>
      </c>
    </row>
    <row r="35" spans="1:4" x14ac:dyDescent="0.2">
      <c r="A35" s="296">
        <f>inputPrYr!$B$52</f>
        <v>0</v>
      </c>
      <c r="B35" s="162" t="str">
        <f t="shared" si="0"/>
        <v>Actual for 2023</v>
      </c>
      <c r="C35" s="162" t="str">
        <f t="shared" si="0"/>
        <v>Estimate for 2024</v>
      </c>
      <c r="D35" s="162" t="str">
        <f t="shared" si="0"/>
        <v>Year for 2025</v>
      </c>
    </row>
    <row r="36" spans="1:4" x14ac:dyDescent="0.2">
      <c r="A36" s="98" t="s">
        <v>148</v>
      </c>
      <c r="B36" s="51"/>
      <c r="C36" s="164">
        <f>B58</f>
        <v>0</v>
      </c>
      <c r="D36" s="164">
        <f>C58</f>
        <v>0</v>
      </c>
    </row>
    <row r="37" spans="1:4" x14ac:dyDescent="0.2">
      <c r="A37" s="116" t="s">
        <v>150</v>
      </c>
      <c r="B37" s="108"/>
      <c r="C37" s="108"/>
      <c r="D37" s="108"/>
    </row>
    <row r="38" spans="1:4" x14ac:dyDescent="0.2">
      <c r="A38" s="205"/>
      <c r="B38" s="51"/>
      <c r="C38" s="51"/>
      <c r="D38" s="51"/>
    </row>
    <row r="39" spans="1:4" x14ac:dyDescent="0.2">
      <c r="A39" s="205"/>
      <c r="B39" s="51"/>
      <c r="C39" s="51"/>
      <c r="D39" s="51"/>
    </row>
    <row r="40" spans="1:4" x14ac:dyDescent="0.2">
      <c r="A40" s="205"/>
      <c r="B40" s="51"/>
      <c r="C40" s="51"/>
      <c r="D40" s="51"/>
    </row>
    <row r="41" spans="1:4" x14ac:dyDescent="0.2">
      <c r="A41" s="195" t="s">
        <v>38</v>
      </c>
      <c r="B41" s="51"/>
      <c r="C41" s="51"/>
      <c r="D41" s="51"/>
    </row>
    <row r="42" spans="1:4" x14ac:dyDescent="0.2">
      <c r="A42" s="196" t="s">
        <v>219</v>
      </c>
      <c r="B42" s="51"/>
      <c r="C42" s="211"/>
      <c r="D42" s="211"/>
    </row>
    <row r="43" spans="1:4" x14ac:dyDescent="0.2">
      <c r="A43" s="196" t="s">
        <v>317</v>
      </c>
      <c r="B43" s="290" t="str">
        <f>IF(B44*0.1&lt;B42,"Exceed 10% Rule","")</f>
        <v/>
      </c>
      <c r="C43" s="197" t="str">
        <f>IF(C44*0.1&lt;C42,"Exceed 10% Rule","")</f>
        <v/>
      </c>
      <c r="D43" s="197" t="str">
        <f>IF(D44*0.1&lt;D42,"Exceed 10% Rule","")</f>
        <v/>
      </c>
    </row>
    <row r="44" spans="1:4" x14ac:dyDescent="0.2">
      <c r="A44" s="198" t="s">
        <v>39</v>
      </c>
      <c r="B44" s="229">
        <f>SUM(B38:B42)</f>
        <v>0</v>
      </c>
      <c r="C44" s="229">
        <f>SUM(C38:C42)</f>
        <v>0</v>
      </c>
      <c r="D44" s="229">
        <f>SUM(D38:D42)</f>
        <v>0</v>
      </c>
    </row>
    <row r="45" spans="1:4" x14ac:dyDescent="0.2">
      <c r="A45" s="198" t="s">
        <v>40</v>
      </c>
      <c r="B45" s="229">
        <f>B36+B44</f>
        <v>0</v>
      </c>
      <c r="C45" s="229">
        <f>C36+C44</f>
        <v>0</v>
      </c>
      <c r="D45" s="229">
        <f>D36+D44</f>
        <v>0</v>
      </c>
    </row>
    <row r="46" spans="1:4" x14ac:dyDescent="0.2">
      <c r="A46" s="98" t="s">
        <v>43</v>
      </c>
      <c r="B46" s="164"/>
      <c r="C46" s="164"/>
      <c r="D46" s="164"/>
    </row>
    <row r="47" spans="1:4" x14ac:dyDescent="0.2">
      <c r="A47" s="205"/>
      <c r="B47" s="51"/>
      <c r="C47" s="51"/>
      <c r="D47" s="51"/>
    </row>
    <row r="48" spans="1:4" x14ac:dyDescent="0.2">
      <c r="A48" s="205"/>
      <c r="B48" s="51"/>
      <c r="C48" s="51"/>
      <c r="D48" s="51"/>
    </row>
    <row r="49" spans="1:4" x14ac:dyDescent="0.2">
      <c r="A49" s="205"/>
      <c r="B49" s="51"/>
      <c r="C49" s="51"/>
      <c r="D49" s="51"/>
    </row>
    <row r="50" spans="1:4" x14ac:dyDescent="0.2">
      <c r="A50" s="205"/>
      <c r="B50" s="51"/>
      <c r="C50" s="51"/>
      <c r="D50" s="51"/>
    </row>
    <row r="51" spans="1:4" x14ac:dyDescent="0.2">
      <c r="A51" s="205"/>
      <c r="B51" s="51"/>
      <c r="C51" s="51"/>
      <c r="D51" s="51"/>
    </row>
    <row r="52" spans="1:4" x14ac:dyDescent="0.2">
      <c r="A52" s="205"/>
      <c r="B52" s="51"/>
      <c r="C52" s="51"/>
      <c r="D52" s="51"/>
    </row>
    <row r="53" spans="1:4" x14ac:dyDescent="0.2">
      <c r="A53" s="205"/>
      <c r="B53" s="51"/>
      <c r="C53" s="51"/>
      <c r="D53" s="51"/>
    </row>
    <row r="54" spans="1:4" x14ac:dyDescent="0.2">
      <c r="A54" s="196" t="str">
        <f>CONCATENATE("Cash Reserve (",D1," column)")</f>
        <v>Cash Reserve (2025 column)</v>
      </c>
      <c r="B54" s="51"/>
      <c r="C54" s="51"/>
      <c r="D54" s="51"/>
    </row>
    <row r="55" spans="1:4" x14ac:dyDescent="0.2">
      <c r="A55" s="196" t="s">
        <v>219</v>
      </c>
      <c r="B55" s="51"/>
      <c r="C55" s="211"/>
      <c r="D55" s="211"/>
    </row>
    <row r="56" spans="1:4" x14ac:dyDescent="0.2">
      <c r="A56" s="196" t="s">
        <v>318</v>
      </c>
      <c r="B56" s="290" t="str">
        <f>IF(B57*0.1&lt;B55,"Exceed 10% Rule","")</f>
        <v/>
      </c>
      <c r="C56" s="197" t="str">
        <f>IF(C57*0.1&lt;C55,"Exceed 10% Rule","")</f>
        <v/>
      </c>
      <c r="D56" s="197" t="str">
        <f>IF(D57*0.1&lt;D55,"Exceed 10% Rule","")</f>
        <v/>
      </c>
    </row>
    <row r="57" spans="1:4" x14ac:dyDescent="0.2">
      <c r="A57" s="198" t="s">
        <v>44</v>
      </c>
      <c r="B57" s="229">
        <f>SUM(B47:B55)</f>
        <v>0</v>
      </c>
      <c r="C57" s="229">
        <f>SUM(C47:C55)</f>
        <v>0</v>
      </c>
      <c r="D57" s="229">
        <f>SUM(D47:D55)</f>
        <v>0</v>
      </c>
    </row>
    <row r="58" spans="1:4" x14ac:dyDescent="0.2">
      <c r="A58" s="98" t="s">
        <v>149</v>
      </c>
      <c r="B58" s="164">
        <f>B45-B57</f>
        <v>0</v>
      </c>
      <c r="C58" s="164">
        <f>C45-C57</f>
        <v>0</v>
      </c>
      <c r="D58" s="164">
        <f>D45-D57</f>
        <v>0</v>
      </c>
    </row>
    <row r="59" spans="1:4" x14ac:dyDescent="0.2">
      <c r="A59" s="120" t="str">
        <f>CONCATENATE("",D1-2,"/",D1-1,"/",D1," Budget Authority Amount:")</f>
        <v>2023/2024/2025 Budget Authority Amount:</v>
      </c>
      <c r="B59" s="214">
        <f>inputOth!B64</f>
        <v>0</v>
      </c>
      <c r="C59" s="214">
        <f>inputPrYr!D52</f>
        <v>0</v>
      </c>
      <c r="D59" s="401">
        <f>D57</f>
        <v>0</v>
      </c>
    </row>
    <row r="60" spans="1:4" x14ac:dyDescent="0.2">
      <c r="A60" s="182"/>
      <c r="B60" s="207" t="str">
        <f>IF(B57&gt;B59,"See Tab A","")</f>
        <v/>
      </c>
      <c r="C60" s="207" t="str">
        <f>IF(C57&gt;C59,"See Tab C","")</f>
        <v/>
      </c>
      <c r="D60" s="403" t="str">
        <f>IF($D$58&lt;0,"See Tab E","")</f>
        <v/>
      </c>
    </row>
    <row r="61" spans="1:4" x14ac:dyDescent="0.2">
      <c r="A61" s="468" t="s">
        <v>380</v>
      </c>
      <c r="B61" s="403"/>
      <c r="C61" s="403"/>
      <c r="D61" s="463"/>
    </row>
    <row r="62" spans="1:4" x14ac:dyDescent="0.2">
      <c r="A62" s="464"/>
      <c r="B62" s="207" t="str">
        <f>IF(B58&lt;0,"See Tab B","")</f>
        <v/>
      </c>
      <c r="C62" s="207" t="str">
        <f>IF(C58&lt;0,"See Tab D","")</f>
        <v/>
      </c>
      <c r="D62" s="114"/>
    </row>
    <row r="63" spans="1:4" x14ac:dyDescent="0.2">
      <c r="A63" s="466"/>
      <c r="B63" s="467"/>
      <c r="C63" s="467"/>
      <c r="D63" s="60"/>
    </row>
    <row r="64" spans="1:4" x14ac:dyDescent="0.2">
      <c r="A64" s="32"/>
      <c r="B64" s="32"/>
      <c r="C64" s="32"/>
      <c r="D64" s="32"/>
    </row>
    <row r="65" spans="1:4" x14ac:dyDescent="0.2">
      <c r="A65" s="182" t="s">
        <v>96</v>
      </c>
      <c r="B65" s="428"/>
      <c r="C65" s="32"/>
      <c r="D65" s="32"/>
    </row>
  </sheetData>
  <sheetProtection sheet="1"/>
  <phoneticPr fontId="0" type="noConversion"/>
  <conditionalFormatting sqref="B12">
    <cfRule type="cellIs" dxfId="28" priority="14" stopIfTrue="1" operator="greaterThan">
      <formula>$B$14*0.1</formula>
    </cfRule>
  </conditionalFormatting>
  <conditionalFormatting sqref="B25">
    <cfRule type="cellIs" dxfId="27" priority="11" stopIfTrue="1" operator="greaterThan">
      <formula>$B$27*0.1</formula>
    </cfRule>
  </conditionalFormatting>
  <conditionalFormatting sqref="B42">
    <cfRule type="cellIs" dxfId="26" priority="5" stopIfTrue="1" operator="greaterThan">
      <formula>$B$44*0.1</formula>
    </cfRule>
  </conditionalFormatting>
  <conditionalFormatting sqref="B55">
    <cfRule type="cellIs" dxfId="25" priority="8" stopIfTrue="1" operator="greaterThan">
      <formula>$B$57*0.1</formula>
    </cfRule>
  </conditionalFormatting>
  <conditionalFormatting sqref="C12">
    <cfRule type="cellIs" dxfId="24" priority="15" stopIfTrue="1" operator="greaterThan">
      <formula>$C$14*0.1</formula>
    </cfRule>
  </conditionalFormatting>
  <conditionalFormatting sqref="C25">
    <cfRule type="cellIs" dxfId="23" priority="12" stopIfTrue="1" operator="greaterThan">
      <formula>$C$27*0.1</formula>
    </cfRule>
  </conditionalFormatting>
  <conditionalFormatting sqref="C42">
    <cfRule type="cellIs" dxfId="22" priority="6" stopIfTrue="1" operator="greaterThan">
      <formula>$C$44*0.1</formula>
    </cfRule>
  </conditionalFormatting>
  <conditionalFormatting sqref="C55">
    <cfRule type="cellIs" dxfId="21" priority="9" stopIfTrue="1" operator="greaterThan">
      <formula>$C$57*0.1</formula>
    </cfRule>
  </conditionalFormatting>
  <conditionalFormatting sqref="D12">
    <cfRule type="cellIs" dxfId="20" priority="16" stopIfTrue="1" operator="greaterThan">
      <formula>$D$14*0.1</formula>
    </cfRule>
  </conditionalFormatting>
  <conditionalFormatting sqref="D25">
    <cfRule type="cellIs" dxfId="19" priority="13" stopIfTrue="1" operator="greaterThan">
      <formula>$D$27*0.1</formula>
    </cfRule>
  </conditionalFormatting>
  <conditionalFormatting sqref="D42">
    <cfRule type="cellIs" dxfId="18" priority="7" stopIfTrue="1" operator="greaterThan">
      <formula>$D$44*0.1</formula>
    </cfRule>
  </conditionalFormatting>
  <conditionalFormatting sqref="D55">
    <cfRule type="cellIs" dxfId="17" priority="10" stopIfTrue="1" operator="greaterThan">
      <formula>$D$57*0.1</formula>
    </cfRule>
  </conditionalFormatting>
  <pageMargins left="1.1200000000000001" right="0.5" top="0.74" bottom="0.34" header="0.5" footer="0"/>
  <pageSetup scale="75" orientation="portrait" blackAndWhite="1" horizontalDpi="120" verticalDpi="144" r:id="rId1"/>
  <headerFooter alignWithMargins="0">
    <oddHeader xml:space="preserve">&amp;RState of Kansas
County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rgb="FF00B0F0"/>
    <pageSetUpPr fitToPage="1"/>
  </sheetPr>
  <dimension ref="A1:D65"/>
  <sheetViews>
    <sheetView workbookViewId="0">
      <selection activeCell="E19" sqref="E19"/>
    </sheetView>
  </sheetViews>
  <sheetFormatPr defaultRowHeight="15.75" x14ac:dyDescent="0.2"/>
  <cols>
    <col min="1" max="1" width="31.109375" style="27" customWidth="1"/>
    <col min="2" max="3" width="15.77734375" style="27" customWidth="1"/>
    <col min="4" max="4" width="16.33203125" style="27" customWidth="1"/>
    <col min="5" max="16384" width="8.88671875" style="27"/>
  </cols>
  <sheetData>
    <row r="1" spans="1:4" x14ac:dyDescent="0.2">
      <c r="A1" s="73">
        <f>(inputPrYr!C3)</f>
        <v>0</v>
      </c>
      <c r="B1" s="32"/>
      <c r="C1" s="32"/>
      <c r="D1" s="182">
        <f>inputPrYr!C5</f>
        <v>2025</v>
      </c>
    </row>
    <row r="2" spans="1:4" x14ac:dyDescent="0.2">
      <c r="A2" s="133"/>
      <c r="B2" s="208"/>
      <c r="C2" s="208"/>
      <c r="D2" s="209"/>
    </row>
    <row r="3" spans="1:4" x14ac:dyDescent="0.2">
      <c r="A3" s="133" t="s">
        <v>139</v>
      </c>
      <c r="B3" s="91"/>
      <c r="C3" s="91"/>
      <c r="D3" s="91"/>
    </row>
    <row r="4" spans="1:4" x14ac:dyDescent="0.2">
      <c r="A4" s="31" t="s">
        <v>30</v>
      </c>
      <c r="B4" s="353" t="s">
        <v>346</v>
      </c>
      <c r="C4" s="354" t="s">
        <v>347</v>
      </c>
      <c r="D4" s="95" t="s">
        <v>348</v>
      </c>
    </row>
    <row r="5" spans="1:4" x14ac:dyDescent="0.2">
      <c r="A5" s="296">
        <f>inputPrYr!$B$53</f>
        <v>0</v>
      </c>
      <c r="B5" s="283" t="str">
        <f>CONCATENATE("Actual for ",D1-2,"")</f>
        <v>Actual for 2023</v>
      </c>
      <c r="C5" s="283" t="str">
        <f>CONCATENATE("Estimate for ",D1-1,"")</f>
        <v>Estimate for 2024</v>
      </c>
      <c r="D5" s="190" t="str">
        <f>CONCATENATE("Year for ",D1,"")</f>
        <v>Year for 2025</v>
      </c>
    </row>
    <row r="6" spans="1:4" x14ac:dyDescent="0.2">
      <c r="A6" s="98" t="s">
        <v>148</v>
      </c>
      <c r="B6" s="51"/>
      <c r="C6" s="164">
        <f>B28</f>
        <v>0</v>
      </c>
      <c r="D6" s="164">
        <f>C28</f>
        <v>0</v>
      </c>
    </row>
    <row r="7" spans="1:4" x14ac:dyDescent="0.2">
      <c r="A7" s="116" t="s">
        <v>150</v>
      </c>
      <c r="B7" s="108"/>
      <c r="C7" s="108"/>
      <c r="D7" s="108"/>
    </row>
    <row r="8" spans="1:4" x14ac:dyDescent="0.2">
      <c r="A8" s="205"/>
      <c r="B8" s="51"/>
      <c r="C8" s="51"/>
      <c r="D8" s="51"/>
    </row>
    <row r="9" spans="1:4" x14ac:dyDescent="0.2">
      <c r="A9" s="205"/>
      <c r="B9" s="51"/>
      <c r="C9" s="51"/>
      <c r="D9" s="51"/>
    </row>
    <row r="10" spans="1:4" x14ac:dyDescent="0.2">
      <c r="A10" s="205"/>
      <c r="B10" s="51"/>
      <c r="C10" s="51"/>
      <c r="D10" s="51"/>
    </row>
    <row r="11" spans="1:4" x14ac:dyDescent="0.2">
      <c r="A11" s="195" t="s">
        <v>38</v>
      </c>
      <c r="B11" s="51"/>
      <c r="C11" s="51"/>
      <c r="D11" s="51"/>
    </row>
    <row r="12" spans="1:4" x14ac:dyDescent="0.2">
      <c r="A12" s="196" t="s">
        <v>219</v>
      </c>
      <c r="B12" s="51"/>
      <c r="C12" s="211"/>
      <c r="D12" s="211"/>
    </row>
    <row r="13" spans="1:4" x14ac:dyDescent="0.2">
      <c r="A13" s="196" t="s">
        <v>317</v>
      </c>
      <c r="B13" s="290" t="str">
        <f>IF(B14*0.1&lt;B12,"Exceed 10% Rule","")</f>
        <v/>
      </c>
      <c r="C13" s="197" t="str">
        <f>IF(C14*0.1&lt;C12,"Exceed 10% Rule","")</f>
        <v/>
      </c>
      <c r="D13" s="197" t="str">
        <f>IF(D14*0.1&lt;D12,"Exceed 10% Rule","")</f>
        <v/>
      </c>
    </row>
    <row r="14" spans="1:4" x14ac:dyDescent="0.2">
      <c r="A14" s="198" t="s">
        <v>39</v>
      </c>
      <c r="B14" s="229">
        <f>SUM(B8:B12)</f>
        <v>0</v>
      </c>
      <c r="C14" s="229">
        <f>SUM(C8:C12)</f>
        <v>0</v>
      </c>
      <c r="D14" s="229">
        <f>SUM(D8:D12)</f>
        <v>0</v>
      </c>
    </row>
    <row r="15" spans="1:4" x14ac:dyDescent="0.2">
      <c r="A15" s="198" t="s">
        <v>40</v>
      </c>
      <c r="B15" s="229">
        <f>B14+B6</f>
        <v>0</v>
      </c>
      <c r="C15" s="229">
        <f>C14+C6</f>
        <v>0</v>
      </c>
      <c r="D15" s="229">
        <f>D14+D6</f>
        <v>0</v>
      </c>
    </row>
    <row r="16" spans="1:4" x14ac:dyDescent="0.2">
      <c r="A16" s="98" t="s">
        <v>43</v>
      </c>
      <c r="B16" s="164"/>
      <c r="C16" s="164"/>
      <c r="D16" s="164"/>
    </row>
    <row r="17" spans="1:4" x14ac:dyDescent="0.2">
      <c r="A17" s="205"/>
      <c r="B17" s="51"/>
      <c r="C17" s="51"/>
      <c r="D17" s="51"/>
    </row>
    <row r="18" spans="1:4" x14ac:dyDescent="0.2">
      <c r="A18" s="205"/>
      <c r="B18" s="51"/>
      <c r="C18" s="51"/>
      <c r="D18" s="51"/>
    </row>
    <row r="19" spans="1:4" x14ac:dyDescent="0.2">
      <c r="A19" s="205"/>
      <c r="B19" s="51"/>
      <c r="C19" s="51"/>
      <c r="D19" s="51"/>
    </row>
    <row r="20" spans="1:4" x14ac:dyDescent="0.2">
      <c r="A20" s="205"/>
      <c r="B20" s="51"/>
      <c r="C20" s="51"/>
      <c r="D20" s="51"/>
    </row>
    <row r="21" spans="1:4" x14ac:dyDescent="0.2">
      <c r="A21" s="205"/>
      <c r="B21" s="51"/>
      <c r="C21" s="51"/>
      <c r="D21" s="51"/>
    </row>
    <row r="22" spans="1:4" x14ac:dyDescent="0.2">
      <c r="A22" s="205"/>
      <c r="B22" s="51"/>
      <c r="C22" s="51"/>
      <c r="D22" s="51"/>
    </row>
    <row r="23" spans="1:4" x14ac:dyDescent="0.2">
      <c r="A23" s="205"/>
      <c r="B23" s="51"/>
      <c r="C23" s="51"/>
      <c r="D23" s="51"/>
    </row>
    <row r="24" spans="1:4" x14ac:dyDescent="0.2">
      <c r="A24" s="196" t="str">
        <f>CONCATENATE("Cash Reserve (",D1," column)")</f>
        <v>Cash Reserve (2025 column)</v>
      </c>
      <c r="B24" s="51"/>
      <c r="C24" s="51"/>
      <c r="D24" s="51"/>
    </row>
    <row r="25" spans="1:4" x14ac:dyDescent="0.2">
      <c r="A25" s="196" t="s">
        <v>219</v>
      </c>
      <c r="B25" s="51"/>
      <c r="C25" s="211"/>
      <c r="D25" s="211"/>
    </row>
    <row r="26" spans="1:4" x14ac:dyDescent="0.2">
      <c r="A26" s="196" t="s">
        <v>318</v>
      </c>
      <c r="B26" s="290" t="str">
        <f>IF(B27*0.1&lt;B25,"Exceed 10% Rule","")</f>
        <v/>
      </c>
      <c r="C26" s="197" t="str">
        <f>IF(C27*0.1&lt;C25,"Exceed 10% Rule","")</f>
        <v/>
      </c>
      <c r="D26" s="197" t="str">
        <f>IF(D27*0.1&lt;D25,"Exceed 10% Rule","")</f>
        <v/>
      </c>
    </row>
    <row r="27" spans="1:4" x14ac:dyDescent="0.2">
      <c r="A27" s="198" t="s">
        <v>44</v>
      </c>
      <c r="B27" s="229">
        <f>SUM(B17:B25)</f>
        <v>0</v>
      </c>
      <c r="C27" s="229">
        <f>SUM(C17:C25)</f>
        <v>0</v>
      </c>
      <c r="D27" s="229">
        <f>SUM(D17:D25)</f>
        <v>0</v>
      </c>
    </row>
    <row r="28" spans="1:4" x14ac:dyDescent="0.2">
      <c r="A28" s="98" t="s">
        <v>149</v>
      </c>
      <c r="B28" s="164">
        <f>B15-B27</f>
        <v>0</v>
      </c>
      <c r="C28" s="164">
        <f>C15-C27</f>
        <v>0</v>
      </c>
      <c r="D28" s="164">
        <f>D15-D27</f>
        <v>0</v>
      </c>
    </row>
    <row r="29" spans="1:4" x14ac:dyDescent="0.2">
      <c r="A29" s="120" t="str">
        <f>CONCATENATE("",D1-2,"/",D1-1,"/",D1," Budget Authority Amount:")</f>
        <v>2023/2024/2025 Budget Authority Amount:</v>
      </c>
      <c r="B29" s="214">
        <f>inputOth!B65</f>
        <v>0</v>
      </c>
      <c r="C29" s="214">
        <f>inputPrYr!D53</f>
        <v>0</v>
      </c>
      <c r="D29" s="401">
        <f>D27</f>
        <v>0</v>
      </c>
    </row>
    <row r="30" spans="1:4" x14ac:dyDescent="0.2">
      <c r="A30" s="182"/>
      <c r="B30" s="207" t="str">
        <f>IF(B27&gt;B29,"See Tab A","")</f>
        <v/>
      </c>
      <c r="C30" s="207" t="str">
        <f>IF(C27&gt;C29,"See Tab C","")</f>
        <v/>
      </c>
      <c r="D30" s="402" t="str">
        <f>IF($D$28&lt;0,"See Tab E","")</f>
        <v/>
      </c>
    </row>
    <row r="31" spans="1:4" x14ac:dyDescent="0.2">
      <c r="A31" s="182"/>
      <c r="B31" s="207" t="str">
        <f>IF(B28&lt;0,"See Tab B","")</f>
        <v/>
      </c>
      <c r="C31" s="207" t="str">
        <f>IF(C28&lt;0,"See Tab D","")</f>
        <v/>
      </c>
      <c r="D31" s="56"/>
    </row>
    <row r="32" spans="1:4" x14ac:dyDescent="0.2">
      <c r="A32" s="32"/>
      <c r="B32" s="56"/>
      <c r="C32" s="56"/>
      <c r="D32" s="56"/>
    </row>
    <row r="33" spans="1:4" x14ac:dyDescent="0.2">
      <c r="A33" s="31"/>
      <c r="B33" s="91"/>
      <c r="C33" s="91"/>
      <c r="D33" s="91"/>
    </row>
    <row r="34" spans="1:4" x14ac:dyDescent="0.2">
      <c r="A34" s="31" t="s">
        <v>30</v>
      </c>
      <c r="B34" s="220" t="str">
        <f t="shared" ref="B34:D35" si="0">B4</f>
        <v xml:space="preserve">Prior Year </v>
      </c>
      <c r="C34" s="95" t="str">
        <f t="shared" si="0"/>
        <v xml:space="preserve">Current Year </v>
      </c>
      <c r="D34" s="95" t="str">
        <f t="shared" si="0"/>
        <v xml:space="preserve">Proposed Budget </v>
      </c>
    </row>
    <row r="35" spans="1:4" x14ac:dyDescent="0.2">
      <c r="A35" s="296">
        <f>inputPrYr!$B$54</f>
        <v>0</v>
      </c>
      <c r="B35" s="162" t="str">
        <f t="shared" si="0"/>
        <v>Actual for 2023</v>
      </c>
      <c r="C35" s="162" t="str">
        <f t="shared" si="0"/>
        <v>Estimate for 2024</v>
      </c>
      <c r="D35" s="162" t="str">
        <f t="shared" si="0"/>
        <v>Year for 2025</v>
      </c>
    </row>
    <row r="36" spans="1:4" x14ac:dyDescent="0.2">
      <c r="A36" s="98" t="s">
        <v>148</v>
      </c>
      <c r="B36" s="51"/>
      <c r="C36" s="164">
        <f>B58</f>
        <v>0</v>
      </c>
      <c r="D36" s="164">
        <f>C58</f>
        <v>0</v>
      </c>
    </row>
    <row r="37" spans="1:4" x14ac:dyDescent="0.2">
      <c r="A37" s="98" t="s">
        <v>150</v>
      </c>
      <c r="B37" s="108"/>
      <c r="C37" s="108"/>
      <c r="D37" s="108"/>
    </row>
    <row r="38" spans="1:4" x14ac:dyDescent="0.2">
      <c r="A38" s="205"/>
      <c r="B38" s="51"/>
      <c r="C38" s="51"/>
      <c r="D38" s="51"/>
    </row>
    <row r="39" spans="1:4" x14ac:dyDescent="0.2">
      <c r="A39" s="205"/>
      <c r="B39" s="51"/>
      <c r="C39" s="51"/>
      <c r="D39" s="51"/>
    </row>
    <row r="40" spans="1:4" x14ac:dyDescent="0.2">
      <c r="A40" s="205"/>
      <c r="B40" s="51"/>
      <c r="C40" s="51"/>
      <c r="D40" s="51"/>
    </row>
    <row r="41" spans="1:4" x14ac:dyDescent="0.2">
      <c r="A41" s="195" t="s">
        <v>38</v>
      </c>
      <c r="B41" s="51"/>
      <c r="C41" s="51"/>
      <c r="D41" s="51"/>
    </row>
    <row r="42" spans="1:4" x14ac:dyDescent="0.2">
      <c r="A42" s="196" t="s">
        <v>219</v>
      </c>
      <c r="B42" s="51"/>
      <c r="C42" s="211"/>
      <c r="D42" s="211"/>
    </row>
    <row r="43" spans="1:4" x14ac:dyDescent="0.2">
      <c r="A43" s="196" t="s">
        <v>317</v>
      </c>
      <c r="B43" s="290" t="str">
        <f>IF(B44*0.1&lt;B42,"Exceed 10% Rule","")</f>
        <v/>
      </c>
      <c r="C43" s="197" t="str">
        <f>IF(C44*0.1&lt;C42,"Exceed 10% Rule","")</f>
        <v/>
      </c>
      <c r="D43" s="197" t="str">
        <f>IF(D44*0.1&lt;D42,"Exceed 10% Rule","")</f>
        <v/>
      </c>
    </row>
    <row r="44" spans="1:4" x14ac:dyDescent="0.2">
      <c r="A44" s="198" t="s">
        <v>39</v>
      </c>
      <c r="B44" s="229">
        <f>SUM(B38:B42)</f>
        <v>0</v>
      </c>
      <c r="C44" s="229">
        <f>SUM(C38:C42)</f>
        <v>0</v>
      </c>
      <c r="D44" s="229">
        <f>SUM(D38:D42)</f>
        <v>0</v>
      </c>
    </row>
    <row r="45" spans="1:4" x14ac:dyDescent="0.2">
      <c r="A45" s="198" t="s">
        <v>40</v>
      </c>
      <c r="B45" s="229">
        <f>B36+B44</f>
        <v>0</v>
      </c>
      <c r="C45" s="229">
        <f>C36+C44</f>
        <v>0</v>
      </c>
      <c r="D45" s="229">
        <f>D36+D44</f>
        <v>0</v>
      </c>
    </row>
    <row r="46" spans="1:4" x14ac:dyDescent="0.2">
      <c r="A46" s="98" t="s">
        <v>43</v>
      </c>
      <c r="B46" s="164"/>
      <c r="C46" s="164"/>
      <c r="D46" s="164"/>
    </row>
    <row r="47" spans="1:4" x14ac:dyDescent="0.2">
      <c r="A47" s="205"/>
      <c r="B47" s="51"/>
      <c r="C47" s="51"/>
      <c r="D47" s="51"/>
    </row>
    <row r="48" spans="1:4" x14ac:dyDescent="0.2">
      <c r="A48" s="205"/>
      <c r="B48" s="51"/>
      <c r="C48" s="51"/>
      <c r="D48" s="51"/>
    </row>
    <row r="49" spans="1:4" x14ac:dyDescent="0.2">
      <c r="A49" s="205"/>
      <c r="B49" s="51"/>
      <c r="C49" s="51"/>
      <c r="D49" s="51"/>
    </row>
    <row r="50" spans="1:4" x14ac:dyDescent="0.2">
      <c r="A50" s="205"/>
      <c r="B50" s="51"/>
      <c r="C50" s="51"/>
      <c r="D50" s="51"/>
    </row>
    <row r="51" spans="1:4" x14ac:dyDescent="0.2">
      <c r="A51" s="205"/>
      <c r="B51" s="51"/>
      <c r="C51" s="51"/>
      <c r="D51" s="51"/>
    </row>
    <row r="52" spans="1:4" x14ac:dyDescent="0.2">
      <c r="A52" s="205"/>
      <c r="B52" s="51"/>
      <c r="C52" s="51"/>
      <c r="D52" s="51"/>
    </row>
    <row r="53" spans="1:4" x14ac:dyDescent="0.2">
      <c r="A53" s="205"/>
      <c r="B53" s="51"/>
      <c r="C53" s="51"/>
      <c r="D53" s="51"/>
    </row>
    <row r="54" spans="1:4" x14ac:dyDescent="0.2">
      <c r="A54" s="196" t="str">
        <f>CONCATENATE("Cash Reserve (",D1," column)")</f>
        <v>Cash Reserve (2025 column)</v>
      </c>
      <c r="B54" s="51"/>
      <c r="C54" s="51"/>
      <c r="D54" s="51"/>
    </row>
    <row r="55" spans="1:4" x14ac:dyDescent="0.2">
      <c r="A55" s="196" t="s">
        <v>219</v>
      </c>
      <c r="B55" s="51"/>
      <c r="C55" s="211"/>
      <c r="D55" s="211"/>
    </row>
    <row r="56" spans="1:4" x14ac:dyDescent="0.2">
      <c r="A56" s="196" t="s">
        <v>318</v>
      </c>
      <c r="B56" s="290" t="str">
        <f>IF(B57*0.1&lt;B55,"Exceed 10% Rule","")</f>
        <v/>
      </c>
      <c r="C56" s="197" t="str">
        <f>IF(C57*0.1&lt;C55,"Exceed 10% Rule","")</f>
        <v/>
      </c>
      <c r="D56" s="197" t="str">
        <f>IF(D57*0.1&lt;D55,"Exceed 10% Rule","")</f>
        <v/>
      </c>
    </row>
    <row r="57" spans="1:4" x14ac:dyDescent="0.2">
      <c r="A57" s="198" t="s">
        <v>44</v>
      </c>
      <c r="B57" s="229">
        <f>SUM(B47:B55)</f>
        <v>0</v>
      </c>
      <c r="C57" s="229">
        <f>SUM(C47:C55)</f>
        <v>0</v>
      </c>
      <c r="D57" s="229">
        <f>SUM(D47:D55)</f>
        <v>0</v>
      </c>
    </row>
    <row r="58" spans="1:4" x14ac:dyDescent="0.2">
      <c r="A58" s="98" t="s">
        <v>149</v>
      </c>
      <c r="B58" s="164">
        <f>B45-B57</f>
        <v>0</v>
      </c>
      <c r="C58" s="164">
        <f>C45-C57</f>
        <v>0</v>
      </c>
      <c r="D58" s="164">
        <f>D45-D57</f>
        <v>0</v>
      </c>
    </row>
    <row r="59" spans="1:4" x14ac:dyDescent="0.2">
      <c r="A59" s="120" t="str">
        <f>CONCATENATE("",D1-2,"/",D1-1,"/",D1," Budget Authority Amount:")</f>
        <v>2023/2024/2025 Budget Authority Amount:</v>
      </c>
      <c r="B59" s="214">
        <f>inputOth!B66</f>
        <v>0</v>
      </c>
      <c r="C59" s="214">
        <f>inputPrYr!D54</f>
        <v>0</v>
      </c>
      <c r="D59" s="401">
        <f>D57</f>
        <v>0</v>
      </c>
    </row>
    <row r="60" spans="1:4" x14ac:dyDescent="0.2">
      <c r="A60" s="182"/>
      <c r="B60" s="207" t="str">
        <f>IF(B57&gt;B59,"See Tab A","")</f>
        <v/>
      </c>
      <c r="C60" s="207" t="str">
        <f>IF(C57&gt;C59,"See Tab C","")</f>
        <v/>
      </c>
      <c r="D60" s="403" t="str">
        <f>IF($D$58&lt;0,"See Tab E","")</f>
        <v/>
      </c>
    </row>
    <row r="61" spans="1:4" x14ac:dyDescent="0.2">
      <c r="A61" s="468" t="s">
        <v>380</v>
      </c>
      <c r="B61" s="403"/>
      <c r="C61" s="403"/>
      <c r="D61" s="463"/>
    </row>
    <row r="62" spans="1:4" x14ac:dyDescent="0.2">
      <c r="A62" s="464"/>
      <c r="B62" s="207"/>
      <c r="C62" s="207"/>
      <c r="D62" s="465"/>
    </row>
    <row r="63" spans="1:4" x14ac:dyDescent="0.2">
      <c r="A63" s="466"/>
      <c r="B63" s="467" t="str">
        <f>IF(B58&lt;0,"See Tab B","")</f>
        <v/>
      </c>
      <c r="C63" s="467" t="str">
        <f>IF(C58&lt;0,"See Tab D","")</f>
        <v/>
      </c>
      <c r="D63" s="60"/>
    </row>
    <row r="64" spans="1:4" x14ac:dyDescent="0.2">
      <c r="A64" s="32"/>
      <c r="B64" s="32"/>
      <c r="C64" s="32"/>
      <c r="D64" s="32"/>
    </row>
    <row r="65" spans="1:4" x14ac:dyDescent="0.2">
      <c r="A65" s="182" t="s">
        <v>96</v>
      </c>
      <c r="B65" s="428"/>
      <c r="C65" s="32"/>
      <c r="D65" s="32"/>
    </row>
  </sheetData>
  <sheetProtection sheet="1"/>
  <phoneticPr fontId="0" type="noConversion"/>
  <conditionalFormatting sqref="B12">
    <cfRule type="cellIs" dxfId="16" priority="12" stopIfTrue="1" operator="greaterThan">
      <formula>$B$14*0.1</formula>
    </cfRule>
  </conditionalFormatting>
  <conditionalFormatting sqref="B25">
    <cfRule type="cellIs" dxfId="15" priority="9" stopIfTrue="1" operator="greaterThan">
      <formula>$B$27*0.1</formula>
    </cfRule>
  </conditionalFormatting>
  <conditionalFormatting sqref="B42">
    <cfRule type="cellIs" dxfId="14" priority="3" stopIfTrue="1" operator="greaterThan">
      <formula>$B$44*0.1</formula>
    </cfRule>
  </conditionalFormatting>
  <conditionalFormatting sqref="B55">
    <cfRule type="cellIs" dxfId="13" priority="6" stopIfTrue="1" operator="greaterThan">
      <formula>$B$57*0.1</formula>
    </cfRule>
  </conditionalFormatting>
  <conditionalFormatting sqref="C12">
    <cfRule type="cellIs" dxfId="12" priority="13" stopIfTrue="1" operator="greaterThan">
      <formula>$C$14*0.1</formula>
    </cfRule>
  </conditionalFormatting>
  <conditionalFormatting sqref="C25">
    <cfRule type="cellIs" dxfId="11" priority="10" stopIfTrue="1" operator="greaterThan">
      <formula>$C$27*0.1</formula>
    </cfRule>
  </conditionalFormatting>
  <conditionalFormatting sqref="C42">
    <cfRule type="cellIs" dxfId="10" priority="4" stopIfTrue="1" operator="greaterThan">
      <formula>$C$44*0.1</formula>
    </cfRule>
  </conditionalFormatting>
  <conditionalFormatting sqref="C55">
    <cfRule type="cellIs" dxfId="9" priority="7" stopIfTrue="1" operator="greaterThan">
      <formula>$C$57*0.1</formula>
    </cfRule>
  </conditionalFormatting>
  <conditionalFormatting sqref="D12">
    <cfRule type="cellIs" dxfId="8" priority="14" stopIfTrue="1" operator="greaterThan">
      <formula>$D$14*0.1</formula>
    </cfRule>
  </conditionalFormatting>
  <conditionalFormatting sqref="D25">
    <cfRule type="cellIs" dxfId="7" priority="11" stopIfTrue="1" operator="greaterThan">
      <formula>$D$27*0.1</formula>
    </cfRule>
  </conditionalFormatting>
  <conditionalFormatting sqref="D42">
    <cfRule type="cellIs" dxfId="6" priority="5" stopIfTrue="1" operator="greaterThan">
      <formula>$D$44*0.1</formula>
    </cfRule>
  </conditionalFormatting>
  <conditionalFormatting sqref="D55">
    <cfRule type="cellIs" dxfId="5" priority="8" stopIfTrue="1" operator="greaterThan">
      <formula>$D$57*0.1</formula>
    </cfRule>
  </conditionalFormatting>
  <pageMargins left="1.1200000000000001" right="0.5" top="0.74" bottom="0.34" header="0.5" footer="0"/>
  <pageSetup scale="76" orientation="portrait" blackAndWhite="1" horizontalDpi="120" verticalDpi="144" r:id="rId1"/>
  <headerFooter alignWithMargins="0">
    <oddHeader xml:space="preserve">&amp;RState of Kansas
County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tabColor rgb="FF00B0F0"/>
    <pageSetUpPr fitToPage="1"/>
  </sheetPr>
  <dimension ref="A1:L45"/>
  <sheetViews>
    <sheetView workbookViewId="0">
      <selection activeCell="L1" sqref="L1"/>
    </sheetView>
  </sheetViews>
  <sheetFormatPr defaultRowHeight="15" customHeight="1" x14ac:dyDescent="0.2"/>
  <cols>
    <col min="1" max="1" width="11.5546875" style="27" customWidth="1"/>
    <col min="2" max="2" width="7.44140625" style="27" customWidth="1"/>
    <col min="3" max="3" width="11.5546875" style="27" customWidth="1"/>
    <col min="4" max="4" width="7.44140625" style="27" customWidth="1"/>
    <col min="5" max="5" width="11.5546875" style="27" customWidth="1"/>
    <col min="6" max="6" width="7.44140625" style="27" customWidth="1"/>
    <col min="7" max="7" width="11.5546875" style="27" customWidth="1"/>
    <col min="8" max="8" width="7.44140625" style="27" customWidth="1"/>
    <col min="9" max="9" width="11.5546875" style="27" customWidth="1"/>
    <col min="10" max="16384" width="8.88671875" style="27"/>
  </cols>
  <sheetData>
    <row r="1" spans="1:11" ht="15" customHeight="1" x14ac:dyDescent="0.2">
      <c r="A1" s="73">
        <f>inputPrYr!$C$3</f>
        <v>0</v>
      </c>
      <c r="B1" s="40"/>
      <c r="C1" s="32"/>
      <c r="D1" s="32"/>
      <c r="E1" s="32"/>
      <c r="F1" s="132" t="s">
        <v>208</v>
      </c>
      <c r="G1" s="32"/>
      <c r="H1" s="32"/>
      <c r="I1" s="32"/>
      <c r="J1" s="32"/>
      <c r="K1" s="32">
        <f>inputPrYr!$C$5</f>
        <v>2025</v>
      </c>
    </row>
    <row r="2" spans="1:11" ht="15" customHeight="1" x14ac:dyDescent="0.2">
      <c r="A2" s="32"/>
      <c r="B2" s="32"/>
      <c r="C2" s="32"/>
      <c r="D2" s="32"/>
      <c r="E2" s="32"/>
      <c r="F2" s="230" t="str">
        <f>CONCATENATE("(Only the actual budget year for ",K1-2," is reported)")</f>
        <v>(Only the actual budget year for 2023 is reported)</v>
      </c>
      <c r="G2" s="32"/>
      <c r="H2" s="32"/>
      <c r="I2" s="32"/>
      <c r="J2" s="32"/>
      <c r="K2" s="32"/>
    </row>
    <row r="3" spans="1:11" ht="15" customHeight="1" x14ac:dyDescent="0.2">
      <c r="A3" s="32" t="s">
        <v>198</v>
      </c>
      <c r="B3" s="32"/>
      <c r="C3" s="32"/>
      <c r="D3" s="32"/>
      <c r="E3" s="32"/>
      <c r="F3" s="40"/>
      <c r="G3" s="32"/>
      <c r="H3" s="32"/>
      <c r="I3" s="32"/>
      <c r="J3" s="32"/>
      <c r="K3" s="32"/>
    </row>
    <row r="4" spans="1:11" ht="15" customHeight="1" x14ac:dyDescent="0.2">
      <c r="A4" s="32" t="s">
        <v>191</v>
      </c>
      <c r="B4" s="32"/>
      <c r="C4" s="32" t="s">
        <v>192</v>
      </c>
      <c r="D4" s="32"/>
      <c r="E4" s="32" t="s">
        <v>193</v>
      </c>
      <c r="F4" s="40"/>
      <c r="G4" s="32" t="s">
        <v>194</v>
      </c>
      <c r="H4" s="32"/>
      <c r="I4" s="32" t="s">
        <v>195</v>
      </c>
      <c r="J4" s="32"/>
      <c r="K4" s="32"/>
    </row>
    <row r="5" spans="1:11" ht="15" customHeight="1" x14ac:dyDescent="0.2">
      <c r="A5" s="678">
        <f>inputPrYr!B58</f>
        <v>0</v>
      </c>
      <c r="B5" s="679"/>
      <c r="C5" s="678">
        <f>inputPrYr!B59</f>
        <v>0</v>
      </c>
      <c r="D5" s="679"/>
      <c r="E5" s="678">
        <f>inputPrYr!B60</f>
        <v>0</v>
      </c>
      <c r="F5" s="679"/>
      <c r="G5" s="678">
        <f>inputPrYr!B61</f>
        <v>0</v>
      </c>
      <c r="H5" s="679"/>
      <c r="I5" s="678">
        <f>inputPrYr!B62</f>
        <v>0</v>
      </c>
      <c r="J5" s="679"/>
      <c r="K5" s="53"/>
    </row>
    <row r="6" spans="1:11" ht="15" customHeight="1" x14ac:dyDescent="0.2">
      <c r="A6" s="232" t="s">
        <v>196</v>
      </c>
      <c r="B6" s="233"/>
      <c r="C6" s="234" t="s">
        <v>196</v>
      </c>
      <c r="D6" s="235"/>
      <c r="E6" s="234" t="s">
        <v>196</v>
      </c>
      <c r="F6" s="231"/>
      <c r="G6" s="234" t="s">
        <v>196</v>
      </c>
      <c r="H6" s="99"/>
      <c r="I6" s="234" t="s">
        <v>196</v>
      </c>
      <c r="J6" s="32"/>
      <c r="K6" s="151" t="s">
        <v>2</v>
      </c>
    </row>
    <row r="7" spans="1:11" ht="15" customHeight="1" x14ac:dyDescent="0.2">
      <c r="A7" s="236" t="s">
        <v>236</v>
      </c>
      <c r="B7" s="237"/>
      <c r="C7" s="238" t="s">
        <v>236</v>
      </c>
      <c r="D7" s="237"/>
      <c r="E7" s="238" t="s">
        <v>236</v>
      </c>
      <c r="F7" s="237"/>
      <c r="G7" s="238" t="s">
        <v>236</v>
      </c>
      <c r="H7" s="237"/>
      <c r="I7" s="238" t="s">
        <v>236</v>
      </c>
      <c r="J7" s="237"/>
      <c r="K7" s="235">
        <f>SUM(B7+D7+F7+H7+J7)</f>
        <v>0</v>
      </c>
    </row>
    <row r="8" spans="1:11" ht="15" customHeight="1" x14ac:dyDescent="0.2">
      <c r="A8" s="239" t="s">
        <v>150</v>
      </c>
      <c r="B8" s="240"/>
      <c r="C8" s="239" t="s">
        <v>150</v>
      </c>
      <c r="D8" s="241"/>
      <c r="E8" s="239" t="s">
        <v>150</v>
      </c>
      <c r="F8" s="40"/>
      <c r="G8" s="239" t="s">
        <v>150</v>
      </c>
      <c r="H8" s="32"/>
      <c r="I8" s="239" t="s">
        <v>150</v>
      </c>
      <c r="J8" s="32"/>
      <c r="K8" s="40"/>
    </row>
    <row r="9" spans="1:11" ht="15" customHeight="1" x14ac:dyDescent="0.2">
      <c r="A9" s="242"/>
      <c r="B9" s="237"/>
      <c r="C9" s="242"/>
      <c r="D9" s="237"/>
      <c r="E9" s="242"/>
      <c r="F9" s="237"/>
      <c r="G9" s="242"/>
      <c r="H9" s="237"/>
      <c r="I9" s="242"/>
      <c r="J9" s="237"/>
      <c r="K9" s="40"/>
    </row>
    <row r="10" spans="1:11" ht="15" customHeight="1" x14ac:dyDescent="0.2">
      <c r="A10" s="242"/>
      <c r="B10" s="237"/>
      <c r="C10" s="242"/>
      <c r="D10" s="237"/>
      <c r="E10" s="242"/>
      <c r="F10" s="237"/>
      <c r="G10" s="242"/>
      <c r="H10" s="237"/>
      <c r="I10" s="242"/>
      <c r="J10" s="237"/>
      <c r="K10" s="40"/>
    </row>
    <row r="11" spans="1:11" ht="15" customHeight="1" x14ac:dyDescent="0.2">
      <c r="A11" s="242"/>
      <c r="B11" s="237"/>
      <c r="C11" s="243"/>
      <c r="D11" s="237"/>
      <c r="E11" s="243"/>
      <c r="F11" s="237"/>
      <c r="G11" s="243"/>
      <c r="H11" s="237"/>
      <c r="I11" s="244"/>
      <c r="J11" s="237"/>
      <c r="K11" s="40"/>
    </row>
    <row r="12" spans="1:11" ht="15" customHeight="1" x14ac:dyDescent="0.2">
      <c r="A12" s="242"/>
      <c r="B12" s="237"/>
      <c r="C12" s="242"/>
      <c r="D12" s="237"/>
      <c r="E12" s="245"/>
      <c r="F12" s="237"/>
      <c r="G12" s="245"/>
      <c r="H12" s="237"/>
      <c r="I12" s="245"/>
      <c r="J12" s="237"/>
      <c r="K12" s="40"/>
    </row>
    <row r="13" spans="1:11" ht="15" customHeight="1" x14ac:dyDescent="0.2">
      <c r="A13" s="246"/>
      <c r="B13" s="237"/>
      <c r="C13" s="247"/>
      <c r="D13" s="237"/>
      <c r="E13" s="247"/>
      <c r="F13" s="237"/>
      <c r="G13" s="247"/>
      <c r="H13" s="237"/>
      <c r="I13" s="244"/>
      <c r="J13" s="237"/>
      <c r="K13" s="40"/>
    </row>
    <row r="14" spans="1:11" ht="15" customHeight="1" x14ac:dyDescent="0.2">
      <c r="A14" s="242"/>
      <c r="B14" s="237"/>
      <c r="C14" s="245"/>
      <c r="D14" s="237"/>
      <c r="E14" s="245"/>
      <c r="F14" s="237"/>
      <c r="G14" s="245"/>
      <c r="H14" s="237"/>
      <c r="I14" s="245"/>
      <c r="J14" s="237"/>
      <c r="K14" s="40"/>
    </row>
    <row r="15" spans="1:11" ht="15" customHeight="1" x14ac:dyDescent="0.2">
      <c r="A15" s="242"/>
      <c r="B15" s="237"/>
      <c r="C15" s="245"/>
      <c r="D15" s="237"/>
      <c r="E15" s="245"/>
      <c r="F15" s="237"/>
      <c r="G15" s="245"/>
      <c r="H15" s="237"/>
      <c r="I15" s="245"/>
      <c r="J15" s="237"/>
      <c r="K15" s="40"/>
    </row>
    <row r="16" spans="1:11" ht="15" customHeight="1" x14ac:dyDescent="0.2">
      <c r="A16" s="242"/>
      <c r="B16" s="237"/>
      <c r="C16" s="242"/>
      <c r="D16" s="237"/>
      <c r="E16" s="242"/>
      <c r="F16" s="237"/>
      <c r="G16" s="245"/>
      <c r="H16" s="237"/>
      <c r="I16" s="242"/>
      <c r="J16" s="237"/>
      <c r="K16" s="40"/>
    </row>
    <row r="17" spans="1:12" ht="15" customHeight="1" x14ac:dyDescent="0.2">
      <c r="A17" s="239" t="s">
        <v>39</v>
      </c>
      <c r="B17" s="235">
        <f>SUM(B9:B16)</f>
        <v>0</v>
      </c>
      <c r="C17" s="239" t="s">
        <v>39</v>
      </c>
      <c r="D17" s="235">
        <f>SUM(D9:D16)</f>
        <v>0</v>
      </c>
      <c r="E17" s="239" t="s">
        <v>39</v>
      </c>
      <c r="F17" s="235">
        <f>SUM(F9:F16)</f>
        <v>0</v>
      </c>
      <c r="G17" s="239" t="s">
        <v>39</v>
      </c>
      <c r="H17" s="235">
        <f>SUM(H9:H16)</f>
        <v>0</v>
      </c>
      <c r="I17" s="239" t="s">
        <v>39</v>
      </c>
      <c r="J17" s="235">
        <f>SUM(J9:J16)</f>
        <v>0</v>
      </c>
      <c r="K17" s="235">
        <f>SUM(B17+D17+F17+H17+J17)</f>
        <v>0</v>
      </c>
    </row>
    <row r="18" spans="1:12" ht="15" customHeight="1" x14ac:dyDescent="0.2">
      <c r="A18" s="239" t="s">
        <v>40</v>
      </c>
      <c r="B18" s="235">
        <f>SUM(B7+B17)</f>
        <v>0</v>
      </c>
      <c r="C18" s="239" t="s">
        <v>40</v>
      </c>
      <c r="D18" s="235">
        <f>SUM(D7+D17)</f>
        <v>0</v>
      </c>
      <c r="E18" s="239" t="s">
        <v>40</v>
      </c>
      <c r="F18" s="235">
        <f>SUM(F7+F17)</f>
        <v>0</v>
      </c>
      <c r="G18" s="239" t="s">
        <v>40</v>
      </c>
      <c r="H18" s="235">
        <f>SUM(H7+H17)</f>
        <v>0</v>
      </c>
      <c r="I18" s="239" t="s">
        <v>40</v>
      </c>
      <c r="J18" s="235">
        <f>SUM(J7+J17)</f>
        <v>0</v>
      </c>
      <c r="K18" s="235">
        <f>SUM(B18+D18+F18+H18+J18)</f>
        <v>0</v>
      </c>
    </row>
    <row r="19" spans="1:12" ht="15" customHeight="1" x14ac:dyDescent="0.2">
      <c r="A19" s="239" t="s">
        <v>43</v>
      </c>
      <c r="B19" s="240"/>
      <c r="C19" s="239" t="s">
        <v>43</v>
      </c>
      <c r="D19" s="241"/>
      <c r="E19" s="239" t="s">
        <v>43</v>
      </c>
      <c r="F19" s="40"/>
      <c r="G19" s="239" t="s">
        <v>43</v>
      </c>
      <c r="H19" s="32"/>
      <c r="I19" s="239" t="s">
        <v>43</v>
      </c>
      <c r="J19" s="32"/>
      <c r="K19" s="40"/>
    </row>
    <row r="20" spans="1:12" ht="15" customHeight="1" x14ac:dyDescent="0.2">
      <c r="A20" s="242"/>
      <c r="B20" s="237"/>
      <c r="C20" s="245"/>
      <c r="D20" s="237"/>
      <c r="E20" s="245"/>
      <c r="F20" s="237"/>
      <c r="G20" s="245"/>
      <c r="H20" s="237"/>
      <c r="I20" s="245"/>
      <c r="J20" s="237"/>
      <c r="K20" s="40"/>
    </row>
    <row r="21" spans="1:12" ht="15" customHeight="1" x14ac:dyDescent="0.2">
      <c r="A21" s="242"/>
      <c r="B21" s="237"/>
      <c r="C21" s="245"/>
      <c r="D21" s="237"/>
      <c r="E21" s="245"/>
      <c r="F21" s="237"/>
      <c r="G21" s="245"/>
      <c r="H21" s="237"/>
      <c r="I21" s="245"/>
      <c r="J21" s="237"/>
      <c r="K21" s="40"/>
    </row>
    <row r="22" spans="1:12" ht="15" customHeight="1" x14ac:dyDescent="0.2">
      <c r="A22" s="242"/>
      <c r="B22" s="237"/>
      <c r="C22" s="247"/>
      <c r="D22" s="237"/>
      <c r="E22" s="247"/>
      <c r="F22" s="237"/>
      <c r="G22" s="247"/>
      <c r="H22" s="237"/>
      <c r="I22" s="244"/>
      <c r="J22" s="237"/>
      <c r="K22" s="40"/>
    </row>
    <row r="23" spans="1:12" ht="15" customHeight="1" x14ac:dyDescent="0.2">
      <c r="A23" s="242"/>
      <c r="B23" s="237"/>
      <c r="C23" s="245"/>
      <c r="D23" s="237"/>
      <c r="E23" s="245"/>
      <c r="F23" s="237"/>
      <c r="G23" s="245"/>
      <c r="H23" s="237"/>
      <c r="I23" s="245"/>
      <c r="J23" s="237"/>
      <c r="K23" s="40"/>
    </row>
    <row r="24" spans="1:12" ht="15" customHeight="1" x14ac:dyDescent="0.2">
      <c r="A24" s="242"/>
      <c r="B24" s="237"/>
      <c r="C24" s="247"/>
      <c r="D24" s="237"/>
      <c r="E24" s="247"/>
      <c r="F24" s="237"/>
      <c r="G24" s="247"/>
      <c r="H24" s="237"/>
      <c r="I24" s="244"/>
      <c r="J24" s="237"/>
      <c r="K24" s="40"/>
    </row>
    <row r="25" spans="1:12" ht="15" customHeight="1" x14ac:dyDescent="0.2">
      <c r="A25" s="242"/>
      <c r="B25" s="237"/>
      <c r="C25" s="245"/>
      <c r="D25" s="237"/>
      <c r="E25" s="245"/>
      <c r="F25" s="237"/>
      <c r="G25" s="245"/>
      <c r="H25" s="237"/>
      <c r="I25" s="245"/>
      <c r="J25" s="237"/>
      <c r="K25" s="40"/>
    </row>
    <row r="26" spans="1:12" ht="15" customHeight="1" x14ac:dyDescent="0.2">
      <c r="A26" s="242"/>
      <c r="B26" s="237"/>
      <c r="C26" s="245"/>
      <c r="D26" s="237"/>
      <c r="E26" s="245"/>
      <c r="F26" s="237"/>
      <c r="G26" s="245"/>
      <c r="H26" s="237"/>
      <c r="I26" s="245"/>
      <c r="J26" s="237"/>
      <c r="K26" s="40"/>
    </row>
    <row r="27" spans="1:12" ht="15" customHeight="1" x14ac:dyDescent="0.2">
      <c r="A27" s="242"/>
      <c r="B27" s="237"/>
      <c r="C27" s="242"/>
      <c r="D27" s="237"/>
      <c r="E27" s="242"/>
      <c r="F27" s="237"/>
      <c r="G27" s="245"/>
      <c r="H27" s="237"/>
      <c r="I27" s="245"/>
      <c r="J27" s="237"/>
      <c r="K27" s="40"/>
    </row>
    <row r="28" spans="1:12" ht="15" customHeight="1" x14ac:dyDescent="0.2">
      <c r="A28" s="239" t="s">
        <v>44</v>
      </c>
      <c r="B28" s="235">
        <f>SUM(B20:B27)</f>
        <v>0</v>
      </c>
      <c r="C28" s="239" t="s">
        <v>44</v>
      </c>
      <c r="D28" s="235">
        <f>SUM(D20:D27)</f>
        <v>0</v>
      </c>
      <c r="E28" s="239" t="s">
        <v>44</v>
      </c>
      <c r="F28" s="235">
        <f>SUM(F20:F27)</f>
        <v>0</v>
      </c>
      <c r="G28" s="239" t="s">
        <v>44</v>
      </c>
      <c r="H28" s="235">
        <f>SUM(H20:H27)</f>
        <v>0</v>
      </c>
      <c r="I28" s="239" t="s">
        <v>44</v>
      </c>
      <c r="J28" s="235">
        <f>SUM(J20:J27)</f>
        <v>0</v>
      </c>
      <c r="K28" s="235">
        <f>SUM(B28+D28+F28+H28+J28)</f>
        <v>0</v>
      </c>
    </row>
    <row r="29" spans="1:12" ht="15" customHeight="1" x14ac:dyDescent="0.2">
      <c r="A29" s="239" t="s">
        <v>197</v>
      </c>
      <c r="B29" s="235">
        <f>SUM(B18-B28)</f>
        <v>0</v>
      </c>
      <c r="C29" s="239" t="s">
        <v>197</v>
      </c>
      <c r="D29" s="235">
        <f>SUM(D18-D28)</f>
        <v>0</v>
      </c>
      <c r="E29" s="239" t="s">
        <v>197</v>
      </c>
      <c r="F29" s="235">
        <f>SUM(F18-F28)</f>
        <v>0</v>
      </c>
      <c r="G29" s="239" t="s">
        <v>197</v>
      </c>
      <c r="H29" s="235">
        <f>SUM(H18-H28)</f>
        <v>0</v>
      </c>
      <c r="I29" s="239" t="s">
        <v>197</v>
      </c>
      <c r="J29" s="235">
        <f>SUM(J18-J28)</f>
        <v>0</v>
      </c>
      <c r="K29" s="248">
        <f>SUM(B29+D29+F29+H29+J29)</f>
        <v>0</v>
      </c>
      <c r="L29" s="27" t="s">
        <v>209</v>
      </c>
    </row>
    <row r="30" spans="1:12" ht="15" customHeight="1" x14ac:dyDescent="0.2">
      <c r="A30" s="239"/>
      <c r="B30" s="249" t="str">
        <f>IF(B29&lt;0,"See Tab B","")</f>
        <v/>
      </c>
      <c r="C30" s="239"/>
      <c r="D30" s="249" t="str">
        <f>IF(D29&lt;0,"See Tab B","")</f>
        <v/>
      </c>
      <c r="E30" s="239"/>
      <c r="F30" s="249" t="str">
        <f>IF(F29&lt;0,"See Tab B","")</f>
        <v/>
      </c>
      <c r="G30" s="32"/>
      <c r="H30" s="249" t="str">
        <f>IF(H29&lt;0,"See Tab B","")</f>
        <v/>
      </c>
      <c r="I30" s="32"/>
      <c r="J30" s="249" t="str">
        <f>IF(J29&lt;0,"See Tab B","")</f>
        <v/>
      </c>
      <c r="K30" s="248">
        <f>SUM(K7+K17-K28)</f>
        <v>0</v>
      </c>
      <c r="L30" s="27" t="s">
        <v>209</v>
      </c>
    </row>
    <row r="31" spans="1:12" ht="15" customHeight="1" x14ac:dyDescent="0.2">
      <c r="A31" s="32"/>
      <c r="B31" s="56"/>
      <c r="C31" s="32"/>
      <c r="D31" s="40"/>
      <c r="E31" s="32"/>
      <c r="F31" s="32"/>
      <c r="G31" s="32"/>
      <c r="H31" s="677" t="s">
        <v>212</v>
      </c>
      <c r="I31" s="677"/>
      <c r="J31" s="677"/>
      <c r="K31" s="677"/>
    </row>
    <row r="32" spans="1:12" ht="15" customHeight="1" x14ac:dyDescent="0.2">
      <c r="A32" s="32"/>
      <c r="B32" s="56"/>
      <c r="C32" s="32"/>
      <c r="D32" s="32"/>
      <c r="E32" s="32"/>
      <c r="F32" s="32"/>
      <c r="G32" s="32"/>
      <c r="H32" s="32"/>
      <c r="I32" s="32"/>
      <c r="J32" s="32"/>
      <c r="K32" s="32"/>
    </row>
    <row r="33" spans="1:11" ht="15" customHeight="1" x14ac:dyDescent="0.2">
      <c r="A33" s="446" t="s">
        <v>380</v>
      </c>
      <c r="B33" s="475"/>
      <c r="C33" s="445"/>
      <c r="D33" s="445"/>
      <c r="E33" s="445"/>
      <c r="F33" s="445"/>
      <c r="G33" s="445"/>
      <c r="H33" s="445"/>
      <c r="I33" s="445"/>
      <c r="J33" s="445"/>
      <c r="K33" s="102"/>
    </row>
    <row r="34" spans="1:11" ht="15" customHeight="1" x14ac:dyDescent="0.2">
      <c r="A34" s="183"/>
      <c r="B34" s="56"/>
      <c r="C34" s="32"/>
      <c r="D34" s="32"/>
      <c r="E34" s="32"/>
      <c r="F34" s="32"/>
      <c r="G34" s="32"/>
      <c r="H34" s="32"/>
      <c r="I34" s="32"/>
      <c r="J34" s="32"/>
      <c r="K34" s="114"/>
    </row>
    <row r="35" spans="1:11" ht="15" customHeight="1" x14ac:dyDescent="0.2">
      <c r="A35" s="447"/>
      <c r="B35" s="476"/>
      <c r="C35" s="53"/>
      <c r="D35" s="53"/>
      <c r="E35" s="53"/>
      <c r="F35" s="53"/>
      <c r="G35" s="53"/>
      <c r="H35" s="53"/>
      <c r="I35" s="53"/>
      <c r="J35" s="53"/>
      <c r="K35" s="60"/>
    </row>
    <row r="36" spans="1:11" ht="15" customHeight="1" x14ac:dyDescent="0.2">
      <c r="A36" s="32"/>
      <c r="B36" s="56"/>
      <c r="C36" s="32"/>
      <c r="D36" s="32"/>
      <c r="E36" s="32"/>
      <c r="F36" s="32"/>
      <c r="G36" s="32"/>
      <c r="H36" s="32"/>
      <c r="I36" s="32"/>
      <c r="J36" s="32"/>
      <c r="K36" s="32"/>
    </row>
    <row r="37" spans="1:11" ht="15" customHeight="1" x14ac:dyDescent="0.2">
      <c r="A37" s="32"/>
      <c r="B37" s="56"/>
      <c r="C37" s="32"/>
      <c r="D37" s="32"/>
      <c r="E37" s="182" t="s">
        <v>96</v>
      </c>
      <c r="F37" s="428"/>
      <c r="G37" s="32"/>
      <c r="H37" s="32"/>
      <c r="I37" s="32"/>
      <c r="J37" s="32"/>
      <c r="K37" s="32"/>
    </row>
    <row r="38" spans="1:11" ht="15" customHeight="1" x14ac:dyDescent="0.2">
      <c r="B38" s="250"/>
    </row>
    <row r="39" spans="1:11" ht="15" customHeight="1" x14ac:dyDescent="0.2">
      <c r="B39" s="250"/>
    </row>
    <row r="40" spans="1:11" ht="15" customHeight="1" x14ac:dyDescent="0.2">
      <c r="B40" s="250"/>
    </row>
    <row r="41" spans="1:11" ht="15" customHeight="1" x14ac:dyDescent="0.2">
      <c r="B41" s="250"/>
    </row>
    <row r="42" spans="1:11" ht="15" customHeight="1" x14ac:dyDescent="0.2">
      <c r="B42" s="250"/>
    </row>
    <row r="43" spans="1:11" ht="15" customHeight="1" x14ac:dyDescent="0.2">
      <c r="B43" s="250"/>
    </row>
    <row r="44" spans="1:11" ht="15" customHeight="1" x14ac:dyDescent="0.2">
      <c r="B44" s="250"/>
    </row>
    <row r="45" spans="1:11" ht="15" customHeight="1" x14ac:dyDescent="0.2">
      <c r="B45" s="250"/>
    </row>
  </sheetData>
  <sheetProtection sheet="1"/>
  <mergeCells count="6">
    <mergeCell ref="H31:K31"/>
    <mergeCell ref="I5:J5"/>
    <mergeCell ref="A5:B5"/>
    <mergeCell ref="C5:D5"/>
    <mergeCell ref="E5:F5"/>
    <mergeCell ref="G5:H5"/>
  </mergeCells>
  <phoneticPr fontId="10" type="noConversion"/>
  <pageMargins left="0.75" right="0.75" top="1" bottom="1" header="0.5" footer="0.5"/>
  <pageSetup scale="88" orientation="landscape" blackAndWhite="1" r:id="rId1"/>
  <headerFooter alignWithMargins="0">
    <oddHeader>&amp;RState of Kansas
County</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A1:A48"/>
  <sheetViews>
    <sheetView workbookViewId="0">
      <selection activeCell="E1" sqref="E1"/>
    </sheetView>
  </sheetViews>
  <sheetFormatPr defaultRowHeight="15" x14ac:dyDescent="0.2"/>
  <cols>
    <col min="1" max="1" width="62.44140625" style="23" customWidth="1"/>
    <col min="2" max="16384" width="8.88671875" style="23"/>
  </cols>
  <sheetData>
    <row r="1" spans="1:1" ht="18.75" x14ac:dyDescent="0.2">
      <c r="A1" s="24" t="s">
        <v>241</v>
      </c>
    </row>
    <row r="2" spans="1:1" ht="15.75" x14ac:dyDescent="0.2">
      <c r="A2" s="27"/>
    </row>
    <row r="3" spans="1:1" ht="54.75" customHeight="1" x14ac:dyDescent="0.2">
      <c r="A3" s="269" t="s">
        <v>242</v>
      </c>
    </row>
    <row r="4" spans="1:1" ht="15.75" x14ac:dyDescent="0.2">
      <c r="A4" s="270"/>
    </row>
    <row r="5" spans="1:1" ht="51" customHeight="1" x14ac:dyDescent="0.2">
      <c r="A5" s="269" t="s">
        <v>243</v>
      </c>
    </row>
    <row r="6" spans="1:1" ht="15.75" x14ac:dyDescent="0.2">
      <c r="A6" s="27"/>
    </row>
    <row r="7" spans="1:1" ht="51.75" customHeight="1" x14ac:dyDescent="0.2">
      <c r="A7" s="269" t="s">
        <v>244</v>
      </c>
    </row>
    <row r="8" spans="1:1" ht="13.5" customHeight="1" x14ac:dyDescent="0.2">
      <c r="A8" s="269"/>
    </row>
    <row r="9" spans="1:1" ht="51.75" customHeight="1" x14ac:dyDescent="0.25">
      <c r="A9" s="274" t="s">
        <v>324</v>
      </c>
    </row>
    <row r="10" spans="1:1" ht="15.75" x14ac:dyDescent="0.2">
      <c r="A10" s="270"/>
    </row>
    <row r="11" spans="1:1" ht="36" customHeight="1" x14ac:dyDescent="0.2">
      <c r="A11" s="269" t="s">
        <v>245</v>
      </c>
    </row>
    <row r="12" spans="1:1" ht="15.75" x14ac:dyDescent="0.2">
      <c r="A12" s="27"/>
    </row>
    <row r="13" spans="1:1" ht="51.75" customHeight="1" x14ac:dyDescent="0.2">
      <c r="A13" s="269" t="s">
        <v>246</v>
      </c>
    </row>
    <row r="14" spans="1:1" ht="15.75" x14ac:dyDescent="0.2">
      <c r="A14" s="270"/>
    </row>
    <row r="15" spans="1:1" ht="33" customHeight="1" x14ac:dyDescent="0.2">
      <c r="A15" s="269" t="s">
        <v>247</v>
      </c>
    </row>
    <row r="16" spans="1:1" ht="15.75" x14ac:dyDescent="0.2">
      <c r="A16" s="270"/>
    </row>
    <row r="17" spans="1:1" ht="32.25" customHeight="1" x14ac:dyDescent="0.2">
      <c r="A17" s="269" t="s">
        <v>248</v>
      </c>
    </row>
    <row r="18" spans="1:1" ht="15.75" x14ac:dyDescent="0.2">
      <c r="A18" s="270"/>
    </row>
    <row r="19" spans="1:1" ht="53.25" customHeight="1" x14ac:dyDescent="0.2">
      <c r="A19" s="269" t="s">
        <v>249</v>
      </c>
    </row>
    <row r="20" spans="1:1" ht="15.75" x14ac:dyDescent="0.2">
      <c r="A20" s="27"/>
    </row>
    <row r="21" spans="1:1" ht="50.25" customHeight="1" x14ac:dyDescent="0.2">
      <c r="A21" s="269" t="s">
        <v>250</v>
      </c>
    </row>
    <row r="22" spans="1:1" ht="15.75" x14ac:dyDescent="0.2">
      <c r="A22" s="27"/>
    </row>
    <row r="23" spans="1:1" ht="15.75" x14ac:dyDescent="0.2">
      <c r="A23" s="27"/>
    </row>
    <row r="24" spans="1:1" ht="96" customHeight="1" x14ac:dyDescent="0.2">
      <c r="A24" s="269" t="s">
        <v>251</v>
      </c>
    </row>
    <row r="25" spans="1:1" ht="15.75" x14ac:dyDescent="0.2">
      <c r="A25" s="27"/>
    </row>
    <row r="26" spans="1:1" ht="30.75" customHeight="1" x14ac:dyDescent="0.2">
      <c r="A26" s="28" t="s">
        <v>252</v>
      </c>
    </row>
    <row r="27" spans="1:1" ht="15.75" x14ac:dyDescent="0.2">
      <c r="A27" s="27"/>
    </row>
    <row r="28" spans="1:1" ht="95.25" customHeight="1" x14ac:dyDescent="0.25">
      <c r="A28" s="273" t="s">
        <v>325</v>
      </c>
    </row>
    <row r="29" spans="1:1" ht="15.75" x14ac:dyDescent="0.2">
      <c r="A29" s="27"/>
    </row>
    <row r="30" spans="1:1" ht="34.5" customHeight="1" x14ac:dyDescent="0.2">
      <c r="A30" s="269" t="s">
        <v>253</v>
      </c>
    </row>
    <row r="31" spans="1:1" ht="15.75" x14ac:dyDescent="0.2">
      <c r="A31" s="27"/>
    </row>
    <row r="32" spans="1:1" ht="66" customHeight="1" x14ac:dyDescent="0.2">
      <c r="A32" s="269" t="s">
        <v>254</v>
      </c>
    </row>
    <row r="33" spans="1:1" ht="15.75" x14ac:dyDescent="0.2">
      <c r="A33" s="270"/>
    </row>
    <row r="34" spans="1:1" ht="57" customHeight="1" x14ac:dyDescent="0.2">
      <c r="A34" s="269" t="s">
        <v>255</v>
      </c>
    </row>
    <row r="35" spans="1:1" ht="15.75" x14ac:dyDescent="0.2">
      <c r="A35" s="27"/>
    </row>
    <row r="36" spans="1:1" ht="49.5" customHeight="1" x14ac:dyDescent="0.2">
      <c r="A36" s="269" t="s">
        <v>256</v>
      </c>
    </row>
    <row r="37" spans="1:1" ht="15.75" x14ac:dyDescent="0.2">
      <c r="A37" s="27"/>
    </row>
    <row r="38" spans="1:1" ht="74.25" customHeight="1" x14ac:dyDescent="0.25">
      <c r="A38" s="273" t="s">
        <v>326</v>
      </c>
    </row>
    <row r="39" spans="1:1" ht="15.75" x14ac:dyDescent="0.2">
      <c r="A39" s="27"/>
    </row>
    <row r="40" spans="1:1" ht="55.5" customHeight="1" x14ac:dyDescent="0.2">
      <c r="A40" s="269" t="s">
        <v>257</v>
      </c>
    </row>
    <row r="41" spans="1:1" ht="15.75" x14ac:dyDescent="0.2">
      <c r="A41" s="27"/>
    </row>
    <row r="42" spans="1:1" ht="53.25" customHeight="1" x14ac:dyDescent="0.2">
      <c r="A42" s="269" t="s">
        <v>258</v>
      </c>
    </row>
    <row r="43" spans="1:1" ht="15.75" x14ac:dyDescent="0.2">
      <c r="A43" s="270"/>
    </row>
    <row r="44" spans="1:1" ht="47.25" customHeight="1" x14ac:dyDescent="0.2">
      <c r="A44" s="269" t="s">
        <v>259</v>
      </c>
    </row>
    <row r="45" spans="1:1" ht="15.75" x14ac:dyDescent="0.2">
      <c r="A45" s="270"/>
    </row>
    <row r="46" spans="1:1" ht="49.5" customHeight="1" x14ac:dyDescent="0.2">
      <c r="A46" s="269" t="s">
        <v>260</v>
      </c>
    </row>
    <row r="47" spans="1:1" ht="15.75" x14ac:dyDescent="0.2">
      <c r="A47" s="270"/>
    </row>
    <row r="48" spans="1:1" ht="36" customHeight="1" x14ac:dyDescent="0.2">
      <c r="A48" s="269" t="s">
        <v>261</v>
      </c>
    </row>
  </sheetData>
  <sheetProtection sheet="1"/>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9">
    <tabColor rgb="FF00B0F0"/>
    <pageSetUpPr fitToPage="1"/>
  </sheetPr>
  <dimension ref="A1:M71"/>
  <sheetViews>
    <sheetView topLeftCell="A2" zoomScaleNormal="100" workbookViewId="0">
      <selection activeCell="A15" sqref="A15"/>
    </sheetView>
  </sheetViews>
  <sheetFormatPr defaultRowHeight="15.75" x14ac:dyDescent="0.2"/>
  <cols>
    <col min="1" max="1" width="15.77734375" style="27" customWidth="1"/>
    <col min="2" max="2" width="15.6640625" style="27" customWidth="1"/>
    <col min="3" max="3" width="9.44140625" style="27" customWidth="1"/>
    <col min="4" max="4" width="16.77734375" style="27" customWidth="1"/>
    <col min="5" max="5" width="9.77734375" style="27" customWidth="1"/>
    <col min="6" max="6" width="15.77734375" style="27" customWidth="1"/>
    <col min="7" max="7" width="13.6640625" style="27" customWidth="1"/>
    <col min="8" max="8" width="11.44140625" style="27" customWidth="1"/>
    <col min="9" max="9" width="8.88671875" style="27"/>
    <col min="10" max="10" width="12.44140625" style="27" customWidth="1"/>
    <col min="11" max="11" width="12.33203125" style="27" customWidth="1"/>
    <col min="12" max="12" width="10.5546875" style="27" customWidth="1"/>
    <col min="13" max="13" width="12.109375" style="27" customWidth="1"/>
    <col min="14" max="16384" width="8.88671875" style="27"/>
  </cols>
  <sheetData>
    <row r="1" spans="1:9" x14ac:dyDescent="0.2">
      <c r="A1" s="32"/>
      <c r="B1" s="32"/>
      <c r="C1" s="32"/>
      <c r="D1" s="32"/>
      <c r="E1" s="32"/>
      <c r="F1" s="32"/>
      <c r="G1" s="32"/>
      <c r="H1" s="182">
        <f>inputPrYr!C5</f>
        <v>2025</v>
      </c>
    </row>
    <row r="2" spans="1:9" x14ac:dyDescent="0.2">
      <c r="A2" s="680" t="s">
        <v>133</v>
      </c>
      <c r="B2" s="680"/>
      <c r="C2" s="680"/>
      <c r="D2" s="680"/>
      <c r="E2" s="680"/>
      <c r="F2" s="680"/>
      <c r="G2" s="680"/>
      <c r="H2" s="680"/>
      <c r="I2" s="251"/>
    </row>
    <row r="3" spans="1:9" x14ac:dyDescent="0.2">
      <c r="A3" s="32"/>
      <c r="B3" s="32"/>
      <c r="C3" s="32"/>
      <c r="D3" s="32"/>
      <c r="E3" s="32"/>
      <c r="F3" s="32"/>
      <c r="G3" s="32"/>
      <c r="H3" s="32"/>
    </row>
    <row r="4" spans="1:9" x14ac:dyDescent="0.2">
      <c r="A4" s="618" t="s">
        <v>144</v>
      </c>
      <c r="B4" s="618"/>
      <c r="C4" s="618"/>
      <c r="D4" s="618"/>
      <c r="E4" s="618"/>
      <c r="F4" s="618"/>
      <c r="G4" s="618"/>
      <c r="H4" s="618"/>
    </row>
    <row r="5" spans="1:9" x14ac:dyDescent="0.2">
      <c r="A5" s="592">
        <f>inputPrYr!C3</f>
        <v>0</v>
      </c>
      <c r="B5" s="592"/>
      <c r="C5" s="592"/>
      <c r="D5" s="592"/>
      <c r="E5" s="592"/>
      <c r="F5" s="592"/>
      <c r="G5" s="592"/>
      <c r="H5" s="592"/>
    </row>
    <row r="6" spans="1:9" x14ac:dyDescent="0.2">
      <c r="A6" s="618" t="str">
        <f>CONCATENATE("will meet on ",inputHearing!B18," at ",inputHearing!B20," at ",inputHearing!B22," for the purpose of hearing and")</f>
        <v>will meet on  at  at  for the purpose of hearing and</v>
      </c>
      <c r="B6" s="618"/>
      <c r="C6" s="618"/>
      <c r="D6" s="618"/>
      <c r="E6" s="618"/>
      <c r="F6" s="618"/>
      <c r="G6" s="618"/>
      <c r="H6" s="618"/>
    </row>
    <row r="7" spans="1:9" x14ac:dyDescent="0.2">
      <c r="A7" s="618" t="s">
        <v>303</v>
      </c>
      <c r="B7" s="618"/>
      <c r="C7" s="618"/>
      <c r="D7" s="618"/>
      <c r="E7" s="618"/>
      <c r="F7" s="618"/>
      <c r="G7" s="618"/>
      <c r="H7" s="618"/>
    </row>
    <row r="8" spans="1:9" x14ac:dyDescent="0.2">
      <c r="A8" s="618" t="str">
        <f>CONCATENATE("Detailed budget information is available at ",inputHearing!B24," and will be available at this hearing.")</f>
        <v>Detailed budget information is available at  and will be available at this hearing.</v>
      </c>
      <c r="B8" s="618"/>
      <c r="C8" s="618"/>
      <c r="D8" s="618"/>
      <c r="E8" s="618"/>
      <c r="F8" s="618"/>
      <c r="G8" s="618"/>
      <c r="H8" s="618"/>
    </row>
    <row r="9" spans="1:9" x14ac:dyDescent="0.2">
      <c r="A9" s="36" t="s">
        <v>134</v>
      </c>
      <c r="B9" s="37"/>
      <c r="C9" s="37"/>
      <c r="D9" s="90"/>
      <c r="E9" s="37"/>
      <c r="F9" s="37"/>
      <c r="G9" s="37"/>
      <c r="H9" s="37"/>
    </row>
    <row r="10" spans="1:9" x14ac:dyDescent="0.2">
      <c r="A10" s="618" t="str">
        <f>CONCATENATE("Proposed Budget ",H1," Expenditures and Amount of ",H1-1," Ad Valorem Tax establish the maximum limits of the ",H1," budget.")</f>
        <v>Proposed Budget 2025 Expenditures and Amount of 2024 Ad Valorem Tax establish the maximum limits of the 2025 budget.</v>
      </c>
      <c r="B10" s="618"/>
      <c r="C10" s="618"/>
      <c r="D10" s="618"/>
      <c r="E10" s="618"/>
      <c r="F10" s="618"/>
      <c r="G10" s="618"/>
      <c r="H10" s="618"/>
    </row>
    <row r="11" spans="1:9" x14ac:dyDescent="0.2">
      <c r="A11" s="618" t="s">
        <v>155</v>
      </c>
      <c r="B11" s="618"/>
      <c r="C11" s="618"/>
      <c r="D11" s="618"/>
      <c r="E11" s="618"/>
      <c r="F11" s="618"/>
      <c r="G11" s="618"/>
      <c r="H11" s="618"/>
    </row>
    <row r="12" spans="1:9" x14ac:dyDescent="0.2">
      <c r="A12" s="32"/>
      <c r="B12" s="32"/>
      <c r="C12" s="32"/>
      <c r="D12" s="32"/>
      <c r="E12" s="32"/>
      <c r="F12" s="32"/>
      <c r="G12" s="32"/>
      <c r="H12" s="32"/>
      <c r="I12" s="72"/>
    </row>
    <row r="13" spans="1:9" x14ac:dyDescent="0.2">
      <c r="A13" s="32"/>
      <c r="B13" s="252" t="str">
        <f>CONCATENATE("Prior Year Actual for ",H1-2,"")</f>
        <v>Prior Year Actual for 2023</v>
      </c>
      <c r="C13" s="94"/>
      <c r="D13" s="253" t="str">
        <f>CONCATENATE("Current Year Estimate for ",H1-1,"")</f>
        <v>Current Year Estimate for 2024</v>
      </c>
      <c r="E13" s="94"/>
      <c r="F13" s="92" t="str">
        <f>CONCATENATE("Proposed Budget for ",H1,"")</f>
        <v>Proposed Budget for 2025</v>
      </c>
      <c r="G13" s="93"/>
      <c r="H13" s="94"/>
    </row>
    <row r="14" spans="1:9" ht="24.75" customHeight="1" x14ac:dyDescent="0.25">
      <c r="A14" s="31"/>
      <c r="B14" s="687" t="s">
        <v>10</v>
      </c>
      <c r="C14" s="616" t="s">
        <v>560</v>
      </c>
      <c r="D14" s="687" t="s">
        <v>167</v>
      </c>
      <c r="E14" s="616" t="s">
        <v>560</v>
      </c>
      <c r="F14" s="689" t="s">
        <v>543</v>
      </c>
      <c r="G14" s="356" t="str">
        <f>CONCATENATE("Amount of ",H1-1,"")</f>
        <v>Amount of 2024</v>
      </c>
      <c r="H14" s="616" t="s">
        <v>561</v>
      </c>
    </row>
    <row r="15" spans="1:9" ht="25.5" customHeight="1" x14ac:dyDescent="0.2">
      <c r="A15" s="52" t="s">
        <v>98</v>
      </c>
      <c r="B15" s="688"/>
      <c r="C15" s="623"/>
      <c r="D15" s="688"/>
      <c r="E15" s="623"/>
      <c r="F15" s="690"/>
      <c r="G15" s="533" t="s">
        <v>31</v>
      </c>
      <c r="H15" s="623"/>
    </row>
    <row r="16" spans="1:9" x14ac:dyDescent="0.2">
      <c r="A16" s="64" t="str">
        <f>inputPrYr!B17</f>
        <v>General</v>
      </c>
      <c r="B16" s="64" t="str">
        <f>IF(General!$B$115&lt;&gt;0,General!$B$115,"  ")</f>
        <v xml:space="preserve">  </v>
      </c>
      <c r="C16" s="254" t="str">
        <f>IF(inputPrYr!D69&lt;&gt;0,inputPrYr!D69,"  ")</f>
        <v xml:space="preserve">  </v>
      </c>
      <c r="D16" s="64" t="str">
        <f>IF(General!$C$115&lt;&gt;0,General!$C$115,"  ")</f>
        <v xml:space="preserve">  </v>
      </c>
      <c r="E16" s="254" t="str">
        <f>IF(inputPrYr!F17&lt;&gt;0,inputPrYr!F17,"  ")</f>
        <v xml:space="preserve">  </v>
      </c>
      <c r="F16" s="64" t="str">
        <f>IF(General!$D$115&lt;&gt;0,General!$D$115,"  ")</f>
        <v xml:space="preserve">  </v>
      </c>
      <c r="G16" s="64" t="str">
        <f>IF(General!$D$122&lt;&gt;0,General!$D$122,"  ")</f>
        <v xml:space="preserve">  </v>
      </c>
      <c r="H16" s="254" t="str">
        <f>IF(General!D122&lt;&gt;0,ROUND(G16/$F$57*1000,3),"  ")</f>
        <v xml:space="preserve">  </v>
      </c>
    </row>
    <row r="17" spans="1:13" x14ac:dyDescent="0.2">
      <c r="A17" s="64" t="str">
        <f>inputPrYr!B18</f>
        <v>Debt Service</v>
      </c>
      <c r="B17" s="64" t="str">
        <f>IF('Debt Service'!$C$52&lt;&gt;0,'Debt Service'!$C$52,"  ")</f>
        <v xml:space="preserve">  </v>
      </c>
      <c r="C17" s="254" t="str">
        <f>IF(inputPrYr!D70&lt;&gt;0,inputPrYr!D70,"  ")</f>
        <v xml:space="preserve">  </v>
      </c>
      <c r="D17" s="64" t="str">
        <f>IF('Debt Service'!$D$52&lt;&gt;0,'Debt Service'!$D$52,"  ")</f>
        <v xml:space="preserve">  </v>
      </c>
      <c r="E17" s="254" t="str">
        <f>IF(inputPrYr!F18&lt;&gt;0,inputPrYr!F18,"  ")</f>
        <v xml:space="preserve">  </v>
      </c>
      <c r="F17" s="64" t="str">
        <f>IF('Debt Service'!$E$52&lt;&gt;0,'Debt Service'!$E$52,"  ")</f>
        <v xml:space="preserve">  </v>
      </c>
      <c r="G17" s="64" t="str">
        <f>IF('Debt Service'!$E$59&lt;&gt;0,'Debt Service'!$E$59,"  ")</f>
        <v xml:space="preserve">  </v>
      </c>
      <c r="H17" s="254" t="str">
        <f>IF('Debt Service'!E59&lt;&gt;0,ROUND(G17/$F$57*1000,3),"  ")</f>
        <v xml:space="preserve">  </v>
      </c>
    </row>
    <row r="18" spans="1:13" x14ac:dyDescent="0.2">
      <c r="A18" s="64" t="str">
        <f>IF((inputPrYr!$B19&gt;" "),(inputPrYr!$B19),"  ")</f>
        <v>Road &amp; Bridge</v>
      </c>
      <c r="B18" s="64" t="str">
        <f>IF('Road &amp; Bridge'!$C$111&lt;&gt;0,'Road &amp; Bridge'!$C$111,"  ")</f>
        <v xml:space="preserve">  </v>
      </c>
      <c r="C18" s="254" t="str">
        <f>IF(inputPrYr!D71&lt;&gt;0,inputPrYr!D71,"  ")</f>
        <v xml:space="preserve">  </v>
      </c>
      <c r="D18" s="64" t="str">
        <f>IF('Road &amp; Bridge'!$D$111&lt;&gt;0,'Road &amp; Bridge'!$D$111,"  ")</f>
        <v xml:space="preserve">  </v>
      </c>
      <c r="E18" s="254" t="str">
        <f>IF(inputPrYr!F19&lt;&gt;0,inputPrYr!F19,"  ")</f>
        <v xml:space="preserve">  </v>
      </c>
      <c r="F18" s="64" t="str">
        <f>IF('Road &amp; Bridge'!$E$111&lt;&gt;0,'Road &amp; Bridge'!$E$111,"  ")</f>
        <v xml:space="preserve">  </v>
      </c>
      <c r="G18" s="64" t="str">
        <f>IF('Road &amp; Bridge'!$E$118&lt;&gt;0,'Road &amp; Bridge'!$E$118,"  ")</f>
        <v xml:space="preserve">  </v>
      </c>
      <c r="H18" s="254" t="str">
        <f>IF('Road &amp; Bridge'!E118&lt;&gt;0,ROUND(G18/$F$57*1000,3),"  ")</f>
        <v xml:space="preserve">  </v>
      </c>
    </row>
    <row r="19" spans="1:13" x14ac:dyDescent="0.2">
      <c r="A19" s="64" t="str">
        <f>IF((inputPrYr!$B20&gt;" "),(inputPrYr!$B20),"  ")</f>
        <v xml:space="preserve">  </v>
      </c>
      <c r="B19" s="64" t="str">
        <f>IF('Levy Page 10'!$B$34&lt;&gt;0,'Levy Page 10'!$B$34,"  ")</f>
        <v xml:space="preserve">  </v>
      </c>
      <c r="C19" s="254" t="str">
        <f>IF(inputPrYr!D72&lt;&gt;0,inputPrYr!D72,"  ")</f>
        <v xml:space="preserve">  </v>
      </c>
      <c r="D19" s="64" t="str">
        <f>IF('Levy Page 10'!$C$34&lt;&gt;0,'Levy Page 10'!$C$34,"  ")</f>
        <v xml:space="preserve">  </v>
      </c>
      <c r="E19" s="254" t="str">
        <f>IF(inputPrYr!F20&lt;&gt;0,inputPrYr!F20,"  ")</f>
        <v xml:space="preserve">  </v>
      </c>
      <c r="F19" s="64" t="str">
        <f>IF('Levy Page 10'!$D$34&lt;&gt;0,'Levy Page 10'!$D$34,"  ")</f>
        <v xml:space="preserve">  </v>
      </c>
      <c r="G19" s="64" t="str">
        <f>IF('Levy Page 10'!$D$41&lt;&gt;0,'Levy Page 10'!$D$41,"  ")</f>
        <v xml:space="preserve">  </v>
      </c>
      <c r="H19" s="254" t="str">
        <f>IF('Levy Page 10'!D41&lt;&gt;0,ROUND(G19/$F$57*1000,3),"  ")</f>
        <v xml:space="preserve">  </v>
      </c>
    </row>
    <row r="20" spans="1:13" x14ac:dyDescent="0.2">
      <c r="A20" s="64" t="str">
        <f>IF((inputPrYr!$B21&gt;" "),(inputPrYr!$B21),"  ")</f>
        <v xml:space="preserve">  </v>
      </c>
      <c r="B20" s="64" t="str">
        <f>IF('Levy Page 10'!$B$75&lt;&gt;0,'Levy Page 10'!$B$75,"  ")</f>
        <v xml:space="preserve">  </v>
      </c>
      <c r="C20" s="254" t="str">
        <f>IF(inputPrYr!D73&lt;&gt;0,inputPrYr!D73,"  ")</f>
        <v xml:space="preserve">  </v>
      </c>
      <c r="D20" s="64" t="str">
        <f>IF('Levy Page 10'!$C$75&lt;&gt;0,'Levy Page 10'!$C$75,"  ")</f>
        <v xml:space="preserve">  </v>
      </c>
      <c r="E20" s="254" t="str">
        <f>IF(inputPrYr!F21&lt;&gt;0,inputPrYr!F21,"  ")</f>
        <v xml:space="preserve">  </v>
      </c>
      <c r="F20" s="64" t="str">
        <f>IF('Levy Page 10'!$D$75&lt;&gt;0,'Levy Page 10'!$D$75,"  ")</f>
        <v xml:space="preserve">  </v>
      </c>
      <c r="G20" s="64" t="str">
        <f>IF('Levy Page 10'!$D$82&lt;&gt;0,'Levy Page 10'!$D$82,"  ")</f>
        <v xml:space="preserve">  </v>
      </c>
      <c r="H20" s="254" t="str">
        <f>IF('Levy Page 10'!D82&lt;&gt;0,ROUND(G20/$F$57*1000,3),"  ")</f>
        <v xml:space="preserve">  </v>
      </c>
    </row>
    <row r="21" spans="1:13" x14ac:dyDescent="0.2">
      <c r="A21" s="64" t="str">
        <f>IF((inputPrYr!$B22&gt;" "),(inputPrYr!$B22),"  ")</f>
        <v xml:space="preserve">  </v>
      </c>
      <c r="B21" s="64" t="str">
        <f>IF('Levy Page 11'!$B$34&lt;&gt;0,'Levy Page 11'!$B$34,"  ")</f>
        <v xml:space="preserve">  </v>
      </c>
      <c r="C21" s="254" t="str">
        <f>IF(inputPrYr!D74&lt;&gt;0,inputPrYr!D74,"  ")</f>
        <v xml:space="preserve">  </v>
      </c>
      <c r="D21" s="64" t="str">
        <f>IF('Levy Page 11'!$C$34&lt;&gt;0,'Levy Page 11'!$C$34,"  ")</f>
        <v xml:space="preserve">  </v>
      </c>
      <c r="E21" s="254" t="str">
        <f>IF(inputPrYr!F22&lt;&gt;0,inputPrYr!F22,"  ")</f>
        <v xml:space="preserve">  </v>
      </c>
      <c r="F21" s="64" t="str">
        <f>IF('Levy Page 11'!$D$34&lt;&gt;0,'Levy Page 11'!$D$34,"  ")</f>
        <v xml:space="preserve">  </v>
      </c>
      <c r="G21" s="64" t="str">
        <f>IF('Levy Page 11'!$D$41&lt;&gt;0,'Levy Page 11'!$D$41,"  ")</f>
        <v xml:space="preserve">  </v>
      </c>
      <c r="H21" s="254" t="str">
        <f>IF('Levy Page 11'!D41&lt;&gt;0,ROUND(G21/$F$57*1000,3),"  ")</f>
        <v xml:space="preserve">  </v>
      </c>
    </row>
    <row r="22" spans="1:13" x14ac:dyDescent="0.2">
      <c r="A22" s="64" t="str">
        <f>IF((inputPrYr!$B23&gt;" "),(inputPrYr!$B23),"  ")</f>
        <v xml:space="preserve">  </v>
      </c>
      <c r="B22" s="64" t="str">
        <f>IF('Levy Page 11'!$B$75&lt;&gt;0,'Levy Page 11'!$B$75,"  ")</f>
        <v xml:space="preserve">  </v>
      </c>
      <c r="C22" s="254" t="str">
        <f>IF(inputPrYr!D75&lt;&gt;0,inputPrYr!D75,"  ")</f>
        <v xml:space="preserve">  </v>
      </c>
      <c r="D22" s="64" t="str">
        <f>IF('Levy Page 11'!$C$75&lt;&gt;0,'Levy Page 11'!$C$75,"  ")</f>
        <v xml:space="preserve">  </v>
      </c>
      <c r="E22" s="254" t="str">
        <f>IF(inputPrYr!F23&lt;&gt;0,inputPrYr!F23,"  ")</f>
        <v xml:space="preserve">  </v>
      </c>
      <c r="F22" s="64" t="str">
        <f>IF('Levy Page 11'!$D$75&lt;&gt;0,'Levy Page 11'!$D$75,"  ")</f>
        <v xml:space="preserve">  </v>
      </c>
      <c r="G22" s="64" t="str">
        <f>IF('Levy Page 11'!$D$82&lt;&gt;0,'Levy Page 11'!$D$82,"  ")</f>
        <v xml:space="preserve">  </v>
      </c>
      <c r="H22" s="254" t="str">
        <f>IF('Levy Page 11'!$D$82&lt;&gt;0,ROUND(G22/$F$57*1000,3),"  ")</f>
        <v xml:space="preserve">  </v>
      </c>
    </row>
    <row r="23" spans="1:13" x14ac:dyDescent="0.2">
      <c r="A23" s="64" t="str">
        <f>IF((inputPrYr!$B24&gt;" "),(inputPrYr!$B24),"  ")</f>
        <v xml:space="preserve">  </v>
      </c>
      <c r="B23" s="64" t="str">
        <f>IF('Levy Page 12'!$B$34&lt;&gt;0,'Levy Page 12'!$B$34,"  ")</f>
        <v xml:space="preserve">  </v>
      </c>
      <c r="C23" s="254" t="str">
        <f>IF(inputPrYr!D76&lt;&gt;0,inputPrYr!D76,"  ")</f>
        <v xml:space="preserve">  </v>
      </c>
      <c r="D23" s="64" t="str">
        <f>IF('Levy Page 12'!$C$34&lt;&gt;0,'Levy Page 12'!$C$34,"  ")</f>
        <v xml:space="preserve">  </v>
      </c>
      <c r="E23" s="254" t="str">
        <f>IF(inputPrYr!F24&lt;&gt;0,inputPrYr!F24,"  ")</f>
        <v xml:space="preserve">  </v>
      </c>
      <c r="F23" s="64" t="str">
        <f>IF('Levy Page 12'!$D$34&lt;&gt;0,'Levy Page 12'!$D$34,"  ")</f>
        <v xml:space="preserve">  </v>
      </c>
      <c r="G23" s="64" t="str">
        <f>IF('Levy Page 12'!$D$41&lt;&gt;0,'Levy Page 12'!$D$41,"  ")</f>
        <v xml:space="preserve">  </v>
      </c>
      <c r="H23" s="254" t="str">
        <f>IF('Levy Page 12'!$D$41&lt;&gt;0,ROUND(G23/$F$57*1000,3),"  ")</f>
        <v xml:space="preserve">  </v>
      </c>
    </row>
    <row r="24" spans="1:13" x14ac:dyDescent="0.2">
      <c r="A24" s="64" t="str">
        <f>IF((inputPrYr!$B25&gt;" "),(inputPrYr!$B25),"  ")</f>
        <v xml:space="preserve">  </v>
      </c>
      <c r="B24" s="64" t="str">
        <f>IF('Levy Page 12'!$B$75&lt;&gt;0,'Levy Page 12'!$B$75,"  ")</f>
        <v xml:space="preserve">  </v>
      </c>
      <c r="C24" s="254" t="str">
        <f>IF(inputPrYr!D77&lt;&gt;0,inputPrYr!D77,"  ")</f>
        <v xml:space="preserve">  </v>
      </c>
      <c r="D24" s="64" t="str">
        <f>IF('Levy Page 12'!$C$75&lt;&gt;0,'Levy Page 12'!$C$75,"  ")</f>
        <v xml:space="preserve">  </v>
      </c>
      <c r="E24" s="254" t="str">
        <f>IF(inputPrYr!F25&lt;&gt;0,inputPrYr!F25,"  ")</f>
        <v xml:space="preserve">  </v>
      </c>
      <c r="F24" s="64" t="str">
        <f>IF('Levy Page 12'!$D$75&lt;&gt;0,'Levy Page 12'!$D$75,"  ")</f>
        <v xml:space="preserve">  </v>
      </c>
      <c r="G24" s="64" t="str">
        <f>IF('Levy Page 12'!$D$82&lt;&gt;0,'Levy Page 12'!$D$82,"  ")</f>
        <v xml:space="preserve">  </v>
      </c>
      <c r="H24" s="254" t="str">
        <f>IF('Levy Page 12'!$D$82&lt;&gt;0,ROUND(G24/$F$57*1000,3),"  ")</f>
        <v xml:space="preserve">  </v>
      </c>
    </row>
    <row r="25" spans="1:13" x14ac:dyDescent="0.2">
      <c r="A25" s="64" t="str">
        <f>IF((inputPrYr!$B26&gt;" "),(inputPrYr!$B26),"  ")</f>
        <v xml:space="preserve">  </v>
      </c>
      <c r="B25" s="64" t="str">
        <f>IF('Levy Page 13'!$B$34&lt;&gt;0,'Levy Page 13'!$B$34,"  ")</f>
        <v xml:space="preserve">  </v>
      </c>
      <c r="C25" s="254" t="str">
        <f>IF(inputPrYr!D78&lt;&gt;0,inputPrYr!D78,"  ")</f>
        <v xml:space="preserve">  </v>
      </c>
      <c r="D25" s="64" t="str">
        <f>IF('Levy Page 13'!$C$34&lt;&gt;0,'Levy Page 13'!$C$34,"  ")</f>
        <v xml:space="preserve">  </v>
      </c>
      <c r="E25" s="254" t="str">
        <f>IF(inputPrYr!F26&lt;&gt;0,inputPrYr!F26,"  ")</f>
        <v xml:space="preserve">  </v>
      </c>
      <c r="F25" s="64" t="str">
        <f>IF('Levy Page 13'!$D$34&lt;&gt;0,'Levy Page 13'!$D$34,"  ")</f>
        <v xml:space="preserve">  </v>
      </c>
      <c r="G25" s="64" t="str">
        <f>IF('Levy Page 13'!$D$41&lt;&gt;0,'Levy Page 13'!$D$41,"  ")</f>
        <v xml:space="preserve">  </v>
      </c>
      <c r="H25" s="254" t="str">
        <f>IF('Levy Page 13'!$D$41&lt;&gt;0,ROUND(G25/$F$57*1000,3),"  ")</f>
        <v xml:space="preserve">  </v>
      </c>
    </row>
    <row r="26" spans="1:13" x14ac:dyDescent="0.2">
      <c r="A26" s="64" t="str">
        <f>IF((inputPrYr!$B27&gt;" "),(inputPrYr!$B27),"  ")</f>
        <v xml:space="preserve">  </v>
      </c>
      <c r="B26" s="64" t="str">
        <f>IF('Levy Page 13'!$B$75&lt;&gt;0,'Levy Page 13'!$B$75,"  ")</f>
        <v xml:space="preserve">  </v>
      </c>
      <c r="C26" s="254" t="str">
        <f>IF(inputPrYr!D79&lt;&gt;0,inputPrYr!D79,"  ")</f>
        <v xml:space="preserve">  </v>
      </c>
      <c r="D26" s="64" t="str">
        <f>IF('Levy Page 13'!$C$75&lt;&gt;0,'Levy Page 13'!$C$75,"  ")</f>
        <v xml:space="preserve">  </v>
      </c>
      <c r="E26" s="254" t="str">
        <f>IF(inputPrYr!F27&lt;&gt;0,inputPrYr!F27,"  ")</f>
        <v xml:space="preserve">  </v>
      </c>
      <c r="F26" s="64" t="str">
        <f>IF('Levy Page 13'!$D$75&lt;&gt;0,'Levy Page 13'!$D$75,"  ")</f>
        <v xml:space="preserve">  </v>
      </c>
      <c r="G26" s="64" t="str">
        <f>IF('Levy Page 13'!$D$82&lt;&gt;0,'Levy Page 13'!$D$82,"  ")</f>
        <v xml:space="preserve">  </v>
      </c>
      <c r="H26" s="254" t="str">
        <f>IF('Levy Page 13'!$D$82&lt;&gt;0,ROUND(G26/$F$57*1000,3),"  ")</f>
        <v xml:space="preserve">  </v>
      </c>
    </row>
    <row r="27" spans="1:13" x14ac:dyDescent="0.2">
      <c r="A27" s="64" t="str">
        <f>IF((inputPrYr!$B28&gt;" "),(inputPrYr!$B28),"  ")</f>
        <v xml:space="preserve">  </v>
      </c>
      <c r="B27" s="64" t="str">
        <f>IF('Levy Page 14'!$B$34&lt;&gt;0,'Levy Page 14'!$B$34,"  ")</f>
        <v xml:space="preserve">  </v>
      </c>
      <c r="C27" s="254" t="str">
        <f>IF(inputPrYr!D80&lt;&gt;0,inputPrYr!D80,"  ")</f>
        <v xml:space="preserve">  </v>
      </c>
      <c r="D27" s="64" t="str">
        <f>IF('Levy Page 14'!$C$34&lt;&gt;0,'Levy Page 14'!$C$34,"  ")</f>
        <v xml:space="preserve">  </v>
      </c>
      <c r="E27" s="254" t="str">
        <f>IF(inputPrYr!F28&lt;&gt;0,inputPrYr!F28,"  ")</f>
        <v xml:space="preserve">  </v>
      </c>
      <c r="F27" s="64" t="str">
        <f>IF('Levy Page 14'!$D$34&lt;&gt;0,'Levy Page 14'!$D$34,"  ")</f>
        <v xml:space="preserve">  </v>
      </c>
      <c r="G27" s="64" t="str">
        <f>IF('Levy Page 14'!$D$41&lt;&gt;0,'Levy Page 14'!$D$41,"  ")</f>
        <v xml:space="preserve">  </v>
      </c>
      <c r="H27" s="254" t="str">
        <f>IF('Levy Page 14'!$D$41&lt;&gt;0,ROUND(G27/$F$57*1000,3),"  ")</f>
        <v xml:space="preserve">  </v>
      </c>
    </row>
    <row r="28" spans="1:13" x14ac:dyDescent="0.2">
      <c r="A28" s="64" t="str">
        <f>IF((inputPrYr!$B29&gt;" "),(inputPrYr!$B29),"  ")</f>
        <v xml:space="preserve">  </v>
      </c>
      <c r="B28" s="64" t="str">
        <f>IF('Levy Page 14'!$B$75&lt;&gt;0,'Levy Page 14'!$B$75,"  ")</f>
        <v xml:space="preserve">  </v>
      </c>
      <c r="C28" s="254" t="str">
        <f>IF(inputPrYr!D81&lt;&gt;0,inputPrYr!D81,"  ")</f>
        <v xml:space="preserve">  </v>
      </c>
      <c r="D28" s="64" t="str">
        <f>IF('Levy Page 14'!$C$75&lt;&gt;0,'Levy Page 14'!$C$75,"  ")</f>
        <v xml:space="preserve">  </v>
      </c>
      <c r="E28" s="254" t="str">
        <f>IF(inputPrYr!F29&lt;&gt;0,inputPrYr!F29,"  ")</f>
        <v xml:space="preserve">  </v>
      </c>
      <c r="F28" s="64" t="str">
        <f>IF('Levy Page 14'!$D$75&lt;&gt;0,'Levy Page 14'!$D$75,"  ")</f>
        <v xml:space="preserve">  </v>
      </c>
      <c r="G28" s="64" t="str">
        <f>IF('Levy Page 14'!$D$82&lt;&gt;0,'Levy Page 14'!$D$82,"  ")</f>
        <v xml:space="preserve">  </v>
      </c>
      <c r="H28" s="254" t="str">
        <f>IF('Levy Page 14'!$D$82&lt;&gt;0,ROUND(G28/$F$57*1000,3),"  ")</f>
        <v xml:space="preserve">  </v>
      </c>
    </row>
    <row r="29" spans="1:13" x14ac:dyDescent="0.2">
      <c r="A29" s="64" t="str">
        <f>IF((inputPrYr!$B30&gt;" "),(inputPrYr!$B30),"  ")</f>
        <v xml:space="preserve">  </v>
      </c>
      <c r="B29" s="64" t="str">
        <f>IF('Levy Page 15'!$B$34&lt;&gt;0,'Levy Page 15'!$B$34,"  ")</f>
        <v xml:space="preserve">  </v>
      </c>
      <c r="C29" s="254" t="str">
        <f>IF(inputPrYr!D82&lt;&gt;0,inputPrYr!D82,"  ")</f>
        <v xml:space="preserve">  </v>
      </c>
      <c r="D29" s="64" t="str">
        <f>IF('Levy Page 15'!$C$34&lt;&gt;0,'Levy Page 15'!$C$34,"  ")</f>
        <v xml:space="preserve">  </v>
      </c>
      <c r="E29" s="254" t="str">
        <f>IF(inputPrYr!F30&lt;&gt;0,inputPrYr!F30,"  ")</f>
        <v xml:space="preserve">  </v>
      </c>
      <c r="F29" s="64" t="str">
        <f>IF('Levy Page 15'!$D$34&lt;&gt;0,'Levy Page 15'!$D$34,"  ")</f>
        <v xml:space="preserve">  </v>
      </c>
      <c r="G29" s="64" t="str">
        <f>IF('Levy Page 15'!$D$41&lt;&gt;0,'Levy Page 15'!$D$41,"  ")</f>
        <v xml:space="preserve">  </v>
      </c>
      <c r="H29" s="254" t="str">
        <f>IF('Levy Page 15'!$D$41&lt;&gt;0,ROUND(G29/$F$57*1000,3),"  ")</f>
        <v xml:space="preserve">  </v>
      </c>
    </row>
    <row r="30" spans="1:13" x14ac:dyDescent="0.25">
      <c r="A30" s="64" t="str">
        <f>IF((inputPrYr!$B31&gt;" "),(inputPrYr!$B31),"  ")</f>
        <v xml:space="preserve">  </v>
      </c>
      <c r="B30" s="64" t="str">
        <f>IF('Levy Page 15'!$B$75&lt;&gt;0,'Levy Page 15'!$B$75,"  ")</f>
        <v xml:space="preserve">  </v>
      </c>
      <c r="C30" s="254" t="str">
        <f>IF(inputPrYr!D83&lt;&gt;0,inputPrYr!D83,"  ")</f>
        <v xml:space="preserve">  </v>
      </c>
      <c r="D30" s="64" t="str">
        <f>IF('Levy Page 15'!$C$75&lt;&gt;0,'Levy Page 15'!$C$75,"  ")</f>
        <v xml:space="preserve">  </v>
      </c>
      <c r="E30" s="254" t="str">
        <f>IF(inputPrYr!F31&lt;&gt;0,inputPrYr!F31,"  ")</f>
        <v xml:space="preserve">  </v>
      </c>
      <c r="F30" s="64" t="str">
        <f>IF('Levy Page 15'!$D$75&lt;&gt;0,'Levy Page 15'!$D$75,"  ")</f>
        <v xml:space="preserve">  </v>
      </c>
      <c r="G30" s="64" t="str">
        <f>IF('Levy Page 15'!$D$82&lt;&gt;0,'Levy Page 15'!$D$82,"  ")</f>
        <v xml:space="preserve">  </v>
      </c>
      <c r="H30" s="254" t="str">
        <f>IF('Levy Page 15'!$D$82&lt;&gt;0,ROUND(G30/$F$57*1000,3),"  ")</f>
        <v xml:space="preserve">  </v>
      </c>
      <c r="J30" s="681" t="str">
        <f>CONCATENATE("Estimated Value Of One Mill For ",H1,"")</f>
        <v>Estimated Value Of One Mill For 2025</v>
      </c>
      <c r="K30" s="682"/>
      <c r="L30" s="682"/>
      <c r="M30" s="683"/>
    </row>
    <row r="31" spans="1:13" x14ac:dyDescent="0.25">
      <c r="A31" s="64" t="str">
        <f>IF((inputPrYr!$B32&gt;" "),(inputPrYr!$B32),"  ")</f>
        <v xml:space="preserve">  </v>
      </c>
      <c r="B31" s="64" t="str">
        <f>IF('Levy Page 16'!$B$34&lt;&gt;0,'Levy Page 16'!$B$34,"  ")</f>
        <v xml:space="preserve">  </v>
      </c>
      <c r="C31" s="254" t="str">
        <f>IF(inputPrYr!D84&lt;&gt;0,inputPrYr!D84,"  ")</f>
        <v xml:space="preserve">  </v>
      </c>
      <c r="D31" s="64" t="str">
        <f>IF('Levy Page 16'!$C$34&lt;&gt;0,'Levy Page 16'!$C$34,"  ")</f>
        <v xml:space="preserve">  </v>
      </c>
      <c r="E31" s="254" t="str">
        <f>IF(inputPrYr!F32&lt;&gt;0,inputPrYr!F32,"  ")</f>
        <v xml:space="preserve">  </v>
      </c>
      <c r="F31" s="64" t="str">
        <f>IF('Levy Page 16'!$D$34&lt;&gt;0,'Levy Page 16'!$D$34,"  ")</f>
        <v xml:space="preserve">  </v>
      </c>
      <c r="G31" s="64" t="str">
        <f>IF('Levy Page 16'!$D$41&lt;&gt;0,'Levy Page 16'!$D$41,"  ")</f>
        <v xml:space="preserve">  </v>
      </c>
      <c r="H31" s="254" t="str">
        <f>IF('Levy Page 16'!$D$41&lt;&gt;0,ROUND(G31/$F$57*1000,3),"  ")</f>
        <v xml:space="preserve">  </v>
      </c>
      <c r="J31" s="326"/>
      <c r="K31" s="327"/>
      <c r="L31" s="327"/>
      <c r="M31" s="328"/>
    </row>
    <row r="32" spans="1:13" x14ac:dyDescent="0.25">
      <c r="A32" s="64" t="str">
        <f>IF((inputPrYr!$B33&gt;" "),(inputPrYr!$B33),"  ")</f>
        <v xml:space="preserve">  </v>
      </c>
      <c r="B32" s="64" t="str">
        <f>IF('Levy Page 16'!$B$75&lt;&gt;0,'Levy Page 16'!$B$75,"  ")</f>
        <v xml:space="preserve">  </v>
      </c>
      <c r="C32" s="254" t="str">
        <f>IF(inputPrYr!D85&lt;&gt;0,inputPrYr!D85,"  ")</f>
        <v xml:space="preserve">  </v>
      </c>
      <c r="D32" s="64" t="str">
        <f>IF('Levy Page 16'!$C$75&lt;&gt;0,'Levy Page 16'!$C$75,"  ")</f>
        <v xml:space="preserve">  </v>
      </c>
      <c r="E32" s="254" t="str">
        <f>IF(inputPrYr!F33&lt;&gt;0,inputPrYr!F33,"  ")</f>
        <v xml:space="preserve">  </v>
      </c>
      <c r="F32" s="64" t="str">
        <f>IF('Levy Page 16'!$D$75&lt;&gt;0,'Levy Page 16'!$D$75,"  ")</f>
        <v xml:space="preserve">  </v>
      </c>
      <c r="G32" s="64" t="str">
        <f>IF('Levy Page 16'!$D$82&lt;&gt;0,'Levy Page 16'!$D$82,"  ")</f>
        <v xml:space="preserve">  </v>
      </c>
      <c r="H32" s="254" t="str">
        <f>IF('Levy Page 16'!$D$82&lt;&gt;0,ROUND(G32/$F$57*1000,3),"  ")</f>
        <v xml:space="preserve">  </v>
      </c>
      <c r="J32" s="329" t="s">
        <v>337</v>
      </c>
      <c r="K32" s="330"/>
      <c r="L32" s="330"/>
      <c r="M32" s="431">
        <f>ROUND(F57/1000,0)</f>
        <v>0</v>
      </c>
    </row>
    <row r="33" spans="1:13" x14ac:dyDescent="0.2">
      <c r="A33" s="64" t="str">
        <f>IF((inputPrYr!$B34&gt;" "),(inputPrYr!$B34),"  ")</f>
        <v xml:space="preserve">  </v>
      </c>
      <c r="B33" s="64" t="str">
        <f>IF('Levy Page 17'!$B$34&lt;&gt;0,'Levy Page 17'!$B$34,"  ")</f>
        <v xml:space="preserve">  </v>
      </c>
      <c r="C33" s="254" t="str">
        <f>IF(inputPrYr!D86&lt;&gt;0,inputPrYr!D86,"  ")</f>
        <v xml:space="preserve">  </v>
      </c>
      <c r="D33" s="64" t="str">
        <f>IF('Levy Page 17'!$C$34&lt;&gt;0,'Levy Page 17'!$C$34,"  ")</f>
        <v xml:space="preserve">  </v>
      </c>
      <c r="E33" s="254" t="str">
        <f>IF(inputPrYr!F34&lt;&gt;0,inputPrYr!F34,"  ")</f>
        <v xml:space="preserve">  </v>
      </c>
      <c r="F33" s="64" t="str">
        <f>IF('Levy Page 17'!$D$34&lt;&gt;0,'Levy Page 17'!$D$34,"  ")</f>
        <v xml:space="preserve">  </v>
      </c>
      <c r="G33" s="64" t="str">
        <f>IF('Levy Page 17'!$D$41&lt;&gt;0,'Levy Page 17'!$D$41,"  ")</f>
        <v xml:space="preserve">  </v>
      </c>
      <c r="H33" s="254" t="str">
        <f>IF('Levy Page 17'!$D$41&lt;&gt;0,ROUND(G33/$F$57*1000,3),"  ")</f>
        <v xml:space="preserve">  </v>
      </c>
    </row>
    <row r="34" spans="1:13" x14ac:dyDescent="0.25">
      <c r="A34" s="64" t="str">
        <f>IF((inputPrYr!$B35&gt;" "),(inputPrYr!$B35),"  ")</f>
        <v xml:space="preserve">  </v>
      </c>
      <c r="B34" s="64" t="str">
        <f>IF('Levy Page 17'!$B$75&lt;&gt;0,'Levy Page 17'!$B$75,"  ")</f>
        <v xml:space="preserve">  </v>
      </c>
      <c r="C34" s="254" t="str">
        <f>IF(inputPrYr!D87&lt;&gt;0,inputPrYr!D87,"  ")</f>
        <v xml:space="preserve">  </v>
      </c>
      <c r="D34" s="64" t="str">
        <f>IF('Levy Page 17'!$C$75&lt;&gt;0,'Levy Page 17'!$C$75,"  ")</f>
        <v xml:space="preserve">  </v>
      </c>
      <c r="E34" s="254" t="str">
        <f>IF(inputPrYr!F35&lt;&gt;0,inputPrYr!F35,"  ")</f>
        <v xml:space="preserve">  </v>
      </c>
      <c r="F34" s="64" t="str">
        <f>IF('Levy Page 17'!$D$75&lt;&gt;0,'Levy Page 17'!$D$75,"  ")</f>
        <v xml:space="preserve">  </v>
      </c>
      <c r="G34" s="64" t="str">
        <f>IF('Levy Page 17'!$D$82&lt;&gt;0,'Levy Page 17'!$D$82,"  ")</f>
        <v xml:space="preserve">  </v>
      </c>
      <c r="H34" s="254" t="str">
        <f>IF('Levy Page 17'!$D$82&lt;&gt;0,ROUND(G34/$F$57*1000,3),"  ")</f>
        <v xml:space="preserve">  </v>
      </c>
      <c r="J34" s="681" t="str">
        <f>CONCATENATE("Want The Mill Rate The Same As For ",H1-1,"?")</f>
        <v>Want The Mill Rate The Same As For 2024?</v>
      </c>
      <c r="K34" s="682"/>
      <c r="L34" s="682"/>
      <c r="M34" s="683"/>
    </row>
    <row r="35" spans="1:13" x14ac:dyDescent="0.25">
      <c r="A35" s="64" t="str">
        <f>IF((inputPrYr!$B36&gt;" "),(inputPrYr!$B36),"  ")</f>
        <v xml:space="preserve">  </v>
      </c>
      <c r="B35" s="64" t="str">
        <f>IF('Levy Page 18'!$B$34&lt;&gt;0,'Levy Page 18'!$B$34,"  ")</f>
        <v xml:space="preserve">  </v>
      </c>
      <c r="C35" s="254" t="str">
        <f>IF(inputPrYr!D88&lt;&gt;0,inputPrYr!D88,"  ")</f>
        <v xml:space="preserve">  </v>
      </c>
      <c r="D35" s="64" t="str">
        <f>IF('Levy Page 18'!$C$34&lt;&gt;0,'Levy Page 18'!$C$34,"  ")</f>
        <v xml:space="preserve">  </v>
      </c>
      <c r="E35" s="254" t="str">
        <f>IF(inputPrYr!F36&lt;&gt;0,inputPrYr!F36,"  ")</f>
        <v xml:space="preserve">  </v>
      </c>
      <c r="F35" s="64" t="str">
        <f>IF('Levy Page 18'!$D$34&lt;&gt;0,'Levy Page 18'!$D$34,"  ")</f>
        <v xml:space="preserve">  </v>
      </c>
      <c r="G35" s="64" t="str">
        <f>IF('Levy Page 18'!$D$41&lt;&gt;0,'Levy Page 18'!$D$41,"  ")</f>
        <v xml:space="preserve">  </v>
      </c>
      <c r="H35" s="254" t="str">
        <f>IF('Levy Page 18'!$D$41&lt;&gt;0,ROUND(G35/$F$57*1000,3),"  ")</f>
        <v xml:space="preserve">  </v>
      </c>
      <c r="J35" s="333"/>
      <c r="K35" s="327"/>
      <c r="L35" s="327"/>
      <c r="M35" s="334"/>
    </row>
    <row r="36" spans="1:13" x14ac:dyDescent="0.25">
      <c r="A36" s="64" t="str">
        <f>IF((inputPrYr!$B37&gt;" "),(inputPrYr!$B37),"  ")</f>
        <v xml:space="preserve">  </v>
      </c>
      <c r="B36" s="64" t="str">
        <f>IF('Levy Page 18'!$B$75&lt;&gt;0,'Levy Page 18'!$B$75,"  ")</f>
        <v xml:space="preserve">  </v>
      </c>
      <c r="C36" s="254" t="str">
        <f>IF(inputPrYr!D89&lt;&gt;0,inputPrYr!D89,"  ")</f>
        <v xml:space="preserve">  </v>
      </c>
      <c r="D36" s="64" t="str">
        <f>IF('Levy Page 18'!$C$75&lt;&gt;0,'Levy Page 18'!$C$75,"  ")</f>
        <v xml:space="preserve">  </v>
      </c>
      <c r="E36" s="254" t="str">
        <f>IF(inputPrYr!F37&lt;&gt;0,inputPrYr!F37,"  ")</f>
        <v xml:space="preserve">  </v>
      </c>
      <c r="F36" s="64" t="str">
        <f>IF('Levy Page 18'!$D$75&lt;&gt;0,'Levy Page 18'!$D$75,"  ")</f>
        <v xml:space="preserve">  </v>
      </c>
      <c r="G36" s="64" t="str">
        <f>IF('Levy Page 18'!$D$82&lt;&gt;0,'Levy Page 18'!$D$82,"  ")</f>
        <v xml:space="preserve">  </v>
      </c>
      <c r="H36" s="254" t="str">
        <f>IF('Levy Page 18'!$D$82&lt;&gt;0,ROUND(G36/$F$57*1000,3),"  ")</f>
        <v xml:space="preserve">  </v>
      </c>
      <c r="J36" s="333" t="str">
        <f>CONCATENATE("",H1-1," Mill Rate Was:")</f>
        <v>2024 Mill Rate Was:</v>
      </c>
      <c r="K36" s="327"/>
      <c r="L36" s="327"/>
      <c r="M36" s="335">
        <f>E52</f>
        <v>0</v>
      </c>
    </row>
    <row r="37" spans="1:13" x14ac:dyDescent="0.25">
      <c r="A37" s="64" t="str">
        <f>IF((inputPrYr!$B38&gt;" "),(inputPrYr!$B38),"  ")</f>
        <v xml:space="preserve">  </v>
      </c>
      <c r="B37" s="64" t="str">
        <f>IF('Levy Page 19'!$B$34&lt;&gt;0,'Levy Page 19'!$B$34,"  ")</f>
        <v xml:space="preserve">  </v>
      </c>
      <c r="C37" s="254" t="str">
        <f>IF(inputPrYr!D90&lt;&gt;0,inputPrYr!D90,"  ")</f>
        <v xml:space="preserve">  </v>
      </c>
      <c r="D37" s="64" t="str">
        <f>IF('Levy Page 19'!$C$34&lt;&gt;0,'Levy Page 19'!$C$34,"  ")</f>
        <v xml:space="preserve">  </v>
      </c>
      <c r="E37" s="254" t="str">
        <f>IF(inputPrYr!F38&lt;&gt;0,inputPrYr!F38,"  ")</f>
        <v xml:space="preserve">  </v>
      </c>
      <c r="F37" s="64" t="str">
        <f>IF('Levy Page 19'!$D$34&lt;&gt;0,'Levy Page 19'!$D$34,"  ")</f>
        <v xml:space="preserve">  </v>
      </c>
      <c r="G37" s="64" t="str">
        <f>IF('Levy Page 19'!$D$41&lt;&gt;0,'Levy Page 19'!$D$41,"  ")</f>
        <v xml:space="preserve">  </v>
      </c>
      <c r="H37" s="254" t="str">
        <f>IF('Levy Page 19'!$D$41&lt;&gt;0,ROUND(G37/$F$57*1000,3),"  ")</f>
        <v xml:space="preserve">  </v>
      </c>
      <c r="J37" s="336" t="str">
        <f>CONCATENATE("",H1," Tax Levy Fund Expenditures Must Be")</f>
        <v>2025 Tax Levy Fund Expenditures Must Be</v>
      </c>
      <c r="K37" s="337"/>
      <c r="L37" s="337"/>
      <c r="M37" s="334"/>
    </row>
    <row r="38" spans="1:13" x14ac:dyDescent="0.25">
      <c r="A38" s="64" t="str">
        <f>IF((inputPrYr!$B39&gt;" "),(inputPrYr!$B39),"  ")</f>
        <v xml:space="preserve">  </v>
      </c>
      <c r="B38" s="64" t="str">
        <f>IF('Levy Page 19'!$B$75&lt;&gt;0,'Levy Page 19'!$B$75,"  ")</f>
        <v xml:space="preserve">  </v>
      </c>
      <c r="C38" s="254" t="str">
        <f>IF(inputPrYr!D91&lt;&gt;0,inputPrYr!D91,"  ")</f>
        <v xml:space="preserve">  </v>
      </c>
      <c r="D38" s="64" t="str">
        <f>IF('Levy Page 19'!$C$75&lt;&gt;0,'Levy Page 19'!$C$75,"  ")</f>
        <v xml:space="preserve">  </v>
      </c>
      <c r="E38" s="254" t="str">
        <f>IF(inputPrYr!F39&lt;&gt;0,inputPrYr!F39,"  ")</f>
        <v xml:space="preserve">  </v>
      </c>
      <c r="F38" s="64" t="str">
        <f>IF('Levy Page 19'!$D$75&lt;&gt;0,'Levy Page 19'!$D$75,"  ")</f>
        <v xml:space="preserve">  </v>
      </c>
      <c r="G38" s="64" t="str">
        <f>IF('Levy Page 19'!$D$82&lt;&gt;0,'Levy Page 19'!$D$82,"  ")</f>
        <v xml:space="preserve">  </v>
      </c>
      <c r="H38" s="254" t="str">
        <f>IF('Levy Page 19'!$D$82&lt;&gt;0,ROUND(G38/$F$57*1000,3),"  ")</f>
        <v xml:space="preserve">  </v>
      </c>
      <c r="J38" s="336" t="str">
        <f>IF(M38&gt;0,"Increased By:","")</f>
        <v/>
      </c>
      <c r="K38" s="337"/>
      <c r="L38" s="337"/>
      <c r="M38" s="343">
        <f>IF(M45&lt;0,M45*-1,0)</f>
        <v>0</v>
      </c>
    </row>
    <row r="39" spans="1:13" x14ac:dyDescent="0.2">
      <c r="A39" s="64" t="str">
        <f>IF((inputPrYr!$B40&gt;" "),(inputPrYr!$B40),"  ")</f>
        <v xml:space="preserve">  </v>
      </c>
      <c r="B39" s="64" t="str">
        <f>IF('Levy Page 20'!$B$34&lt;&gt;0,'Levy Page 20'!$B$34,"  ")</f>
        <v xml:space="preserve">  </v>
      </c>
      <c r="C39" s="254" t="str">
        <f>IF(inputPrYr!D92&lt;&gt;0,inputPrYr!D92,"  ")</f>
        <v xml:space="preserve">  </v>
      </c>
      <c r="D39" s="64" t="str">
        <f>IF('Levy Page 20'!$C$34&lt;&gt;0,'Levy Page 20'!$C$34,"  ")</f>
        <v xml:space="preserve">  </v>
      </c>
      <c r="E39" s="254" t="str">
        <f>IF(inputPrYr!F40&lt;&gt;0,inputPrYr!F40,"  ")</f>
        <v xml:space="preserve">  </v>
      </c>
      <c r="F39" s="64" t="str">
        <f>IF('Levy Page 20'!$D$34&lt;&gt;0,'Levy Page 20'!$D$34,"  ")</f>
        <v xml:space="preserve">  </v>
      </c>
      <c r="G39" s="64" t="str">
        <f>IF('Levy Page 20'!$D$41&lt;&gt;0,'Levy Page 20'!$D$41,"  ")</f>
        <v xml:space="preserve">  </v>
      </c>
      <c r="H39" s="254" t="str">
        <f>IF('Levy Page 20'!$D$41&lt;&gt;0,ROUND(G39/$F$57*1000,3),"  ")</f>
        <v xml:space="preserve">  </v>
      </c>
      <c r="J39" s="345" t="str">
        <f>IF(M39&lt;0,"Reduced By:","")</f>
        <v/>
      </c>
      <c r="K39" s="346"/>
      <c r="L39" s="346"/>
      <c r="M39" s="347">
        <f>IF(M45&gt;0,M45*-1,0)</f>
        <v>0</v>
      </c>
    </row>
    <row r="40" spans="1:13" x14ac:dyDescent="0.25">
      <c r="A40" s="64" t="str">
        <f>IF((inputPrYr!$B41&gt;" "),(inputPrYr!$B41),"  ")</f>
        <v xml:space="preserve">  </v>
      </c>
      <c r="B40" s="64" t="str">
        <f>IF('Levy Page 20'!$B$75&lt;&gt;0,'Levy Page 20'!$B$75,"  ")</f>
        <v xml:space="preserve">  </v>
      </c>
      <c r="C40" s="254" t="str">
        <f>IF(inputPrYr!D93&lt;&gt;0,inputPrYr!D93,"  ")</f>
        <v xml:space="preserve">  </v>
      </c>
      <c r="D40" s="64" t="str">
        <f>IF('Levy Page 20'!$C$75&lt;&gt;0,'Levy Page 20'!$C$75,"  ")</f>
        <v xml:space="preserve">  </v>
      </c>
      <c r="E40" s="254" t="str">
        <f>IF(inputPrYr!F41&lt;&gt;0,inputPrYr!F41,"  ")</f>
        <v xml:space="preserve">  </v>
      </c>
      <c r="F40" s="64" t="str">
        <f>IF('Levy Page 20'!$D$75&lt;&gt;0,'Levy Page 20'!$D$75,"  ")</f>
        <v xml:space="preserve">  </v>
      </c>
      <c r="G40" s="64" t="str">
        <f>IF('Levy Page 20'!$D$82&lt;&gt;0,'Levy Page 20'!$D$82,"  ")</f>
        <v xml:space="preserve">  </v>
      </c>
      <c r="H40" s="254" t="str">
        <f>IF('Levy Page 20'!$D$82&lt;&gt;0,ROUND(G40/$F$57*1000,3),"  ")</f>
        <v xml:space="preserve">  </v>
      </c>
      <c r="J40" s="332"/>
      <c r="K40" s="332"/>
      <c r="L40" s="332"/>
      <c r="M40" s="332"/>
    </row>
    <row r="41" spans="1:13" x14ac:dyDescent="0.25">
      <c r="A41" s="64" t="str">
        <f>IF((inputPrYr!$B45&gt;" "),(inputPrYr!$B45),"  ")</f>
        <v xml:space="preserve">  </v>
      </c>
      <c r="B41" s="64" t="str">
        <f>IF('No Levy Page 21'!$B$27&lt;&gt;0,'No Levy Page 21'!$B$27,"  ")</f>
        <v xml:space="preserve">  </v>
      </c>
      <c r="C41" s="108"/>
      <c r="D41" s="64" t="str">
        <f>IF('No Levy Page 21'!$C$27&lt;&gt;0,'No Levy Page 21'!$C$27,"  ")</f>
        <v xml:space="preserve">  </v>
      </c>
      <c r="E41" s="108"/>
      <c r="F41" s="64" t="str">
        <f>IF('No Levy Page 21'!$D$27&lt;&gt;0,'No Levy Page 21'!$D$27,"  ")</f>
        <v xml:space="preserve">  </v>
      </c>
      <c r="G41" s="64"/>
      <c r="H41" s="45"/>
      <c r="J41" s="681" t="str">
        <f>CONCATENATE("Impact On Keeping The Same Mill Rate As For ",H1-1,"")</f>
        <v>Impact On Keeping The Same Mill Rate As For 2024</v>
      </c>
      <c r="K41" s="694"/>
      <c r="L41" s="694"/>
      <c r="M41" s="695"/>
    </row>
    <row r="42" spans="1:13" x14ac:dyDescent="0.25">
      <c r="A42" s="64" t="str">
        <f>IF((inputPrYr!$B46&gt;" "),(inputPrYr!$B46),"  ")</f>
        <v xml:space="preserve">  </v>
      </c>
      <c r="B42" s="64" t="str">
        <f>IF('No Levy Page 21'!$B$57&lt;&gt;0,'No Levy Page 21'!$B$57,"  ")</f>
        <v xml:space="preserve">  </v>
      </c>
      <c r="C42" s="108"/>
      <c r="D42" s="64" t="str">
        <f>IF('No Levy Page 21'!$C$57&lt;&gt;0,'No Levy Page 21'!$C$57,"  ")</f>
        <v xml:space="preserve">  </v>
      </c>
      <c r="E42" s="108"/>
      <c r="F42" s="64" t="str">
        <f>IF('No Levy Page 21'!$D$57&lt;&gt;0,'No Levy Page 21'!$D$57,"  ")</f>
        <v xml:space="preserve">  </v>
      </c>
      <c r="G42" s="64"/>
      <c r="H42" s="45"/>
      <c r="J42" s="333"/>
      <c r="K42" s="327"/>
      <c r="L42" s="327"/>
      <c r="M42" s="334"/>
    </row>
    <row r="43" spans="1:13" x14ac:dyDescent="0.25">
      <c r="A43" s="64" t="str">
        <f>IF((inputPrYr!$B47&gt;" "),(inputPrYr!$B47),"  ")</f>
        <v xml:space="preserve">  </v>
      </c>
      <c r="B43" s="64" t="str">
        <f>IF('No Levy Page 22'!$B$27&lt;&gt;0,'No Levy Page 22'!$B$27,"  ")</f>
        <v xml:space="preserve">  </v>
      </c>
      <c r="C43" s="108"/>
      <c r="D43" s="64" t="str">
        <f>IF('No Levy Page 22'!$C$27&lt;&gt;0,'No Levy Page 22'!$C$27,"  ")</f>
        <v xml:space="preserve">  </v>
      </c>
      <c r="E43" s="108"/>
      <c r="F43" s="64" t="str">
        <f>IF('No Levy Page 22'!$D$27&lt;&gt;0,'No Levy Page 22'!$D$27,"  ")</f>
        <v xml:space="preserve">  </v>
      </c>
      <c r="G43" s="64"/>
      <c r="H43" s="45"/>
      <c r="J43" s="333" t="str">
        <f>CONCATENATE("",H1," Ad Valorem Tax Revenue:")</f>
        <v>2025 Ad Valorem Tax Revenue:</v>
      </c>
      <c r="K43" s="327"/>
      <c r="L43" s="327"/>
      <c r="M43" s="328">
        <f>G52</f>
        <v>0</v>
      </c>
    </row>
    <row r="44" spans="1:13" x14ac:dyDescent="0.25">
      <c r="A44" s="64" t="str">
        <f>IF((inputPrYr!$B48&gt;" "),(inputPrYr!$B48),"  ")</f>
        <v xml:space="preserve">  </v>
      </c>
      <c r="B44" s="64" t="str">
        <f>IF('No Levy Page 22'!$B$57&lt;&gt;0,'No Levy Page 22'!$B$57,"  ")</f>
        <v xml:space="preserve">  </v>
      </c>
      <c r="C44" s="108"/>
      <c r="D44" s="64" t="str">
        <f>IF('No Levy Page 22'!$C$57&lt;&gt;0,'No Levy Page 22'!$C$57,"  ")</f>
        <v xml:space="preserve">  </v>
      </c>
      <c r="E44" s="108"/>
      <c r="F44" s="64" t="str">
        <f>IF('No Levy Page 22'!$D$57&lt;&gt;0,'No Levy Page 22'!$D$57,"  ")</f>
        <v xml:space="preserve">  </v>
      </c>
      <c r="G44" s="64"/>
      <c r="H44" s="45"/>
      <c r="J44" s="333" t="str">
        <f>CONCATENATE("",H1-1," Ad Valorem Tax Revenue:")</f>
        <v>2024 Ad Valorem Tax Revenue:</v>
      </c>
      <c r="K44" s="327"/>
      <c r="L44" s="327"/>
      <c r="M44" s="340">
        <f>ROUND(F57*M36/1000,0)</f>
        <v>0</v>
      </c>
    </row>
    <row r="45" spans="1:13" x14ac:dyDescent="0.25">
      <c r="A45" s="64" t="str">
        <f>IF((inputPrYr!$B49&gt;" "),(inputPrYr!$B49),"  ")</f>
        <v xml:space="preserve">  </v>
      </c>
      <c r="B45" s="64" t="str">
        <f>IF('No Levy Page 23'!$B$27&lt;&gt;0,'No Levy Page 23'!$B$27,"  ")</f>
        <v xml:space="preserve">  </v>
      </c>
      <c r="C45" s="108"/>
      <c r="D45" s="64" t="str">
        <f>IF('No Levy Page 23'!$C$27&lt;&gt;0,'No Levy Page 23'!$C$27,"  ")</f>
        <v xml:space="preserve">  </v>
      </c>
      <c r="E45" s="108"/>
      <c r="F45" s="64" t="str">
        <f>IF('No Levy Page 23'!$D$27&lt;&gt;0,'No Levy Page 23'!$D$27,"  ")</f>
        <v xml:space="preserve">  </v>
      </c>
      <c r="G45" s="64"/>
      <c r="H45" s="45"/>
      <c r="J45" s="338" t="s">
        <v>338</v>
      </c>
      <c r="K45" s="339"/>
      <c r="L45" s="339"/>
      <c r="M45" s="331">
        <f>SUM(M43-M44)</f>
        <v>0</v>
      </c>
    </row>
    <row r="46" spans="1:13" x14ac:dyDescent="0.25">
      <c r="A46" s="64" t="str">
        <f>IF((inputPrYr!$B50&gt;" "),(inputPrYr!$B50),"  ")</f>
        <v xml:space="preserve">  </v>
      </c>
      <c r="B46" s="64" t="str">
        <f>IF('No Levy Page 23'!$B$57&lt;&gt;0,'No Levy Page 23'!$B$57,"  ")</f>
        <v xml:space="preserve">  </v>
      </c>
      <c r="C46" s="108"/>
      <c r="D46" s="64" t="str">
        <f>IF('No Levy Page 23'!$C$57&lt;&gt;0,'No Levy Page 23'!$C$57,"  ")</f>
        <v xml:space="preserve">  </v>
      </c>
      <c r="E46" s="108"/>
      <c r="F46" s="64" t="str">
        <f>IF('No Levy Page 23'!$D$57&lt;&gt;0,'No Levy Page 23'!$D$57,"  ")</f>
        <v xml:space="preserve">  </v>
      </c>
      <c r="G46" s="64"/>
      <c r="H46" s="45"/>
      <c r="J46" s="332"/>
      <c r="K46" s="332"/>
      <c r="L46" s="332"/>
      <c r="M46" s="332"/>
    </row>
    <row r="47" spans="1:13" x14ac:dyDescent="0.25">
      <c r="A47" s="64" t="str">
        <f>IF((inputPrYr!$B51&gt;" "),(inputPrYr!$B51),"  ")</f>
        <v xml:space="preserve">  </v>
      </c>
      <c r="B47" s="64" t="str">
        <f>IF('No Levy Page 24'!$B$27&lt;&gt;0,'No Levy Page 24'!$B$27,"  ")</f>
        <v xml:space="preserve">  </v>
      </c>
      <c r="C47" s="108"/>
      <c r="D47" s="64" t="str">
        <f>IF('No Levy Page 24'!$C$27&lt;&gt;0,'No Levy Page 24'!$C$27,"  ")</f>
        <v xml:space="preserve">  </v>
      </c>
      <c r="E47" s="108"/>
      <c r="F47" s="64" t="str">
        <f>IF('No Levy Page 24'!$D$27&lt;&gt;0,'No Levy Page 24'!$D$27,"  ")</f>
        <v xml:space="preserve">  </v>
      </c>
      <c r="G47" s="64"/>
      <c r="H47" s="45"/>
      <c r="J47" s="681" t="s">
        <v>339</v>
      </c>
      <c r="K47" s="694"/>
      <c r="L47" s="694"/>
      <c r="M47" s="695"/>
    </row>
    <row r="48" spans="1:13" x14ac:dyDescent="0.25">
      <c r="A48" s="64" t="str">
        <f>IF((inputPrYr!$B52&gt;" "),(inputPrYr!$B52),"  ")</f>
        <v xml:space="preserve">  </v>
      </c>
      <c r="B48" s="64" t="str">
        <f>IF('No Levy Page 24'!$B$57&lt;&gt;0,'No Levy Page 24'!$B$57,"  ")</f>
        <v xml:space="preserve">  </v>
      </c>
      <c r="C48" s="108"/>
      <c r="D48" s="64" t="str">
        <f>IF('No Levy Page 24'!$C$57&lt;&gt;0,'No Levy Page 24'!$C$57,"  ")</f>
        <v xml:space="preserve">  </v>
      </c>
      <c r="E48" s="108"/>
      <c r="F48" s="64" t="str">
        <f>IF('No Levy Page 24'!$D$57&lt;&gt;0,'No Levy Page 24'!$D$57,"  ")</f>
        <v xml:space="preserve">  </v>
      </c>
      <c r="G48" s="64"/>
      <c r="H48" s="45"/>
      <c r="J48" s="333"/>
      <c r="K48" s="327"/>
      <c r="L48" s="327"/>
      <c r="M48" s="334"/>
    </row>
    <row r="49" spans="1:13" x14ac:dyDescent="0.25">
      <c r="A49" s="64" t="str">
        <f>IF((inputPrYr!$B53&gt;" "),(inputPrYr!$B53),"  ")</f>
        <v xml:space="preserve">  </v>
      </c>
      <c r="B49" s="64" t="str">
        <f>IF('No Levy Page 25'!$B$27&lt;&gt;0,'No Levy Page 25'!$B$27,"  ")</f>
        <v xml:space="preserve">  </v>
      </c>
      <c r="C49" s="108"/>
      <c r="D49" s="64" t="str">
        <f>IF('No Levy Page 25'!$C$27&lt;&gt;0,'No Levy Page 25'!$C$27,"  ")</f>
        <v xml:space="preserve">  </v>
      </c>
      <c r="E49" s="108"/>
      <c r="F49" s="64" t="str">
        <f>IF('No Levy Page 25'!$D$27&lt;&gt;0,'No Levy Page 25'!$D$27,"  ")</f>
        <v xml:space="preserve">  </v>
      </c>
      <c r="G49" s="64"/>
      <c r="H49" s="45"/>
      <c r="J49" s="333" t="str">
        <f>CONCATENATE("Current ",H10," Estimated Mill Rate:")</f>
        <v>Current  Estimated Mill Rate:</v>
      </c>
      <c r="K49" s="327"/>
      <c r="L49" s="327"/>
      <c r="M49" s="335">
        <f>H52</f>
        <v>0</v>
      </c>
    </row>
    <row r="50" spans="1:13" x14ac:dyDescent="0.25">
      <c r="A50" s="64" t="str">
        <f>IF((inputPrYr!$B54&gt;" "),(inputPrYr!$B54),"  ")</f>
        <v xml:space="preserve">  </v>
      </c>
      <c r="B50" s="64" t="str">
        <f>IF('No Levy Page 25'!$B$57&lt;&gt;0,'No Levy Page 25'!$B$57,"  ")</f>
        <v xml:space="preserve">  </v>
      </c>
      <c r="C50" s="108"/>
      <c r="D50" s="64" t="str">
        <f>IF('No Levy Page 25'!$C$57&lt;&gt;0,'No Levy Page 25'!$C$57,"  ")</f>
        <v xml:space="preserve">  </v>
      </c>
      <c r="E50" s="108"/>
      <c r="F50" s="64" t="str">
        <f>IF('No Levy Page 25'!$D$57&lt;&gt;0,'No Levy Page 25'!$D$57,"  ")</f>
        <v xml:space="preserve">  </v>
      </c>
      <c r="G50" s="64"/>
      <c r="H50" s="45"/>
      <c r="J50" s="333" t="str">
        <f>CONCATENATE("Desired ",H10," Mill Rate:")</f>
        <v>Desired  Mill Rate:</v>
      </c>
      <c r="K50" s="327"/>
      <c r="L50" s="327"/>
      <c r="M50" s="341">
        <v>0</v>
      </c>
    </row>
    <row r="51" spans="1:13" x14ac:dyDescent="0.25">
      <c r="A51" s="505" t="str">
        <f>IF((inputPrYr!$B58&gt;"  "),('Non-Budgeted Funds'!$A3),"  ")</f>
        <v xml:space="preserve">  </v>
      </c>
      <c r="B51" s="505" t="str">
        <f>IF('Non-Budgeted Funds'!K28&gt;0,'Non-Budgeted Funds'!K28,"")</f>
        <v/>
      </c>
      <c r="C51" s="134"/>
      <c r="D51" s="505"/>
      <c r="E51" s="134"/>
      <c r="F51" s="505"/>
      <c r="G51" s="505"/>
      <c r="H51" s="528"/>
      <c r="J51" s="333" t="str">
        <f>CONCATENATE("",H1," Ad Valorem Tax:")</f>
        <v>2025 Ad Valorem Tax:</v>
      </c>
      <c r="K51" s="327"/>
      <c r="L51" s="327"/>
      <c r="M51" s="340">
        <f>ROUND(F57*M50/1000,0)</f>
        <v>0</v>
      </c>
    </row>
    <row r="52" spans="1:13" ht="16.5" thickBot="1" x14ac:dyDescent="0.3">
      <c r="A52" s="530" t="s">
        <v>27</v>
      </c>
      <c r="B52" s="527">
        <f>SUM(B16:B51)</f>
        <v>0</v>
      </c>
      <c r="C52" s="531">
        <f>SUM(C16:C40)</f>
        <v>0</v>
      </c>
      <c r="D52" s="527">
        <f>SUM(D16:D51)</f>
        <v>0</v>
      </c>
      <c r="E52" s="531">
        <f>SUM(E16:E40)</f>
        <v>0</v>
      </c>
      <c r="F52" s="527">
        <f>SUM(F16:F51)</f>
        <v>0</v>
      </c>
      <c r="G52" s="527">
        <f>SUM(G16:G40)</f>
        <v>0</v>
      </c>
      <c r="H52" s="531">
        <f>SUM(H16:H40)</f>
        <v>0</v>
      </c>
      <c r="J52" s="338" t="str">
        <f>CONCATENATE("",H10," Tax Levy Fund Exp. Changed By:")</f>
        <v xml:space="preserve"> Tax Levy Fund Exp. Changed By:</v>
      </c>
      <c r="K52" s="339"/>
      <c r="L52" s="339"/>
      <c r="M52" s="331">
        <f>IF(M50=0,0,(M51-G52))</f>
        <v>0</v>
      </c>
    </row>
    <row r="53" spans="1:13" ht="16.5" thickTop="1" x14ac:dyDescent="0.2">
      <c r="A53" s="684" t="s">
        <v>385</v>
      </c>
      <c r="B53" s="685"/>
      <c r="C53" s="685"/>
      <c r="D53" s="685"/>
      <c r="E53" s="685"/>
      <c r="F53" s="685"/>
      <c r="G53" s="686"/>
      <c r="H53" s="529">
        <f>inputOth!E14</f>
        <v>0</v>
      </c>
    </row>
    <row r="54" spans="1:13" x14ac:dyDescent="0.2">
      <c r="A54" s="31" t="s">
        <v>99</v>
      </c>
      <c r="B54" s="255">
        <f>Transfers!C28</f>
        <v>0</v>
      </c>
      <c r="C54" s="256"/>
      <c r="D54" s="255">
        <f>Transfers!D28</f>
        <v>0</v>
      </c>
      <c r="E54" s="208"/>
      <c r="F54" s="255">
        <f>Transfers!E28</f>
        <v>0</v>
      </c>
      <c r="G54" s="32"/>
      <c r="J54" s="698" t="s">
        <v>563</v>
      </c>
      <c r="K54" s="699"/>
      <c r="L54" s="699"/>
      <c r="M54" s="691" t="str">
        <f>IF(H52&gt;H53, "Yes", "No")</f>
        <v>No</v>
      </c>
    </row>
    <row r="55" spans="1:13" ht="16.5" thickBot="1" x14ac:dyDescent="0.25">
      <c r="A55" s="31" t="s">
        <v>100</v>
      </c>
      <c r="B55" s="527">
        <f>B52-B54</f>
        <v>0</v>
      </c>
      <c r="C55" s="32"/>
      <c r="D55" s="527">
        <f>D52-D54</f>
        <v>0</v>
      </c>
      <c r="E55" s="256"/>
      <c r="F55" s="527">
        <f>F52-F54</f>
        <v>0</v>
      </c>
      <c r="G55" s="32"/>
      <c r="J55" s="700"/>
      <c r="K55" s="701"/>
      <c r="L55" s="701"/>
      <c r="M55" s="692"/>
    </row>
    <row r="56" spans="1:13" ht="16.5" thickTop="1" x14ac:dyDescent="0.2">
      <c r="A56" s="31" t="s">
        <v>101</v>
      </c>
      <c r="B56" s="88">
        <f>inputPrYr!D96</f>
        <v>0</v>
      </c>
      <c r="C56" s="32"/>
      <c r="D56" s="88">
        <f>inputPrYr!E42</f>
        <v>0</v>
      </c>
      <c r="E56" s="32"/>
      <c r="F56" s="344" t="s">
        <v>213</v>
      </c>
      <c r="G56" s="32"/>
      <c r="J56" s="670" t="str">
        <f>IF(M54="Yes", "Follow procedure prescirbed by KSA 79-2988 to exceed the Revenue Neutral Rate.", " ")</f>
        <v xml:space="preserve"> </v>
      </c>
      <c r="K56" s="670"/>
      <c r="L56" s="670"/>
      <c r="M56" s="670"/>
    </row>
    <row r="57" spans="1:13" x14ac:dyDescent="0.2">
      <c r="A57" s="31" t="s">
        <v>102</v>
      </c>
      <c r="B57" s="64">
        <f>inputPrYr!D97</f>
        <v>0</v>
      </c>
      <c r="C57" s="32"/>
      <c r="D57" s="64">
        <f>inputPrYr!E65</f>
        <v>0</v>
      </c>
      <c r="E57" s="32"/>
      <c r="F57" s="64">
        <f>inputOth!E5</f>
        <v>0</v>
      </c>
      <c r="G57" s="32"/>
      <c r="J57" s="671"/>
      <c r="K57" s="671"/>
      <c r="L57" s="671"/>
      <c r="M57" s="671"/>
    </row>
    <row r="58" spans="1:13" x14ac:dyDescent="0.2">
      <c r="A58" s="31" t="s">
        <v>103</v>
      </c>
      <c r="B58" s="32"/>
      <c r="C58" s="32"/>
      <c r="D58" s="32"/>
      <c r="E58" s="32"/>
      <c r="F58" s="32"/>
      <c r="G58" s="32"/>
      <c r="H58" s="72"/>
      <c r="J58" s="671"/>
      <c r="K58" s="671"/>
      <c r="L58" s="671"/>
      <c r="M58" s="671"/>
    </row>
    <row r="59" spans="1:13" x14ac:dyDescent="0.2">
      <c r="A59" s="31" t="s">
        <v>104</v>
      </c>
      <c r="B59" s="257">
        <f>H1-3</f>
        <v>2022</v>
      </c>
      <c r="C59" s="32"/>
      <c r="D59" s="257">
        <f>H1-2</f>
        <v>2023</v>
      </c>
      <c r="E59" s="32"/>
      <c r="F59" s="257">
        <f>H1-1</f>
        <v>2024</v>
      </c>
      <c r="G59" s="32"/>
      <c r="H59" s="72"/>
    </row>
    <row r="60" spans="1:13" x14ac:dyDescent="0.2">
      <c r="A60" s="31" t="s">
        <v>105</v>
      </c>
      <c r="B60" s="103">
        <f>inputPrYr!D101</f>
        <v>0</v>
      </c>
      <c r="C60" s="32"/>
      <c r="D60" s="103">
        <f>inputPrYr!E101</f>
        <v>0</v>
      </c>
      <c r="E60" s="32"/>
      <c r="F60" s="103">
        <f>Debt!F22</f>
        <v>0</v>
      </c>
      <c r="G60" s="32"/>
      <c r="H60" s="72"/>
    </row>
    <row r="61" spans="1:13" x14ac:dyDescent="0.2">
      <c r="A61" s="31" t="s">
        <v>106</v>
      </c>
      <c r="B61" s="103">
        <f>inputPrYr!D102</f>
        <v>0</v>
      </c>
      <c r="C61" s="32"/>
      <c r="D61" s="103">
        <f>inputPrYr!E102</f>
        <v>0</v>
      </c>
      <c r="E61" s="32"/>
      <c r="F61" s="103">
        <f>Debt!F35</f>
        <v>0</v>
      </c>
      <c r="G61" s="32"/>
      <c r="H61" s="72"/>
    </row>
    <row r="62" spans="1:13" x14ac:dyDescent="0.2">
      <c r="A62" s="31" t="s">
        <v>95</v>
      </c>
      <c r="B62" s="103">
        <f>inputPrYr!D103</f>
        <v>0</v>
      </c>
      <c r="C62" s="32"/>
      <c r="D62" s="103">
        <f>inputPrYr!E103</f>
        <v>0</v>
      </c>
      <c r="E62" s="32"/>
      <c r="F62" s="103">
        <f>Debt!F46</f>
        <v>0</v>
      </c>
      <c r="G62" s="32"/>
      <c r="H62" s="72"/>
    </row>
    <row r="63" spans="1:13" x14ac:dyDescent="0.2">
      <c r="A63" s="31" t="s">
        <v>156</v>
      </c>
      <c r="B63" s="103">
        <f>inputPrYr!D104</f>
        <v>0</v>
      </c>
      <c r="C63" s="32"/>
      <c r="D63" s="103">
        <f>inputPrYr!E104</f>
        <v>0</v>
      </c>
      <c r="E63" s="32"/>
      <c r="F63" s="103">
        <f>'LP Form'!F37</f>
        <v>0</v>
      </c>
      <c r="G63" s="32"/>
      <c r="H63" s="72"/>
    </row>
    <row r="64" spans="1:13" ht="16.5" thickBot="1" x14ac:dyDescent="0.25">
      <c r="A64" s="31" t="s">
        <v>107</v>
      </c>
      <c r="B64" s="532">
        <f>SUM(B60:B63)</f>
        <v>0</v>
      </c>
      <c r="C64" s="32"/>
      <c r="D64" s="532">
        <f>SUM(D60:D63)</f>
        <v>0</v>
      </c>
      <c r="E64" s="32"/>
      <c r="F64" s="532">
        <f>SUM(F60:F63)</f>
        <v>0</v>
      </c>
      <c r="G64" s="32"/>
      <c r="H64" s="72"/>
    </row>
    <row r="65" spans="1:8" ht="16.5" thickTop="1" x14ac:dyDescent="0.2">
      <c r="A65" s="31" t="s">
        <v>108</v>
      </c>
      <c r="B65" s="32"/>
      <c r="C65" s="32"/>
      <c r="D65" s="32"/>
      <c r="E65" s="32"/>
      <c r="F65" s="32"/>
      <c r="G65" s="32"/>
      <c r="H65" s="72"/>
    </row>
    <row r="66" spans="1:8" x14ac:dyDescent="0.2">
      <c r="A66" s="478" t="s">
        <v>562</v>
      </c>
      <c r="B66" s="32"/>
      <c r="C66" s="32"/>
      <c r="D66" s="32"/>
      <c r="E66" s="32"/>
      <c r="F66" s="32"/>
      <c r="G66" s="32"/>
      <c r="H66" s="72"/>
    </row>
    <row r="67" spans="1:8" x14ac:dyDescent="0.2">
      <c r="A67" s="32"/>
      <c r="B67" s="32"/>
      <c r="C67" s="32"/>
      <c r="D67" s="32"/>
      <c r="E67" s="32"/>
      <c r="F67" s="32"/>
      <c r="G67" s="32"/>
      <c r="H67" s="72"/>
    </row>
    <row r="68" spans="1:8" x14ac:dyDescent="0.2">
      <c r="A68" s="696">
        <f>inputHearing!B14</f>
        <v>0</v>
      </c>
      <c r="B68" s="697"/>
      <c r="C68" s="32"/>
      <c r="D68" s="32"/>
      <c r="E68" s="32"/>
      <c r="F68" s="32"/>
      <c r="G68" s="32"/>
      <c r="H68" s="72"/>
    </row>
    <row r="69" spans="1:8" x14ac:dyDescent="0.2">
      <c r="A69" s="693">
        <f>inputHearing!B16</f>
        <v>0</v>
      </c>
      <c r="B69" s="693"/>
      <c r="C69" s="32"/>
      <c r="D69" s="32"/>
      <c r="E69" s="32"/>
      <c r="F69" s="32"/>
      <c r="G69" s="32"/>
      <c r="H69" s="72"/>
    </row>
    <row r="70" spans="1:8" x14ac:dyDescent="0.2">
      <c r="A70" s="32"/>
      <c r="B70" s="32"/>
      <c r="C70" s="32"/>
      <c r="D70" s="182" t="s">
        <v>41</v>
      </c>
      <c r="E70" s="428"/>
      <c r="F70" s="32"/>
      <c r="G70" s="32"/>
      <c r="H70" s="72"/>
    </row>
    <row r="71" spans="1:8" x14ac:dyDescent="0.2">
      <c r="A71" s="72"/>
      <c r="D71" s="72"/>
      <c r="E71" s="72"/>
      <c r="F71" s="72"/>
      <c r="G71" s="72"/>
    </row>
  </sheetData>
  <sheetProtection sheet="1" objects="1" scenarios="1"/>
  <mergeCells count="24">
    <mergeCell ref="M54:M55"/>
    <mergeCell ref="J56:M58"/>
    <mergeCell ref="A69:B69"/>
    <mergeCell ref="J41:M41"/>
    <mergeCell ref="J47:M47"/>
    <mergeCell ref="A68:B68"/>
    <mergeCell ref="J54:L55"/>
    <mergeCell ref="A10:H10"/>
    <mergeCell ref="A11:H11"/>
    <mergeCell ref="J30:M30"/>
    <mergeCell ref="J34:M34"/>
    <mergeCell ref="A53:G53"/>
    <mergeCell ref="C14:C15"/>
    <mergeCell ref="B14:B15"/>
    <mergeCell ref="D14:D15"/>
    <mergeCell ref="E14:E15"/>
    <mergeCell ref="F14:F15"/>
    <mergeCell ref="H14:H15"/>
    <mergeCell ref="A7:H7"/>
    <mergeCell ref="A8:H8"/>
    <mergeCell ref="A2:H2"/>
    <mergeCell ref="A4:H4"/>
    <mergeCell ref="A5:H5"/>
    <mergeCell ref="A6:H6"/>
  </mergeCells>
  <phoneticPr fontId="0" type="noConversion"/>
  <conditionalFormatting sqref="M54:M55">
    <cfRule type="containsText" dxfId="4" priority="1" operator="containsText" text="Yes">
      <formula>NOT(ISERROR(SEARCH("Yes",M54)))</formula>
    </cfRule>
  </conditionalFormatting>
  <pageMargins left="1.1200000000000001" right="0.5" top="0.74" bottom="0.34" header="0.5" footer="0"/>
  <pageSetup scale="67" orientation="portrait" blackAndWhite="1" horizontalDpi="120" verticalDpi="144" r:id="rId1"/>
  <headerFooter alignWithMargins="0">
    <oddHeader xml:space="preserve">&amp;RState of Kansas
County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0">
    <tabColor rgb="FF00B0F0"/>
    <pageSetUpPr fitToPage="1"/>
  </sheetPr>
  <dimension ref="A1:K57"/>
  <sheetViews>
    <sheetView zoomScale="90" zoomScaleNormal="90" workbookViewId="0">
      <selection activeCell="G8" sqref="G8"/>
    </sheetView>
  </sheetViews>
  <sheetFormatPr defaultRowHeight="15.75" x14ac:dyDescent="0.2"/>
  <cols>
    <col min="1" max="1" width="20.77734375" style="27" customWidth="1"/>
    <col min="2" max="2" width="12.77734375" style="27" customWidth="1"/>
    <col min="3" max="3" width="9.77734375" style="27" customWidth="1"/>
    <col min="4" max="4" width="12.77734375" style="27" customWidth="1"/>
    <col min="5" max="5" width="9.77734375" style="27" customWidth="1"/>
    <col min="6" max="6" width="15.21875" style="27" customWidth="1"/>
    <col min="7" max="8" width="12.77734375" style="27" customWidth="1"/>
    <col min="9" max="9" width="9.77734375" style="27" customWidth="1"/>
    <col min="10" max="10" width="12.44140625" style="27" customWidth="1"/>
    <col min="11" max="16384" width="8.88671875" style="27"/>
  </cols>
  <sheetData>
    <row r="1" spans="1:11" x14ac:dyDescent="0.2">
      <c r="A1" s="73">
        <f>inputPrYr!C3</f>
        <v>0</v>
      </c>
      <c r="B1" s="32"/>
      <c r="C1" s="32"/>
      <c r="D1" s="32"/>
      <c r="E1" s="32"/>
      <c r="F1" s="32"/>
      <c r="G1" s="32"/>
      <c r="H1" s="32"/>
      <c r="I1" s="32"/>
      <c r="J1" s="182">
        <f>inputPrYr!C5</f>
        <v>2025</v>
      </c>
    </row>
    <row r="2" spans="1:11" x14ac:dyDescent="0.2">
      <c r="A2" s="32"/>
      <c r="B2" s="32"/>
      <c r="C2" s="32"/>
      <c r="D2" s="32"/>
      <c r="E2" s="32"/>
      <c r="F2" s="32"/>
      <c r="G2" s="32"/>
      <c r="H2" s="32"/>
      <c r="I2" s="63"/>
      <c r="J2" s="63"/>
    </row>
    <row r="3" spans="1:11" x14ac:dyDescent="0.2">
      <c r="A3" s="639" t="s">
        <v>133</v>
      </c>
      <c r="B3" s="639"/>
      <c r="C3" s="639"/>
      <c r="D3" s="639"/>
      <c r="E3" s="639"/>
      <c r="F3" s="639"/>
      <c r="G3" s="639"/>
      <c r="H3" s="639"/>
      <c r="I3" s="639"/>
      <c r="J3" s="639"/>
      <c r="K3" s="251"/>
    </row>
    <row r="4" spans="1:11" x14ac:dyDescent="0.2">
      <c r="A4" s="32"/>
      <c r="B4" s="91"/>
      <c r="C4" s="91"/>
      <c r="D4" s="91"/>
      <c r="E4" s="91"/>
      <c r="F4" s="91"/>
      <c r="G4" s="91"/>
      <c r="H4" s="91"/>
      <c r="I4" s="91"/>
      <c r="J4" s="91"/>
    </row>
    <row r="5" spans="1:11" x14ac:dyDescent="0.2">
      <c r="A5" s="707" t="s">
        <v>204</v>
      </c>
      <c r="B5" s="252" t="str">
        <f>CONCATENATE("Prior Year Actual ",J1-2,"")</f>
        <v>Prior Year Actual 2023</v>
      </c>
      <c r="C5" s="94"/>
      <c r="D5" s="253" t="str">
        <f>CONCATENATE("Current Year Estimate ",J1-1,"")</f>
        <v>Current Year Estimate 2024</v>
      </c>
      <c r="E5" s="94"/>
      <c r="F5" s="705" t="str">
        <f>CONCATENATE("Proposed Budget ",J1,"")</f>
        <v>Proposed Budget 2025</v>
      </c>
      <c r="G5" s="705"/>
      <c r="H5" s="705"/>
      <c r="I5" s="705"/>
      <c r="J5" s="705"/>
    </row>
    <row r="6" spans="1:11" ht="21" customHeight="1" x14ac:dyDescent="0.2">
      <c r="A6" s="708"/>
      <c r="B6" s="687" t="s">
        <v>10</v>
      </c>
      <c r="C6" s="616" t="s">
        <v>560</v>
      </c>
      <c r="D6" s="687" t="s">
        <v>10</v>
      </c>
      <c r="E6" s="616" t="s">
        <v>560</v>
      </c>
      <c r="F6" s="689" t="s">
        <v>543</v>
      </c>
      <c r="G6" s="704" t="str">
        <f>CONCATENATE("Amount of ",J1-1," Ad Valorem Tax")</f>
        <v>Amount of 2024 Ad Valorem Tax</v>
      </c>
      <c r="H6" s="616" t="s">
        <v>564</v>
      </c>
      <c r="I6" s="706" t="s">
        <v>385</v>
      </c>
      <c r="J6" s="704" t="str">
        <f>CONCATENATE("July 1, ",J1-1," Estimated Valuation")</f>
        <v>July 1, 2024 Estimated Valuation</v>
      </c>
    </row>
    <row r="7" spans="1:11" ht="33" customHeight="1" x14ac:dyDescent="0.2">
      <c r="A7" s="709"/>
      <c r="B7" s="688"/>
      <c r="C7" s="623"/>
      <c r="D7" s="688"/>
      <c r="E7" s="623"/>
      <c r="F7" s="690"/>
      <c r="G7" s="601"/>
      <c r="H7" s="623"/>
      <c r="I7" s="706"/>
      <c r="J7" s="601"/>
    </row>
    <row r="8" spans="1:11" x14ac:dyDescent="0.2">
      <c r="A8" s="76"/>
      <c r="B8" s="76"/>
      <c r="C8" s="49"/>
      <c r="D8" s="76"/>
      <c r="E8" s="49"/>
      <c r="F8" s="76"/>
      <c r="G8" s="76"/>
      <c r="H8" s="254" t="str">
        <f>IF(J8&lt;&gt;0,ROUND(G8/J8*1000,3),"")</f>
        <v/>
      </c>
      <c r="I8" s="76"/>
      <c r="J8" s="76"/>
      <c r="K8" s="27" t="str">
        <f>IF(H8&gt;I8, "Follow procedure in KSA 79-2988 to exceed RNR", "")</f>
        <v/>
      </c>
    </row>
    <row r="9" spans="1:11" x14ac:dyDescent="0.2">
      <c r="A9" s="76"/>
      <c r="B9" s="76"/>
      <c r="C9" s="49"/>
      <c r="D9" s="76"/>
      <c r="E9" s="49"/>
      <c r="F9" s="76"/>
      <c r="G9" s="76"/>
      <c r="H9" s="254" t="str">
        <f t="shared" ref="H9:H36" si="0">IF(J9&lt;&gt;0,ROUND(G9/J9*1000,3),"")</f>
        <v/>
      </c>
      <c r="I9" s="76"/>
      <c r="J9" s="76"/>
      <c r="K9" s="27" t="str">
        <f t="shared" ref="K9:K36" si="1">IF(H9&gt;I9, "Follow procedure in KSA 79-2988 to exceed RNR", "")</f>
        <v/>
      </c>
    </row>
    <row r="10" spans="1:11" x14ac:dyDescent="0.2">
      <c r="A10" s="76"/>
      <c r="B10" s="76"/>
      <c r="C10" s="49"/>
      <c r="D10" s="76"/>
      <c r="E10" s="49"/>
      <c r="F10" s="76"/>
      <c r="G10" s="76"/>
      <c r="H10" s="254" t="str">
        <f t="shared" si="0"/>
        <v/>
      </c>
      <c r="I10" s="76"/>
      <c r="J10" s="76"/>
      <c r="K10" s="27" t="str">
        <f t="shared" si="1"/>
        <v/>
      </c>
    </row>
    <row r="11" spans="1:11" x14ac:dyDescent="0.2">
      <c r="A11" s="76"/>
      <c r="B11" s="76"/>
      <c r="C11" s="49"/>
      <c r="D11" s="76"/>
      <c r="E11" s="49"/>
      <c r="F11" s="76"/>
      <c r="G11" s="76"/>
      <c r="H11" s="254" t="str">
        <f t="shared" si="0"/>
        <v/>
      </c>
      <c r="I11" s="76"/>
      <c r="J11" s="76"/>
      <c r="K11" s="27" t="str">
        <f t="shared" si="1"/>
        <v/>
      </c>
    </row>
    <row r="12" spans="1:11" x14ac:dyDescent="0.2">
      <c r="A12" s="76"/>
      <c r="B12" s="76"/>
      <c r="C12" s="49"/>
      <c r="D12" s="76"/>
      <c r="E12" s="49"/>
      <c r="F12" s="76"/>
      <c r="G12" s="76"/>
      <c r="H12" s="254" t="str">
        <f t="shared" si="0"/>
        <v/>
      </c>
      <c r="I12" s="76"/>
      <c r="J12" s="76"/>
      <c r="K12" s="27" t="str">
        <f t="shared" si="1"/>
        <v/>
      </c>
    </row>
    <row r="13" spans="1:11" x14ac:dyDescent="0.2">
      <c r="A13" s="76"/>
      <c r="B13" s="76"/>
      <c r="C13" s="49"/>
      <c r="D13" s="76"/>
      <c r="E13" s="49"/>
      <c r="F13" s="76"/>
      <c r="G13" s="76"/>
      <c r="H13" s="254" t="str">
        <f t="shared" si="0"/>
        <v/>
      </c>
      <c r="I13" s="76"/>
      <c r="J13" s="76"/>
      <c r="K13" s="27" t="str">
        <f t="shared" si="1"/>
        <v/>
      </c>
    </row>
    <row r="14" spans="1:11" x14ac:dyDescent="0.2">
      <c r="A14" s="76"/>
      <c r="B14" s="76"/>
      <c r="C14" s="49"/>
      <c r="D14" s="76"/>
      <c r="E14" s="49"/>
      <c r="F14" s="76"/>
      <c r="G14" s="76"/>
      <c r="H14" s="254" t="str">
        <f t="shared" si="0"/>
        <v/>
      </c>
      <c r="I14" s="76"/>
      <c r="J14" s="76"/>
      <c r="K14" s="27" t="str">
        <f t="shared" si="1"/>
        <v/>
      </c>
    </row>
    <row r="15" spans="1:11" x14ac:dyDescent="0.2">
      <c r="A15" s="76"/>
      <c r="B15" s="76"/>
      <c r="C15" s="49"/>
      <c r="D15" s="76"/>
      <c r="E15" s="49"/>
      <c r="F15" s="76"/>
      <c r="G15" s="76"/>
      <c r="H15" s="254" t="str">
        <f t="shared" si="0"/>
        <v/>
      </c>
      <c r="I15" s="76"/>
      <c r="J15" s="76"/>
      <c r="K15" s="27" t="str">
        <f t="shared" si="1"/>
        <v/>
      </c>
    </row>
    <row r="16" spans="1:11" x14ac:dyDescent="0.2">
      <c r="A16" s="76"/>
      <c r="B16" s="76"/>
      <c r="C16" s="49"/>
      <c r="D16" s="76"/>
      <c r="E16" s="49"/>
      <c r="F16" s="76"/>
      <c r="G16" s="76"/>
      <c r="H16" s="254" t="str">
        <f t="shared" si="0"/>
        <v/>
      </c>
      <c r="I16" s="76"/>
      <c r="J16" s="76"/>
      <c r="K16" s="27" t="str">
        <f t="shared" si="1"/>
        <v/>
      </c>
    </row>
    <row r="17" spans="1:11" x14ac:dyDescent="0.2">
      <c r="A17" s="76"/>
      <c r="B17" s="76"/>
      <c r="C17" s="49"/>
      <c r="D17" s="76"/>
      <c r="E17" s="49"/>
      <c r="F17" s="76"/>
      <c r="G17" s="76"/>
      <c r="H17" s="254" t="str">
        <f t="shared" si="0"/>
        <v/>
      </c>
      <c r="I17" s="76"/>
      <c r="J17" s="76"/>
      <c r="K17" s="27" t="str">
        <f t="shared" si="1"/>
        <v/>
      </c>
    </row>
    <row r="18" spans="1:11" x14ac:dyDescent="0.2">
      <c r="A18" s="76"/>
      <c r="B18" s="76"/>
      <c r="C18" s="49"/>
      <c r="D18" s="76"/>
      <c r="E18" s="49"/>
      <c r="F18" s="76"/>
      <c r="G18" s="76"/>
      <c r="H18" s="254" t="str">
        <f t="shared" si="0"/>
        <v/>
      </c>
      <c r="I18" s="76"/>
      <c r="J18" s="76"/>
      <c r="K18" s="27" t="str">
        <f t="shared" si="1"/>
        <v/>
      </c>
    </row>
    <row r="19" spans="1:11" x14ac:dyDescent="0.2">
      <c r="A19" s="76"/>
      <c r="B19" s="76"/>
      <c r="C19" s="49"/>
      <c r="D19" s="76"/>
      <c r="E19" s="49"/>
      <c r="F19" s="76"/>
      <c r="G19" s="76"/>
      <c r="H19" s="254" t="str">
        <f t="shared" si="0"/>
        <v/>
      </c>
      <c r="I19" s="76"/>
      <c r="J19" s="76"/>
      <c r="K19" s="27" t="str">
        <f t="shared" si="1"/>
        <v/>
      </c>
    </row>
    <row r="20" spans="1:11" x14ac:dyDescent="0.2">
      <c r="A20" s="76"/>
      <c r="B20" s="76"/>
      <c r="C20" s="49"/>
      <c r="D20" s="76"/>
      <c r="E20" s="49"/>
      <c r="F20" s="76"/>
      <c r="G20" s="76"/>
      <c r="H20" s="254" t="str">
        <f t="shared" si="0"/>
        <v/>
      </c>
      <c r="I20" s="76"/>
      <c r="J20" s="76"/>
      <c r="K20" s="27" t="str">
        <f t="shared" si="1"/>
        <v/>
      </c>
    </row>
    <row r="21" spans="1:11" x14ac:dyDescent="0.2">
      <c r="A21" s="76"/>
      <c r="B21" s="76"/>
      <c r="C21" s="49"/>
      <c r="D21" s="76"/>
      <c r="E21" s="49"/>
      <c r="F21" s="76"/>
      <c r="G21" s="76"/>
      <c r="H21" s="254" t="str">
        <f t="shared" si="0"/>
        <v/>
      </c>
      <c r="I21" s="76"/>
      <c r="J21" s="76"/>
      <c r="K21" s="27" t="str">
        <f t="shared" si="1"/>
        <v/>
      </c>
    </row>
    <row r="22" spans="1:11" x14ac:dyDescent="0.2">
      <c r="A22" s="76"/>
      <c r="B22" s="76"/>
      <c r="C22" s="49"/>
      <c r="D22" s="76"/>
      <c r="E22" s="49"/>
      <c r="F22" s="76"/>
      <c r="G22" s="76"/>
      <c r="H22" s="254" t="str">
        <f t="shared" si="0"/>
        <v/>
      </c>
      <c r="I22" s="76"/>
      <c r="J22" s="76"/>
      <c r="K22" s="27" t="str">
        <f t="shared" si="1"/>
        <v/>
      </c>
    </row>
    <row r="23" spans="1:11" x14ac:dyDescent="0.2">
      <c r="A23" s="76"/>
      <c r="B23" s="76"/>
      <c r="C23" s="49"/>
      <c r="D23" s="76"/>
      <c r="E23" s="49"/>
      <c r="F23" s="76"/>
      <c r="G23" s="76"/>
      <c r="H23" s="254" t="str">
        <f t="shared" si="0"/>
        <v/>
      </c>
      <c r="I23" s="76"/>
      <c r="J23" s="76"/>
      <c r="K23" s="27" t="str">
        <f t="shared" si="1"/>
        <v/>
      </c>
    </row>
    <row r="24" spans="1:11" x14ac:dyDescent="0.2">
      <c r="A24" s="76"/>
      <c r="B24" s="76"/>
      <c r="C24" s="49"/>
      <c r="D24" s="76"/>
      <c r="E24" s="49"/>
      <c r="F24" s="76"/>
      <c r="G24" s="76"/>
      <c r="H24" s="254" t="str">
        <f t="shared" si="0"/>
        <v/>
      </c>
      <c r="I24" s="76"/>
      <c r="J24" s="76"/>
      <c r="K24" s="27" t="str">
        <f t="shared" si="1"/>
        <v/>
      </c>
    </row>
    <row r="25" spans="1:11" x14ac:dyDescent="0.2">
      <c r="A25" s="76"/>
      <c r="B25" s="76"/>
      <c r="C25" s="49"/>
      <c r="D25" s="76"/>
      <c r="E25" s="49"/>
      <c r="F25" s="76"/>
      <c r="G25" s="76"/>
      <c r="H25" s="254" t="str">
        <f t="shared" si="0"/>
        <v/>
      </c>
      <c r="I25" s="76"/>
      <c r="J25" s="76"/>
      <c r="K25" s="27" t="str">
        <f t="shared" si="1"/>
        <v/>
      </c>
    </row>
    <row r="26" spans="1:11" x14ac:dyDescent="0.2">
      <c r="A26" s="76"/>
      <c r="B26" s="76"/>
      <c r="C26" s="49"/>
      <c r="D26" s="76"/>
      <c r="E26" s="49"/>
      <c r="F26" s="76"/>
      <c r="G26" s="76"/>
      <c r="H26" s="254" t="str">
        <f t="shared" si="0"/>
        <v/>
      </c>
      <c r="I26" s="76"/>
      <c r="J26" s="76"/>
      <c r="K26" s="27" t="str">
        <f t="shared" si="1"/>
        <v/>
      </c>
    </row>
    <row r="27" spans="1:11" x14ac:dyDescent="0.2">
      <c r="A27" s="76"/>
      <c r="B27" s="76"/>
      <c r="C27" s="49"/>
      <c r="D27" s="76"/>
      <c r="E27" s="49"/>
      <c r="F27" s="76"/>
      <c r="G27" s="76"/>
      <c r="H27" s="254" t="str">
        <f t="shared" si="0"/>
        <v/>
      </c>
      <c r="I27" s="76"/>
      <c r="J27" s="76"/>
      <c r="K27" s="27" t="str">
        <f t="shared" si="1"/>
        <v/>
      </c>
    </row>
    <row r="28" spans="1:11" x14ac:dyDescent="0.2">
      <c r="A28" s="76"/>
      <c r="B28" s="76"/>
      <c r="C28" s="49"/>
      <c r="D28" s="76"/>
      <c r="E28" s="49"/>
      <c r="F28" s="76"/>
      <c r="G28" s="76"/>
      <c r="H28" s="254" t="str">
        <f t="shared" si="0"/>
        <v/>
      </c>
      <c r="I28" s="76"/>
      <c r="J28" s="76"/>
      <c r="K28" s="27" t="str">
        <f t="shared" si="1"/>
        <v/>
      </c>
    </row>
    <row r="29" spans="1:11" x14ac:dyDescent="0.2">
      <c r="A29" s="76"/>
      <c r="B29" s="76"/>
      <c r="C29" s="49"/>
      <c r="D29" s="76"/>
      <c r="E29" s="49"/>
      <c r="F29" s="76"/>
      <c r="G29" s="76"/>
      <c r="H29" s="254" t="str">
        <f t="shared" si="0"/>
        <v/>
      </c>
      <c r="I29" s="76"/>
      <c r="J29" s="76"/>
      <c r="K29" s="27" t="str">
        <f t="shared" si="1"/>
        <v/>
      </c>
    </row>
    <row r="30" spans="1:11" x14ac:dyDescent="0.2">
      <c r="A30" s="76"/>
      <c r="B30" s="76"/>
      <c r="C30" s="49"/>
      <c r="D30" s="76"/>
      <c r="E30" s="49"/>
      <c r="F30" s="76"/>
      <c r="G30" s="76"/>
      <c r="H30" s="254" t="str">
        <f t="shared" si="0"/>
        <v/>
      </c>
      <c r="I30" s="76"/>
      <c r="J30" s="76"/>
      <c r="K30" s="27" t="str">
        <f t="shared" si="1"/>
        <v/>
      </c>
    </row>
    <row r="31" spans="1:11" x14ac:dyDescent="0.2">
      <c r="A31" s="76"/>
      <c r="B31" s="76"/>
      <c r="C31" s="49"/>
      <c r="D31" s="76"/>
      <c r="E31" s="49"/>
      <c r="F31" s="76"/>
      <c r="G31" s="76"/>
      <c r="H31" s="254" t="str">
        <f t="shared" si="0"/>
        <v/>
      </c>
      <c r="I31" s="76"/>
      <c r="J31" s="76"/>
      <c r="K31" s="27" t="str">
        <f t="shared" si="1"/>
        <v/>
      </c>
    </row>
    <row r="32" spans="1:11" x14ac:dyDescent="0.2">
      <c r="A32" s="76"/>
      <c r="B32" s="76"/>
      <c r="C32" s="49"/>
      <c r="D32" s="76"/>
      <c r="E32" s="49"/>
      <c r="F32" s="76"/>
      <c r="G32" s="76"/>
      <c r="H32" s="254" t="str">
        <f t="shared" si="0"/>
        <v/>
      </c>
      <c r="I32" s="76"/>
      <c r="J32" s="76"/>
      <c r="K32" s="27" t="str">
        <f t="shared" si="1"/>
        <v/>
      </c>
    </row>
    <row r="33" spans="1:11" x14ac:dyDescent="0.2">
      <c r="A33" s="76"/>
      <c r="B33" s="76"/>
      <c r="C33" s="49"/>
      <c r="D33" s="76"/>
      <c r="E33" s="49"/>
      <c r="F33" s="76"/>
      <c r="G33" s="76"/>
      <c r="H33" s="254" t="str">
        <f t="shared" si="0"/>
        <v/>
      </c>
      <c r="I33" s="76"/>
      <c r="J33" s="76"/>
      <c r="K33" s="27" t="str">
        <f t="shared" si="1"/>
        <v/>
      </c>
    </row>
    <row r="34" spans="1:11" x14ac:dyDescent="0.2">
      <c r="A34" s="76"/>
      <c r="B34" s="76"/>
      <c r="C34" s="49"/>
      <c r="D34" s="76"/>
      <c r="E34" s="49"/>
      <c r="F34" s="76"/>
      <c r="G34" s="76"/>
      <c r="H34" s="254" t="str">
        <f t="shared" si="0"/>
        <v/>
      </c>
      <c r="I34" s="76"/>
      <c r="J34" s="76"/>
      <c r="K34" s="27" t="str">
        <f t="shared" si="1"/>
        <v/>
      </c>
    </row>
    <row r="35" spans="1:11" x14ac:dyDescent="0.2">
      <c r="A35" s="76"/>
      <c r="B35" s="76"/>
      <c r="C35" s="49"/>
      <c r="D35" s="76"/>
      <c r="E35" s="49"/>
      <c r="F35" s="76"/>
      <c r="G35" s="76"/>
      <c r="H35" s="254" t="str">
        <f t="shared" si="0"/>
        <v/>
      </c>
      <c r="I35" s="76"/>
      <c r="J35" s="76"/>
      <c r="K35" s="27" t="str">
        <f t="shared" si="1"/>
        <v/>
      </c>
    </row>
    <row r="36" spans="1:11" x14ac:dyDescent="0.2">
      <c r="A36" s="76"/>
      <c r="B36" s="76"/>
      <c r="C36" s="49"/>
      <c r="D36" s="76"/>
      <c r="E36" s="49"/>
      <c r="F36" s="76"/>
      <c r="G36" s="76"/>
      <c r="H36" s="254" t="str">
        <f t="shared" si="0"/>
        <v/>
      </c>
      <c r="I36" s="76"/>
      <c r="J36" s="76"/>
      <c r="K36" s="27" t="str">
        <f t="shared" si="1"/>
        <v/>
      </c>
    </row>
    <row r="37" spans="1:11" x14ac:dyDescent="0.2">
      <c r="A37" s="32"/>
      <c r="B37" s="32"/>
      <c r="C37" s="32"/>
      <c r="D37" s="32"/>
      <c r="E37" s="32"/>
      <c r="F37" s="32"/>
      <c r="G37" s="32"/>
      <c r="H37" s="32"/>
      <c r="I37" s="32"/>
      <c r="J37" s="32"/>
    </row>
    <row r="38" spans="1:11" x14ac:dyDescent="0.2">
      <c r="A38" s="31" t="s">
        <v>108</v>
      </c>
      <c r="B38" s="32"/>
      <c r="C38" s="32"/>
      <c r="D38" s="32"/>
      <c r="E38" s="32"/>
      <c r="F38" s="32"/>
      <c r="G38" s="32"/>
      <c r="H38" s="32"/>
      <c r="I38" s="32"/>
      <c r="J38" s="32"/>
    </row>
    <row r="39" spans="1:11" x14ac:dyDescent="0.2">
      <c r="A39" s="478" t="s">
        <v>562</v>
      </c>
      <c r="B39" s="32"/>
      <c r="C39" s="32"/>
      <c r="D39" s="32"/>
      <c r="E39" s="32"/>
      <c r="F39" s="32"/>
      <c r="G39" s="32"/>
      <c r="H39" s="32"/>
      <c r="I39" s="32"/>
      <c r="J39" s="32"/>
    </row>
    <row r="40" spans="1:11" x14ac:dyDescent="0.2">
      <c r="A40" s="478"/>
      <c r="B40" s="32"/>
      <c r="C40" s="32"/>
      <c r="D40" s="32"/>
      <c r="E40" s="32"/>
      <c r="F40" s="32"/>
      <c r="G40" s="32"/>
      <c r="H40" s="32"/>
      <c r="I40" s="32"/>
      <c r="J40" s="32"/>
    </row>
    <row r="41" spans="1:11" x14ac:dyDescent="0.2">
      <c r="A41" s="696">
        <f>inputHearing!B14</f>
        <v>0</v>
      </c>
      <c r="B41" s="697"/>
      <c r="C41" s="32"/>
      <c r="D41" s="32"/>
      <c r="E41" s="32"/>
      <c r="F41" s="32"/>
      <c r="G41" s="32"/>
      <c r="H41" s="32"/>
      <c r="I41" s="32"/>
      <c r="J41" s="32"/>
    </row>
    <row r="42" spans="1:11" x14ac:dyDescent="0.2">
      <c r="A42" s="702">
        <f>inputHearing!B16</f>
        <v>0</v>
      </c>
      <c r="B42" s="703"/>
      <c r="C42" s="32"/>
      <c r="D42" s="182" t="s">
        <v>41</v>
      </c>
      <c r="E42" s="428"/>
      <c r="F42" s="32"/>
      <c r="G42" s="32"/>
      <c r="H42" s="32"/>
      <c r="I42" s="32"/>
      <c r="J42" s="32"/>
    </row>
    <row r="44" spans="1:11" x14ac:dyDescent="0.2">
      <c r="A44" s="72"/>
      <c r="B44" s="72"/>
      <c r="C44" s="72"/>
      <c r="D44" s="72"/>
      <c r="E44" s="72"/>
      <c r="F44" s="72"/>
      <c r="G44" s="72"/>
      <c r="H44" s="72"/>
      <c r="I44" s="72"/>
      <c r="J44" s="72"/>
    </row>
    <row r="45" spans="1:11" x14ac:dyDescent="0.2">
      <c r="A45" s="129"/>
      <c r="B45" s="72"/>
      <c r="C45" s="72"/>
      <c r="D45" s="72"/>
      <c r="E45" s="72"/>
      <c r="F45" s="72"/>
      <c r="G45" s="72"/>
      <c r="H45" s="72"/>
      <c r="I45" s="72"/>
      <c r="J45" s="72"/>
    </row>
    <row r="46" spans="1:11" x14ac:dyDescent="0.2">
      <c r="A46" s="129"/>
      <c r="B46" s="121"/>
      <c r="C46" s="72"/>
      <c r="D46" s="121"/>
      <c r="E46" s="72"/>
      <c r="F46" s="121"/>
      <c r="G46" s="72"/>
      <c r="H46" s="72"/>
      <c r="I46" s="72"/>
      <c r="J46" s="72"/>
    </row>
    <row r="47" spans="1:11" x14ac:dyDescent="0.2">
      <c r="A47" s="129"/>
      <c r="B47" s="129"/>
      <c r="C47" s="72"/>
      <c r="D47" s="129"/>
      <c r="E47" s="72"/>
      <c r="F47" s="129"/>
      <c r="G47" s="72"/>
      <c r="H47" s="72"/>
      <c r="I47" s="72"/>
      <c r="J47" s="72"/>
    </row>
    <row r="48" spans="1:11" x14ac:dyDescent="0.2">
      <c r="A48" s="129"/>
      <c r="B48" s="129"/>
      <c r="C48" s="72"/>
      <c r="D48" s="129"/>
      <c r="E48" s="72"/>
      <c r="F48" s="129"/>
      <c r="G48" s="72"/>
      <c r="H48" s="72"/>
      <c r="I48" s="72"/>
      <c r="J48" s="72"/>
    </row>
    <row r="49" spans="1:10" x14ac:dyDescent="0.2">
      <c r="A49" s="129"/>
      <c r="B49" s="129"/>
      <c r="C49" s="72"/>
      <c r="D49" s="129"/>
      <c r="E49" s="72"/>
      <c r="F49" s="129"/>
      <c r="G49" s="72"/>
      <c r="H49" s="72"/>
      <c r="I49" s="72"/>
      <c r="J49" s="72"/>
    </row>
    <row r="50" spans="1:10" x14ac:dyDescent="0.2">
      <c r="A50" s="129"/>
      <c r="B50" s="129"/>
      <c r="C50" s="72"/>
      <c r="D50" s="129"/>
      <c r="E50" s="72"/>
      <c r="F50" s="129"/>
      <c r="G50" s="72"/>
      <c r="H50" s="72"/>
      <c r="I50" s="72"/>
      <c r="J50" s="72"/>
    </row>
    <row r="51" spans="1:10" x14ac:dyDescent="0.2">
      <c r="A51" s="129"/>
      <c r="B51" s="129"/>
      <c r="C51" s="72"/>
      <c r="D51" s="129"/>
      <c r="E51" s="72"/>
      <c r="F51" s="129"/>
      <c r="G51" s="72"/>
      <c r="H51" s="72"/>
      <c r="I51" s="72"/>
      <c r="J51" s="72"/>
    </row>
    <row r="52" spans="1:10" x14ac:dyDescent="0.2">
      <c r="B52" s="72"/>
      <c r="C52" s="72"/>
      <c r="D52" s="72"/>
      <c r="E52" s="72"/>
      <c r="F52" s="72"/>
      <c r="G52" s="72"/>
      <c r="H52" s="72"/>
      <c r="I52" s="72"/>
      <c r="J52" s="72"/>
    </row>
    <row r="53" spans="1:10" x14ac:dyDescent="0.2">
      <c r="B53" s="72"/>
      <c r="C53" s="72"/>
      <c r="D53" s="72"/>
      <c r="E53" s="72"/>
      <c r="F53" s="72"/>
      <c r="G53" s="72"/>
      <c r="H53" s="72"/>
      <c r="I53" s="72"/>
      <c r="J53" s="72"/>
    </row>
    <row r="54" spans="1:10" x14ac:dyDescent="0.2">
      <c r="B54" s="131"/>
      <c r="C54" s="72"/>
      <c r="D54" s="72"/>
      <c r="E54" s="72"/>
      <c r="F54" s="72"/>
      <c r="G54" s="72"/>
      <c r="H54" s="72"/>
      <c r="I54" s="72"/>
      <c r="J54" s="72"/>
    </row>
    <row r="55" spans="1:10" x14ac:dyDescent="0.2">
      <c r="B55" s="258"/>
      <c r="C55" s="72"/>
      <c r="D55" s="72"/>
      <c r="E55" s="72"/>
      <c r="F55" s="72"/>
      <c r="G55" s="72"/>
      <c r="H55" s="72"/>
      <c r="I55" s="72"/>
      <c r="J55" s="72"/>
    </row>
    <row r="56" spans="1:10" x14ac:dyDescent="0.2">
      <c r="A56" s="72"/>
      <c r="B56" s="72"/>
      <c r="C56" s="72"/>
      <c r="D56" s="72"/>
      <c r="E56" s="72"/>
      <c r="F56" s="72"/>
      <c r="G56" s="72"/>
      <c r="H56" s="72"/>
      <c r="I56" s="72"/>
      <c r="J56" s="72"/>
    </row>
    <row r="57" spans="1:10" x14ac:dyDescent="0.2">
      <c r="A57" s="72"/>
      <c r="B57" s="72"/>
      <c r="C57" s="72"/>
      <c r="D57" s="72"/>
      <c r="E57" s="72"/>
      <c r="F57" s="72"/>
      <c r="G57" s="72"/>
      <c r="H57" s="72"/>
      <c r="I57" s="72"/>
      <c r="J57" s="72"/>
    </row>
  </sheetData>
  <sheetProtection sheet="1" objects="1" scenarios="1"/>
  <mergeCells count="14">
    <mergeCell ref="A3:J3"/>
    <mergeCell ref="H6:H7"/>
    <mergeCell ref="A41:B41"/>
    <mergeCell ref="A42:B42"/>
    <mergeCell ref="G6:G7"/>
    <mergeCell ref="J6:J7"/>
    <mergeCell ref="F5:J5"/>
    <mergeCell ref="I6:I7"/>
    <mergeCell ref="A5:A7"/>
    <mergeCell ref="B6:B7"/>
    <mergeCell ref="C6:C7"/>
    <mergeCell ref="D6:D7"/>
    <mergeCell ref="E6:E7"/>
    <mergeCell ref="F6:F7"/>
  </mergeCells>
  <phoneticPr fontId="0" type="noConversion"/>
  <conditionalFormatting sqref="K8:K36">
    <cfRule type="notContainsBlanks" dxfId="3" priority="1">
      <formula>LEN(TRIM(K8))&gt;0</formula>
    </cfRule>
  </conditionalFormatting>
  <pageMargins left="1.1200000000000001" right="0.5" top="0.74" bottom="0.34" header="0.5" footer="0"/>
  <pageSetup scale="50" orientation="portrait" blackAndWhite="1" horizontalDpi="120" r:id="rId1"/>
  <headerFooter alignWithMargins="0">
    <oddHeader xml:space="preserve">&amp;RState of Kansas
County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F0D38-6CD0-4AF2-949B-43CD5490162B}">
  <sheetPr codeName="Sheet38">
    <tabColor rgb="FF00B0F0"/>
    <pageSetUpPr fitToPage="1"/>
  </sheetPr>
  <dimension ref="A1:M71"/>
  <sheetViews>
    <sheetView zoomScaleNormal="100" workbookViewId="0">
      <selection activeCell="I1" sqref="I1"/>
    </sheetView>
  </sheetViews>
  <sheetFormatPr defaultRowHeight="15.75" x14ac:dyDescent="0.2"/>
  <cols>
    <col min="1" max="1" width="15.77734375" style="27" customWidth="1"/>
    <col min="2" max="2" width="15.6640625" style="27" customWidth="1"/>
    <col min="3" max="3" width="9.44140625" style="27" customWidth="1"/>
    <col min="4" max="4" width="16.77734375" style="27" customWidth="1"/>
    <col min="5" max="5" width="9.77734375" style="27" customWidth="1"/>
    <col min="6" max="6" width="15.77734375" style="27" customWidth="1"/>
    <col min="7" max="7" width="13.6640625" style="27" customWidth="1"/>
    <col min="8" max="8" width="11.44140625" style="27" customWidth="1"/>
    <col min="9" max="9" width="8.88671875" style="27"/>
    <col min="10" max="10" width="12.44140625" style="27" customWidth="1"/>
    <col min="11" max="11" width="12.33203125" style="27" customWidth="1"/>
    <col min="12" max="12" width="10.5546875" style="27" customWidth="1"/>
    <col min="13" max="13" width="12.109375" style="27" customWidth="1"/>
    <col min="14" max="16384" width="8.88671875" style="27"/>
  </cols>
  <sheetData>
    <row r="1" spans="1:9" x14ac:dyDescent="0.2">
      <c r="A1" s="32"/>
      <c r="B1" s="32"/>
      <c r="C1" s="32"/>
      <c r="D1" s="32"/>
      <c r="E1" s="32"/>
      <c r="F1" s="32"/>
      <c r="G1" s="32"/>
      <c r="H1" s="182">
        <f>inputPrYr!C5</f>
        <v>2025</v>
      </c>
    </row>
    <row r="2" spans="1:9" x14ac:dyDescent="0.2">
      <c r="A2" s="680" t="s">
        <v>565</v>
      </c>
      <c r="B2" s="680"/>
      <c r="C2" s="680"/>
      <c r="D2" s="680"/>
      <c r="E2" s="680"/>
      <c r="F2" s="680"/>
      <c r="G2" s="680"/>
      <c r="H2" s="680"/>
      <c r="I2" s="251"/>
    </row>
    <row r="3" spans="1:9" x14ac:dyDescent="0.2">
      <c r="A3" s="32"/>
      <c r="B3" s="32"/>
      <c r="C3" s="32"/>
      <c r="D3" s="32"/>
      <c r="E3" s="32"/>
      <c r="F3" s="32"/>
      <c r="G3" s="32"/>
      <c r="H3" s="32"/>
    </row>
    <row r="4" spans="1:9" x14ac:dyDescent="0.2">
      <c r="A4" s="618" t="s">
        <v>144</v>
      </c>
      <c r="B4" s="618"/>
      <c r="C4" s="618"/>
      <c r="D4" s="618"/>
      <c r="E4" s="618"/>
      <c r="F4" s="618"/>
      <c r="G4" s="618"/>
      <c r="H4" s="618"/>
    </row>
    <row r="5" spans="1:9" x14ac:dyDescent="0.2">
      <c r="A5" s="592">
        <f>inputPrYr!C3</f>
        <v>0</v>
      </c>
      <c r="B5" s="592"/>
      <c r="C5" s="592"/>
      <c r="D5" s="592"/>
      <c r="E5" s="592"/>
      <c r="F5" s="592"/>
      <c r="G5" s="592"/>
      <c r="H5" s="592"/>
    </row>
    <row r="6" spans="1:9" x14ac:dyDescent="0.2">
      <c r="A6" s="618" t="str">
        <f>CONCATENATE("will meet on ",inputHearing!B32," at ",inputHearing!B34," at ",inputHearing!B36," for the purpose of hearing and")</f>
        <v>will meet on  at  at  for the purpose of hearing and</v>
      </c>
      <c r="B6" s="618"/>
      <c r="C6" s="618"/>
      <c r="D6" s="618"/>
      <c r="E6" s="618"/>
      <c r="F6" s="618"/>
      <c r="G6" s="618"/>
      <c r="H6" s="618"/>
    </row>
    <row r="7" spans="1:9" x14ac:dyDescent="0.2">
      <c r="A7" s="618" t="s">
        <v>566</v>
      </c>
      <c r="B7" s="618"/>
      <c r="C7" s="618"/>
      <c r="D7" s="618"/>
      <c r="E7" s="618"/>
      <c r="F7" s="618"/>
      <c r="G7" s="618"/>
      <c r="H7" s="618"/>
    </row>
    <row r="8" spans="1:9" x14ac:dyDescent="0.2">
      <c r="A8" s="618" t="str">
        <f>CONCATENATE("Detailed budget information is available at ",inputHearing!B38," and will be available at this hearing.")</f>
        <v>Detailed budget information is available at  and will be available at this hearing.</v>
      </c>
      <c r="B8" s="618"/>
      <c r="C8" s="618"/>
      <c r="D8" s="618"/>
      <c r="E8" s="618"/>
      <c r="F8" s="618"/>
      <c r="G8" s="618"/>
      <c r="H8" s="618"/>
    </row>
    <row r="9" spans="1:9" x14ac:dyDescent="0.2">
      <c r="A9" s="36" t="s">
        <v>134</v>
      </c>
      <c r="B9" s="37"/>
      <c r="C9" s="37"/>
      <c r="D9" s="90"/>
      <c r="E9" s="37"/>
      <c r="F9" s="37"/>
      <c r="G9" s="37"/>
      <c r="H9" s="37"/>
    </row>
    <row r="10" spans="1:9" x14ac:dyDescent="0.2">
      <c r="A10" s="618" t="str">
        <f>CONCATENATE("Proposed Budget ",H1," Expenditures and Amount of ",H1-1," Ad Valorem Tax establish the maximum limits of the ",H1," budget.")</f>
        <v>Proposed Budget 2025 Expenditures and Amount of 2024 Ad Valorem Tax establish the maximum limits of the 2025 budget.</v>
      </c>
      <c r="B10" s="618"/>
      <c r="C10" s="618"/>
      <c r="D10" s="618"/>
      <c r="E10" s="618"/>
      <c r="F10" s="618"/>
      <c r="G10" s="618"/>
      <c r="H10" s="618"/>
    </row>
    <row r="11" spans="1:9" x14ac:dyDescent="0.2">
      <c r="A11" s="618" t="s">
        <v>155</v>
      </c>
      <c r="B11" s="618"/>
      <c r="C11" s="618"/>
      <c r="D11" s="618"/>
      <c r="E11" s="618"/>
      <c r="F11" s="618"/>
      <c r="G11" s="618"/>
      <c r="H11" s="618"/>
    </row>
    <row r="12" spans="1:9" x14ac:dyDescent="0.2">
      <c r="A12" s="32"/>
      <c r="B12" s="32"/>
      <c r="C12" s="32"/>
      <c r="D12" s="32"/>
      <c r="E12" s="32"/>
      <c r="F12" s="32"/>
      <c r="G12" s="32"/>
      <c r="H12" s="32"/>
      <c r="I12" s="72"/>
    </row>
    <row r="13" spans="1:9" x14ac:dyDescent="0.2">
      <c r="A13" s="32"/>
      <c r="B13" s="252" t="str">
        <f>CONCATENATE("Prior Year Actual for ",H1-2,"")</f>
        <v>Prior Year Actual for 2023</v>
      </c>
      <c r="C13" s="94"/>
      <c r="D13" s="253" t="str">
        <f>CONCATENATE("Current Year Estimate for ",H1-1,"")</f>
        <v>Current Year Estimate for 2024</v>
      </c>
      <c r="E13" s="94"/>
      <c r="F13" s="92" t="str">
        <f>CONCATENATE("Proposed Budget for ",H1,"")</f>
        <v>Proposed Budget for 2025</v>
      </c>
      <c r="G13" s="93"/>
      <c r="H13" s="94"/>
    </row>
    <row r="14" spans="1:9" ht="24.75" customHeight="1" x14ac:dyDescent="0.2">
      <c r="A14" s="31"/>
      <c r="B14" s="687" t="s">
        <v>10</v>
      </c>
      <c r="C14" s="616" t="s">
        <v>560</v>
      </c>
      <c r="D14" s="687" t="s">
        <v>167</v>
      </c>
      <c r="E14" s="616" t="s">
        <v>560</v>
      </c>
      <c r="F14" s="710" t="s">
        <v>543</v>
      </c>
      <c r="G14" s="95" t="str">
        <f>CONCATENATE("Amount of ",H1-1,"")</f>
        <v>Amount of 2024</v>
      </c>
      <c r="H14" s="616" t="s">
        <v>561</v>
      </c>
    </row>
    <row r="15" spans="1:9" ht="25.5" customHeight="1" x14ac:dyDescent="0.2">
      <c r="A15" s="52" t="s">
        <v>98</v>
      </c>
      <c r="B15" s="688"/>
      <c r="C15" s="623"/>
      <c r="D15" s="688"/>
      <c r="E15" s="623"/>
      <c r="F15" s="711"/>
      <c r="G15" s="162" t="s">
        <v>31</v>
      </c>
      <c r="H15" s="623"/>
    </row>
    <row r="16" spans="1:9" x14ac:dyDescent="0.2">
      <c r="A16" s="64" t="str">
        <f>inputPrYr!B17</f>
        <v>General</v>
      </c>
      <c r="B16" s="64" t="str">
        <f>IF(General!$B$115&lt;&gt;0,General!$B$115,"  ")</f>
        <v xml:space="preserve">  </v>
      </c>
      <c r="C16" s="254" t="str">
        <f>IF(inputPrYr!D69&lt;&gt;0,inputPrYr!D69,"  ")</f>
        <v xml:space="preserve">  </v>
      </c>
      <c r="D16" s="64" t="str">
        <f>IF(General!$C$115&lt;&gt;0,General!$C$115,"  ")</f>
        <v xml:space="preserve">  </v>
      </c>
      <c r="E16" s="254" t="str">
        <f>IF(inputPrYr!F17&lt;&gt;0,inputPrYr!F17,"  ")</f>
        <v xml:space="preserve">  </v>
      </c>
      <c r="F16" s="64" t="str">
        <f>IF(General!$D$115&lt;&gt;0,General!$D$115,"  ")</f>
        <v xml:space="preserve">  </v>
      </c>
      <c r="G16" s="64" t="str">
        <f>IF(General!$D$122&lt;&gt;0,General!$D$122,"  ")</f>
        <v xml:space="preserve">  </v>
      </c>
      <c r="H16" s="254" t="str">
        <f>IF(General!D122&lt;&gt;0,ROUND(G16/$F$57*1000,3),"  ")</f>
        <v xml:space="preserve">  </v>
      </c>
    </row>
    <row r="17" spans="1:13" x14ac:dyDescent="0.2">
      <c r="A17" s="64" t="str">
        <f>inputPrYr!B18</f>
        <v>Debt Service</v>
      </c>
      <c r="B17" s="64" t="str">
        <f>IF('Debt Service'!$C$52&lt;&gt;0,'Debt Service'!$C$52,"  ")</f>
        <v xml:space="preserve">  </v>
      </c>
      <c r="C17" s="254" t="str">
        <f>IF(inputPrYr!D70&lt;&gt;0,inputPrYr!D70,"  ")</f>
        <v xml:space="preserve">  </v>
      </c>
      <c r="D17" s="64" t="str">
        <f>IF('Debt Service'!$D$52&lt;&gt;0,'Debt Service'!$D$52,"  ")</f>
        <v xml:space="preserve">  </v>
      </c>
      <c r="E17" s="254" t="str">
        <f>IF(inputPrYr!F18&lt;&gt;0,inputPrYr!F18,"  ")</f>
        <v xml:space="preserve">  </v>
      </c>
      <c r="F17" s="64" t="str">
        <f>IF('Debt Service'!$E$52&lt;&gt;0,'Debt Service'!$E$52,"  ")</f>
        <v xml:space="preserve">  </v>
      </c>
      <c r="G17" s="64" t="str">
        <f>IF('Debt Service'!$E$59&lt;&gt;0,'Debt Service'!$E$59,"  ")</f>
        <v xml:space="preserve">  </v>
      </c>
      <c r="H17" s="254" t="str">
        <f>IF('Debt Service'!E59&lt;&gt;0,ROUND(G17/$F$57*1000,3),"  ")</f>
        <v xml:space="preserve">  </v>
      </c>
    </row>
    <row r="18" spans="1:13" x14ac:dyDescent="0.2">
      <c r="A18" s="64" t="str">
        <f>IF((inputPrYr!$B19&gt;" "),(inputPrYr!$B19),"  ")</f>
        <v>Road &amp; Bridge</v>
      </c>
      <c r="B18" s="64" t="str">
        <f>IF('Road &amp; Bridge'!$C$111&lt;&gt;0,'Road &amp; Bridge'!$C$111,"  ")</f>
        <v xml:space="preserve">  </v>
      </c>
      <c r="C18" s="254" t="str">
        <f>IF(inputPrYr!D71&lt;&gt;0,inputPrYr!D71,"  ")</f>
        <v xml:space="preserve">  </v>
      </c>
      <c r="D18" s="64" t="str">
        <f>IF('Road &amp; Bridge'!$D$111&lt;&gt;0,'Road &amp; Bridge'!$D$111,"  ")</f>
        <v xml:space="preserve">  </v>
      </c>
      <c r="E18" s="254" t="str">
        <f>IF(inputPrYr!F19&lt;&gt;0,inputPrYr!F19,"  ")</f>
        <v xml:space="preserve">  </v>
      </c>
      <c r="F18" s="64" t="str">
        <f>IF('Road &amp; Bridge'!$E$111&lt;&gt;0,'Road &amp; Bridge'!$E$111,"  ")</f>
        <v xml:space="preserve">  </v>
      </c>
      <c r="G18" s="64" t="str">
        <f>IF('Road &amp; Bridge'!$E$118&lt;&gt;0,'Road &amp; Bridge'!$E$118,"  ")</f>
        <v xml:space="preserve">  </v>
      </c>
      <c r="H18" s="254" t="str">
        <f>IF('Road &amp; Bridge'!E118&lt;&gt;0,ROUND(G18/$F$57*1000,3),"  ")</f>
        <v xml:space="preserve">  </v>
      </c>
    </row>
    <row r="19" spans="1:13" x14ac:dyDescent="0.2">
      <c r="A19" s="64" t="str">
        <f>IF((inputPrYr!$B20&gt;" "),(inputPrYr!$B20),"  ")</f>
        <v xml:space="preserve">  </v>
      </c>
      <c r="B19" s="64" t="str">
        <f>IF('Levy Page 10'!$B$34&lt;&gt;0,'Levy Page 10'!$B$34,"  ")</f>
        <v xml:space="preserve">  </v>
      </c>
      <c r="C19" s="254" t="str">
        <f>IF(inputPrYr!D72&lt;&gt;0,inputPrYr!D72,"  ")</f>
        <v xml:space="preserve">  </v>
      </c>
      <c r="D19" s="64" t="str">
        <f>IF('Levy Page 10'!$C$34&lt;&gt;0,'Levy Page 10'!$C$34,"  ")</f>
        <v xml:space="preserve">  </v>
      </c>
      <c r="E19" s="254" t="str">
        <f>IF(inputPrYr!F20&lt;&gt;0,inputPrYr!F20,"  ")</f>
        <v xml:space="preserve">  </v>
      </c>
      <c r="F19" s="64" t="str">
        <f>IF('Levy Page 10'!$D$34&lt;&gt;0,'Levy Page 10'!$D$34,"  ")</f>
        <v xml:space="preserve">  </v>
      </c>
      <c r="G19" s="64" t="str">
        <f>IF('Levy Page 10'!$D$41&lt;&gt;0,'Levy Page 10'!$D$41,"  ")</f>
        <v xml:space="preserve">  </v>
      </c>
      <c r="H19" s="254" t="str">
        <f>IF('Levy Page 10'!D41&lt;&gt;0,ROUND(G19/$F$57*1000,3),"  ")</f>
        <v xml:space="preserve">  </v>
      </c>
    </row>
    <row r="20" spans="1:13" x14ac:dyDescent="0.2">
      <c r="A20" s="64" t="str">
        <f>IF((inputPrYr!$B21&gt;" "),(inputPrYr!$B21),"  ")</f>
        <v xml:space="preserve">  </v>
      </c>
      <c r="B20" s="64" t="str">
        <f>IF('Levy Page 10'!$B$75&lt;&gt;0,'Levy Page 10'!$B$75,"  ")</f>
        <v xml:space="preserve">  </v>
      </c>
      <c r="C20" s="254" t="str">
        <f>IF(inputPrYr!D73&lt;&gt;0,inputPrYr!D73,"  ")</f>
        <v xml:space="preserve">  </v>
      </c>
      <c r="D20" s="64" t="str">
        <f>IF('Levy Page 10'!$C$75&lt;&gt;0,'Levy Page 10'!$C$75,"  ")</f>
        <v xml:space="preserve">  </v>
      </c>
      <c r="E20" s="254" t="str">
        <f>IF(inputPrYr!F21&lt;&gt;0,inputPrYr!F21,"  ")</f>
        <v xml:space="preserve">  </v>
      </c>
      <c r="F20" s="64" t="str">
        <f>IF('Levy Page 10'!$D$75&lt;&gt;0,'Levy Page 10'!$D$75,"  ")</f>
        <v xml:space="preserve">  </v>
      </c>
      <c r="G20" s="64" t="str">
        <f>IF('Levy Page 10'!$D$82&lt;&gt;0,'Levy Page 10'!$D$82,"  ")</f>
        <v xml:space="preserve">  </v>
      </c>
      <c r="H20" s="254" t="str">
        <f>IF('Levy Page 10'!D82&lt;&gt;0,ROUND(G20/$F$57*1000,3),"  ")</f>
        <v xml:space="preserve">  </v>
      </c>
    </row>
    <row r="21" spans="1:13" x14ac:dyDescent="0.2">
      <c r="A21" s="64" t="str">
        <f>IF((inputPrYr!$B22&gt;" "),(inputPrYr!$B22),"  ")</f>
        <v xml:space="preserve">  </v>
      </c>
      <c r="B21" s="64" t="str">
        <f>IF('Levy Page 11'!$B$34&lt;&gt;0,'Levy Page 11'!$B$34,"  ")</f>
        <v xml:space="preserve">  </v>
      </c>
      <c r="C21" s="254" t="str">
        <f>IF(inputPrYr!D74&lt;&gt;0,inputPrYr!D74,"  ")</f>
        <v xml:space="preserve">  </v>
      </c>
      <c r="D21" s="64" t="str">
        <f>IF('Levy Page 11'!$C$34&lt;&gt;0,'Levy Page 11'!$C$34,"  ")</f>
        <v xml:space="preserve">  </v>
      </c>
      <c r="E21" s="254" t="str">
        <f>IF(inputPrYr!F22&lt;&gt;0,inputPrYr!F22,"  ")</f>
        <v xml:space="preserve">  </v>
      </c>
      <c r="F21" s="64" t="str">
        <f>IF('Levy Page 11'!$D$34&lt;&gt;0,'Levy Page 11'!$D$34,"  ")</f>
        <v xml:space="preserve">  </v>
      </c>
      <c r="G21" s="64" t="str">
        <f>IF('Levy Page 11'!$D$41&lt;&gt;0,'Levy Page 11'!$D$41,"  ")</f>
        <v xml:space="preserve">  </v>
      </c>
      <c r="H21" s="254" t="str">
        <f>IF('Levy Page 11'!D41&lt;&gt;0,ROUND(G21/$F$57*1000,3),"  ")</f>
        <v xml:space="preserve">  </v>
      </c>
    </row>
    <row r="22" spans="1:13" x14ac:dyDescent="0.2">
      <c r="A22" s="64" t="str">
        <f>IF((inputPrYr!$B23&gt;" "),(inputPrYr!$B23),"  ")</f>
        <v xml:space="preserve">  </v>
      </c>
      <c r="B22" s="64" t="str">
        <f>IF('Levy Page 11'!$B$75&lt;&gt;0,'Levy Page 11'!$B$75,"  ")</f>
        <v xml:space="preserve">  </v>
      </c>
      <c r="C22" s="254" t="str">
        <f>IF(inputPrYr!D75&lt;&gt;0,inputPrYr!D75,"  ")</f>
        <v xml:space="preserve">  </v>
      </c>
      <c r="D22" s="64" t="str">
        <f>IF('Levy Page 11'!$C$75&lt;&gt;0,'Levy Page 11'!$C$75,"  ")</f>
        <v xml:space="preserve">  </v>
      </c>
      <c r="E22" s="254" t="str">
        <f>IF(inputPrYr!F23&lt;&gt;0,inputPrYr!F23,"  ")</f>
        <v xml:space="preserve">  </v>
      </c>
      <c r="F22" s="64" t="str">
        <f>IF('Levy Page 11'!$D$75&lt;&gt;0,'Levy Page 11'!$D$75,"  ")</f>
        <v xml:space="preserve">  </v>
      </c>
      <c r="G22" s="64" t="str">
        <f>IF('Levy Page 11'!$D$82&lt;&gt;0,'Levy Page 11'!$D$82,"  ")</f>
        <v xml:space="preserve">  </v>
      </c>
      <c r="H22" s="254" t="str">
        <f>IF('Levy Page 11'!$D$82&lt;&gt;0,ROUND(G22/$F$57*1000,3),"  ")</f>
        <v xml:space="preserve">  </v>
      </c>
    </row>
    <row r="23" spans="1:13" x14ac:dyDescent="0.2">
      <c r="A23" s="64" t="str">
        <f>IF((inputPrYr!$B24&gt;" "),(inputPrYr!$B24),"  ")</f>
        <v xml:space="preserve">  </v>
      </c>
      <c r="B23" s="64" t="str">
        <f>IF('Levy Page 12'!$B$34&lt;&gt;0,'Levy Page 12'!$B$34,"  ")</f>
        <v xml:space="preserve">  </v>
      </c>
      <c r="C23" s="254" t="str">
        <f>IF(inputPrYr!D76&lt;&gt;0,inputPrYr!D76,"  ")</f>
        <v xml:space="preserve">  </v>
      </c>
      <c r="D23" s="64" t="str">
        <f>IF('Levy Page 12'!$C$34&lt;&gt;0,'Levy Page 12'!$C$34,"  ")</f>
        <v xml:space="preserve">  </v>
      </c>
      <c r="E23" s="254" t="str">
        <f>IF(inputPrYr!F24&lt;&gt;0,inputPrYr!F24,"  ")</f>
        <v xml:space="preserve">  </v>
      </c>
      <c r="F23" s="64" t="str">
        <f>IF('Levy Page 12'!$D$34&lt;&gt;0,'Levy Page 12'!$D$34,"  ")</f>
        <v xml:space="preserve">  </v>
      </c>
      <c r="G23" s="64" t="str">
        <f>IF('Levy Page 12'!$D$41&lt;&gt;0,'Levy Page 12'!$D$41,"  ")</f>
        <v xml:space="preserve">  </v>
      </c>
      <c r="H23" s="254" t="str">
        <f>IF('Levy Page 12'!$D$41&lt;&gt;0,ROUND(G23/$F$57*1000,3),"  ")</f>
        <v xml:space="preserve">  </v>
      </c>
    </row>
    <row r="24" spans="1:13" x14ac:dyDescent="0.2">
      <c r="A24" s="64" t="str">
        <f>IF((inputPrYr!$B25&gt;" "),(inputPrYr!$B25),"  ")</f>
        <v xml:space="preserve">  </v>
      </c>
      <c r="B24" s="64" t="str">
        <f>IF('Levy Page 12'!$B$75&lt;&gt;0,'Levy Page 12'!$B$75,"  ")</f>
        <v xml:space="preserve">  </v>
      </c>
      <c r="C24" s="254" t="str">
        <f>IF(inputPrYr!D77&lt;&gt;0,inputPrYr!D77,"  ")</f>
        <v xml:space="preserve">  </v>
      </c>
      <c r="D24" s="64" t="str">
        <f>IF('Levy Page 12'!$C$75&lt;&gt;0,'Levy Page 12'!$C$75,"  ")</f>
        <v xml:space="preserve">  </v>
      </c>
      <c r="E24" s="254" t="str">
        <f>IF(inputPrYr!F25&lt;&gt;0,inputPrYr!F25,"  ")</f>
        <v xml:space="preserve">  </v>
      </c>
      <c r="F24" s="64" t="str">
        <f>IF('Levy Page 12'!$D$75&lt;&gt;0,'Levy Page 12'!$D$75,"  ")</f>
        <v xml:space="preserve">  </v>
      </c>
      <c r="G24" s="64" t="str">
        <f>IF('Levy Page 12'!$D$82&lt;&gt;0,'Levy Page 12'!$D$82,"  ")</f>
        <v xml:space="preserve">  </v>
      </c>
      <c r="H24" s="254" t="str">
        <f>IF('Levy Page 12'!$D$82&lt;&gt;0,ROUND(G24/$F$57*1000,3),"  ")</f>
        <v xml:space="preserve">  </v>
      </c>
    </row>
    <row r="25" spans="1:13" x14ac:dyDescent="0.2">
      <c r="A25" s="64" t="str">
        <f>IF((inputPrYr!$B26&gt;" "),(inputPrYr!$B26),"  ")</f>
        <v xml:space="preserve">  </v>
      </c>
      <c r="B25" s="64" t="str">
        <f>IF('Levy Page 13'!$B$34&lt;&gt;0,'Levy Page 13'!$B$34,"  ")</f>
        <v xml:space="preserve">  </v>
      </c>
      <c r="C25" s="254" t="str">
        <f>IF(inputPrYr!D78&lt;&gt;0,inputPrYr!D78,"  ")</f>
        <v xml:space="preserve">  </v>
      </c>
      <c r="D25" s="64" t="str">
        <f>IF('Levy Page 13'!$C$34&lt;&gt;0,'Levy Page 13'!$C$34,"  ")</f>
        <v xml:space="preserve">  </v>
      </c>
      <c r="E25" s="254" t="str">
        <f>IF(inputPrYr!F26&lt;&gt;0,inputPrYr!F26,"  ")</f>
        <v xml:space="preserve">  </v>
      </c>
      <c r="F25" s="64" t="str">
        <f>IF('Levy Page 13'!$D$34&lt;&gt;0,'Levy Page 13'!$D$34,"  ")</f>
        <v xml:space="preserve">  </v>
      </c>
      <c r="G25" s="64" t="str">
        <f>IF('Levy Page 13'!$D$41&lt;&gt;0,'Levy Page 13'!$D$41,"  ")</f>
        <v xml:space="preserve">  </v>
      </c>
      <c r="H25" s="254" t="str">
        <f>IF('Levy Page 13'!$D$41&lt;&gt;0,ROUND(G25/$F$57*1000,3),"  ")</f>
        <v xml:space="preserve">  </v>
      </c>
    </row>
    <row r="26" spans="1:13" x14ac:dyDescent="0.2">
      <c r="A26" s="64" t="str">
        <f>IF((inputPrYr!$B27&gt;" "),(inputPrYr!$B27),"  ")</f>
        <v xml:space="preserve">  </v>
      </c>
      <c r="B26" s="64" t="str">
        <f>IF('Levy Page 13'!$B$75&lt;&gt;0,'Levy Page 13'!$B$75,"  ")</f>
        <v xml:space="preserve">  </v>
      </c>
      <c r="C26" s="254" t="str">
        <f>IF(inputPrYr!D79&lt;&gt;0,inputPrYr!D79,"  ")</f>
        <v xml:space="preserve">  </v>
      </c>
      <c r="D26" s="64" t="str">
        <f>IF('Levy Page 13'!$C$75&lt;&gt;0,'Levy Page 13'!$C$75,"  ")</f>
        <v xml:space="preserve">  </v>
      </c>
      <c r="E26" s="254" t="str">
        <f>IF(inputPrYr!F27&lt;&gt;0,inputPrYr!F27,"  ")</f>
        <v xml:space="preserve">  </v>
      </c>
      <c r="F26" s="64" t="str">
        <f>IF('Levy Page 13'!$D$75&lt;&gt;0,'Levy Page 13'!$D$75,"  ")</f>
        <v xml:space="preserve">  </v>
      </c>
      <c r="G26" s="64" t="str">
        <f>IF('Levy Page 13'!$D$82&lt;&gt;0,'Levy Page 13'!$D$82,"  ")</f>
        <v xml:space="preserve">  </v>
      </c>
      <c r="H26" s="254" t="str">
        <f>IF('Levy Page 13'!$D$82&lt;&gt;0,ROUND(G26/$F$57*1000,3),"  ")</f>
        <v xml:space="preserve">  </v>
      </c>
    </row>
    <row r="27" spans="1:13" x14ac:dyDescent="0.2">
      <c r="A27" s="64" t="str">
        <f>IF((inputPrYr!$B28&gt;" "),(inputPrYr!$B28),"  ")</f>
        <v xml:space="preserve">  </v>
      </c>
      <c r="B27" s="64" t="str">
        <f>IF('Levy Page 14'!$B$34&lt;&gt;0,'Levy Page 14'!$B$34,"  ")</f>
        <v xml:space="preserve">  </v>
      </c>
      <c r="C27" s="254" t="str">
        <f>IF(inputPrYr!D80&lt;&gt;0,inputPrYr!D80,"  ")</f>
        <v xml:space="preserve">  </v>
      </c>
      <c r="D27" s="64" t="str">
        <f>IF('Levy Page 14'!$C$34&lt;&gt;0,'Levy Page 14'!$C$34,"  ")</f>
        <v xml:space="preserve">  </v>
      </c>
      <c r="E27" s="254" t="str">
        <f>IF(inputPrYr!F28&lt;&gt;0,inputPrYr!F28,"  ")</f>
        <v xml:space="preserve">  </v>
      </c>
      <c r="F27" s="64" t="str">
        <f>IF('Levy Page 14'!$D$34&lt;&gt;0,'Levy Page 14'!$D$34,"  ")</f>
        <v xml:space="preserve">  </v>
      </c>
      <c r="G27" s="64" t="str">
        <f>IF('Levy Page 14'!$D$41&lt;&gt;0,'Levy Page 14'!$D$41,"  ")</f>
        <v xml:space="preserve">  </v>
      </c>
      <c r="H27" s="254" t="str">
        <f>IF('Levy Page 14'!$D$41&lt;&gt;0,ROUND(G27/$F$57*1000,3),"  ")</f>
        <v xml:space="preserve">  </v>
      </c>
    </row>
    <row r="28" spans="1:13" x14ac:dyDescent="0.2">
      <c r="A28" s="64" t="str">
        <f>IF((inputPrYr!$B29&gt;" "),(inputPrYr!$B29),"  ")</f>
        <v xml:space="preserve">  </v>
      </c>
      <c r="B28" s="64" t="str">
        <f>IF('Levy Page 14'!$B$75&lt;&gt;0,'Levy Page 14'!$B$75,"  ")</f>
        <v xml:space="preserve">  </v>
      </c>
      <c r="C28" s="254" t="str">
        <f>IF(inputPrYr!D81&lt;&gt;0,inputPrYr!D81,"  ")</f>
        <v xml:space="preserve">  </v>
      </c>
      <c r="D28" s="64" t="str">
        <f>IF('Levy Page 14'!$C$75&lt;&gt;0,'Levy Page 14'!$C$75,"  ")</f>
        <v xml:space="preserve">  </v>
      </c>
      <c r="E28" s="254" t="str">
        <f>IF(inputPrYr!F29&lt;&gt;0,inputPrYr!F29,"  ")</f>
        <v xml:space="preserve">  </v>
      </c>
      <c r="F28" s="64" t="str">
        <f>IF('Levy Page 14'!$D$75&lt;&gt;0,'Levy Page 14'!$D$75,"  ")</f>
        <v xml:space="preserve">  </v>
      </c>
      <c r="G28" s="64" t="str">
        <f>IF('Levy Page 14'!$D$82&lt;&gt;0,'Levy Page 14'!$D$82,"  ")</f>
        <v xml:space="preserve">  </v>
      </c>
      <c r="H28" s="254" t="str">
        <f>IF('Levy Page 14'!$D$82&lt;&gt;0,ROUND(G28/$F$57*1000,3),"  ")</f>
        <v xml:space="preserve">  </v>
      </c>
    </row>
    <row r="29" spans="1:13" x14ac:dyDescent="0.2">
      <c r="A29" s="64" t="str">
        <f>IF((inputPrYr!$B30&gt;" "),(inputPrYr!$B30),"  ")</f>
        <v xml:space="preserve">  </v>
      </c>
      <c r="B29" s="64" t="str">
        <f>IF('Levy Page 15'!$B$34&lt;&gt;0,'Levy Page 15'!$B$34,"  ")</f>
        <v xml:space="preserve">  </v>
      </c>
      <c r="C29" s="254" t="str">
        <f>IF(inputPrYr!D82&lt;&gt;0,inputPrYr!D82,"  ")</f>
        <v xml:space="preserve">  </v>
      </c>
      <c r="D29" s="64" t="str">
        <f>IF('Levy Page 15'!$C$34&lt;&gt;0,'Levy Page 15'!$C$34,"  ")</f>
        <v xml:space="preserve">  </v>
      </c>
      <c r="E29" s="254" t="str">
        <f>IF(inputPrYr!F30&lt;&gt;0,inputPrYr!F30,"  ")</f>
        <v xml:space="preserve">  </v>
      </c>
      <c r="F29" s="64" t="str">
        <f>IF('Levy Page 15'!$D$34&lt;&gt;0,'Levy Page 15'!$D$34,"  ")</f>
        <v xml:space="preserve">  </v>
      </c>
      <c r="G29" s="64" t="str">
        <f>IF('Levy Page 15'!$D$41&lt;&gt;0,'Levy Page 15'!$D$41,"  ")</f>
        <v xml:space="preserve">  </v>
      </c>
      <c r="H29" s="254" t="str">
        <f>IF('Levy Page 15'!$D$41&lt;&gt;0,ROUND(G29/$F$57*1000,3),"  ")</f>
        <v xml:space="preserve">  </v>
      </c>
    </row>
    <row r="30" spans="1:13" x14ac:dyDescent="0.25">
      <c r="A30" s="64" t="str">
        <f>IF((inputPrYr!$B31&gt;" "),(inputPrYr!$B31),"  ")</f>
        <v xml:space="preserve">  </v>
      </c>
      <c r="B30" s="64" t="str">
        <f>IF('Levy Page 15'!$B$75&lt;&gt;0,'Levy Page 15'!$B$75,"  ")</f>
        <v xml:space="preserve">  </v>
      </c>
      <c r="C30" s="254" t="str">
        <f>IF(inputPrYr!D83&lt;&gt;0,inputPrYr!D83,"  ")</f>
        <v xml:space="preserve">  </v>
      </c>
      <c r="D30" s="64" t="str">
        <f>IF('Levy Page 15'!$C$75&lt;&gt;0,'Levy Page 15'!$C$75,"  ")</f>
        <v xml:space="preserve">  </v>
      </c>
      <c r="E30" s="254" t="str">
        <f>IF(inputPrYr!F31&lt;&gt;0,inputPrYr!F31,"  ")</f>
        <v xml:space="preserve">  </v>
      </c>
      <c r="F30" s="64" t="str">
        <f>IF('Levy Page 15'!$D$75&lt;&gt;0,'Levy Page 15'!$D$75,"  ")</f>
        <v xml:space="preserve">  </v>
      </c>
      <c r="G30" s="64" t="str">
        <f>IF('Levy Page 15'!$D$82&lt;&gt;0,'Levy Page 15'!$D$82,"  ")</f>
        <v xml:space="preserve">  </v>
      </c>
      <c r="H30" s="254" t="str">
        <f>IF('Levy Page 15'!$D$82&lt;&gt;0,ROUND(G30/$F$57*1000,3),"  ")</f>
        <v xml:space="preserve">  </v>
      </c>
      <c r="J30" s="681" t="str">
        <f>CONCATENATE("Estimated Value Of One Mill For ",H1,"")</f>
        <v>Estimated Value Of One Mill For 2025</v>
      </c>
      <c r="K30" s="682"/>
      <c r="L30" s="682"/>
      <c r="M30" s="683"/>
    </row>
    <row r="31" spans="1:13" x14ac:dyDescent="0.25">
      <c r="A31" s="64" t="str">
        <f>IF((inputPrYr!$B32&gt;" "),(inputPrYr!$B32),"  ")</f>
        <v xml:space="preserve">  </v>
      </c>
      <c r="B31" s="64" t="str">
        <f>IF('Levy Page 16'!$B$34&lt;&gt;0,'Levy Page 16'!$B$34,"  ")</f>
        <v xml:space="preserve">  </v>
      </c>
      <c r="C31" s="254" t="str">
        <f>IF(inputPrYr!D84&lt;&gt;0,inputPrYr!D84,"  ")</f>
        <v xml:space="preserve">  </v>
      </c>
      <c r="D31" s="64" t="str">
        <f>IF('Levy Page 16'!$C$34&lt;&gt;0,'Levy Page 16'!$C$34,"  ")</f>
        <v xml:space="preserve">  </v>
      </c>
      <c r="E31" s="254" t="str">
        <f>IF(inputPrYr!F32&lt;&gt;0,inputPrYr!F32,"  ")</f>
        <v xml:space="preserve">  </v>
      </c>
      <c r="F31" s="64" t="str">
        <f>IF('Levy Page 16'!$D$34&lt;&gt;0,'Levy Page 16'!$D$34,"  ")</f>
        <v xml:space="preserve">  </v>
      </c>
      <c r="G31" s="64" t="str">
        <f>IF('Levy Page 16'!$D$41&lt;&gt;0,'Levy Page 16'!$D$41,"  ")</f>
        <v xml:space="preserve">  </v>
      </c>
      <c r="H31" s="254" t="str">
        <f>IF('Levy Page 16'!$D$41&lt;&gt;0,ROUND(G31/$F$57*1000,3),"  ")</f>
        <v xml:space="preserve">  </v>
      </c>
      <c r="J31" s="326"/>
      <c r="K31" s="327"/>
      <c r="L31" s="327"/>
      <c r="M31" s="328"/>
    </row>
    <row r="32" spans="1:13" x14ac:dyDescent="0.25">
      <c r="A32" s="64" t="str">
        <f>IF((inputPrYr!$B33&gt;" "),(inputPrYr!$B33),"  ")</f>
        <v xml:space="preserve">  </v>
      </c>
      <c r="B32" s="64" t="str">
        <f>IF('Levy Page 16'!$B$75&lt;&gt;0,'Levy Page 16'!$B$75,"  ")</f>
        <v xml:space="preserve">  </v>
      </c>
      <c r="C32" s="254" t="str">
        <f>IF(inputPrYr!D85&lt;&gt;0,inputPrYr!D85,"  ")</f>
        <v xml:space="preserve">  </v>
      </c>
      <c r="D32" s="64" t="str">
        <f>IF('Levy Page 16'!$C$75&lt;&gt;0,'Levy Page 16'!$C$75,"  ")</f>
        <v xml:space="preserve">  </v>
      </c>
      <c r="E32" s="254" t="str">
        <f>IF(inputPrYr!F33&lt;&gt;0,inputPrYr!F33,"  ")</f>
        <v xml:space="preserve">  </v>
      </c>
      <c r="F32" s="64" t="str">
        <f>IF('Levy Page 16'!$D$75&lt;&gt;0,'Levy Page 16'!$D$75,"  ")</f>
        <v xml:space="preserve">  </v>
      </c>
      <c r="G32" s="64" t="str">
        <f>IF('Levy Page 16'!$D$82&lt;&gt;0,'Levy Page 16'!$D$82,"  ")</f>
        <v xml:space="preserve">  </v>
      </c>
      <c r="H32" s="254" t="str">
        <f>IF('Levy Page 16'!$D$82&lt;&gt;0,ROUND(G32/$F$57*1000,3),"  ")</f>
        <v xml:space="preserve">  </v>
      </c>
      <c r="J32" s="329" t="s">
        <v>337</v>
      </c>
      <c r="K32" s="330"/>
      <c r="L32" s="330"/>
      <c r="M32" s="431">
        <f>ROUND(F57/1000,0)</f>
        <v>0</v>
      </c>
    </row>
    <row r="33" spans="1:13" x14ac:dyDescent="0.2">
      <c r="A33" s="64" t="str">
        <f>IF((inputPrYr!$B34&gt;" "),(inputPrYr!$B34),"  ")</f>
        <v xml:space="preserve">  </v>
      </c>
      <c r="B33" s="64" t="str">
        <f>IF('Levy Page 17'!$B$34&lt;&gt;0,'Levy Page 17'!$B$34,"  ")</f>
        <v xml:space="preserve">  </v>
      </c>
      <c r="C33" s="254" t="str">
        <f>IF(inputPrYr!D86&lt;&gt;0,inputPrYr!D86,"  ")</f>
        <v xml:space="preserve">  </v>
      </c>
      <c r="D33" s="64" t="str">
        <f>IF('Levy Page 17'!$C$34&lt;&gt;0,'Levy Page 17'!$C$34,"  ")</f>
        <v xml:space="preserve">  </v>
      </c>
      <c r="E33" s="254" t="str">
        <f>IF(inputPrYr!F34&lt;&gt;0,inputPrYr!F34,"  ")</f>
        <v xml:space="preserve">  </v>
      </c>
      <c r="F33" s="64" t="str">
        <f>IF('Levy Page 17'!$D$34&lt;&gt;0,'Levy Page 17'!$D$34,"  ")</f>
        <v xml:space="preserve">  </v>
      </c>
      <c r="G33" s="64" t="str">
        <f>IF('Levy Page 17'!$D$41&lt;&gt;0,'Levy Page 17'!$D$41,"  ")</f>
        <v xml:space="preserve">  </v>
      </c>
      <c r="H33" s="254" t="str">
        <f>IF('Levy Page 17'!$D$41&lt;&gt;0,ROUND(G33/$F$57*1000,3),"  ")</f>
        <v xml:space="preserve">  </v>
      </c>
    </row>
    <row r="34" spans="1:13" x14ac:dyDescent="0.25">
      <c r="A34" s="64" t="str">
        <f>IF((inputPrYr!$B35&gt;" "),(inputPrYr!$B35),"  ")</f>
        <v xml:space="preserve">  </v>
      </c>
      <c r="B34" s="64" t="str">
        <f>IF('Levy Page 17'!$B$75&lt;&gt;0,'Levy Page 17'!$B$75,"  ")</f>
        <v xml:space="preserve">  </v>
      </c>
      <c r="C34" s="254" t="str">
        <f>IF(inputPrYr!D87&lt;&gt;0,inputPrYr!D87,"  ")</f>
        <v xml:space="preserve">  </v>
      </c>
      <c r="D34" s="64" t="str">
        <f>IF('Levy Page 17'!$C$75&lt;&gt;0,'Levy Page 17'!$C$75,"  ")</f>
        <v xml:space="preserve">  </v>
      </c>
      <c r="E34" s="254" t="str">
        <f>IF(inputPrYr!F35&lt;&gt;0,inputPrYr!F35,"  ")</f>
        <v xml:space="preserve">  </v>
      </c>
      <c r="F34" s="64" t="str">
        <f>IF('Levy Page 17'!$D$75&lt;&gt;0,'Levy Page 17'!$D$75,"  ")</f>
        <v xml:space="preserve">  </v>
      </c>
      <c r="G34" s="64" t="str">
        <f>IF('Levy Page 17'!$D$82&lt;&gt;0,'Levy Page 17'!$D$82,"  ")</f>
        <v xml:space="preserve">  </v>
      </c>
      <c r="H34" s="254" t="str">
        <f>IF('Levy Page 17'!$D$82&lt;&gt;0,ROUND(G34/$F$57*1000,3),"  ")</f>
        <v xml:space="preserve">  </v>
      </c>
      <c r="J34" s="681" t="str">
        <f>CONCATENATE("Want The Mill Rate The Same As For ",H1-1,"?")</f>
        <v>Want The Mill Rate The Same As For 2024?</v>
      </c>
      <c r="K34" s="682"/>
      <c r="L34" s="682"/>
      <c r="M34" s="683"/>
    </row>
    <row r="35" spans="1:13" x14ac:dyDescent="0.25">
      <c r="A35" s="64" t="str">
        <f>IF((inputPrYr!$B36&gt;" "),(inputPrYr!$B36),"  ")</f>
        <v xml:space="preserve">  </v>
      </c>
      <c r="B35" s="64" t="str">
        <f>IF('Levy Page 18'!$B$34&lt;&gt;0,'Levy Page 18'!$B$34,"  ")</f>
        <v xml:space="preserve">  </v>
      </c>
      <c r="C35" s="254" t="str">
        <f>IF(inputPrYr!D88&lt;&gt;0,inputPrYr!D88,"  ")</f>
        <v xml:space="preserve">  </v>
      </c>
      <c r="D35" s="64" t="str">
        <f>IF('Levy Page 18'!$C$34&lt;&gt;0,'Levy Page 18'!$C$34,"  ")</f>
        <v xml:space="preserve">  </v>
      </c>
      <c r="E35" s="254" t="str">
        <f>IF(inputPrYr!F36&lt;&gt;0,inputPrYr!F36,"  ")</f>
        <v xml:space="preserve">  </v>
      </c>
      <c r="F35" s="64" t="str">
        <f>IF('Levy Page 18'!$D$34&lt;&gt;0,'Levy Page 18'!$D$34,"  ")</f>
        <v xml:space="preserve">  </v>
      </c>
      <c r="G35" s="64" t="str">
        <f>IF('Levy Page 18'!$D$41&lt;&gt;0,'Levy Page 18'!$D$41,"  ")</f>
        <v xml:space="preserve">  </v>
      </c>
      <c r="H35" s="254" t="str">
        <f>IF('Levy Page 18'!$D$41&lt;&gt;0,ROUND(G35/$F$57*1000,3),"  ")</f>
        <v xml:space="preserve">  </v>
      </c>
      <c r="J35" s="333"/>
      <c r="K35" s="327"/>
      <c r="L35" s="327"/>
      <c r="M35" s="334"/>
    </row>
    <row r="36" spans="1:13" x14ac:dyDescent="0.25">
      <c r="A36" s="64" t="str">
        <f>IF((inputPrYr!$B37&gt;" "),(inputPrYr!$B37),"  ")</f>
        <v xml:space="preserve">  </v>
      </c>
      <c r="B36" s="64" t="str">
        <f>IF('Levy Page 18'!$B$75&lt;&gt;0,'Levy Page 18'!$B$75,"  ")</f>
        <v xml:space="preserve">  </v>
      </c>
      <c r="C36" s="254" t="str">
        <f>IF(inputPrYr!D89&lt;&gt;0,inputPrYr!D89,"  ")</f>
        <v xml:space="preserve">  </v>
      </c>
      <c r="D36" s="64" t="str">
        <f>IF('Levy Page 18'!$C$75&lt;&gt;0,'Levy Page 18'!$C$75,"  ")</f>
        <v xml:space="preserve">  </v>
      </c>
      <c r="E36" s="254" t="str">
        <f>IF(inputPrYr!F37&lt;&gt;0,inputPrYr!F37,"  ")</f>
        <v xml:space="preserve">  </v>
      </c>
      <c r="F36" s="64" t="str">
        <f>IF('Levy Page 18'!$D$75&lt;&gt;0,'Levy Page 18'!$D$75,"  ")</f>
        <v xml:space="preserve">  </v>
      </c>
      <c r="G36" s="64" t="str">
        <f>IF('Levy Page 18'!$D$82&lt;&gt;0,'Levy Page 18'!$D$82,"  ")</f>
        <v xml:space="preserve">  </v>
      </c>
      <c r="H36" s="254" t="str">
        <f>IF('Levy Page 18'!$D$82&lt;&gt;0,ROUND(G36/$F$57*1000,3),"  ")</f>
        <v xml:space="preserve">  </v>
      </c>
      <c r="J36" s="333" t="str">
        <f>CONCATENATE("",H1-1," Mill Rate Was:")</f>
        <v>2024 Mill Rate Was:</v>
      </c>
      <c r="K36" s="327"/>
      <c r="L36" s="327"/>
      <c r="M36" s="335">
        <f>E52</f>
        <v>0</v>
      </c>
    </row>
    <row r="37" spans="1:13" x14ac:dyDescent="0.25">
      <c r="A37" s="64" t="str">
        <f>IF((inputPrYr!$B38&gt;" "),(inputPrYr!$B38),"  ")</f>
        <v xml:space="preserve">  </v>
      </c>
      <c r="B37" s="64" t="str">
        <f>IF('Levy Page 19'!$B$34&lt;&gt;0,'Levy Page 19'!$B$34,"  ")</f>
        <v xml:space="preserve">  </v>
      </c>
      <c r="C37" s="254" t="str">
        <f>IF(inputPrYr!D90&lt;&gt;0,inputPrYr!D90,"  ")</f>
        <v xml:space="preserve">  </v>
      </c>
      <c r="D37" s="64" t="str">
        <f>IF('Levy Page 19'!$C$34&lt;&gt;0,'Levy Page 19'!$C$34,"  ")</f>
        <v xml:space="preserve">  </v>
      </c>
      <c r="E37" s="254" t="str">
        <f>IF(inputPrYr!F38&lt;&gt;0,inputPrYr!F38,"  ")</f>
        <v xml:space="preserve">  </v>
      </c>
      <c r="F37" s="64" t="str">
        <f>IF('Levy Page 19'!$D$34&lt;&gt;0,'Levy Page 19'!$D$34,"  ")</f>
        <v xml:space="preserve">  </v>
      </c>
      <c r="G37" s="64" t="str">
        <f>IF('Levy Page 19'!$D$41&lt;&gt;0,'Levy Page 19'!$D$41,"  ")</f>
        <v xml:space="preserve">  </v>
      </c>
      <c r="H37" s="254" t="str">
        <f>IF('Levy Page 19'!$D$41&lt;&gt;0,ROUND(G37/$F$57*1000,3),"  ")</f>
        <v xml:space="preserve">  </v>
      </c>
      <c r="J37" s="336" t="str">
        <f>CONCATENATE("",H1," Tax Levy Fund Expenditures Must Be")</f>
        <v>2025 Tax Levy Fund Expenditures Must Be</v>
      </c>
      <c r="K37" s="337"/>
      <c r="L37" s="337"/>
      <c r="M37" s="334"/>
    </row>
    <row r="38" spans="1:13" x14ac:dyDescent="0.25">
      <c r="A38" s="64" t="str">
        <f>IF((inputPrYr!$B39&gt;" "),(inputPrYr!$B39),"  ")</f>
        <v xml:space="preserve">  </v>
      </c>
      <c r="B38" s="64" t="str">
        <f>IF('Levy Page 19'!$B$75&lt;&gt;0,'Levy Page 19'!$B$75,"  ")</f>
        <v xml:space="preserve">  </v>
      </c>
      <c r="C38" s="254" t="str">
        <f>IF(inputPrYr!D91&lt;&gt;0,inputPrYr!D91,"  ")</f>
        <v xml:space="preserve">  </v>
      </c>
      <c r="D38" s="64" t="str">
        <f>IF('Levy Page 19'!$C$75&lt;&gt;0,'Levy Page 19'!$C$75,"  ")</f>
        <v xml:space="preserve">  </v>
      </c>
      <c r="E38" s="254" t="str">
        <f>IF(inputPrYr!F39&lt;&gt;0,inputPrYr!F39,"  ")</f>
        <v xml:space="preserve">  </v>
      </c>
      <c r="F38" s="64" t="str">
        <f>IF('Levy Page 19'!$D$75&lt;&gt;0,'Levy Page 19'!$D$75,"  ")</f>
        <v xml:space="preserve">  </v>
      </c>
      <c r="G38" s="64" t="str">
        <f>IF('Levy Page 19'!$D$82&lt;&gt;0,'Levy Page 19'!$D$82,"  ")</f>
        <v xml:space="preserve">  </v>
      </c>
      <c r="H38" s="254" t="str">
        <f>IF('Levy Page 19'!$D$82&lt;&gt;0,ROUND(G38/$F$57*1000,3),"  ")</f>
        <v xml:space="preserve">  </v>
      </c>
      <c r="J38" s="336" t="str">
        <f>IF(M38&gt;0,"Increased By:","")</f>
        <v/>
      </c>
      <c r="K38" s="337"/>
      <c r="L38" s="337"/>
      <c r="M38" s="343">
        <f>IF(M45&lt;0,M45*-1,0)</f>
        <v>0</v>
      </c>
    </row>
    <row r="39" spans="1:13" x14ac:dyDescent="0.2">
      <c r="A39" s="64" t="str">
        <f>IF((inputPrYr!$B40&gt;" "),(inputPrYr!$B40),"  ")</f>
        <v xml:space="preserve">  </v>
      </c>
      <c r="B39" s="64" t="str">
        <f>IF('Levy Page 20'!$B$34&lt;&gt;0,'Levy Page 20'!$B$34,"  ")</f>
        <v xml:space="preserve">  </v>
      </c>
      <c r="C39" s="254" t="str">
        <f>IF(inputPrYr!D92&lt;&gt;0,inputPrYr!D92,"  ")</f>
        <v xml:space="preserve">  </v>
      </c>
      <c r="D39" s="64" t="str">
        <f>IF('Levy Page 20'!$C$34&lt;&gt;0,'Levy Page 20'!$C$34,"  ")</f>
        <v xml:space="preserve">  </v>
      </c>
      <c r="E39" s="254" t="str">
        <f>IF(inputPrYr!F40&lt;&gt;0,inputPrYr!F40,"  ")</f>
        <v xml:space="preserve">  </v>
      </c>
      <c r="F39" s="64" t="str">
        <f>IF('Levy Page 20'!$D$34&lt;&gt;0,'Levy Page 20'!$D$34,"  ")</f>
        <v xml:space="preserve">  </v>
      </c>
      <c r="G39" s="64" t="str">
        <f>IF('Levy Page 20'!$D$41&lt;&gt;0,'Levy Page 20'!$D$41,"  ")</f>
        <v xml:space="preserve">  </v>
      </c>
      <c r="H39" s="254" t="str">
        <f>IF('Levy Page 20'!$D$41&lt;&gt;0,ROUND(G39/$F$57*1000,3),"  ")</f>
        <v xml:space="preserve">  </v>
      </c>
      <c r="J39" s="345" t="str">
        <f>IF(M39&lt;0,"Reduced By:","")</f>
        <v/>
      </c>
      <c r="K39" s="346"/>
      <c r="L39" s="346"/>
      <c r="M39" s="347">
        <f>IF(M45&gt;0,M45*-1,0)</f>
        <v>0</v>
      </c>
    </row>
    <row r="40" spans="1:13" x14ac:dyDescent="0.25">
      <c r="A40" s="64" t="str">
        <f>IF((inputPrYr!$B41&gt;" "),(inputPrYr!$B41),"  ")</f>
        <v xml:space="preserve">  </v>
      </c>
      <c r="B40" s="64" t="str">
        <f>IF('Levy Page 20'!$B$75&lt;&gt;0,'Levy Page 20'!$B$75,"  ")</f>
        <v xml:space="preserve">  </v>
      </c>
      <c r="C40" s="254" t="str">
        <f>IF(inputPrYr!D93&lt;&gt;0,inputPrYr!D93,"  ")</f>
        <v xml:space="preserve">  </v>
      </c>
      <c r="D40" s="64" t="str">
        <f>IF('Levy Page 20'!$C$75&lt;&gt;0,'Levy Page 20'!$C$75,"  ")</f>
        <v xml:space="preserve">  </v>
      </c>
      <c r="E40" s="254" t="str">
        <f>IF(inputPrYr!F41&lt;&gt;0,inputPrYr!F41,"  ")</f>
        <v xml:space="preserve">  </v>
      </c>
      <c r="F40" s="64" t="str">
        <f>IF('Levy Page 20'!$D$75&lt;&gt;0,'Levy Page 20'!$D$75,"  ")</f>
        <v xml:space="preserve">  </v>
      </c>
      <c r="G40" s="64" t="str">
        <f>IF('Levy Page 20'!$D$82&lt;&gt;0,'Levy Page 20'!$D$82,"  ")</f>
        <v xml:space="preserve">  </v>
      </c>
      <c r="H40" s="254" t="str">
        <f>IF('Levy Page 20'!$D$82&lt;&gt;0,ROUND(G40/$F$57*1000,3),"  ")</f>
        <v xml:space="preserve">  </v>
      </c>
      <c r="J40" s="332"/>
      <c r="K40" s="332"/>
      <c r="L40" s="332"/>
      <c r="M40" s="332"/>
    </row>
    <row r="41" spans="1:13" x14ac:dyDescent="0.25">
      <c r="A41" s="64" t="str">
        <f>IF((inputPrYr!$B45&gt;" "),(inputPrYr!$B45),"  ")</f>
        <v xml:space="preserve">  </v>
      </c>
      <c r="B41" s="64" t="str">
        <f>IF('No Levy Page 21'!$B$27&lt;&gt;0,'No Levy Page 21'!$B$27,"  ")</f>
        <v xml:space="preserve">  </v>
      </c>
      <c r="C41" s="108"/>
      <c r="D41" s="64" t="str">
        <f>IF('No Levy Page 21'!$C$27&lt;&gt;0,'No Levy Page 21'!$C$27,"  ")</f>
        <v xml:space="preserve">  </v>
      </c>
      <c r="E41" s="108"/>
      <c r="F41" s="64" t="str">
        <f>IF('No Levy Page 21'!$D$27&lt;&gt;0,'No Levy Page 21'!$D$27,"  ")</f>
        <v xml:space="preserve">  </v>
      </c>
      <c r="G41" s="64"/>
      <c r="H41" s="45"/>
      <c r="J41" s="681" t="str">
        <f>CONCATENATE("Impact On Keeping The Same Mill Rate As For ",H1-1,"")</f>
        <v>Impact On Keeping The Same Mill Rate As For 2024</v>
      </c>
      <c r="K41" s="694"/>
      <c r="L41" s="694"/>
      <c r="M41" s="695"/>
    </row>
    <row r="42" spans="1:13" x14ac:dyDescent="0.25">
      <c r="A42" s="64" t="str">
        <f>IF((inputPrYr!$B46&gt;" "),(inputPrYr!$B46),"  ")</f>
        <v xml:space="preserve">  </v>
      </c>
      <c r="B42" s="64" t="str">
        <f>IF('No Levy Page 21'!$B$57&lt;&gt;0,'No Levy Page 21'!$B$57,"  ")</f>
        <v xml:space="preserve">  </v>
      </c>
      <c r="C42" s="108"/>
      <c r="D42" s="64" t="str">
        <f>IF('No Levy Page 21'!$C$57&lt;&gt;0,'No Levy Page 21'!$C$57,"  ")</f>
        <v xml:space="preserve">  </v>
      </c>
      <c r="E42" s="108"/>
      <c r="F42" s="64" t="str">
        <f>IF('No Levy Page 21'!$D$57&lt;&gt;0,'No Levy Page 21'!$D$57,"  ")</f>
        <v xml:space="preserve">  </v>
      </c>
      <c r="G42" s="64"/>
      <c r="H42" s="45"/>
      <c r="J42" s="333"/>
      <c r="K42" s="327"/>
      <c r="L42" s="327"/>
      <c r="M42" s="334"/>
    </row>
    <row r="43" spans="1:13" x14ac:dyDescent="0.25">
      <c r="A43" s="64" t="str">
        <f>IF((inputPrYr!$B47&gt;" "),(inputPrYr!$B47),"  ")</f>
        <v xml:space="preserve">  </v>
      </c>
      <c r="B43" s="64" t="str">
        <f>IF('No Levy Page 22'!$B$27&lt;&gt;0,'No Levy Page 22'!$B$27,"  ")</f>
        <v xml:space="preserve">  </v>
      </c>
      <c r="C43" s="108"/>
      <c r="D43" s="64" t="str">
        <f>IF('No Levy Page 22'!$C$27&lt;&gt;0,'No Levy Page 22'!$C$27,"  ")</f>
        <v xml:space="preserve">  </v>
      </c>
      <c r="E43" s="108"/>
      <c r="F43" s="64" t="str">
        <f>IF('No Levy Page 22'!$D$27&lt;&gt;0,'No Levy Page 22'!$D$27,"  ")</f>
        <v xml:space="preserve">  </v>
      </c>
      <c r="G43" s="64"/>
      <c r="H43" s="45"/>
      <c r="J43" s="333" t="str">
        <f>CONCATENATE("",H1," Ad Valorem Tax Revenue:")</f>
        <v>2025 Ad Valorem Tax Revenue:</v>
      </c>
      <c r="K43" s="327"/>
      <c r="L43" s="327"/>
      <c r="M43" s="328">
        <f>G52</f>
        <v>0</v>
      </c>
    </row>
    <row r="44" spans="1:13" x14ac:dyDescent="0.25">
      <c r="A44" s="64" t="str">
        <f>IF((inputPrYr!$B48&gt;" "),(inputPrYr!$B48),"  ")</f>
        <v xml:space="preserve">  </v>
      </c>
      <c r="B44" s="64" t="str">
        <f>IF('No Levy Page 22'!$B$57&lt;&gt;0,'No Levy Page 22'!$B$57,"  ")</f>
        <v xml:space="preserve">  </v>
      </c>
      <c r="C44" s="108"/>
      <c r="D44" s="64" t="str">
        <f>IF('No Levy Page 22'!$C$57&lt;&gt;0,'No Levy Page 22'!$C$57,"  ")</f>
        <v xml:space="preserve">  </v>
      </c>
      <c r="E44" s="108"/>
      <c r="F44" s="64" t="str">
        <f>IF('No Levy Page 22'!$D$57&lt;&gt;0,'No Levy Page 22'!$D$57,"  ")</f>
        <v xml:space="preserve">  </v>
      </c>
      <c r="G44" s="64"/>
      <c r="H44" s="45"/>
      <c r="J44" s="333" t="str">
        <f>CONCATENATE("",H1-1," Ad Valorem Tax Revenue:")</f>
        <v>2024 Ad Valorem Tax Revenue:</v>
      </c>
      <c r="K44" s="327"/>
      <c r="L44" s="327"/>
      <c r="M44" s="340">
        <f>ROUND(F57*M36/1000,0)</f>
        <v>0</v>
      </c>
    </row>
    <row r="45" spans="1:13" x14ac:dyDescent="0.25">
      <c r="A45" s="64" t="str">
        <f>IF((inputPrYr!$B49&gt;" "),(inputPrYr!$B49),"  ")</f>
        <v xml:space="preserve">  </v>
      </c>
      <c r="B45" s="64" t="str">
        <f>IF('No Levy Page 23'!$B$27&lt;&gt;0,'No Levy Page 23'!$B$27,"  ")</f>
        <v xml:space="preserve">  </v>
      </c>
      <c r="C45" s="108"/>
      <c r="D45" s="64" t="str">
        <f>IF('No Levy Page 23'!$C$27&lt;&gt;0,'No Levy Page 23'!$C$27,"  ")</f>
        <v xml:space="preserve">  </v>
      </c>
      <c r="E45" s="108"/>
      <c r="F45" s="64" t="str">
        <f>IF('No Levy Page 23'!$D$27&lt;&gt;0,'No Levy Page 23'!$D$27,"  ")</f>
        <v xml:space="preserve">  </v>
      </c>
      <c r="G45" s="64"/>
      <c r="H45" s="45"/>
      <c r="J45" s="338" t="s">
        <v>338</v>
      </c>
      <c r="K45" s="339"/>
      <c r="L45" s="339"/>
      <c r="M45" s="331">
        <f>SUM(M43-M44)</f>
        <v>0</v>
      </c>
    </row>
    <row r="46" spans="1:13" x14ac:dyDescent="0.25">
      <c r="A46" s="64" t="str">
        <f>IF((inputPrYr!$B50&gt;" "),(inputPrYr!$B50),"  ")</f>
        <v xml:space="preserve">  </v>
      </c>
      <c r="B46" s="64" t="str">
        <f>IF('No Levy Page 23'!$B$57&lt;&gt;0,'No Levy Page 23'!$B$57,"  ")</f>
        <v xml:space="preserve">  </v>
      </c>
      <c r="C46" s="108"/>
      <c r="D46" s="64" t="str">
        <f>IF('No Levy Page 23'!$C$57&lt;&gt;0,'No Levy Page 23'!$C$57,"  ")</f>
        <v xml:space="preserve">  </v>
      </c>
      <c r="E46" s="108"/>
      <c r="F46" s="64" t="str">
        <f>IF('No Levy Page 23'!$D$57&lt;&gt;0,'No Levy Page 23'!$D$57,"  ")</f>
        <v xml:space="preserve">  </v>
      </c>
      <c r="G46" s="64"/>
      <c r="H46" s="45"/>
      <c r="J46" s="332"/>
      <c r="K46" s="332"/>
      <c r="L46" s="332"/>
      <c r="M46" s="332"/>
    </row>
    <row r="47" spans="1:13" x14ac:dyDescent="0.25">
      <c r="A47" s="64" t="str">
        <f>IF((inputPrYr!$B51&gt;" "),(inputPrYr!$B51),"  ")</f>
        <v xml:space="preserve">  </v>
      </c>
      <c r="B47" s="64" t="str">
        <f>IF('No Levy Page 24'!$B$27&lt;&gt;0,'No Levy Page 24'!$B$27,"  ")</f>
        <v xml:space="preserve">  </v>
      </c>
      <c r="C47" s="108"/>
      <c r="D47" s="64" t="str">
        <f>IF('No Levy Page 24'!$C$27&lt;&gt;0,'No Levy Page 24'!$C$27,"  ")</f>
        <v xml:space="preserve">  </v>
      </c>
      <c r="E47" s="108"/>
      <c r="F47" s="64" t="str">
        <f>IF('No Levy Page 24'!$D$27&lt;&gt;0,'No Levy Page 24'!$D$27,"  ")</f>
        <v xml:space="preserve">  </v>
      </c>
      <c r="G47" s="64"/>
      <c r="H47" s="45"/>
      <c r="J47" s="681" t="s">
        <v>339</v>
      </c>
      <c r="K47" s="694"/>
      <c r="L47" s="694"/>
      <c r="M47" s="695"/>
    </row>
    <row r="48" spans="1:13" x14ac:dyDescent="0.25">
      <c r="A48" s="64" t="str">
        <f>IF((inputPrYr!$B52&gt;" "),(inputPrYr!$B52),"  ")</f>
        <v xml:space="preserve">  </v>
      </c>
      <c r="B48" s="64" t="str">
        <f>IF('No Levy Page 24'!$B$57&lt;&gt;0,'No Levy Page 24'!$B$57,"  ")</f>
        <v xml:space="preserve">  </v>
      </c>
      <c r="C48" s="108"/>
      <c r="D48" s="64" t="str">
        <f>IF('No Levy Page 24'!$C$57&lt;&gt;0,'No Levy Page 24'!$C$57,"  ")</f>
        <v xml:space="preserve">  </v>
      </c>
      <c r="E48" s="108"/>
      <c r="F48" s="64" t="str">
        <f>IF('No Levy Page 24'!$D$57&lt;&gt;0,'No Levy Page 24'!$D$57,"  ")</f>
        <v xml:space="preserve">  </v>
      </c>
      <c r="G48" s="64"/>
      <c r="H48" s="45"/>
      <c r="J48" s="333"/>
      <c r="K48" s="327"/>
      <c r="L48" s="327"/>
      <c r="M48" s="334"/>
    </row>
    <row r="49" spans="1:13" x14ac:dyDescent="0.25">
      <c r="A49" s="64" t="str">
        <f>IF((inputPrYr!$B53&gt;" "),(inputPrYr!$B53),"  ")</f>
        <v xml:space="preserve">  </v>
      </c>
      <c r="B49" s="64" t="str">
        <f>IF('No Levy Page 25'!$B$27&lt;&gt;0,'No Levy Page 25'!$B$27,"  ")</f>
        <v xml:space="preserve">  </v>
      </c>
      <c r="C49" s="108"/>
      <c r="D49" s="64" t="str">
        <f>IF('No Levy Page 25'!$C$27&lt;&gt;0,'No Levy Page 25'!$C$27,"  ")</f>
        <v xml:space="preserve">  </v>
      </c>
      <c r="E49" s="108"/>
      <c r="F49" s="64" t="str">
        <f>IF('No Levy Page 25'!$D$27&lt;&gt;0,'No Levy Page 25'!$D$27,"  ")</f>
        <v xml:space="preserve">  </v>
      </c>
      <c r="G49" s="64"/>
      <c r="H49" s="45"/>
      <c r="J49" s="333" t="str">
        <f>CONCATENATE("Current ",H10," Estimated Mill Rate:")</f>
        <v>Current  Estimated Mill Rate:</v>
      </c>
      <c r="K49" s="327"/>
      <c r="L49" s="327"/>
      <c r="M49" s="335">
        <f>H52</f>
        <v>0</v>
      </c>
    </row>
    <row r="50" spans="1:13" x14ac:dyDescent="0.25">
      <c r="A50" s="64" t="str">
        <f>IF((inputPrYr!$B54&gt;" "),(inputPrYr!$B54),"  ")</f>
        <v xml:space="preserve">  </v>
      </c>
      <c r="B50" s="64" t="str">
        <f>IF('No Levy Page 25'!$B$57&lt;&gt;0,'No Levy Page 25'!$B$57,"  ")</f>
        <v xml:space="preserve">  </v>
      </c>
      <c r="C50" s="108"/>
      <c r="D50" s="64" t="str">
        <f>IF('No Levy Page 25'!$C$57&lt;&gt;0,'No Levy Page 25'!$C$57,"  ")</f>
        <v xml:space="preserve">  </v>
      </c>
      <c r="E50" s="108"/>
      <c r="F50" s="64" t="str">
        <f>IF('No Levy Page 25'!$D$57&lt;&gt;0,'No Levy Page 25'!$D$57,"  ")</f>
        <v xml:space="preserve">  </v>
      </c>
      <c r="G50" s="64"/>
      <c r="H50" s="45"/>
      <c r="J50" s="333" t="str">
        <f>CONCATENATE("Desired ",H10," Mill Rate:")</f>
        <v>Desired  Mill Rate:</v>
      </c>
      <c r="K50" s="327"/>
      <c r="L50" s="327"/>
      <c r="M50" s="341">
        <v>0</v>
      </c>
    </row>
    <row r="51" spans="1:13" x14ac:dyDescent="0.25">
      <c r="A51" s="505" t="str">
        <f>IF((inputPrYr!$B58&gt;"  "),('Non-Budgeted Funds'!$A3),"  ")</f>
        <v xml:space="preserve">  </v>
      </c>
      <c r="B51" s="505" t="str">
        <f>IF('Non-Budgeted Funds'!K28&gt;0,'Non-Budgeted Funds'!K28,"")</f>
        <v/>
      </c>
      <c r="C51" s="134"/>
      <c r="D51" s="505"/>
      <c r="E51" s="134"/>
      <c r="F51" s="505"/>
      <c r="G51" s="505"/>
      <c r="H51" s="528"/>
      <c r="J51" s="333" t="str">
        <f>CONCATENATE("",H1," Ad Valorem Tax:")</f>
        <v>2025 Ad Valorem Tax:</v>
      </c>
      <c r="K51" s="327"/>
      <c r="L51" s="327"/>
      <c r="M51" s="340">
        <f>ROUND(F57*M50/1000,0)</f>
        <v>0</v>
      </c>
    </row>
    <row r="52" spans="1:13" ht="16.5" thickBot="1" x14ac:dyDescent="0.3">
      <c r="A52" s="530" t="s">
        <v>27</v>
      </c>
      <c r="B52" s="527">
        <f>SUM(B16:B51)</f>
        <v>0</v>
      </c>
      <c r="C52" s="531">
        <f>SUM(C16:C40)</f>
        <v>0</v>
      </c>
      <c r="D52" s="527">
        <f>SUM(D16:D51)</f>
        <v>0</v>
      </c>
      <c r="E52" s="531">
        <f>SUM(E16:E40)</f>
        <v>0</v>
      </c>
      <c r="F52" s="527">
        <f>SUM(F16:F51)</f>
        <v>0</v>
      </c>
      <c r="G52" s="527">
        <f>SUM(G16:G40)</f>
        <v>0</v>
      </c>
      <c r="H52" s="531">
        <f>SUM(H16:H40)</f>
        <v>0</v>
      </c>
      <c r="J52" s="338" t="str">
        <f>CONCATENATE("",H10," Tax Levy Fund Exp. Changed By:")</f>
        <v xml:space="preserve"> Tax Levy Fund Exp. Changed By:</v>
      </c>
      <c r="K52" s="339"/>
      <c r="L52" s="339"/>
      <c r="M52" s="331">
        <f>IF(M50=0,0,(M51-G52))</f>
        <v>0</v>
      </c>
    </row>
    <row r="53" spans="1:13" ht="16.5" thickTop="1" x14ac:dyDescent="0.2">
      <c r="A53" s="684" t="s">
        <v>385</v>
      </c>
      <c r="B53" s="685"/>
      <c r="C53" s="685"/>
      <c r="D53" s="685"/>
      <c r="E53" s="685"/>
      <c r="F53" s="685"/>
      <c r="G53" s="686"/>
      <c r="H53" s="529">
        <f>inputOth!E14</f>
        <v>0</v>
      </c>
    </row>
    <row r="54" spans="1:13" x14ac:dyDescent="0.2">
      <c r="A54" s="31" t="s">
        <v>99</v>
      </c>
      <c r="B54" s="255">
        <f>Transfers!C28</f>
        <v>0</v>
      </c>
      <c r="C54" s="256"/>
      <c r="D54" s="255">
        <f>Transfers!D28</f>
        <v>0</v>
      </c>
      <c r="E54" s="208"/>
      <c r="F54" s="255">
        <f>Transfers!E28</f>
        <v>0</v>
      </c>
      <c r="G54" s="32"/>
      <c r="J54" s="698" t="s">
        <v>563</v>
      </c>
      <c r="K54" s="699"/>
      <c r="L54" s="699"/>
      <c r="M54" s="691" t="str">
        <f>IF(H52&gt;H53, "Yes", "No")</f>
        <v>No</v>
      </c>
    </row>
    <row r="55" spans="1:13" ht="16.5" thickBot="1" x14ac:dyDescent="0.25">
      <c r="A55" s="31" t="s">
        <v>100</v>
      </c>
      <c r="B55" s="527">
        <f>B52-B54</f>
        <v>0</v>
      </c>
      <c r="C55" s="32"/>
      <c r="D55" s="527">
        <f>D52-D54</f>
        <v>0</v>
      </c>
      <c r="E55" s="256"/>
      <c r="F55" s="527">
        <f>F52-F54</f>
        <v>0</v>
      </c>
      <c r="G55" s="32"/>
      <c r="J55" s="700"/>
      <c r="K55" s="701"/>
      <c r="L55" s="701"/>
      <c r="M55" s="692"/>
    </row>
    <row r="56" spans="1:13" ht="16.5" thickTop="1" x14ac:dyDescent="0.2">
      <c r="A56" s="31" t="s">
        <v>101</v>
      </c>
      <c r="B56" s="88">
        <f>inputPrYr!D96</f>
        <v>0</v>
      </c>
      <c r="C56" s="32"/>
      <c r="D56" s="88">
        <f>inputPrYr!E42</f>
        <v>0</v>
      </c>
      <c r="E56" s="32"/>
      <c r="F56" s="344" t="s">
        <v>213</v>
      </c>
      <c r="G56" s="32"/>
      <c r="J56" s="670" t="str">
        <f>IF(M54="Yes", "Follow procedure prescirbed by KSA 79-2988 to exceed the Revenue Neutral Rate.", " ")</f>
        <v xml:space="preserve"> </v>
      </c>
      <c r="K56" s="670"/>
      <c r="L56" s="670"/>
      <c r="M56" s="670"/>
    </row>
    <row r="57" spans="1:13" x14ac:dyDescent="0.2">
      <c r="A57" s="31" t="s">
        <v>102</v>
      </c>
      <c r="B57" s="64">
        <f>inputPrYr!D97</f>
        <v>0</v>
      </c>
      <c r="C57" s="32"/>
      <c r="D57" s="64">
        <f>inputPrYr!E65</f>
        <v>0</v>
      </c>
      <c r="E57" s="32"/>
      <c r="F57" s="64">
        <f>inputOth!E5</f>
        <v>0</v>
      </c>
      <c r="G57" s="32"/>
      <c r="J57" s="671"/>
      <c r="K57" s="671"/>
      <c r="L57" s="671"/>
      <c r="M57" s="671"/>
    </row>
    <row r="58" spans="1:13" x14ac:dyDescent="0.2">
      <c r="A58" s="31" t="s">
        <v>103</v>
      </c>
      <c r="B58" s="32"/>
      <c r="C58" s="32"/>
      <c r="D58" s="32"/>
      <c r="E58" s="32"/>
      <c r="F58" s="32"/>
      <c r="G58" s="32"/>
      <c r="H58" s="72"/>
      <c r="J58" s="671"/>
      <c r="K58" s="671"/>
      <c r="L58" s="671"/>
      <c r="M58" s="671"/>
    </row>
    <row r="59" spans="1:13" x14ac:dyDescent="0.2">
      <c r="A59" s="31" t="s">
        <v>104</v>
      </c>
      <c r="B59" s="257">
        <f>H1-3</f>
        <v>2022</v>
      </c>
      <c r="C59" s="32"/>
      <c r="D59" s="257">
        <f>H1-2</f>
        <v>2023</v>
      </c>
      <c r="E59" s="32"/>
      <c r="F59" s="257">
        <f>H1-1</f>
        <v>2024</v>
      </c>
      <c r="G59" s="32"/>
      <c r="H59" s="72"/>
    </row>
    <row r="60" spans="1:13" x14ac:dyDescent="0.2">
      <c r="A60" s="31" t="s">
        <v>105</v>
      </c>
      <c r="B60" s="103">
        <f>inputPrYr!D101</f>
        <v>0</v>
      </c>
      <c r="C60" s="32"/>
      <c r="D60" s="103">
        <f>inputPrYr!E101</f>
        <v>0</v>
      </c>
      <c r="E60" s="32"/>
      <c r="F60" s="103">
        <f>Debt!F22</f>
        <v>0</v>
      </c>
      <c r="G60" s="32"/>
      <c r="H60" s="72"/>
    </row>
    <row r="61" spans="1:13" x14ac:dyDescent="0.2">
      <c r="A61" s="31" t="s">
        <v>106</v>
      </c>
      <c r="B61" s="103">
        <f>inputPrYr!D102</f>
        <v>0</v>
      </c>
      <c r="C61" s="32"/>
      <c r="D61" s="103">
        <f>inputPrYr!E102</f>
        <v>0</v>
      </c>
      <c r="E61" s="32"/>
      <c r="F61" s="103">
        <f>Debt!F35</f>
        <v>0</v>
      </c>
      <c r="G61" s="32"/>
      <c r="H61" s="72"/>
    </row>
    <row r="62" spans="1:13" x14ac:dyDescent="0.2">
      <c r="A62" s="31" t="s">
        <v>95</v>
      </c>
      <c r="B62" s="103">
        <f>inputPrYr!D103</f>
        <v>0</v>
      </c>
      <c r="C62" s="32"/>
      <c r="D62" s="103">
        <f>inputPrYr!E103</f>
        <v>0</v>
      </c>
      <c r="E62" s="32"/>
      <c r="F62" s="103">
        <f>Debt!F46</f>
        <v>0</v>
      </c>
      <c r="G62" s="32"/>
      <c r="H62" s="72"/>
    </row>
    <row r="63" spans="1:13" x14ac:dyDescent="0.2">
      <c r="A63" s="31" t="s">
        <v>156</v>
      </c>
      <c r="B63" s="103">
        <f>inputPrYr!D104</f>
        <v>0</v>
      </c>
      <c r="C63" s="32"/>
      <c r="D63" s="103">
        <f>inputPrYr!E104</f>
        <v>0</v>
      </c>
      <c r="E63" s="32"/>
      <c r="F63" s="103">
        <f>'LP Form'!F37</f>
        <v>0</v>
      </c>
      <c r="G63" s="32"/>
      <c r="H63" s="72"/>
    </row>
    <row r="64" spans="1:13" ht="16.5" thickBot="1" x14ac:dyDescent="0.25">
      <c r="A64" s="31" t="s">
        <v>107</v>
      </c>
      <c r="B64" s="532">
        <f>SUM(B60:B63)</f>
        <v>0</v>
      </c>
      <c r="C64" s="32"/>
      <c r="D64" s="532">
        <f>SUM(D60:D63)</f>
        <v>0</v>
      </c>
      <c r="E64" s="32"/>
      <c r="F64" s="532">
        <f>SUM(F60:F63)</f>
        <v>0</v>
      </c>
      <c r="G64" s="32"/>
      <c r="H64" s="72"/>
    </row>
    <row r="65" spans="1:8" ht="16.5" thickTop="1" x14ac:dyDescent="0.2">
      <c r="A65" s="31" t="s">
        <v>108</v>
      </c>
      <c r="B65" s="32"/>
      <c r="C65" s="32"/>
      <c r="D65" s="32"/>
      <c r="E65" s="32"/>
      <c r="F65" s="32"/>
      <c r="G65" s="32"/>
      <c r="H65" s="72"/>
    </row>
    <row r="66" spans="1:8" x14ac:dyDescent="0.2">
      <c r="A66" s="478" t="s">
        <v>562</v>
      </c>
      <c r="B66" s="32"/>
      <c r="C66" s="32"/>
      <c r="D66" s="32"/>
      <c r="E66" s="32"/>
      <c r="F66" s="32"/>
      <c r="G66" s="32"/>
      <c r="H66" s="72"/>
    </row>
    <row r="67" spans="1:8" x14ac:dyDescent="0.2">
      <c r="A67" s="32"/>
      <c r="B67" s="32"/>
      <c r="C67" s="32"/>
      <c r="D67" s="32"/>
      <c r="E67" s="32"/>
      <c r="F67" s="32"/>
      <c r="G67" s="32"/>
      <c r="H67" s="72"/>
    </row>
    <row r="68" spans="1:8" x14ac:dyDescent="0.2">
      <c r="A68" s="696">
        <f>inputHearing!B28</f>
        <v>0</v>
      </c>
      <c r="B68" s="697"/>
      <c r="C68" s="32"/>
      <c r="D68" s="32"/>
      <c r="E68" s="32"/>
      <c r="F68" s="32"/>
      <c r="G68" s="32"/>
      <c r="H68" s="72"/>
    </row>
    <row r="69" spans="1:8" x14ac:dyDescent="0.2">
      <c r="A69" s="693">
        <f>inputHearing!B30</f>
        <v>0</v>
      </c>
      <c r="B69" s="693"/>
      <c r="C69" s="32"/>
      <c r="D69" s="32"/>
      <c r="E69" s="32"/>
      <c r="F69" s="32"/>
      <c r="G69" s="32"/>
      <c r="H69" s="72"/>
    </row>
    <row r="70" spans="1:8" x14ac:dyDescent="0.2">
      <c r="A70" s="32"/>
      <c r="B70" s="32"/>
      <c r="C70" s="32"/>
      <c r="D70" s="182" t="s">
        <v>41</v>
      </c>
      <c r="E70" s="428"/>
      <c r="F70" s="32"/>
      <c r="G70" s="32"/>
      <c r="H70" s="72"/>
    </row>
    <row r="71" spans="1:8" x14ac:dyDescent="0.2">
      <c r="A71" s="72"/>
      <c r="D71" s="72"/>
      <c r="E71" s="72"/>
      <c r="F71" s="72"/>
      <c r="G71" s="72"/>
    </row>
  </sheetData>
  <sheetProtection sheet="1" objects="1" scenarios="1"/>
  <mergeCells count="24">
    <mergeCell ref="J56:M58"/>
    <mergeCell ref="A68:B68"/>
    <mergeCell ref="A69:B69"/>
    <mergeCell ref="J30:M30"/>
    <mergeCell ref="J34:M34"/>
    <mergeCell ref="J41:M41"/>
    <mergeCell ref="J47:M47"/>
    <mergeCell ref="A53:G53"/>
    <mergeCell ref="J54:L55"/>
    <mergeCell ref="M54:M55"/>
    <mergeCell ref="A10:H10"/>
    <mergeCell ref="A11:H11"/>
    <mergeCell ref="B14:B15"/>
    <mergeCell ref="C14:C15"/>
    <mergeCell ref="D14:D15"/>
    <mergeCell ref="E14:E15"/>
    <mergeCell ref="F14:F15"/>
    <mergeCell ref="H14:H15"/>
    <mergeCell ref="A8:H8"/>
    <mergeCell ref="A2:H2"/>
    <mergeCell ref="A4:H4"/>
    <mergeCell ref="A5:H5"/>
    <mergeCell ref="A6:H6"/>
    <mergeCell ref="A7:H7"/>
  </mergeCells>
  <conditionalFormatting sqref="M54:M55">
    <cfRule type="containsText" dxfId="2" priority="1" operator="containsText" text="Yes">
      <formula>NOT(ISERROR(SEARCH("Yes",M54)))</formula>
    </cfRule>
  </conditionalFormatting>
  <pageMargins left="1.1200000000000001" right="0.5" top="0.74" bottom="0.34" header="0.5" footer="0"/>
  <pageSetup scale="67" orientation="portrait" blackAndWhite="1" horizontalDpi="120" verticalDpi="144" r:id="rId1"/>
  <headerFooter alignWithMargins="0">
    <oddHeader xml:space="preserve">&amp;RState of Kansas
County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2AA7A-CB25-4107-A8A3-BAE1E2BE9780}">
  <sheetPr codeName="Sheet39">
    <tabColor rgb="FF00B0F0"/>
    <pageSetUpPr fitToPage="1"/>
  </sheetPr>
  <dimension ref="A1:K57"/>
  <sheetViews>
    <sheetView zoomScale="90" zoomScaleNormal="90" workbookViewId="0">
      <selection activeCell="K2" sqref="K2"/>
    </sheetView>
  </sheetViews>
  <sheetFormatPr defaultRowHeight="15.75" x14ac:dyDescent="0.2"/>
  <cols>
    <col min="1" max="1" width="20.77734375" style="27" customWidth="1"/>
    <col min="2" max="2" width="12.77734375" style="27" customWidth="1"/>
    <col min="3" max="3" width="9.77734375" style="27" customWidth="1"/>
    <col min="4" max="4" width="12.77734375" style="27" customWidth="1"/>
    <col min="5" max="5" width="9.77734375" style="27" customWidth="1"/>
    <col min="6" max="6" width="15.21875" style="27" customWidth="1"/>
    <col min="7" max="8" width="12.77734375" style="27" customWidth="1"/>
    <col min="9" max="9" width="9.77734375" style="27" customWidth="1"/>
    <col min="10" max="10" width="12.44140625" style="27" customWidth="1"/>
    <col min="11" max="16384" width="8.88671875" style="27"/>
  </cols>
  <sheetData>
    <row r="1" spans="1:11" x14ac:dyDescent="0.2">
      <c r="A1" s="73">
        <f>inputPrYr!C3</f>
        <v>0</v>
      </c>
      <c r="B1" s="32"/>
      <c r="C1" s="32"/>
      <c r="D1" s="32"/>
      <c r="E1" s="32"/>
      <c r="F1" s="32"/>
      <c r="G1" s="32"/>
      <c r="H1" s="32"/>
      <c r="I1" s="32"/>
      <c r="J1" s="182">
        <f>inputPrYr!C5</f>
        <v>2025</v>
      </c>
    </row>
    <row r="2" spans="1:11" x14ac:dyDescent="0.2">
      <c r="A2" s="32"/>
      <c r="B2" s="32"/>
      <c r="C2" s="32"/>
      <c r="D2" s="32"/>
      <c r="E2" s="32"/>
      <c r="F2" s="32"/>
      <c r="G2" s="32"/>
      <c r="H2" s="32"/>
      <c r="I2" s="63"/>
      <c r="J2" s="63"/>
    </row>
    <row r="3" spans="1:11" x14ac:dyDescent="0.2">
      <c r="A3" s="639" t="s">
        <v>565</v>
      </c>
      <c r="B3" s="639"/>
      <c r="C3" s="639"/>
      <c r="D3" s="639"/>
      <c r="E3" s="639"/>
      <c r="F3" s="639"/>
      <c r="G3" s="639"/>
      <c r="H3" s="639"/>
      <c r="I3" s="639"/>
      <c r="J3" s="639"/>
      <c r="K3" s="251"/>
    </row>
    <row r="4" spans="1:11" x14ac:dyDescent="0.2">
      <c r="A4" s="32"/>
      <c r="B4" s="91"/>
      <c r="C4" s="91"/>
      <c r="D4" s="91"/>
      <c r="E4" s="91"/>
      <c r="F4" s="91"/>
      <c r="G4" s="91"/>
      <c r="H4" s="91"/>
      <c r="I4" s="91"/>
      <c r="J4" s="91"/>
    </row>
    <row r="5" spans="1:11" x14ac:dyDescent="0.2">
      <c r="A5" s="707" t="s">
        <v>204</v>
      </c>
      <c r="B5" s="252" t="str">
        <f>CONCATENATE("Prior Year Actual ",J1-2,"")</f>
        <v>Prior Year Actual 2023</v>
      </c>
      <c r="C5" s="94"/>
      <c r="D5" s="253" t="str">
        <f>CONCATENATE("Current Year Estimate ",J1-1,"")</f>
        <v>Current Year Estimate 2024</v>
      </c>
      <c r="E5" s="94"/>
      <c r="F5" s="705" t="str">
        <f>CONCATENATE("Proposed Budget ",J1,"")</f>
        <v>Proposed Budget 2025</v>
      </c>
      <c r="G5" s="705"/>
      <c r="H5" s="705"/>
      <c r="I5" s="705"/>
      <c r="J5" s="705"/>
    </row>
    <row r="6" spans="1:11" ht="21" customHeight="1" x14ac:dyDescent="0.2">
      <c r="A6" s="708"/>
      <c r="B6" s="687" t="s">
        <v>10</v>
      </c>
      <c r="C6" s="616" t="s">
        <v>560</v>
      </c>
      <c r="D6" s="687" t="s">
        <v>10</v>
      </c>
      <c r="E6" s="616" t="s">
        <v>560</v>
      </c>
      <c r="F6" s="689" t="s">
        <v>543</v>
      </c>
      <c r="G6" s="704" t="str">
        <f>CONCATENATE("Amount of ",J1-1," Ad Valorem Tax")</f>
        <v>Amount of 2024 Ad Valorem Tax</v>
      </c>
      <c r="H6" s="616" t="s">
        <v>564</v>
      </c>
      <c r="I6" s="706" t="s">
        <v>385</v>
      </c>
      <c r="J6" s="704" t="str">
        <f>CONCATENATE("July 1, ",J1-1," Estimated Valuation")</f>
        <v>July 1, 2024 Estimated Valuation</v>
      </c>
    </row>
    <row r="7" spans="1:11" ht="33" customHeight="1" x14ac:dyDescent="0.2">
      <c r="A7" s="709"/>
      <c r="B7" s="688"/>
      <c r="C7" s="623"/>
      <c r="D7" s="688"/>
      <c r="E7" s="623"/>
      <c r="F7" s="690"/>
      <c r="G7" s="601"/>
      <c r="H7" s="623"/>
      <c r="I7" s="706"/>
      <c r="J7" s="601"/>
    </row>
    <row r="8" spans="1:11" x14ac:dyDescent="0.2">
      <c r="A8" s="76"/>
      <c r="B8" s="76"/>
      <c r="C8" s="49"/>
      <c r="D8" s="76"/>
      <c r="E8" s="49"/>
      <c r="F8" s="76"/>
      <c r="G8" s="76"/>
      <c r="H8" s="254" t="str">
        <f>IF(J8&lt;&gt;0,ROUND(G8/J8*1000,3),"")</f>
        <v/>
      </c>
      <c r="I8" s="545"/>
      <c r="J8" s="76"/>
      <c r="K8" s="27" t="str">
        <f>IF(H8&gt;I8, "Follow procedure in KSA 79-2988 to exceed RNR", "")</f>
        <v/>
      </c>
    </row>
    <row r="9" spans="1:11" x14ac:dyDescent="0.2">
      <c r="A9" s="76"/>
      <c r="B9" s="76"/>
      <c r="C9" s="49"/>
      <c r="D9" s="76"/>
      <c r="E9" s="49"/>
      <c r="F9" s="76"/>
      <c r="G9" s="76"/>
      <c r="H9" s="254" t="str">
        <f t="shared" ref="H9:H36" si="0">IF(J9&lt;&gt;0,ROUND(G9/J9*1000,3),"")</f>
        <v/>
      </c>
      <c r="I9" s="545"/>
      <c r="J9" s="76"/>
    </row>
    <row r="10" spans="1:11" x14ac:dyDescent="0.2">
      <c r="A10" s="76"/>
      <c r="B10" s="76"/>
      <c r="C10" s="49"/>
      <c r="D10" s="76"/>
      <c r="E10" s="49"/>
      <c r="F10" s="76"/>
      <c r="G10" s="76"/>
      <c r="H10" s="254" t="str">
        <f t="shared" si="0"/>
        <v/>
      </c>
      <c r="I10" s="545"/>
      <c r="J10" s="76"/>
      <c r="K10" s="27" t="str">
        <f t="shared" ref="K10:K36" si="1">IF(H10&gt;I10, "Follow procedure in KSA 79-2988 to exceed RNR", "")</f>
        <v/>
      </c>
    </row>
    <row r="11" spans="1:11" x14ac:dyDescent="0.2">
      <c r="A11" s="76"/>
      <c r="B11" s="76"/>
      <c r="C11" s="49"/>
      <c r="D11" s="76"/>
      <c r="E11" s="49"/>
      <c r="F11" s="76"/>
      <c r="G11" s="76"/>
      <c r="H11" s="254" t="str">
        <f t="shared" si="0"/>
        <v/>
      </c>
      <c r="I11" s="545"/>
      <c r="J11" s="76"/>
      <c r="K11" s="27" t="str">
        <f t="shared" si="1"/>
        <v/>
      </c>
    </row>
    <row r="12" spans="1:11" x14ac:dyDescent="0.2">
      <c r="A12" s="76"/>
      <c r="B12" s="76"/>
      <c r="C12" s="49"/>
      <c r="D12" s="76"/>
      <c r="E12" s="49"/>
      <c r="F12" s="76"/>
      <c r="G12" s="76"/>
      <c r="H12" s="254" t="str">
        <f t="shared" si="0"/>
        <v/>
      </c>
      <c r="I12" s="545"/>
      <c r="J12" s="76"/>
      <c r="K12" s="27" t="str">
        <f t="shared" si="1"/>
        <v/>
      </c>
    </row>
    <row r="13" spans="1:11" x14ac:dyDescent="0.2">
      <c r="A13" s="76"/>
      <c r="B13" s="76"/>
      <c r="C13" s="49"/>
      <c r="D13" s="76"/>
      <c r="E13" s="49"/>
      <c r="F13" s="76"/>
      <c r="G13" s="76"/>
      <c r="H13" s="254" t="str">
        <f t="shared" si="0"/>
        <v/>
      </c>
      <c r="I13" s="545"/>
      <c r="J13" s="76"/>
      <c r="K13" s="27" t="str">
        <f t="shared" si="1"/>
        <v/>
      </c>
    </row>
    <row r="14" spans="1:11" x14ac:dyDescent="0.2">
      <c r="A14" s="76"/>
      <c r="B14" s="76"/>
      <c r="C14" s="49"/>
      <c r="D14" s="76"/>
      <c r="E14" s="49"/>
      <c r="F14" s="76"/>
      <c r="G14" s="76"/>
      <c r="H14" s="254" t="str">
        <f t="shared" si="0"/>
        <v/>
      </c>
      <c r="I14" s="545"/>
      <c r="J14" s="76"/>
      <c r="K14" s="27" t="str">
        <f t="shared" si="1"/>
        <v/>
      </c>
    </row>
    <row r="15" spans="1:11" x14ac:dyDescent="0.2">
      <c r="A15" s="76"/>
      <c r="B15" s="76"/>
      <c r="C15" s="49"/>
      <c r="D15" s="76"/>
      <c r="E15" s="49"/>
      <c r="F15" s="76"/>
      <c r="G15" s="76"/>
      <c r="H15" s="254" t="str">
        <f t="shared" si="0"/>
        <v/>
      </c>
      <c r="I15" s="545"/>
      <c r="J15" s="76"/>
      <c r="K15" s="27" t="str">
        <f t="shared" si="1"/>
        <v/>
      </c>
    </row>
    <row r="16" spans="1:11" x14ac:dyDescent="0.2">
      <c r="A16" s="76"/>
      <c r="B16" s="76"/>
      <c r="C16" s="49"/>
      <c r="D16" s="76"/>
      <c r="E16" s="49"/>
      <c r="F16" s="76"/>
      <c r="G16" s="76"/>
      <c r="H16" s="254" t="str">
        <f t="shared" si="0"/>
        <v/>
      </c>
      <c r="I16" s="545"/>
      <c r="J16" s="76"/>
      <c r="K16" s="27" t="str">
        <f t="shared" si="1"/>
        <v/>
      </c>
    </row>
    <row r="17" spans="1:11" x14ac:dyDescent="0.2">
      <c r="A17" s="76"/>
      <c r="B17" s="76"/>
      <c r="C17" s="49"/>
      <c r="D17" s="76"/>
      <c r="E17" s="49"/>
      <c r="F17" s="76"/>
      <c r="G17" s="76"/>
      <c r="H17" s="254" t="str">
        <f t="shared" si="0"/>
        <v/>
      </c>
      <c r="I17" s="545"/>
      <c r="J17" s="76"/>
      <c r="K17" s="27" t="str">
        <f t="shared" si="1"/>
        <v/>
      </c>
    </row>
    <row r="18" spans="1:11" x14ac:dyDescent="0.2">
      <c r="A18" s="76"/>
      <c r="B18" s="76"/>
      <c r="C18" s="49"/>
      <c r="D18" s="76"/>
      <c r="E18" s="49"/>
      <c r="F18" s="76"/>
      <c r="G18" s="76"/>
      <c r="H18" s="254" t="str">
        <f t="shared" si="0"/>
        <v/>
      </c>
      <c r="I18" s="545"/>
      <c r="J18" s="76"/>
      <c r="K18" s="27" t="str">
        <f t="shared" si="1"/>
        <v/>
      </c>
    </row>
    <row r="19" spans="1:11" x14ac:dyDescent="0.2">
      <c r="A19" s="76"/>
      <c r="B19" s="76"/>
      <c r="C19" s="49"/>
      <c r="D19" s="76"/>
      <c r="E19" s="49"/>
      <c r="F19" s="76"/>
      <c r="G19" s="76"/>
      <c r="H19" s="254" t="str">
        <f t="shared" si="0"/>
        <v/>
      </c>
      <c r="I19" s="545"/>
      <c r="J19" s="76"/>
      <c r="K19" s="27" t="str">
        <f t="shared" si="1"/>
        <v/>
      </c>
    </row>
    <row r="20" spans="1:11" x14ac:dyDescent="0.2">
      <c r="A20" s="76"/>
      <c r="B20" s="76"/>
      <c r="C20" s="49"/>
      <c r="D20" s="76"/>
      <c r="E20" s="49"/>
      <c r="F20" s="76"/>
      <c r="G20" s="76"/>
      <c r="H20" s="254" t="str">
        <f t="shared" si="0"/>
        <v/>
      </c>
      <c r="I20" s="545"/>
      <c r="J20" s="76"/>
      <c r="K20" s="27" t="str">
        <f t="shared" si="1"/>
        <v/>
      </c>
    </row>
    <row r="21" spans="1:11" x14ac:dyDescent="0.2">
      <c r="A21" s="76"/>
      <c r="B21" s="76"/>
      <c r="C21" s="49"/>
      <c r="D21" s="76"/>
      <c r="E21" s="49"/>
      <c r="F21" s="76"/>
      <c r="G21" s="76"/>
      <c r="H21" s="254" t="str">
        <f t="shared" si="0"/>
        <v/>
      </c>
      <c r="I21" s="545"/>
      <c r="J21" s="76"/>
      <c r="K21" s="27" t="str">
        <f t="shared" si="1"/>
        <v/>
      </c>
    </row>
    <row r="22" spans="1:11" x14ac:dyDescent="0.2">
      <c r="A22" s="76"/>
      <c r="B22" s="76"/>
      <c r="C22" s="49"/>
      <c r="D22" s="76"/>
      <c r="E22" s="49"/>
      <c r="F22" s="76"/>
      <c r="G22" s="76"/>
      <c r="H22" s="254" t="str">
        <f t="shared" si="0"/>
        <v/>
      </c>
      <c r="I22" s="545"/>
      <c r="J22" s="76"/>
      <c r="K22" s="27" t="str">
        <f t="shared" si="1"/>
        <v/>
      </c>
    </row>
    <row r="23" spans="1:11" x14ac:dyDescent="0.2">
      <c r="A23" s="76"/>
      <c r="B23" s="76"/>
      <c r="C23" s="49"/>
      <c r="D23" s="76"/>
      <c r="E23" s="49"/>
      <c r="F23" s="76"/>
      <c r="G23" s="76"/>
      <c r="H23" s="254" t="str">
        <f t="shared" si="0"/>
        <v/>
      </c>
      <c r="I23" s="545"/>
      <c r="J23" s="76"/>
      <c r="K23" s="27" t="str">
        <f t="shared" si="1"/>
        <v/>
      </c>
    </row>
    <row r="24" spans="1:11" x14ac:dyDescent="0.2">
      <c r="A24" s="76"/>
      <c r="B24" s="76"/>
      <c r="C24" s="49"/>
      <c r="D24" s="76"/>
      <c r="E24" s="49"/>
      <c r="F24" s="76"/>
      <c r="G24" s="76"/>
      <c r="H24" s="254" t="str">
        <f t="shared" si="0"/>
        <v/>
      </c>
      <c r="I24" s="545"/>
      <c r="J24" s="76"/>
      <c r="K24" s="27" t="str">
        <f t="shared" si="1"/>
        <v/>
      </c>
    </row>
    <row r="25" spans="1:11" x14ac:dyDescent="0.2">
      <c r="A25" s="76"/>
      <c r="B25" s="76"/>
      <c r="C25" s="49"/>
      <c r="D25" s="76"/>
      <c r="E25" s="49"/>
      <c r="F25" s="76"/>
      <c r="G25" s="76"/>
      <c r="H25" s="254" t="str">
        <f t="shared" si="0"/>
        <v/>
      </c>
      <c r="I25" s="545"/>
      <c r="J25" s="76"/>
      <c r="K25" s="27" t="str">
        <f t="shared" si="1"/>
        <v/>
      </c>
    </row>
    <row r="26" spans="1:11" x14ac:dyDescent="0.2">
      <c r="A26" s="76"/>
      <c r="B26" s="76"/>
      <c r="C26" s="49"/>
      <c r="D26" s="76"/>
      <c r="E26" s="49"/>
      <c r="F26" s="76"/>
      <c r="G26" s="76"/>
      <c r="H26" s="254" t="str">
        <f t="shared" si="0"/>
        <v/>
      </c>
      <c r="I26" s="545"/>
      <c r="J26" s="76"/>
      <c r="K26" s="27" t="str">
        <f t="shared" si="1"/>
        <v/>
      </c>
    </row>
    <row r="27" spans="1:11" x14ac:dyDescent="0.2">
      <c r="A27" s="76"/>
      <c r="B27" s="76"/>
      <c r="C27" s="49"/>
      <c r="D27" s="76"/>
      <c r="E27" s="49"/>
      <c r="F27" s="76"/>
      <c r="G27" s="76"/>
      <c r="H27" s="254" t="str">
        <f t="shared" si="0"/>
        <v/>
      </c>
      <c r="I27" s="545"/>
      <c r="J27" s="76"/>
      <c r="K27" s="27" t="str">
        <f t="shared" si="1"/>
        <v/>
      </c>
    </row>
    <row r="28" spans="1:11" x14ac:dyDescent="0.2">
      <c r="A28" s="76"/>
      <c r="B28" s="76"/>
      <c r="C28" s="49"/>
      <c r="D28" s="76"/>
      <c r="E28" s="49"/>
      <c r="F28" s="76"/>
      <c r="G28" s="76"/>
      <c r="H28" s="254" t="str">
        <f t="shared" si="0"/>
        <v/>
      </c>
      <c r="I28" s="545"/>
      <c r="J28" s="76"/>
      <c r="K28" s="27" t="str">
        <f t="shared" si="1"/>
        <v/>
      </c>
    </row>
    <row r="29" spans="1:11" x14ac:dyDescent="0.2">
      <c r="A29" s="76"/>
      <c r="B29" s="76"/>
      <c r="C29" s="49"/>
      <c r="D29" s="76"/>
      <c r="E29" s="49"/>
      <c r="F29" s="76"/>
      <c r="G29" s="76"/>
      <c r="H29" s="254" t="str">
        <f t="shared" si="0"/>
        <v/>
      </c>
      <c r="I29" s="545"/>
      <c r="J29" s="76"/>
      <c r="K29" s="27" t="str">
        <f t="shared" si="1"/>
        <v/>
      </c>
    </row>
    <row r="30" spans="1:11" x14ac:dyDescent="0.2">
      <c r="A30" s="76"/>
      <c r="B30" s="76"/>
      <c r="C30" s="49"/>
      <c r="D30" s="76"/>
      <c r="E30" s="49"/>
      <c r="F30" s="76"/>
      <c r="G30" s="76"/>
      <c r="H30" s="254" t="str">
        <f t="shared" si="0"/>
        <v/>
      </c>
      <c r="I30" s="545"/>
      <c r="J30" s="76"/>
      <c r="K30" s="27" t="str">
        <f t="shared" si="1"/>
        <v/>
      </c>
    </row>
    <row r="31" spans="1:11" x14ac:dyDescent="0.2">
      <c r="A31" s="76"/>
      <c r="B31" s="76"/>
      <c r="C31" s="49"/>
      <c r="D31" s="76"/>
      <c r="E31" s="49"/>
      <c r="F31" s="76"/>
      <c r="G31" s="76"/>
      <c r="H31" s="254" t="str">
        <f t="shared" si="0"/>
        <v/>
      </c>
      <c r="I31" s="545"/>
      <c r="J31" s="76"/>
      <c r="K31" s="27" t="str">
        <f t="shared" si="1"/>
        <v/>
      </c>
    </row>
    <row r="32" spans="1:11" x14ac:dyDescent="0.2">
      <c r="A32" s="76"/>
      <c r="B32" s="76"/>
      <c r="C32" s="49"/>
      <c r="D32" s="76"/>
      <c r="E32" s="49"/>
      <c r="F32" s="76"/>
      <c r="G32" s="76"/>
      <c r="H32" s="254" t="str">
        <f t="shared" si="0"/>
        <v/>
      </c>
      <c r="I32" s="545"/>
      <c r="J32" s="76"/>
      <c r="K32" s="27" t="str">
        <f t="shared" si="1"/>
        <v/>
      </c>
    </row>
    <row r="33" spans="1:11" x14ac:dyDescent="0.2">
      <c r="A33" s="76"/>
      <c r="B33" s="76"/>
      <c r="C33" s="49"/>
      <c r="D33" s="76"/>
      <c r="E33" s="49"/>
      <c r="F33" s="76"/>
      <c r="G33" s="76"/>
      <c r="H33" s="254" t="str">
        <f t="shared" si="0"/>
        <v/>
      </c>
      <c r="I33" s="545"/>
      <c r="J33" s="76"/>
      <c r="K33" s="27" t="str">
        <f t="shared" si="1"/>
        <v/>
      </c>
    </row>
    <row r="34" spans="1:11" x14ac:dyDescent="0.2">
      <c r="A34" s="76"/>
      <c r="B34" s="76"/>
      <c r="C34" s="49"/>
      <c r="D34" s="76"/>
      <c r="E34" s="49"/>
      <c r="F34" s="76"/>
      <c r="G34" s="76"/>
      <c r="H34" s="254" t="str">
        <f t="shared" si="0"/>
        <v/>
      </c>
      <c r="I34" s="545"/>
      <c r="J34" s="76"/>
      <c r="K34" s="27" t="str">
        <f t="shared" si="1"/>
        <v/>
      </c>
    </row>
    <row r="35" spans="1:11" x14ac:dyDescent="0.2">
      <c r="A35" s="76"/>
      <c r="B35" s="76"/>
      <c r="C35" s="49"/>
      <c r="D35" s="76"/>
      <c r="E35" s="49"/>
      <c r="F35" s="76"/>
      <c r="G35" s="76"/>
      <c r="H35" s="254" t="str">
        <f t="shared" si="0"/>
        <v/>
      </c>
      <c r="I35" s="545"/>
      <c r="J35" s="76"/>
      <c r="K35" s="27" t="str">
        <f t="shared" si="1"/>
        <v/>
      </c>
    </row>
    <row r="36" spans="1:11" x14ac:dyDescent="0.2">
      <c r="A36" s="76"/>
      <c r="B36" s="76"/>
      <c r="C36" s="49"/>
      <c r="D36" s="76"/>
      <c r="E36" s="49"/>
      <c r="F36" s="76"/>
      <c r="G36" s="76"/>
      <c r="H36" s="254" t="str">
        <f t="shared" si="0"/>
        <v/>
      </c>
      <c r="I36" s="545"/>
      <c r="J36" s="76"/>
      <c r="K36" s="27" t="str">
        <f t="shared" si="1"/>
        <v/>
      </c>
    </row>
    <row r="37" spans="1:11" x14ac:dyDescent="0.2">
      <c r="A37" s="32"/>
      <c r="B37" s="32"/>
      <c r="C37" s="32"/>
      <c r="D37" s="32"/>
      <c r="E37" s="32"/>
      <c r="F37" s="32"/>
      <c r="G37" s="32"/>
      <c r="H37" s="32"/>
      <c r="I37" s="32"/>
      <c r="J37" s="32"/>
    </row>
    <row r="38" spans="1:11" x14ac:dyDescent="0.2">
      <c r="A38" s="31" t="s">
        <v>108</v>
      </c>
      <c r="B38" s="32"/>
      <c r="C38" s="32"/>
      <c r="D38" s="32"/>
      <c r="E38" s="32"/>
      <c r="F38" s="32"/>
      <c r="G38" s="32"/>
      <c r="H38" s="32"/>
      <c r="I38" s="32"/>
      <c r="J38" s="32"/>
    </row>
    <row r="39" spans="1:11" x14ac:dyDescent="0.2">
      <c r="A39" s="478" t="s">
        <v>562</v>
      </c>
      <c r="B39" s="32"/>
      <c r="C39" s="32"/>
      <c r="D39" s="32"/>
      <c r="E39" s="32"/>
      <c r="F39" s="32"/>
      <c r="G39" s="32"/>
      <c r="H39" s="32"/>
      <c r="I39" s="32"/>
      <c r="J39" s="32"/>
    </row>
    <row r="40" spans="1:11" x14ac:dyDescent="0.2">
      <c r="A40" s="478"/>
      <c r="B40" s="32"/>
      <c r="C40" s="32"/>
      <c r="D40" s="32"/>
      <c r="E40" s="32"/>
      <c r="F40" s="32"/>
      <c r="G40" s="32"/>
      <c r="H40" s="32"/>
      <c r="I40" s="32"/>
      <c r="J40" s="32"/>
    </row>
    <row r="41" spans="1:11" x14ac:dyDescent="0.2">
      <c r="A41" s="696">
        <f>inputHearing!B28</f>
        <v>0</v>
      </c>
      <c r="B41" s="697"/>
      <c r="C41" s="32"/>
      <c r="D41" s="32"/>
      <c r="E41" s="32"/>
      <c r="F41" s="32"/>
      <c r="G41" s="32"/>
      <c r="H41" s="32"/>
      <c r="I41" s="32"/>
      <c r="J41" s="32"/>
    </row>
    <row r="42" spans="1:11" x14ac:dyDescent="0.2">
      <c r="A42" s="702">
        <f>inputHearing!B30</f>
        <v>0</v>
      </c>
      <c r="B42" s="703"/>
      <c r="C42" s="32"/>
      <c r="D42" s="182" t="s">
        <v>41</v>
      </c>
      <c r="E42" s="428"/>
      <c r="F42" s="32"/>
      <c r="G42" s="32"/>
      <c r="H42" s="32"/>
      <c r="I42" s="32"/>
      <c r="J42" s="32"/>
    </row>
    <row r="44" spans="1:11" x14ac:dyDescent="0.2">
      <c r="A44" s="72"/>
      <c r="B44" s="72"/>
      <c r="C44" s="72"/>
      <c r="D44" s="72"/>
      <c r="E44" s="72"/>
      <c r="F44" s="72"/>
      <c r="G44" s="72"/>
      <c r="H44" s="72"/>
      <c r="I44" s="72"/>
      <c r="J44" s="72"/>
    </row>
    <row r="45" spans="1:11" x14ac:dyDescent="0.2">
      <c r="A45" s="129"/>
      <c r="B45" s="72"/>
      <c r="C45" s="72"/>
      <c r="D45" s="72"/>
      <c r="E45" s="72"/>
      <c r="F45" s="72"/>
      <c r="G45" s="72"/>
      <c r="H45" s="72"/>
      <c r="I45" s="72"/>
      <c r="J45" s="72"/>
    </row>
    <row r="46" spans="1:11" x14ac:dyDescent="0.2">
      <c r="A46" s="129"/>
      <c r="B46" s="121"/>
      <c r="C46" s="72"/>
      <c r="D46" s="121"/>
      <c r="E46" s="72"/>
      <c r="F46" s="121"/>
      <c r="G46" s="72"/>
      <c r="H46" s="72"/>
      <c r="I46" s="72"/>
      <c r="J46" s="72"/>
    </row>
    <row r="47" spans="1:11" x14ac:dyDescent="0.2">
      <c r="A47" s="129"/>
      <c r="B47" s="129"/>
      <c r="C47" s="72"/>
      <c r="D47" s="129"/>
      <c r="E47" s="72"/>
      <c r="F47" s="129"/>
      <c r="G47" s="72"/>
      <c r="H47" s="72"/>
      <c r="I47" s="72"/>
      <c r="J47" s="72"/>
    </row>
    <row r="48" spans="1:11" x14ac:dyDescent="0.2">
      <c r="A48" s="129"/>
      <c r="B48" s="129"/>
      <c r="C48" s="72"/>
      <c r="D48" s="129"/>
      <c r="E48" s="72"/>
      <c r="F48" s="129"/>
      <c r="G48" s="72"/>
      <c r="H48" s="72"/>
      <c r="I48" s="72"/>
      <c r="J48" s="72"/>
    </row>
    <row r="49" spans="1:10" x14ac:dyDescent="0.2">
      <c r="A49" s="129"/>
      <c r="B49" s="129"/>
      <c r="C49" s="72"/>
      <c r="D49" s="129"/>
      <c r="E49" s="72"/>
      <c r="F49" s="129"/>
      <c r="G49" s="72"/>
      <c r="H49" s="72"/>
      <c r="I49" s="72"/>
      <c r="J49" s="72"/>
    </row>
    <row r="50" spans="1:10" x14ac:dyDescent="0.2">
      <c r="A50" s="129"/>
      <c r="B50" s="129"/>
      <c r="C50" s="72"/>
      <c r="D50" s="129"/>
      <c r="E50" s="72"/>
      <c r="F50" s="129"/>
      <c r="G50" s="72"/>
      <c r="H50" s="72"/>
      <c r="I50" s="72"/>
      <c r="J50" s="72"/>
    </row>
    <row r="51" spans="1:10" x14ac:dyDescent="0.2">
      <c r="A51" s="129"/>
      <c r="B51" s="129"/>
      <c r="C51" s="72"/>
      <c r="D51" s="129"/>
      <c r="E51" s="72"/>
      <c r="F51" s="129"/>
      <c r="G51" s="72"/>
      <c r="H51" s="72"/>
      <c r="I51" s="72"/>
      <c r="J51" s="72"/>
    </row>
    <row r="52" spans="1:10" x14ac:dyDescent="0.2">
      <c r="B52" s="72"/>
      <c r="C52" s="72"/>
      <c r="D52" s="72"/>
      <c r="E52" s="72"/>
      <c r="F52" s="72"/>
      <c r="G52" s="72"/>
      <c r="H52" s="72"/>
      <c r="I52" s="72"/>
      <c r="J52" s="72"/>
    </row>
    <row r="53" spans="1:10" x14ac:dyDescent="0.2">
      <c r="B53" s="72"/>
      <c r="C53" s="72"/>
      <c r="D53" s="72"/>
      <c r="E53" s="72"/>
      <c r="F53" s="72"/>
      <c r="G53" s="72"/>
      <c r="H53" s="72"/>
      <c r="I53" s="72"/>
      <c r="J53" s="72"/>
    </row>
    <row r="54" spans="1:10" x14ac:dyDescent="0.2">
      <c r="B54" s="131"/>
      <c r="C54" s="72"/>
      <c r="D54" s="72"/>
      <c r="E54" s="72"/>
      <c r="F54" s="72"/>
      <c r="G54" s="72"/>
      <c r="H54" s="72"/>
      <c r="I54" s="72"/>
      <c r="J54" s="72"/>
    </row>
    <row r="55" spans="1:10" x14ac:dyDescent="0.2">
      <c r="B55" s="258"/>
      <c r="C55" s="72"/>
      <c r="D55" s="72"/>
      <c r="E55" s="72"/>
      <c r="F55" s="72"/>
      <c r="G55" s="72"/>
      <c r="H55" s="72"/>
      <c r="I55" s="72"/>
      <c r="J55" s="72"/>
    </row>
    <row r="56" spans="1:10" x14ac:dyDescent="0.2">
      <c r="A56" s="72"/>
      <c r="B56" s="72"/>
      <c r="C56" s="72"/>
      <c r="D56" s="72"/>
      <c r="E56" s="72"/>
      <c r="F56" s="72"/>
      <c r="G56" s="72"/>
      <c r="H56" s="72"/>
      <c r="I56" s="72"/>
      <c r="J56" s="72"/>
    </row>
    <row r="57" spans="1:10" x14ac:dyDescent="0.2">
      <c r="A57" s="72"/>
      <c r="B57" s="72"/>
      <c r="C57" s="72"/>
      <c r="D57" s="72"/>
      <c r="E57" s="72"/>
      <c r="F57" s="72"/>
      <c r="G57" s="72"/>
      <c r="H57" s="72"/>
      <c r="I57" s="72"/>
      <c r="J57" s="72"/>
    </row>
  </sheetData>
  <mergeCells count="14">
    <mergeCell ref="H6:H7"/>
    <mergeCell ref="I6:I7"/>
    <mergeCell ref="A41:B41"/>
    <mergeCell ref="A42:B42"/>
    <mergeCell ref="A3:J3"/>
    <mergeCell ref="A5:A7"/>
    <mergeCell ref="F5:J5"/>
    <mergeCell ref="B6:B7"/>
    <mergeCell ref="C6:C7"/>
    <mergeCell ref="D6:D7"/>
    <mergeCell ref="E6:E7"/>
    <mergeCell ref="F6:F7"/>
    <mergeCell ref="G6:G7"/>
    <mergeCell ref="J6:J7"/>
  </mergeCells>
  <conditionalFormatting sqref="K8:K36">
    <cfRule type="notContainsBlanks" dxfId="1" priority="1">
      <formula>LEN(TRIM(K8))&gt;0</formula>
    </cfRule>
  </conditionalFormatting>
  <pageMargins left="1.1200000000000001" right="0.5" top="0.74" bottom="0.34" header="0.5" footer="0"/>
  <pageSetup scale="50" orientation="portrait" blackAndWhite="1" horizontalDpi="120" r:id="rId1"/>
  <headerFooter alignWithMargins="0">
    <oddHeader xml:space="preserve">&amp;RState of Kansas
County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DA780-3592-4ED0-A36F-C3EE7F957922}">
  <sheetPr codeName="Sheet31"/>
  <dimension ref="A1:K49"/>
  <sheetViews>
    <sheetView zoomScale="80" zoomScaleNormal="80" workbookViewId="0">
      <selection sqref="A1:F2"/>
    </sheetView>
  </sheetViews>
  <sheetFormatPr defaultRowHeight="15.75" x14ac:dyDescent="0.25"/>
  <cols>
    <col min="1" max="1" width="17.21875" style="489" customWidth="1"/>
    <col min="2" max="2" width="16.109375" style="489" customWidth="1"/>
    <col min="3" max="7" width="8.88671875" style="489"/>
    <col min="8" max="8" width="12.6640625" style="490" customWidth="1"/>
    <col min="9" max="9" width="12.44140625" style="490" customWidth="1"/>
    <col min="10" max="11" width="8.88671875" style="490"/>
    <col min="12" max="16384" width="8.88671875" style="489"/>
  </cols>
  <sheetData>
    <row r="1" spans="1:11" x14ac:dyDescent="0.25">
      <c r="A1" s="604" t="s">
        <v>481</v>
      </c>
      <c r="B1" s="604"/>
      <c r="C1" s="604"/>
      <c r="D1" s="604"/>
      <c r="E1" s="604"/>
      <c r="F1" s="604"/>
      <c r="H1" s="605" t="s">
        <v>482</v>
      </c>
      <c r="I1" s="605"/>
      <c r="J1" s="605"/>
      <c r="K1" s="605"/>
    </row>
    <row r="2" spans="1:11" x14ac:dyDescent="0.25">
      <c r="A2" s="604"/>
      <c r="B2" s="604"/>
      <c r="C2" s="604"/>
      <c r="D2" s="604"/>
      <c r="E2" s="604"/>
      <c r="F2" s="604"/>
      <c r="H2" s="605"/>
      <c r="I2" s="605"/>
      <c r="J2" s="605"/>
      <c r="K2" s="605"/>
    </row>
    <row r="3" spans="1:11" ht="18" customHeight="1" x14ac:dyDescent="0.25">
      <c r="A3" s="606" t="s">
        <v>483</v>
      </c>
      <c r="B3" s="606"/>
      <c r="C3" s="606"/>
      <c r="D3" s="606"/>
      <c r="E3" s="606"/>
      <c r="F3" s="606"/>
      <c r="H3" s="393" t="s">
        <v>484</v>
      </c>
      <c r="I3" s="607" t="s">
        <v>485</v>
      </c>
      <c r="J3" s="608"/>
      <c r="K3" s="609"/>
    </row>
    <row r="4" spans="1:11" ht="18" customHeight="1" x14ac:dyDescent="0.25">
      <c r="A4" s="606"/>
      <c r="B4" s="606"/>
      <c r="C4" s="606"/>
      <c r="D4" s="606"/>
      <c r="E4" s="606"/>
      <c r="F4" s="606"/>
      <c r="H4" s="393"/>
      <c r="I4" s="393"/>
    </row>
    <row r="5" spans="1:11" ht="18" customHeight="1" x14ac:dyDescent="0.25">
      <c r="A5" s="606"/>
      <c r="B5" s="606"/>
      <c r="C5" s="606"/>
      <c r="D5" s="606"/>
      <c r="E5" s="606"/>
      <c r="F5" s="606"/>
      <c r="H5" s="393" t="s">
        <v>278</v>
      </c>
      <c r="I5" s="607" t="s">
        <v>486</v>
      </c>
      <c r="J5" s="608"/>
      <c r="K5" s="609"/>
    </row>
    <row r="6" spans="1:11" ht="18" customHeight="1" x14ac:dyDescent="0.25">
      <c r="A6" s="606"/>
      <c r="B6" s="606"/>
      <c r="C6" s="606"/>
      <c r="D6" s="606"/>
      <c r="E6" s="606"/>
      <c r="F6" s="606"/>
      <c r="H6" s="393"/>
      <c r="I6" s="393"/>
    </row>
    <row r="7" spans="1:11" ht="18" customHeight="1" x14ac:dyDescent="0.25">
      <c r="A7" s="606"/>
      <c r="B7" s="606"/>
      <c r="C7" s="606"/>
      <c r="D7" s="606"/>
      <c r="E7" s="606"/>
      <c r="F7" s="606"/>
      <c r="H7" s="393" t="s">
        <v>279</v>
      </c>
      <c r="I7" s="607" t="s">
        <v>282</v>
      </c>
      <c r="J7" s="608"/>
      <c r="K7" s="609"/>
    </row>
    <row r="8" spans="1:11" ht="18" customHeight="1" x14ac:dyDescent="0.25">
      <c r="A8" s="606"/>
      <c r="B8" s="606"/>
      <c r="C8" s="606"/>
      <c r="D8" s="606"/>
      <c r="E8" s="606"/>
      <c r="F8" s="606"/>
      <c r="H8" s="393"/>
      <c r="I8" s="393"/>
    </row>
    <row r="9" spans="1:11" ht="18" customHeight="1" x14ac:dyDescent="0.25">
      <c r="A9" s="606"/>
      <c r="B9" s="606"/>
      <c r="C9" s="606"/>
      <c r="D9" s="606"/>
      <c r="E9" s="606"/>
      <c r="F9" s="606"/>
      <c r="H9" s="393" t="s">
        <v>280</v>
      </c>
      <c r="I9" s="607" t="s">
        <v>487</v>
      </c>
      <c r="J9" s="608"/>
      <c r="K9" s="609"/>
    </row>
    <row r="10" spans="1:11" ht="18" customHeight="1" x14ac:dyDescent="0.25">
      <c r="A10" s="606"/>
      <c r="B10" s="606"/>
      <c r="C10" s="606"/>
      <c r="D10" s="606"/>
      <c r="E10" s="606"/>
      <c r="F10" s="606"/>
      <c r="H10" s="393"/>
      <c r="I10" s="393"/>
    </row>
    <row r="11" spans="1:11" ht="18" customHeight="1" x14ac:dyDescent="0.25">
      <c r="A11" s="606"/>
      <c r="B11" s="606"/>
      <c r="C11" s="606"/>
      <c r="D11" s="606"/>
      <c r="E11" s="606"/>
      <c r="F11" s="606"/>
      <c r="H11" s="393" t="s">
        <v>281</v>
      </c>
      <c r="I11" s="607" t="s">
        <v>487</v>
      </c>
      <c r="J11" s="608"/>
      <c r="K11" s="609"/>
    </row>
    <row r="12" spans="1:11" ht="18" customHeight="1" x14ac:dyDescent="0.25">
      <c r="A12" s="606"/>
      <c r="B12" s="606"/>
      <c r="C12" s="606"/>
      <c r="D12" s="606"/>
      <c r="E12" s="606"/>
      <c r="F12" s="606"/>
    </row>
    <row r="13" spans="1:11" ht="20.25" x14ac:dyDescent="0.25">
      <c r="A13" s="605" t="s">
        <v>488</v>
      </c>
      <c r="B13" s="605"/>
      <c r="C13" s="605"/>
      <c r="D13" s="605"/>
      <c r="E13" s="605"/>
      <c r="F13" s="605"/>
      <c r="G13" s="605"/>
      <c r="H13" s="605"/>
      <c r="I13" s="605"/>
      <c r="J13" s="605"/>
      <c r="K13" s="605"/>
    </row>
    <row r="14" spans="1:11" x14ac:dyDescent="0.25">
      <c r="A14" s="491" t="s">
        <v>489</v>
      </c>
      <c r="B14" s="607"/>
      <c r="C14" s="608"/>
      <c r="D14" s="608"/>
      <c r="E14" s="609"/>
      <c r="H14" s="610" t="s">
        <v>490</v>
      </c>
      <c r="I14" s="610"/>
      <c r="J14" s="610"/>
      <c r="K14" s="610"/>
    </row>
    <row r="15" spans="1:11" x14ac:dyDescent="0.25">
      <c r="A15" s="491"/>
      <c r="B15" s="492"/>
      <c r="C15" s="493"/>
      <c r="D15" s="493"/>
      <c r="E15" s="493"/>
      <c r="H15" s="610"/>
      <c r="I15" s="610"/>
      <c r="J15" s="610"/>
      <c r="K15" s="610"/>
    </row>
    <row r="16" spans="1:11" x14ac:dyDescent="0.25">
      <c r="A16" s="491" t="s">
        <v>484</v>
      </c>
      <c r="B16" s="607"/>
      <c r="C16" s="608"/>
      <c r="D16" s="608"/>
      <c r="E16" s="609"/>
      <c r="H16" s="610"/>
      <c r="I16" s="610"/>
      <c r="J16" s="610"/>
      <c r="K16" s="610"/>
    </row>
    <row r="17" spans="1:11" x14ac:dyDescent="0.25">
      <c r="A17" s="494"/>
      <c r="B17" s="493"/>
      <c r="C17" s="493"/>
      <c r="D17" s="493"/>
      <c r="E17" s="493"/>
      <c r="H17" s="610"/>
      <c r="I17" s="610"/>
      <c r="J17" s="610"/>
      <c r="K17" s="610"/>
    </row>
    <row r="18" spans="1:11" x14ac:dyDescent="0.25">
      <c r="A18" s="495" t="s">
        <v>278</v>
      </c>
      <c r="B18" s="607"/>
      <c r="C18" s="608"/>
      <c r="D18" s="608"/>
      <c r="E18" s="609"/>
      <c r="H18" s="610"/>
      <c r="I18" s="610"/>
      <c r="J18" s="610"/>
      <c r="K18" s="610"/>
    </row>
    <row r="19" spans="1:11" x14ac:dyDescent="0.25">
      <c r="A19" s="496" t="s">
        <v>491</v>
      </c>
      <c r="B19" s="493"/>
      <c r="C19" s="493"/>
      <c r="D19" s="393"/>
      <c r="E19" s="493"/>
      <c r="H19" s="610"/>
      <c r="I19" s="610"/>
      <c r="J19" s="610"/>
      <c r="K19" s="610"/>
    </row>
    <row r="20" spans="1:11" x14ac:dyDescent="0.25">
      <c r="A20" s="495" t="s">
        <v>279</v>
      </c>
      <c r="B20" s="607"/>
      <c r="C20" s="608"/>
      <c r="D20" s="608"/>
      <c r="E20" s="609"/>
      <c r="H20" s="610"/>
      <c r="I20" s="610"/>
      <c r="J20" s="610"/>
      <c r="K20" s="610"/>
    </row>
    <row r="21" spans="1:11" x14ac:dyDescent="0.25">
      <c r="A21" s="495"/>
      <c r="B21" s="393"/>
      <c r="C21" s="393"/>
      <c r="D21" s="393"/>
      <c r="E21" s="493"/>
      <c r="H21" s="610"/>
      <c r="I21" s="610"/>
      <c r="J21" s="610"/>
      <c r="K21" s="610"/>
    </row>
    <row r="22" spans="1:11" x14ac:dyDescent="0.25">
      <c r="A22" s="495" t="s">
        <v>280</v>
      </c>
      <c r="B22" s="611"/>
      <c r="C22" s="612"/>
      <c r="D22" s="612"/>
      <c r="E22" s="613"/>
      <c r="H22" s="610"/>
      <c r="I22" s="610"/>
      <c r="J22" s="610"/>
      <c r="K22" s="610"/>
    </row>
    <row r="23" spans="1:11" x14ac:dyDescent="0.25">
      <c r="A23" s="495"/>
      <c r="B23" s="393"/>
      <c r="C23" s="393"/>
      <c r="D23" s="393"/>
      <c r="E23" s="493"/>
      <c r="H23" s="610"/>
      <c r="I23" s="610"/>
      <c r="J23" s="610"/>
      <c r="K23" s="610"/>
    </row>
    <row r="24" spans="1:11" x14ac:dyDescent="0.25">
      <c r="A24" s="495" t="s">
        <v>492</v>
      </c>
      <c r="B24" s="611"/>
      <c r="C24" s="612"/>
      <c r="D24" s="612"/>
      <c r="E24" s="613"/>
      <c r="H24" s="610"/>
      <c r="I24" s="610"/>
      <c r="J24" s="610"/>
      <c r="K24" s="610"/>
    </row>
    <row r="27" spans="1:11" ht="20.25" x14ac:dyDescent="0.25">
      <c r="A27" s="605" t="s">
        <v>493</v>
      </c>
      <c r="B27" s="605"/>
      <c r="C27" s="605"/>
      <c r="D27" s="605"/>
      <c r="E27" s="605"/>
      <c r="F27" s="605"/>
      <c r="G27" s="605"/>
      <c r="H27" s="605"/>
      <c r="I27" s="605"/>
      <c r="J27" s="605"/>
      <c r="K27" s="605"/>
    </row>
    <row r="28" spans="1:11" x14ac:dyDescent="0.25">
      <c r="A28" s="491" t="s">
        <v>489</v>
      </c>
      <c r="B28" s="607"/>
      <c r="C28" s="608"/>
      <c r="D28" s="608"/>
      <c r="E28" s="609"/>
      <c r="H28" s="610" t="s">
        <v>494</v>
      </c>
      <c r="I28" s="610"/>
      <c r="J28" s="610"/>
      <c r="K28" s="610"/>
    </row>
    <row r="29" spans="1:11" x14ac:dyDescent="0.25">
      <c r="A29" s="491"/>
      <c r="B29" s="492"/>
      <c r="H29" s="610"/>
      <c r="I29" s="610"/>
      <c r="J29" s="610"/>
      <c r="K29" s="610"/>
    </row>
    <row r="30" spans="1:11" x14ac:dyDescent="0.25">
      <c r="A30" s="491" t="s">
        <v>484</v>
      </c>
      <c r="B30" s="607"/>
      <c r="C30" s="608"/>
      <c r="D30" s="608"/>
      <c r="E30" s="609"/>
      <c r="H30" s="610"/>
      <c r="I30" s="610"/>
      <c r="J30" s="610"/>
      <c r="K30" s="610"/>
    </row>
    <row r="31" spans="1:11" x14ac:dyDescent="0.25">
      <c r="A31" s="494"/>
      <c r="H31" s="610"/>
      <c r="I31" s="610"/>
      <c r="J31" s="610"/>
      <c r="K31" s="610"/>
    </row>
    <row r="32" spans="1:11" x14ac:dyDescent="0.25">
      <c r="A32" s="495" t="s">
        <v>278</v>
      </c>
      <c r="B32" s="607"/>
      <c r="C32" s="608"/>
      <c r="D32" s="608"/>
      <c r="E32" s="609"/>
      <c r="H32" s="610"/>
      <c r="I32" s="610"/>
      <c r="J32" s="610"/>
      <c r="K32" s="610"/>
    </row>
    <row r="33" spans="1:11" x14ac:dyDescent="0.25">
      <c r="A33" s="496" t="s">
        <v>491</v>
      </c>
      <c r="D33" s="393"/>
      <c r="H33" s="610"/>
      <c r="I33" s="610"/>
      <c r="J33" s="610"/>
      <c r="K33" s="610"/>
    </row>
    <row r="34" spans="1:11" x14ac:dyDescent="0.25">
      <c r="A34" s="495" t="s">
        <v>279</v>
      </c>
      <c r="B34" s="607"/>
      <c r="C34" s="608"/>
      <c r="D34" s="608"/>
      <c r="E34" s="609"/>
      <c r="H34" s="610"/>
      <c r="I34" s="610"/>
      <c r="J34" s="610"/>
      <c r="K34" s="610"/>
    </row>
    <row r="35" spans="1:11" x14ac:dyDescent="0.25">
      <c r="A35" s="495"/>
      <c r="B35" s="393"/>
      <c r="C35" s="393"/>
      <c r="D35" s="393"/>
      <c r="H35" s="610"/>
      <c r="I35" s="610"/>
      <c r="J35" s="610"/>
      <c r="K35" s="610"/>
    </row>
    <row r="36" spans="1:11" x14ac:dyDescent="0.25">
      <c r="A36" s="495" t="s">
        <v>280</v>
      </c>
      <c r="B36" s="611"/>
      <c r="C36" s="612"/>
      <c r="D36" s="612"/>
      <c r="E36" s="613"/>
      <c r="H36" s="610"/>
      <c r="I36" s="610"/>
      <c r="J36" s="610"/>
      <c r="K36" s="610"/>
    </row>
    <row r="37" spans="1:11" x14ac:dyDescent="0.25">
      <c r="A37" s="495"/>
      <c r="B37" s="393"/>
      <c r="C37" s="393"/>
      <c r="D37" s="393"/>
      <c r="H37" s="610"/>
      <c r="I37" s="610"/>
      <c r="J37" s="610"/>
      <c r="K37" s="610"/>
    </row>
    <row r="38" spans="1:11" x14ac:dyDescent="0.25">
      <c r="A38" s="495" t="s">
        <v>492</v>
      </c>
      <c r="B38" s="611"/>
      <c r="C38" s="612"/>
      <c r="D38" s="612"/>
      <c r="E38" s="613"/>
      <c r="H38" s="610"/>
      <c r="I38" s="610"/>
      <c r="J38" s="610"/>
      <c r="K38" s="610"/>
    </row>
    <row r="39" spans="1:11" x14ac:dyDescent="0.25">
      <c r="H39" s="610"/>
      <c r="I39" s="610"/>
      <c r="J39" s="610"/>
      <c r="K39" s="610"/>
    </row>
    <row r="41" spans="1:11" ht="20.25" x14ac:dyDescent="0.25">
      <c r="A41" s="605" t="s">
        <v>495</v>
      </c>
      <c r="B41" s="605"/>
      <c r="C41" s="605"/>
      <c r="D41" s="605"/>
      <c r="E41" s="605"/>
      <c r="F41" s="605"/>
      <c r="G41" s="605"/>
      <c r="H41" s="605"/>
      <c r="I41" s="605"/>
      <c r="J41" s="605"/>
      <c r="K41" s="605"/>
    </row>
    <row r="42" spans="1:11" x14ac:dyDescent="0.25">
      <c r="A42" s="495" t="s">
        <v>278</v>
      </c>
      <c r="B42" s="607"/>
      <c r="C42" s="608"/>
      <c r="D42" s="608"/>
      <c r="E42" s="609"/>
      <c r="H42" s="610" t="s">
        <v>496</v>
      </c>
      <c r="I42" s="610"/>
      <c r="J42" s="610"/>
      <c r="K42" s="610"/>
    </row>
    <row r="43" spans="1:11" x14ac:dyDescent="0.25">
      <c r="A43" s="496" t="s">
        <v>491</v>
      </c>
      <c r="B43" s="493"/>
      <c r="C43" s="493"/>
      <c r="D43" s="393"/>
      <c r="E43" s="493"/>
      <c r="H43" s="610"/>
      <c r="I43" s="610"/>
      <c r="J43" s="610"/>
      <c r="K43" s="610"/>
    </row>
    <row r="44" spans="1:11" x14ac:dyDescent="0.25">
      <c r="A44" s="495" t="s">
        <v>279</v>
      </c>
      <c r="B44" s="607"/>
      <c r="C44" s="608"/>
      <c r="D44" s="608"/>
      <c r="E44" s="609"/>
      <c r="H44" s="610"/>
      <c r="I44" s="610"/>
      <c r="J44" s="610"/>
      <c r="K44" s="610"/>
    </row>
    <row r="45" spans="1:11" x14ac:dyDescent="0.25">
      <c r="A45" s="495"/>
      <c r="B45" s="393"/>
      <c r="C45" s="393"/>
      <c r="D45" s="393"/>
      <c r="E45" s="493"/>
      <c r="H45" s="610"/>
      <c r="I45" s="610"/>
      <c r="J45" s="610"/>
      <c r="K45" s="610"/>
    </row>
    <row r="46" spans="1:11" x14ac:dyDescent="0.25">
      <c r="A46" s="495" t="s">
        <v>280</v>
      </c>
      <c r="B46" s="611"/>
      <c r="C46" s="612"/>
      <c r="D46" s="612"/>
      <c r="E46" s="613"/>
      <c r="H46" s="610"/>
      <c r="I46" s="610"/>
      <c r="J46" s="610"/>
      <c r="K46" s="610"/>
    </row>
    <row r="47" spans="1:11" x14ac:dyDescent="0.25">
      <c r="H47" s="610"/>
      <c r="I47" s="610"/>
      <c r="J47" s="610"/>
      <c r="K47" s="610"/>
    </row>
    <row r="48" spans="1:11" x14ac:dyDescent="0.25">
      <c r="H48" s="610"/>
      <c r="I48" s="610"/>
      <c r="J48" s="610"/>
      <c r="K48" s="610"/>
    </row>
    <row r="49" spans="8:11" x14ac:dyDescent="0.25">
      <c r="H49" s="610"/>
      <c r="I49" s="610"/>
      <c r="J49" s="610"/>
      <c r="K49" s="610"/>
    </row>
  </sheetData>
  <sheetProtection sheet="1"/>
  <mergeCells count="29">
    <mergeCell ref="A41:K41"/>
    <mergeCell ref="B42:E42"/>
    <mergeCell ref="H42:K49"/>
    <mergeCell ref="B44:E44"/>
    <mergeCell ref="B46:E46"/>
    <mergeCell ref="A27:K27"/>
    <mergeCell ref="B28:E28"/>
    <mergeCell ref="H28:K39"/>
    <mergeCell ref="B30:E30"/>
    <mergeCell ref="B32:E32"/>
    <mergeCell ref="B34:E34"/>
    <mergeCell ref="B36:E36"/>
    <mergeCell ref="B38:E38"/>
    <mergeCell ref="A13:K13"/>
    <mergeCell ref="B14:E14"/>
    <mergeCell ref="H14:K24"/>
    <mergeCell ref="B16:E16"/>
    <mergeCell ref="B18:E18"/>
    <mergeCell ref="B20:E20"/>
    <mergeCell ref="B22:E22"/>
    <mergeCell ref="B24:E24"/>
    <mergeCell ref="A1:F2"/>
    <mergeCell ref="H1:K2"/>
    <mergeCell ref="A3:F12"/>
    <mergeCell ref="I3:K3"/>
    <mergeCell ref="I5:K5"/>
    <mergeCell ref="I7:K7"/>
    <mergeCell ref="I9:K9"/>
    <mergeCell ref="I11:K1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00278-F07E-474A-8AE5-81FA44E2C0E2}">
  <sheetPr codeName="Sheet40">
    <tabColor rgb="FF00B0F0"/>
    <pageSetUpPr fitToPage="1"/>
  </sheetPr>
  <dimension ref="A1:H34"/>
  <sheetViews>
    <sheetView workbookViewId="0">
      <selection activeCell="I1" sqref="I1"/>
    </sheetView>
  </sheetViews>
  <sheetFormatPr defaultRowHeight="15.75" x14ac:dyDescent="0.2"/>
  <cols>
    <col min="1" max="1" width="14.109375" style="27" customWidth="1"/>
    <col min="2" max="2" width="12.77734375" style="27" customWidth="1"/>
    <col min="3" max="3" width="8.77734375" style="27" customWidth="1"/>
    <col min="4" max="4" width="7.33203125" style="27" customWidth="1"/>
    <col min="5" max="5" width="8.5546875" style="27" customWidth="1"/>
    <col min="6" max="6" width="12.77734375" style="27" customWidth="1"/>
    <col min="7" max="7" width="11.88671875" style="27" customWidth="1"/>
    <col min="8" max="8" width="14.109375" style="27" customWidth="1"/>
    <col min="9" max="252" width="8.88671875" style="27"/>
    <col min="253" max="253" width="15.77734375" style="27" customWidth="1"/>
    <col min="254" max="254" width="12.77734375" style="27" customWidth="1"/>
    <col min="255" max="255" width="8.77734375" style="27" customWidth="1"/>
    <col min="256" max="256" width="13.77734375" style="27" customWidth="1"/>
    <col min="257" max="257" width="8.77734375" style="27" customWidth="1"/>
    <col min="258" max="258" width="12.77734375" style="27" customWidth="1"/>
    <col min="259" max="259" width="10.77734375" style="27" customWidth="1"/>
    <col min="260" max="260" width="8.77734375" style="27" customWidth="1"/>
    <col min="261" max="261" width="8.88671875" style="27"/>
    <col min="262" max="262" width="12.44140625" style="27" customWidth="1"/>
    <col min="263" max="263" width="12.33203125" style="27" customWidth="1"/>
    <col min="264" max="264" width="8.88671875" style="27"/>
    <col min="265" max="265" width="12.109375" style="27" customWidth="1"/>
    <col min="266" max="508" width="8.88671875" style="27"/>
    <col min="509" max="509" width="15.77734375" style="27" customWidth="1"/>
    <col min="510" max="510" width="12.77734375" style="27" customWidth="1"/>
    <col min="511" max="511" width="8.77734375" style="27" customWidth="1"/>
    <col min="512" max="512" width="13.77734375" style="27" customWidth="1"/>
    <col min="513" max="513" width="8.77734375" style="27" customWidth="1"/>
    <col min="514" max="514" width="12.77734375" style="27" customWidth="1"/>
    <col min="515" max="515" width="10.77734375" style="27" customWidth="1"/>
    <col min="516" max="516" width="8.77734375" style="27" customWidth="1"/>
    <col min="517" max="517" width="8.88671875" style="27"/>
    <col min="518" max="518" width="12.44140625" style="27" customWidth="1"/>
    <col min="519" max="519" width="12.33203125" style="27" customWidth="1"/>
    <col min="520" max="520" width="8.88671875" style="27"/>
    <col min="521" max="521" width="12.109375" style="27" customWidth="1"/>
    <col min="522" max="764" width="8.88671875" style="27"/>
    <col min="765" max="765" width="15.77734375" style="27" customWidth="1"/>
    <col min="766" max="766" width="12.77734375" style="27" customWidth="1"/>
    <col min="767" max="767" width="8.77734375" style="27" customWidth="1"/>
    <col min="768" max="768" width="13.77734375" style="27" customWidth="1"/>
    <col min="769" max="769" width="8.77734375" style="27" customWidth="1"/>
    <col min="770" max="770" width="12.77734375" style="27" customWidth="1"/>
    <col min="771" max="771" width="10.77734375" style="27" customWidth="1"/>
    <col min="772" max="772" width="8.77734375" style="27" customWidth="1"/>
    <col min="773" max="773" width="8.88671875" style="27"/>
    <col min="774" max="774" width="12.44140625" style="27" customWidth="1"/>
    <col min="775" max="775" width="12.33203125" style="27" customWidth="1"/>
    <col min="776" max="776" width="8.88671875" style="27"/>
    <col min="777" max="777" width="12.109375" style="27" customWidth="1"/>
    <col min="778" max="1020" width="8.88671875" style="27"/>
    <col min="1021" max="1021" width="15.77734375" style="27" customWidth="1"/>
    <col min="1022" max="1022" width="12.77734375" style="27" customWidth="1"/>
    <col min="1023" max="1023" width="8.77734375" style="27" customWidth="1"/>
    <col min="1024" max="1024" width="13.77734375" style="27" customWidth="1"/>
    <col min="1025" max="1025" width="8.77734375" style="27" customWidth="1"/>
    <col min="1026" max="1026" width="12.77734375" style="27" customWidth="1"/>
    <col min="1027" max="1027" width="10.77734375" style="27" customWidth="1"/>
    <col min="1028" max="1028" width="8.77734375" style="27" customWidth="1"/>
    <col min="1029" max="1029" width="8.88671875" style="27"/>
    <col min="1030" max="1030" width="12.44140625" style="27" customWidth="1"/>
    <col min="1031" max="1031" width="12.33203125" style="27" customWidth="1"/>
    <col min="1032" max="1032" width="8.88671875" style="27"/>
    <col min="1033" max="1033" width="12.109375" style="27" customWidth="1"/>
    <col min="1034" max="1276" width="8.88671875" style="27"/>
    <col min="1277" max="1277" width="15.77734375" style="27" customWidth="1"/>
    <col min="1278" max="1278" width="12.77734375" style="27" customWidth="1"/>
    <col min="1279" max="1279" width="8.77734375" style="27" customWidth="1"/>
    <col min="1280" max="1280" width="13.77734375" style="27" customWidth="1"/>
    <col min="1281" max="1281" width="8.77734375" style="27" customWidth="1"/>
    <col min="1282" max="1282" width="12.77734375" style="27" customWidth="1"/>
    <col min="1283" max="1283" width="10.77734375" style="27" customWidth="1"/>
    <col min="1284" max="1284" width="8.77734375" style="27" customWidth="1"/>
    <col min="1285" max="1285" width="8.88671875" style="27"/>
    <col min="1286" max="1286" width="12.44140625" style="27" customWidth="1"/>
    <col min="1287" max="1287" width="12.33203125" style="27" customWidth="1"/>
    <col min="1288" max="1288" width="8.88671875" style="27"/>
    <col min="1289" max="1289" width="12.109375" style="27" customWidth="1"/>
    <col min="1290" max="1532" width="8.88671875" style="27"/>
    <col min="1533" max="1533" width="15.77734375" style="27" customWidth="1"/>
    <col min="1534" max="1534" width="12.77734375" style="27" customWidth="1"/>
    <col min="1535" max="1535" width="8.77734375" style="27" customWidth="1"/>
    <col min="1536" max="1536" width="13.77734375" style="27" customWidth="1"/>
    <col min="1537" max="1537" width="8.77734375" style="27" customWidth="1"/>
    <col min="1538" max="1538" width="12.77734375" style="27" customWidth="1"/>
    <col min="1539" max="1539" width="10.77734375" style="27" customWidth="1"/>
    <col min="1540" max="1540" width="8.77734375" style="27" customWidth="1"/>
    <col min="1541" max="1541" width="8.88671875" style="27"/>
    <col min="1542" max="1542" width="12.44140625" style="27" customWidth="1"/>
    <col min="1543" max="1543" width="12.33203125" style="27" customWidth="1"/>
    <col min="1544" max="1544" width="8.88671875" style="27"/>
    <col min="1545" max="1545" width="12.109375" style="27" customWidth="1"/>
    <col min="1546" max="1788" width="8.88671875" style="27"/>
    <col min="1789" max="1789" width="15.77734375" style="27" customWidth="1"/>
    <col min="1790" max="1790" width="12.77734375" style="27" customWidth="1"/>
    <col min="1791" max="1791" width="8.77734375" style="27" customWidth="1"/>
    <col min="1792" max="1792" width="13.77734375" style="27" customWidth="1"/>
    <col min="1793" max="1793" width="8.77734375" style="27" customWidth="1"/>
    <col min="1794" max="1794" width="12.77734375" style="27" customWidth="1"/>
    <col min="1795" max="1795" width="10.77734375" style="27" customWidth="1"/>
    <col min="1796" max="1796" width="8.77734375" style="27" customWidth="1"/>
    <col min="1797" max="1797" width="8.88671875" style="27"/>
    <col min="1798" max="1798" width="12.44140625" style="27" customWidth="1"/>
    <col min="1799" max="1799" width="12.33203125" style="27" customWidth="1"/>
    <col min="1800" max="1800" width="8.88671875" style="27"/>
    <col min="1801" max="1801" width="12.109375" style="27" customWidth="1"/>
    <col min="1802" max="2044" width="8.88671875" style="27"/>
    <col min="2045" max="2045" width="15.77734375" style="27" customWidth="1"/>
    <col min="2046" max="2046" width="12.77734375" style="27" customWidth="1"/>
    <col min="2047" max="2047" width="8.77734375" style="27" customWidth="1"/>
    <col min="2048" max="2048" width="13.77734375" style="27" customWidth="1"/>
    <col min="2049" max="2049" width="8.77734375" style="27" customWidth="1"/>
    <col min="2050" max="2050" width="12.77734375" style="27" customWidth="1"/>
    <col min="2051" max="2051" width="10.77734375" style="27" customWidth="1"/>
    <col min="2052" max="2052" width="8.77734375" style="27" customWidth="1"/>
    <col min="2053" max="2053" width="8.88671875" style="27"/>
    <col min="2054" max="2054" width="12.44140625" style="27" customWidth="1"/>
    <col min="2055" max="2055" width="12.33203125" style="27" customWidth="1"/>
    <col min="2056" max="2056" width="8.88671875" style="27"/>
    <col min="2057" max="2057" width="12.109375" style="27" customWidth="1"/>
    <col min="2058" max="2300" width="8.88671875" style="27"/>
    <col min="2301" max="2301" width="15.77734375" style="27" customWidth="1"/>
    <col min="2302" max="2302" width="12.77734375" style="27" customWidth="1"/>
    <col min="2303" max="2303" width="8.77734375" style="27" customWidth="1"/>
    <col min="2304" max="2304" width="13.77734375" style="27" customWidth="1"/>
    <col min="2305" max="2305" width="8.77734375" style="27" customWidth="1"/>
    <col min="2306" max="2306" width="12.77734375" style="27" customWidth="1"/>
    <col min="2307" max="2307" width="10.77734375" style="27" customWidth="1"/>
    <col min="2308" max="2308" width="8.77734375" style="27" customWidth="1"/>
    <col min="2309" max="2309" width="8.88671875" style="27"/>
    <col min="2310" max="2310" width="12.44140625" style="27" customWidth="1"/>
    <col min="2311" max="2311" width="12.33203125" style="27" customWidth="1"/>
    <col min="2312" max="2312" width="8.88671875" style="27"/>
    <col min="2313" max="2313" width="12.109375" style="27" customWidth="1"/>
    <col min="2314" max="2556" width="8.88671875" style="27"/>
    <col min="2557" max="2557" width="15.77734375" style="27" customWidth="1"/>
    <col min="2558" max="2558" width="12.77734375" style="27" customWidth="1"/>
    <col min="2559" max="2559" width="8.77734375" style="27" customWidth="1"/>
    <col min="2560" max="2560" width="13.77734375" style="27" customWidth="1"/>
    <col min="2561" max="2561" width="8.77734375" style="27" customWidth="1"/>
    <col min="2562" max="2562" width="12.77734375" style="27" customWidth="1"/>
    <col min="2563" max="2563" width="10.77734375" style="27" customWidth="1"/>
    <col min="2564" max="2564" width="8.77734375" style="27" customWidth="1"/>
    <col min="2565" max="2565" width="8.88671875" style="27"/>
    <col min="2566" max="2566" width="12.44140625" style="27" customWidth="1"/>
    <col min="2567" max="2567" width="12.33203125" style="27" customWidth="1"/>
    <col min="2568" max="2568" width="8.88671875" style="27"/>
    <col min="2569" max="2569" width="12.109375" style="27" customWidth="1"/>
    <col min="2570" max="2812" width="8.88671875" style="27"/>
    <col min="2813" max="2813" width="15.77734375" style="27" customWidth="1"/>
    <col min="2814" max="2814" width="12.77734375" style="27" customWidth="1"/>
    <col min="2815" max="2815" width="8.77734375" style="27" customWidth="1"/>
    <col min="2816" max="2816" width="13.77734375" style="27" customWidth="1"/>
    <col min="2817" max="2817" width="8.77734375" style="27" customWidth="1"/>
    <col min="2818" max="2818" width="12.77734375" style="27" customWidth="1"/>
    <col min="2819" max="2819" width="10.77734375" style="27" customWidth="1"/>
    <col min="2820" max="2820" width="8.77734375" style="27" customWidth="1"/>
    <col min="2821" max="2821" width="8.88671875" style="27"/>
    <col min="2822" max="2822" width="12.44140625" style="27" customWidth="1"/>
    <col min="2823" max="2823" width="12.33203125" style="27" customWidth="1"/>
    <col min="2824" max="2824" width="8.88671875" style="27"/>
    <col min="2825" max="2825" width="12.109375" style="27" customWidth="1"/>
    <col min="2826" max="3068" width="8.88671875" style="27"/>
    <col min="3069" max="3069" width="15.77734375" style="27" customWidth="1"/>
    <col min="3070" max="3070" width="12.77734375" style="27" customWidth="1"/>
    <col min="3071" max="3071" width="8.77734375" style="27" customWidth="1"/>
    <col min="3072" max="3072" width="13.77734375" style="27" customWidth="1"/>
    <col min="3073" max="3073" width="8.77734375" style="27" customWidth="1"/>
    <col min="3074" max="3074" width="12.77734375" style="27" customWidth="1"/>
    <col min="3075" max="3075" width="10.77734375" style="27" customWidth="1"/>
    <col min="3076" max="3076" width="8.77734375" style="27" customWidth="1"/>
    <col min="3077" max="3077" width="8.88671875" style="27"/>
    <col min="3078" max="3078" width="12.44140625" style="27" customWidth="1"/>
    <col min="3079" max="3079" width="12.33203125" style="27" customWidth="1"/>
    <col min="3080" max="3080" width="8.88671875" style="27"/>
    <col min="3081" max="3081" width="12.109375" style="27" customWidth="1"/>
    <col min="3082" max="3324" width="8.88671875" style="27"/>
    <col min="3325" max="3325" width="15.77734375" style="27" customWidth="1"/>
    <col min="3326" max="3326" width="12.77734375" style="27" customWidth="1"/>
    <col min="3327" max="3327" width="8.77734375" style="27" customWidth="1"/>
    <col min="3328" max="3328" width="13.77734375" style="27" customWidth="1"/>
    <col min="3329" max="3329" width="8.77734375" style="27" customWidth="1"/>
    <col min="3330" max="3330" width="12.77734375" style="27" customWidth="1"/>
    <col min="3331" max="3331" width="10.77734375" style="27" customWidth="1"/>
    <col min="3332" max="3332" width="8.77734375" style="27" customWidth="1"/>
    <col min="3333" max="3333" width="8.88671875" style="27"/>
    <col min="3334" max="3334" width="12.44140625" style="27" customWidth="1"/>
    <col min="3335" max="3335" width="12.33203125" style="27" customWidth="1"/>
    <col min="3336" max="3336" width="8.88671875" style="27"/>
    <col min="3337" max="3337" width="12.109375" style="27" customWidth="1"/>
    <col min="3338" max="3580" width="8.88671875" style="27"/>
    <col min="3581" max="3581" width="15.77734375" style="27" customWidth="1"/>
    <col min="3582" max="3582" width="12.77734375" style="27" customWidth="1"/>
    <col min="3583" max="3583" width="8.77734375" style="27" customWidth="1"/>
    <col min="3584" max="3584" width="13.77734375" style="27" customWidth="1"/>
    <col min="3585" max="3585" width="8.77734375" style="27" customWidth="1"/>
    <col min="3586" max="3586" width="12.77734375" style="27" customWidth="1"/>
    <col min="3587" max="3587" width="10.77734375" style="27" customWidth="1"/>
    <col min="3588" max="3588" width="8.77734375" style="27" customWidth="1"/>
    <col min="3589" max="3589" width="8.88671875" style="27"/>
    <col min="3590" max="3590" width="12.44140625" style="27" customWidth="1"/>
    <col min="3591" max="3591" width="12.33203125" style="27" customWidth="1"/>
    <col min="3592" max="3592" width="8.88671875" style="27"/>
    <col min="3593" max="3593" width="12.109375" style="27" customWidth="1"/>
    <col min="3594" max="3836" width="8.88671875" style="27"/>
    <col min="3837" max="3837" width="15.77734375" style="27" customWidth="1"/>
    <col min="3838" max="3838" width="12.77734375" style="27" customWidth="1"/>
    <col min="3839" max="3839" width="8.77734375" style="27" customWidth="1"/>
    <col min="3840" max="3840" width="13.77734375" style="27" customWidth="1"/>
    <col min="3841" max="3841" width="8.77734375" style="27" customWidth="1"/>
    <col min="3842" max="3842" width="12.77734375" style="27" customWidth="1"/>
    <col min="3843" max="3843" width="10.77734375" style="27" customWidth="1"/>
    <col min="3844" max="3844" width="8.77734375" style="27" customWidth="1"/>
    <col min="3845" max="3845" width="8.88671875" style="27"/>
    <col min="3846" max="3846" width="12.44140625" style="27" customWidth="1"/>
    <col min="3847" max="3847" width="12.33203125" style="27" customWidth="1"/>
    <col min="3848" max="3848" width="8.88671875" style="27"/>
    <col min="3849" max="3849" width="12.109375" style="27" customWidth="1"/>
    <col min="3850" max="4092" width="8.88671875" style="27"/>
    <col min="4093" max="4093" width="15.77734375" style="27" customWidth="1"/>
    <col min="4094" max="4094" width="12.77734375" style="27" customWidth="1"/>
    <col min="4095" max="4095" width="8.77734375" style="27" customWidth="1"/>
    <col min="4096" max="4096" width="13.77734375" style="27" customWidth="1"/>
    <col min="4097" max="4097" width="8.77734375" style="27" customWidth="1"/>
    <col min="4098" max="4098" width="12.77734375" style="27" customWidth="1"/>
    <col min="4099" max="4099" width="10.77734375" style="27" customWidth="1"/>
    <col min="4100" max="4100" width="8.77734375" style="27" customWidth="1"/>
    <col min="4101" max="4101" width="8.88671875" style="27"/>
    <col min="4102" max="4102" width="12.44140625" style="27" customWidth="1"/>
    <col min="4103" max="4103" width="12.33203125" style="27" customWidth="1"/>
    <col min="4104" max="4104" width="8.88671875" style="27"/>
    <col min="4105" max="4105" width="12.109375" style="27" customWidth="1"/>
    <col min="4106" max="4348" width="8.88671875" style="27"/>
    <col min="4349" max="4349" width="15.77734375" style="27" customWidth="1"/>
    <col min="4350" max="4350" width="12.77734375" style="27" customWidth="1"/>
    <col min="4351" max="4351" width="8.77734375" style="27" customWidth="1"/>
    <col min="4352" max="4352" width="13.77734375" style="27" customWidth="1"/>
    <col min="4353" max="4353" width="8.77734375" style="27" customWidth="1"/>
    <col min="4354" max="4354" width="12.77734375" style="27" customWidth="1"/>
    <col min="4355" max="4355" width="10.77734375" style="27" customWidth="1"/>
    <col min="4356" max="4356" width="8.77734375" style="27" customWidth="1"/>
    <col min="4357" max="4357" width="8.88671875" style="27"/>
    <col min="4358" max="4358" width="12.44140625" style="27" customWidth="1"/>
    <col min="4359" max="4359" width="12.33203125" style="27" customWidth="1"/>
    <col min="4360" max="4360" width="8.88671875" style="27"/>
    <col min="4361" max="4361" width="12.109375" style="27" customWidth="1"/>
    <col min="4362" max="4604" width="8.88671875" style="27"/>
    <col min="4605" max="4605" width="15.77734375" style="27" customWidth="1"/>
    <col min="4606" max="4606" width="12.77734375" style="27" customWidth="1"/>
    <col min="4607" max="4607" width="8.77734375" style="27" customWidth="1"/>
    <col min="4608" max="4608" width="13.77734375" style="27" customWidth="1"/>
    <col min="4609" max="4609" width="8.77734375" style="27" customWidth="1"/>
    <col min="4610" max="4610" width="12.77734375" style="27" customWidth="1"/>
    <col min="4611" max="4611" width="10.77734375" style="27" customWidth="1"/>
    <col min="4612" max="4612" width="8.77734375" style="27" customWidth="1"/>
    <col min="4613" max="4613" width="8.88671875" style="27"/>
    <col min="4614" max="4614" width="12.44140625" style="27" customWidth="1"/>
    <col min="4615" max="4615" width="12.33203125" style="27" customWidth="1"/>
    <col min="4616" max="4616" width="8.88671875" style="27"/>
    <col min="4617" max="4617" width="12.109375" style="27" customWidth="1"/>
    <col min="4618" max="4860" width="8.88671875" style="27"/>
    <col min="4861" max="4861" width="15.77734375" style="27" customWidth="1"/>
    <col min="4862" max="4862" width="12.77734375" style="27" customWidth="1"/>
    <col min="4863" max="4863" width="8.77734375" style="27" customWidth="1"/>
    <col min="4864" max="4864" width="13.77734375" style="27" customWidth="1"/>
    <col min="4865" max="4865" width="8.77734375" style="27" customWidth="1"/>
    <col min="4866" max="4866" width="12.77734375" style="27" customWidth="1"/>
    <col min="4867" max="4867" width="10.77734375" style="27" customWidth="1"/>
    <col min="4868" max="4868" width="8.77734375" style="27" customWidth="1"/>
    <col min="4869" max="4869" width="8.88671875" style="27"/>
    <col min="4870" max="4870" width="12.44140625" style="27" customWidth="1"/>
    <col min="4871" max="4871" width="12.33203125" style="27" customWidth="1"/>
    <col min="4872" max="4872" width="8.88671875" style="27"/>
    <col min="4873" max="4873" width="12.109375" style="27" customWidth="1"/>
    <col min="4874" max="5116" width="8.88671875" style="27"/>
    <col min="5117" max="5117" width="15.77734375" style="27" customWidth="1"/>
    <col min="5118" max="5118" width="12.77734375" style="27" customWidth="1"/>
    <col min="5119" max="5119" width="8.77734375" style="27" customWidth="1"/>
    <col min="5120" max="5120" width="13.77734375" style="27" customWidth="1"/>
    <col min="5121" max="5121" width="8.77734375" style="27" customWidth="1"/>
    <col min="5122" max="5122" width="12.77734375" style="27" customWidth="1"/>
    <col min="5123" max="5123" width="10.77734375" style="27" customWidth="1"/>
    <col min="5124" max="5124" width="8.77734375" style="27" customWidth="1"/>
    <col min="5125" max="5125" width="8.88671875" style="27"/>
    <col min="5126" max="5126" width="12.44140625" style="27" customWidth="1"/>
    <col min="5127" max="5127" width="12.33203125" style="27" customWidth="1"/>
    <col min="5128" max="5128" width="8.88671875" style="27"/>
    <col min="5129" max="5129" width="12.109375" style="27" customWidth="1"/>
    <col min="5130" max="5372" width="8.88671875" style="27"/>
    <col min="5373" max="5373" width="15.77734375" style="27" customWidth="1"/>
    <col min="5374" max="5374" width="12.77734375" style="27" customWidth="1"/>
    <col min="5375" max="5375" width="8.77734375" style="27" customWidth="1"/>
    <col min="5376" max="5376" width="13.77734375" style="27" customWidth="1"/>
    <col min="5377" max="5377" width="8.77734375" style="27" customWidth="1"/>
    <col min="5378" max="5378" width="12.77734375" style="27" customWidth="1"/>
    <col min="5379" max="5379" width="10.77734375" style="27" customWidth="1"/>
    <col min="5380" max="5380" width="8.77734375" style="27" customWidth="1"/>
    <col min="5381" max="5381" width="8.88671875" style="27"/>
    <col min="5382" max="5382" width="12.44140625" style="27" customWidth="1"/>
    <col min="5383" max="5383" width="12.33203125" style="27" customWidth="1"/>
    <col min="5384" max="5384" width="8.88671875" style="27"/>
    <col min="5385" max="5385" width="12.109375" style="27" customWidth="1"/>
    <col min="5386" max="5628" width="8.88671875" style="27"/>
    <col min="5629" max="5629" width="15.77734375" style="27" customWidth="1"/>
    <col min="5630" max="5630" width="12.77734375" style="27" customWidth="1"/>
    <col min="5631" max="5631" width="8.77734375" style="27" customWidth="1"/>
    <col min="5632" max="5632" width="13.77734375" style="27" customWidth="1"/>
    <col min="5633" max="5633" width="8.77734375" style="27" customWidth="1"/>
    <col min="5634" max="5634" width="12.77734375" style="27" customWidth="1"/>
    <col min="5635" max="5635" width="10.77734375" style="27" customWidth="1"/>
    <col min="5636" max="5636" width="8.77734375" style="27" customWidth="1"/>
    <col min="5637" max="5637" width="8.88671875" style="27"/>
    <col min="5638" max="5638" width="12.44140625" style="27" customWidth="1"/>
    <col min="5639" max="5639" width="12.33203125" style="27" customWidth="1"/>
    <col min="5640" max="5640" width="8.88671875" style="27"/>
    <col min="5641" max="5641" width="12.109375" style="27" customWidth="1"/>
    <col min="5642" max="5884" width="8.88671875" style="27"/>
    <col min="5885" max="5885" width="15.77734375" style="27" customWidth="1"/>
    <col min="5886" max="5886" width="12.77734375" style="27" customWidth="1"/>
    <col min="5887" max="5887" width="8.77734375" style="27" customWidth="1"/>
    <col min="5888" max="5888" width="13.77734375" style="27" customWidth="1"/>
    <col min="5889" max="5889" width="8.77734375" style="27" customWidth="1"/>
    <col min="5890" max="5890" width="12.77734375" style="27" customWidth="1"/>
    <col min="5891" max="5891" width="10.77734375" style="27" customWidth="1"/>
    <col min="5892" max="5892" width="8.77734375" style="27" customWidth="1"/>
    <col min="5893" max="5893" width="8.88671875" style="27"/>
    <col min="5894" max="5894" width="12.44140625" style="27" customWidth="1"/>
    <col min="5895" max="5895" width="12.33203125" style="27" customWidth="1"/>
    <col min="5896" max="5896" width="8.88671875" style="27"/>
    <col min="5897" max="5897" width="12.109375" style="27" customWidth="1"/>
    <col min="5898" max="6140" width="8.88671875" style="27"/>
    <col min="6141" max="6141" width="15.77734375" style="27" customWidth="1"/>
    <col min="6142" max="6142" width="12.77734375" style="27" customWidth="1"/>
    <col min="6143" max="6143" width="8.77734375" style="27" customWidth="1"/>
    <col min="6144" max="6144" width="13.77734375" style="27" customWidth="1"/>
    <col min="6145" max="6145" width="8.77734375" style="27" customWidth="1"/>
    <col min="6146" max="6146" width="12.77734375" style="27" customWidth="1"/>
    <col min="6147" max="6147" width="10.77734375" style="27" customWidth="1"/>
    <col min="6148" max="6148" width="8.77734375" style="27" customWidth="1"/>
    <col min="6149" max="6149" width="8.88671875" style="27"/>
    <col min="6150" max="6150" width="12.44140625" style="27" customWidth="1"/>
    <col min="6151" max="6151" width="12.33203125" style="27" customWidth="1"/>
    <col min="6152" max="6152" width="8.88671875" style="27"/>
    <col min="6153" max="6153" width="12.109375" style="27" customWidth="1"/>
    <col min="6154" max="6396" width="8.88671875" style="27"/>
    <col min="6397" max="6397" width="15.77734375" style="27" customWidth="1"/>
    <col min="6398" max="6398" width="12.77734375" style="27" customWidth="1"/>
    <col min="6399" max="6399" width="8.77734375" style="27" customWidth="1"/>
    <col min="6400" max="6400" width="13.77734375" style="27" customWidth="1"/>
    <col min="6401" max="6401" width="8.77734375" style="27" customWidth="1"/>
    <col min="6402" max="6402" width="12.77734375" style="27" customWidth="1"/>
    <col min="6403" max="6403" width="10.77734375" style="27" customWidth="1"/>
    <col min="6404" max="6404" width="8.77734375" style="27" customWidth="1"/>
    <col min="6405" max="6405" width="8.88671875" style="27"/>
    <col min="6406" max="6406" width="12.44140625" style="27" customWidth="1"/>
    <col min="6407" max="6407" width="12.33203125" style="27" customWidth="1"/>
    <col min="6408" max="6408" width="8.88671875" style="27"/>
    <col min="6409" max="6409" width="12.109375" style="27" customWidth="1"/>
    <col min="6410" max="6652" width="8.88671875" style="27"/>
    <col min="6653" max="6653" width="15.77734375" style="27" customWidth="1"/>
    <col min="6654" max="6654" width="12.77734375" style="27" customWidth="1"/>
    <col min="6655" max="6655" width="8.77734375" style="27" customWidth="1"/>
    <col min="6656" max="6656" width="13.77734375" style="27" customWidth="1"/>
    <col min="6657" max="6657" width="8.77734375" style="27" customWidth="1"/>
    <col min="6658" max="6658" width="12.77734375" style="27" customWidth="1"/>
    <col min="6659" max="6659" width="10.77734375" style="27" customWidth="1"/>
    <col min="6660" max="6660" width="8.77734375" style="27" customWidth="1"/>
    <col min="6661" max="6661" width="8.88671875" style="27"/>
    <col min="6662" max="6662" width="12.44140625" style="27" customWidth="1"/>
    <col min="6663" max="6663" width="12.33203125" style="27" customWidth="1"/>
    <col min="6664" max="6664" width="8.88671875" style="27"/>
    <col min="6665" max="6665" width="12.109375" style="27" customWidth="1"/>
    <col min="6666" max="6908" width="8.88671875" style="27"/>
    <col min="6909" max="6909" width="15.77734375" style="27" customWidth="1"/>
    <col min="6910" max="6910" width="12.77734375" style="27" customWidth="1"/>
    <col min="6911" max="6911" width="8.77734375" style="27" customWidth="1"/>
    <col min="6912" max="6912" width="13.77734375" style="27" customWidth="1"/>
    <col min="6913" max="6913" width="8.77734375" style="27" customWidth="1"/>
    <col min="6914" max="6914" width="12.77734375" style="27" customWidth="1"/>
    <col min="6915" max="6915" width="10.77734375" style="27" customWidth="1"/>
    <col min="6916" max="6916" width="8.77734375" style="27" customWidth="1"/>
    <col min="6917" max="6917" width="8.88671875" style="27"/>
    <col min="6918" max="6918" width="12.44140625" style="27" customWidth="1"/>
    <col min="6919" max="6919" width="12.33203125" style="27" customWidth="1"/>
    <col min="6920" max="6920" width="8.88671875" style="27"/>
    <col min="6921" max="6921" width="12.109375" style="27" customWidth="1"/>
    <col min="6922" max="7164" width="8.88671875" style="27"/>
    <col min="7165" max="7165" width="15.77734375" style="27" customWidth="1"/>
    <col min="7166" max="7166" width="12.77734375" style="27" customWidth="1"/>
    <col min="7167" max="7167" width="8.77734375" style="27" customWidth="1"/>
    <col min="7168" max="7168" width="13.77734375" style="27" customWidth="1"/>
    <col min="7169" max="7169" width="8.77734375" style="27" customWidth="1"/>
    <col min="7170" max="7170" width="12.77734375" style="27" customWidth="1"/>
    <col min="7171" max="7171" width="10.77734375" style="27" customWidth="1"/>
    <col min="7172" max="7172" width="8.77734375" style="27" customWidth="1"/>
    <col min="7173" max="7173" width="8.88671875" style="27"/>
    <col min="7174" max="7174" width="12.44140625" style="27" customWidth="1"/>
    <col min="7175" max="7175" width="12.33203125" style="27" customWidth="1"/>
    <col min="7176" max="7176" width="8.88671875" style="27"/>
    <col min="7177" max="7177" width="12.109375" style="27" customWidth="1"/>
    <col min="7178" max="7420" width="8.88671875" style="27"/>
    <col min="7421" max="7421" width="15.77734375" style="27" customWidth="1"/>
    <col min="7422" max="7422" width="12.77734375" style="27" customWidth="1"/>
    <col min="7423" max="7423" width="8.77734375" style="27" customWidth="1"/>
    <col min="7424" max="7424" width="13.77734375" style="27" customWidth="1"/>
    <col min="7425" max="7425" width="8.77734375" style="27" customWidth="1"/>
    <col min="7426" max="7426" width="12.77734375" style="27" customWidth="1"/>
    <col min="7427" max="7427" width="10.77734375" style="27" customWidth="1"/>
    <col min="7428" max="7428" width="8.77734375" style="27" customWidth="1"/>
    <col min="7429" max="7429" width="8.88671875" style="27"/>
    <col min="7430" max="7430" width="12.44140625" style="27" customWidth="1"/>
    <col min="7431" max="7431" width="12.33203125" style="27" customWidth="1"/>
    <col min="7432" max="7432" width="8.88671875" style="27"/>
    <col min="7433" max="7433" width="12.109375" style="27" customWidth="1"/>
    <col min="7434" max="7676" width="8.88671875" style="27"/>
    <col min="7677" max="7677" width="15.77734375" style="27" customWidth="1"/>
    <col min="7678" max="7678" width="12.77734375" style="27" customWidth="1"/>
    <col min="7679" max="7679" width="8.77734375" style="27" customWidth="1"/>
    <col min="7680" max="7680" width="13.77734375" style="27" customWidth="1"/>
    <col min="7681" max="7681" width="8.77734375" style="27" customWidth="1"/>
    <col min="7682" max="7682" width="12.77734375" style="27" customWidth="1"/>
    <col min="7683" max="7683" width="10.77734375" style="27" customWidth="1"/>
    <col min="7684" max="7684" width="8.77734375" style="27" customWidth="1"/>
    <col min="7685" max="7685" width="8.88671875" style="27"/>
    <col min="7686" max="7686" width="12.44140625" style="27" customWidth="1"/>
    <col min="7687" max="7687" width="12.33203125" style="27" customWidth="1"/>
    <col min="7688" max="7688" width="8.88671875" style="27"/>
    <col min="7689" max="7689" width="12.109375" style="27" customWidth="1"/>
    <col min="7690" max="7932" width="8.88671875" style="27"/>
    <col min="7933" max="7933" width="15.77734375" style="27" customWidth="1"/>
    <col min="7934" max="7934" width="12.77734375" style="27" customWidth="1"/>
    <col min="7935" max="7935" width="8.77734375" style="27" customWidth="1"/>
    <col min="7936" max="7936" width="13.77734375" style="27" customWidth="1"/>
    <col min="7937" max="7937" width="8.77734375" style="27" customWidth="1"/>
    <col min="7938" max="7938" width="12.77734375" style="27" customWidth="1"/>
    <col min="7939" max="7939" width="10.77734375" style="27" customWidth="1"/>
    <col min="7940" max="7940" width="8.77734375" style="27" customWidth="1"/>
    <col min="7941" max="7941" width="8.88671875" style="27"/>
    <col min="7942" max="7942" width="12.44140625" style="27" customWidth="1"/>
    <col min="7943" max="7943" width="12.33203125" style="27" customWidth="1"/>
    <col min="7944" max="7944" width="8.88671875" style="27"/>
    <col min="7945" max="7945" width="12.109375" style="27" customWidth="1"/>
    <col min="7946" max="8188" width="8.88671875" style="27"/>
    <col min="8189" max="8189" width="15.77734375" style="27" customWidth="1"/>
    <col min="8190" max="8190" width="12.77734375" style="27" customWidth="1"/>
    <col min="8191" max="8191" width="8.77734375" style="27" customWidth="1"/>
    <col min="8192" max="8192" width="13.77734375" style="27" customWidth="1"/>
    <col min="8193" max="8193" width="8.77734375" style="27" customWidth="1"/>
    <col min="8194" max="8194" width="12.77734375" style="27" customWidth="1"/>
    <col min="8195" max="8195" width="10.77734375" style="27" customWidth="1"/>
    <col min="8196" max="8196" width="8.77734375" style="27" customWidth="1"/>
    <col min="8197" max="8197" width="8.88671875" style="27"/>
    <col min="8198" max="8198" width="12.44140625" style="27" customWidth="1"/>
    <col min="8199" max="8199" width="12.33203125" style="27" customWidth="1"/>
    <col min="8200" max="8200" width="8.88671875" style="27"/>
    <col min="8201" max="8201" width="12.109375" style="27" customWidth="1"/>
    <col min="8202" max="8444" width="8.88671875" style="27"/>
    <col min="8445" max="8445" width="15.77734375" style="27" customWidth="1"/>
    <col min="8446" max="8446" width="12.77734375" style="27" customWidth="1"/>
    <col min="8447" max="8447" width="8.77734375" style="27" customWidth="1"/>
    <col min="8448" max="8448" width="13.77734375" style="27" customWidth="1"/>
    <col min="8449" max="8449" width="8.77734375" style="27" customWidth="1"/>
    <col min="8450" max="8450" width="12.77734375" style="27" customWidth="1"/>
    <col min="8451" max="8451" width="10.77734375" style="27" customWidth="1"/>
    <col min="8452" max="8452" width="8.77734375" style="27" customWidth="1"/>
    <col min="8453" max="8453" width="8.88671875" style="27"/>
    <col min="8454" max="8454" width="12.44140625" style="27" customWidth="1"/>
    <col min="8455" max="8455" width="12.33203125" style="27" customWidth="1"/>
    <col min="8456" max="8456" width="8.88671875" style="27"/>
    <col min="8457" max="8457" width="12.109375" style="27" customWidth="1"/>
    <col min="8458" max="8700" width="8.88671875" style="27"/>
    <col min="8701" max="8701" width="15.77734375" style="27" customWidth="1"/>
    <col min="8702" max="8702" width="12.77734375" style="27" customWidth="1"/>
    <col min="8703" max="8703" width="8.77734375" style="27" customWidth="1"/>
    <col min="8704" max="8704" width="13.77734375" style="27" customWidth="1"/>
    <col min="8705" max="8705" width="8.77734375" style="27" customWidth="1"/>
    <col min="8706" max="8706" width="12.77734375" style="27" customWidth="1"/>
    <col min="8707" max="8707" width="10.77734375" style="27" customWidth="1"/>
    <col min="8708" max="8708" width="8.77734375" style="27" customWidth="1"/>
    <col min="8709" max="8709" width="8.88671875" style="27"/>
    <col min="8710" max="8710" width="12.44140625" style="27" customWidth="1"/>
    <col min="8711" max="8711" width="12.33203125" style="27" customWidth="1"/>
    <col min="8712" max="8712" width="8.88671875" style="27"/>
    <col min="8713" max="8713" width="12.109375" style="27" customWidth="1"/>
    <col min="8714" max="8956" width="8.88671875" style="27"/>
    <col min="8957" max="8957" width="15.77734375" style="27" customWidth="1"/>
    <col min="8958" max="8958" width="12.77734375" style="27" customWidth="1"/>
    <col min="8959" max="8959" width="8.77734375" style="27" customWidth="1"/>
    <col min="8960" max="8960" width="13.77734375" style="27" customWidth="1"/>
    <col min="8961" max="8961" width="8.77734375" style="27" customWidth="1"/>
    <col min="8962" max="8962" width="12.77734375" style="27" customWidth="1"/>
    <col min="8963" max="8963" width="10.77734375" style="27" customWidth="1"/>
    <col min="8964" max="8964" width="8.77734375" style="27" customWidth="1"/>
    <col min="8965" max="8965" width="8.88671875" style="27"/>
    <col min="8966" max="8966" width="12.44140625" style="27" customWidth="1"/>
    <col min="8967" max="8967" width="12.33203125" style="27" customWidth="1"/>
    <col min="8968" max="8968" width="8.88671875" style="27"/>
    <col min="8969" max="8969" width="12.109375" style="27" customWidth="1"/>
    <col min="8970" max="9212" width="8.88671875" style="27"/>
    <col min="9213" max="9213" width="15.77734375" style="27" customWidth="1"/>
    <col min="9214" max="9214" width="12.77734375" style="27" customWidth="1"/>
    <col min="9215" max="9215" width="8.77734375" style="27" customWidth="1"/>
    <col min="9216" max="9216" width="13.77734375" style="27" customWidth="1"/>
    <col min="9217" max="9217" width="8.77734375" style="27" customWidth="1"/>
    <col min="9218" max="9218" width="12.77734375" style="27" customWidth="1"/>
    <col min="9219" max="9219" width="10.77734375" style="27" customWidth="1"/>
    <col min="9220" max="9220" width="8.77734375" style="27" customWidth="1"/>
    <col min="9221" max="9221" width="8.88671875" style="27"/>
    <col min="9222" max="9222" width="12.44140625" style="27" customWidth="1"/>
    <col min="9223" max="9223" width="12.33203125" style="27" customWidth="1"/>
    <col min="9224" max="9224" width="8.88671875" style="27"/>
    <col min="9225" max="9225" width="12.109375" style="27" customWidth="1"/>
    <col min="9226" max="9468" width="8.88671875" style="27"/>
    <col min="9469" max="9469" width="15.77734375" style="27" customWidth="1"/>
    <col min="9470" max="9470" width="12.77734375" style="27" customWidth="1"/>
    <col min="9471" max="9471" width="8.77734375" style="27" customWidth="1"/>
    <col min="9472" max="9472" width="13.77734375" style="27" customWidth="1"/>
    <col min="9473" max="9473" width="8.77734375" style="27" customWidth="1"/>
    <col min="9474" max="9474" width="12.77734375" style="27" customWidth="1"/>
    <col min="9475" max="9475" width="10.77734375" style="27" customWidth="1"/>
    <col min="9476" max="9476" width="8.77734375" style="27" customWidth="1"/>
    <col min="9477" max="9477" width="8.88671875" style="27"/>
    <col min="9478" max="9478" width="12.44140625" style="27" customWidth="1"/>
    <col min="9479" max="9479" width="12.33203125" style="27" customWidth="1"/>
    <col min="9480" max="9480" width="8.88671875" style="27"/>
    <col min="9481" max="9481" width="12.109375" style="27" customWidth="1"/>
    <col min="9482" max="9724" width="8.88671875" style="27"/>
    <col min="9725" max="9725" width="15.77734375" style="27" customWidth="1"/>
    <col min="9726" max="9726" width="12.77734375" style="27" customWidth="1"/>
    <col min="9727" max="9727" width="8.77734375" style="27" customWidth="1"/>
    <col min="9728" max="9728" width="13.77734375" style="27" customWidth="1"/>
    <col min="9729" max="9729" width="8.77734375" style="27" customWidth="1"/>
    <col min="9730" max="9730" width="12.77734375" style="27" customWidth="1"/>
    <col min="9731" max="9731" width="10.77734375" style="27" customWidth="1"/>
    <col min="9732" max="9732" width="8.77734375" style="27" customWidth="1"/>
    <col min="9733" max="9733" width="8.88671875" style="27"/>
    <col min="9734" max="9734" width="12.44140625" style="27" customWidth="1"/>
    <col min="9735" max="9735" width="12.33203125" style="27" customWidth="1"/>
    <col min="9736" max="9736" width="8.88671875" style="27"/>
    <col min="9737" max="9737" width="12.109375" style="27" customWidth="1"/>
    <col min="9738" max="9980" width="8.88671875" style="27"/>
    <col min="9981" max="9981" width="15.77734375" style="27" customWidth="1"/>
    <col min="9982" max="9982" width="12.77734375" style="27" customWidth="1"/>
    <col min="9983" max="9983" width="8.77734375" style="27" customWidth="1"/>
    <col min="9984" max="9984" width="13.77734375" style="27" customWidth="1"/>
    <col min="9985" max="9985" width="8.77734375" style="27" customWidth="1"/>
    <col min="9986" max="9986" width="12.77734375" style="27" customWidth="1"/>
    <col min="9987" max="9987" width="10.77734375" style="27" customWidth="1"/>
    <col min="9988" max="9988" width="8.77734375" style="27" customWidth="1"/>
    <col min="9989" max="9989" width="8.88671875" style="27"/>
    <col min="9990" max="9990" width="12.44140625" style="27" customWidth="1"/>
    <col min="9991" max="9991" width="12.33203125" style="27" customWidth="1"/>
    <col min="9992" max="9992" width="8.88671875" style="27"/>
    <col min="9993" max="9993" width="12.109375" style="27" customWidth="1"/>
    <col min="9994" max="10236" width="8.88671875" style="27"/>
    <col min="10237" max="10237" width="15.77734375" style="27" customWidth="1"/>
    <col min="10238" max="10238" width="12.77734375" style="27" customWidth="1"/>
    <col min="10239" max="10239" width="8.77734375" style="27" customWidth="1"/>
    <col min="10240" max="10240" width="13.77734375" style="27" customWidth="1"/>
    <col min="10241" max="10241" width="8.77734375" style="27" customWidth="1"/>
    <col min="10242" max="10242" width="12.77734375" style="27" customWidth="1"/>
    <col min="10243" max="10243" width="10.77734375" style="27" customWidth="1"/>
    <col min="10244" max="10244" width="8.77734375" style="27" customWidth="1"/>
    <col min="10245" max="10245" width="8.88671875" style="27"/>
    <col min="10246" max="10246" width="12.44140625" style="27" customWidth="1"/>
    <col min="10247" max="10247" width="12.33203125" style="27" customWidth="1"/>
    <col min="10248" max="10248" width="8.88671875" style="27"/>
    <col min="10249" max="10249" width="12.109375" style="27" customWidth="1"/>
    <col min="10250" max="10492" width="8.88671875" style="27"/>
    <col min="10493" max="10493" width="15.77734375" style="27" customWidth="1"/>
    <col min="10494" max="10494" width="12.77734375" style="27" customWidth="1"/>
    <col min="10495" max="10495" width="8.77734375" style="27" customWidth="1"/>
    <col min="10496" max="10496" width="13.77734375" style="27" customWidth="1"/>
    <col min="10497" max="10497" width="8.77734375" style="27" customWidth="1"/>
    <col min="10498" max="10498" width="12.77734375" style="27" customWidth="1"/>
    <col min="10499" max="10499" width="10.77734375" style="27" customWidth="1"/>
    <col min="10500" max="10500" width="8.77734375" style="27" customWidth="1"/>
    <col min="10501" max="10501" width="8.88671875" style="27"/>
    <col min="10502" max="10502" width="12.44140625" style="27" customWidth="1"/>
    <col min="10503" max="10503" width="12.33203125" style="27" customWidth="1"/>
    <col min="10504" max="10504" width="8.88671875" style="27"/>
    <col min="10505" max="10505" width="12.109375" style="27" customWidth="1"/>
    <col min="10506" max="10748" width="8.88671875" style="27"/>
    <col min="10749" max="10749" width="15.77734375" style="27" customWidth="1"/>
    <col min="10750" max="10750" width="12.77734375" style="27" customWidth="1"/>
    <col min="10751" max="10751" width="8.77734375" style="27" customWidth="1"/>
    <col min="10752" max="10752" width="13.77734375" style="27" customWidth="1"/>
    <col min="10753" max="10753" width="8.77734375" style="27" customWidth="1"/>
    <col min="10754" max="10754" width="12.77734375" style="27" customWidth="1"/>
    <col min="10755" max="10755" width="10.77734375" style="27" customWidth="1"/>
    <col min="10756" max="10756" width="8.77734375" style="27" customWidth="1"/>
    <col min="10757" max="10757" width="8.88671875" style="27"/>
    <col min="10758" max="10758" width="12.44140625" style="27" customWidth="1"/>
    <col min="10759" max="10759" width="12.33203125" style="27" customWidth="1"/>
    <col min="10760" max="10760" width="8.88671875" style="27"/>
    <col min="10761" max="10761" width="12.109375" style="27" customWidth="1"/>
    <col min="10762" max="11004" width="8.88671875" style="27"/>
    <col min="11005" max="11005" width="15.77734375" style="27" customWidth="1"/>
    <col min="11006" max="11006" width="12.77734375" style="27" customWidth="1"/>
    <col min="11007" max="11007" width="8.77734375" style="27" customWidth="1"/>
    <col min="11008" max="11008" width="13.77734375" style="27" customWidth="1"/>
    <col min="11009" max="11009" width="8.77734375" style="27" customWidth="1"/>
    <col min="11010" max="11010" width="12.77734375" style="27" customWidth="1"/>
    <col min="11011" max="11011" width="10.77734375" style="27" customWidth="1"/>
    <col min="11012" max="11012" width="8.77734375" style="27" customWidth="1"/>
    <col min="11013" max="11013" width="8.88671875" style="27"/>
    <col min="11014" max="11014" width="12.44140625" style="27" customWidth="1"/>
    <col min="11015" max="11015" width="12.33203125" style="27" customWidth="1"/>
    <col min="11016" max="11016" width="8.88671875" style="27"/>
    <col min="11017" max="11017" width="12.109375" style="27" customWidth="1"/>
    <col min="11018" max="11260" width="8.88671875" style="27"/>
    <col min="11261" max="11261" width="15.77734375" style="27" customWidth="1"/>
    <col min="11262" max="11262" width="12.77734375" style="27" customWidth="1"/>
    <col min="11263" max="11263" width="8.77734375" style="27" customWidth="1"/>
    <col min="11264" max="11264" width="13.77734375" style="27" customWidth="1"/>
    <col min="11265" max="11265" width="8.77734375" style="27" customWidth="1"/>
    <col min="11266" max="11266" width="12.77734375" style="27" customWidth="1"/>
    <col min="11267" max="11267" width="10.77734375" style="27" customWidth="1"/>
    <col min="11268" max="11268" width="8.77734375" style="27" customWidth="1"/>
    <col min="11269" max="11269" width="8.88671875" style="27"/>
    <col min="11270" max="11270" width="12.44140625" style="27" customWidth="1"/>
    <col min="11271" max="11271" width="12.33203125" style="27" customWidth="1"/>
    <col min="11272" max="11272" width="8.88671875" style="27"/>
    <col min="11273" max="11273" width="12.109375" style="27" customWidth="1"/>
    <col min="11274" max="11516" width="8.88671875" style="27"/>
    <col min="11517" max="11517" width="15.77734375" style="27" customWidth="1"/>
    <col min="11518" max="11518" width="12.77734375" style="27" customWidth="1"/>
    <col min="11519" max="11519" width="8.77734375" style="27" customWidth="1"/>
    <col min="11520" max="11520" width="13.77734375" style="27" customWidth="1"/>
    <col min="11521" max="11521" width="8.77734375" style="27" customWidth="1"/>
    <col min="11522" max="11522" width="12.77734375" style="27" customWidth="1"/>
    <col min="11523" max="11523" width="10.77734375" style="27" customWidth="1"/>
    <col min="11524" max="11524" width="8.77734375" style="27" customWidth="1"/>
    <col min="11525" max="11525" width="8.88671875" style="27"/>
    <col min="11526" max="11526" width="12.44140625" style="27" customWidth="1"/>
    <col min="11527" max="11527" width="12.33203125" style="27" customWidth="1"/>
    <col min="11528" max="11528" width="8.88671875" style="27"/>
    <col min="11529" max="11529" width="12.109375" style="27" customWidth="1"/>
    <col min="11530" max="11772" width="8.88671875" style="27"/>
    <col min="11773" max="11773" width="15.77734375" style="27" customWidth="1"/>
    <col min="11774" max="11774" width="12.77734375" style="27" customWidth="1"/>
    <col min="11775" max="11775" width="8.77734375" style="27" customWidth="1"/>
    <col min="11776" max="11776" width="13.77734375" style="27" customWidth="1"/>
    <col min="11777" max="11777" width="8.77734375" style="27" customWidth="1"/>
    <col min="11778" max="11778" width="12.77734375" style="27" customWidth="1"/>
    <col min="11779" max="11779" width="10.77734375" style="27" customWidth="1"/>
    <col min="11780" max="11780" width="8.77734375" style="27" customWidth="1"/>
    <col min="11781" max="11781" width="8.88671875" style="27"/>
    <col min="11782" max="11782" width="12.44140625" style="27" customWidth="1"/>
    <col min="11783" max="11783" width="12.33203125" style="27" customWidth="1"/>
    <col min="11784" max="11784" width="8.88671875" style="27"/>
    <col min="11785" max="11785" width="12.109375" style="27" customWidth="1"/>
    <col min="11786" max="12028" width="8.88671875" style="27"/>
    <col min="12029" max="12029" width="15.77734375" style="27" customWidth="1"/>
    <col min="12030" max="12030" width="12.77734375" style="27" customWidth="1"/>
    <col min="12031" max="12031" width="8.77734375" style="27" customWidth="1"/>
    <col min="12032" max="12032" width="13.77734375" style="27" customWidth="1"/>
    <col min="12033" max="12033" width="8.77734375" style="27" customWidth="1"/>
    <col min="12034" max="12034" width="12.77734375" style="27" customWidth="1"/>
    <col min="12035" max="12035" width="10.77734375" style="27" customWidth="1"/>
    <col min="12036" max="12036" width="8.77734375" style="27" customWidth="1"/>
    <col min="12037" max="12037" width="8.88671875" style="27"/>
    <col min="12038" max="12038" width="12.44140625" style="27" customWidth="1"/>
    <col min="12039" max="12039" width="12.33203125" style="27" customWidth="1"/>
    <col min="12040" max="12040" width="8.88671875" style="27"/>
    <col min="12041" max="12041" width="12.109375" style="27" customWidth="1"/>
    <col min="12042" max="12284" width="8.88671875" style="27"/>
    <col min="12285" max="12285" width="15.77734375" style="27" customWidth="1"/>
    <col min="12286" max="12286" width="12.77734375" style="27" customWidth="1"/>
    <col min="12287" max="12287" width="8.77734375" style="27" customWidth="1"/>
    <col min="12288" max="12288" width="13.77734375" style="27" customWidth="1"/>
    <col min="12289" max="12289" width="8.77734375" style="27" customWidth="1"/>
    <col min="12290" max="12290" width="12.77734375" style="27" customWidth="1"/>
    <col min="12291" max="12291" width="10.77734375" style="27" customWidth="1"/>
    <col min="12292" max="12292" width="8.77734375" style="27" customWidth="1"/>
    <col min="12293" max="12293" width="8.88671875" style="27"/>
    <col min="12294" max="12294" width="12.44140625" style="27" customWidth="1"/>
    <col min="12295" max="12295" width="12.33203125" style="27" customWidth="1"/>
    <col min="12296" max="12296" width="8.88671875" style="27"/>
    <col min="12297" max="12297" width="12.109375" style="27" customWidth="1"/>
    <col min="12298" max="12540" width="8.88671875" style="27"/>
    <col min="12541" max="12541" width="15.77734375" style="27" customWidth="1"/>
    <col min="12542" max="12542" width="12.77734375" style="27" customWidth="1"/>
    <col min="12543" max="12543" width="8.77734375" style="27" customWidth="1"/>
    <col min="12544" max="12544" width="13.77734375" style="27" customWidth="1"/>
    <col min="12545" max="12545" width="8.77734375" style="27" customWidth="1"/>
    <col min="12546" max="12546" width="12.77734375" style="27" customWidth="1"/>
    <col min="12547" max="12547" width="10.77734375" style="27" customWidth="1"/>
    <col min="12548" max="12548" width="8.77734375" style="27" customWidth="1"/>
    <col min="12549" max="12549" width="8.88671875" style="27"/>
    <col min="12550" max="12550" width="12.44140625" style="27" customWidth="1"/>
    <col min="12551" max="12551" width="12.33203125" style="27" customWidth="1"/>
    <col min="12552" max="12552" width="8.88671875" style="27"/>
    <col min="12553" max="12553" width="12.109375" style="27" customWidth="1"/>
    <col min="12554" max="12796" width="8.88671875" style="27"/>
    <col min="12797" max="12797" width="15.77734375" style="27" customWidth="1"/>
    <col min="12798" max="12798" width="12.77734375" style="27" customWidth="1"/>
    <col min="12799" max="12799" width="8.77734375" style="27" customWidth="1"/>
    <col min="12800" max="12800" width="13.77734375" style="27" customWidth="1"/>
    <col min="12801" max="12801" width="8.77734375" style="27" customWidth="1"/>
    <col min="12802" max="12802" width="12.77734375" style="27" customWidth="1"/>
    <col min="12803" max="12803" width="10.77734375" style="27" customWidth="1"/>
    <col min="12804" max="12804" width="8.77734375" style="27" customWidth="1"/>
    <col min="12805" max="12805" width="8.88671875" style="27"/>
    <col min="12806" max="12806" width="12.44140625" style="27" customWidth="1"/>
    <col min="12807" max="12807" width="12.33203125" style="27" customWidth="1"/>
    <col min="12808" max="12808" width="8.88671875" style="27"/>
    <col min="12809" max="12809" width="12.109375" style="27" customWidth="1"/>
    <col min="12810" max="13052" width="8.88671875" style="27"/>
    <col min="13053" max="13053" width="15.77734375" style="27" customWidth="1"/>
    <col min="13054" max="13054" width="12.77734375" style="27" customWidth="1"/>
    <col min="13055" max="13055" width="8.77734375" style="27" customWidth="1"/>
    <col min="13056" max="13056" width="13.77734375" style="27" customWidth="1"/>
    <col min="13057" max="13057" width="8.77734375" style="27" customWidth="1"/>
    <col min="13058" max="13058" width="12.77734375" style="27" customWidth="1"/>
    <col min="13059" max="13059" width="10.77734375" style="27" customWidth="1"/>
    <col min="13060" max="13060" width="8.77734375" style="27" customWidth="1"/>
    <col min="13061" max="13061" width="8.88671875" style="27"/>
    <col min="13062" max="13062" width="12.44140625" style="27" customWidth="1"/>
    <col min="13063" max="13063" width="12.33203125" style="27" customWidth="1"/>
    <col min="13064" max="13064" width="8.88671875" style="27"/>
    <col min="13065" max="13065" width="12.109375" style="27" customWidth="1"/>
    <col min="13066" max="13308" width="8.88671875" style="27"/>
    <col min="13309" max="13309" width="15.77734375" style="27" customWidth="1"/>
    <col min="13310" max="13310" width="12.77734375" style="27" customWidth="1"/>
    <col min="13311" max="13311" width="8.77734375" style="27" customWidth="1"/>
    <col min="13312" max="13312" width="13.77734375" style="27" customWidth="1"/>
    <col min="13313" max="13313" width="8.77734375" style="27" customWidth="1"/>
    <col min="13314" max="13314" width="12.77734375" style="27" customWidth="1"/>
    <col min="13315" max="13315" width="10.77734375" style="27" customWidth="1"/>
    <col min="13316" max="13316" width="8.77734375" style="27" customWidth="1"/>
    <col min="13317" max="13317" width="8.88671875" style="27"/>
    <col min="13318" max="13318" width="12.44140625" style="27" customWidth="1"/>
    <col min="13319" max="13319" width="12.33203125" style="27" customWidth="1"/>
    <col min="13320" max="13320" width="8.88671875" style="27"/>
    <col min="13321" max="13321" width="12.109375" style="27" customWidth="1"/>
    <col min="13322" max="13564" width="8.88671875" style="27"/>
    <col min="13565" max="13565" width="15.77734375" style="27" customWidth="1"/>
    <col min="13566" max="13566" width="12.77734375" style="27" customWidth="1"/>
    <col min="13567" max="13567" width="8.77734375" style="27" customWidth="1"/>
    <col min="13568" max="13568" width="13.77734375" style="27" customWidth="1"/>
    <col min="13569" max="13569" width="8.77734375" style="27" customWidth="1"/>
    <col min="13570" max="13570" width="12.77734375" style="27" customWidth="1"/>
    <col min="13571" max="13571" width="10.77734375" style="27" customWidth="1"/>
    <col min="13572" max="13572" width="8.77734375" style="27" customWidth="1"/>
    <col min="13573" max="13573" width="8.88671875" style="27"/>
    <col min="13574" max="13574" width="12.44140625" style="27" customWidth="1"/>
    <col min="13575" max="13575" width="12.33203125" style="27" customWidth="1"/>
    <col min="13576" max="13576" width="8.88671875" style="27"/>
    <col min="13577" max="13577" width="12.109375" style="27" customWidth="1"/>
    <col min="13578" max="13820" width="8.88671875" style="27"/>
    <col min="13821" max="13821" width="15.77734375" style="27" customWidth="1"/>
    <col min="13822" max="13822" width="12.77734375" style="27" customWidth="1"/>
    <col min="13823" max="13823" width="8.77734375" style="27" customWidth="1"/>
    <col min="13824" max="13824" width="13.77734375" style="27" customWidth="1"/>
    <col min="13825" max="13825" width="8.77734375" style="27" customWidth="1"/>
    <col min="13826" max="13826" width="12.77734375" style="27" customWidth="1"/>
    <col min="13827" max="13827" width="10.77734375" style="27" customWidth="1"/>
    <col min="13828" max="13828" width="8.77734375" style="27" customWidth="1"/>
    <col min="13829" max="13829" width="8.88671875" style="27"/>
    <col min="13830" max="13830" width="12.44140625" style="27" customWidth="1"/>
    <col min="13831" max="13831" width="12.33203125" style="27" customWidth="1"/>
    <col min="13832" max="13832" width="8.88671875" style="27"/>
    <col min="13833" max="13833" width="12.109375" style="27" customWidth="1"/>
    <col min="13834" max="14076" width="8.88671875" style="27"/>
    <col min="14077" max="14077" width="15.77734375" style="27" customWidth="1"/>
    <col min="14078" max="14078" width="12.77734375" style="27" customWidth="1"/>
    <col min="14079" max="14079" width="8.77734375" style="27" customWidth="1"/>
    <col min="14080" max="14080" width="13.77734375" style="27" customWidth="1"/>
    <col min="14081" max="14081" width="8.77734375" style="27" customWidth="1"/>
    <col min="14082" max="14082" width="12.77734375" style="27" customWidth="1"/>
    <col min="14083" max="14083" width="10.77734375" style="27" customWidth="1"/>
    <col min="14084" max="14084" width="8.77734375" style="27" customWidth="1"/>
    <col min="14085" max="14085" width="8.88671875" style="27"/>
    <col min="14086" max="14086" width="12.44140625" style="27" customWidth="1"/>
    <col min="14087" max="14087" width="12.33203125" style="27" customWidth="1"/>
    <col min="14088" max="14088" width="8.88671875" style="27"/>
    <col min="14089" max="14089" width="12.109375" style="27" customWidth="1"/>
    <col min="14090" max="14332" width="8.88671875" style="27"/>
    <col min="14333" max="14333" width="15.77734375" style="27" customWidth="1"/>
    <col min="14334" max="14334" width="12.77734375" style="27" customWidth="1"/>
    <col min="14335" max="14335" width="8.77734375" style="27" customWidth="1"/>
    <col min="14336" max="14336" width="13.77734375" style="27" customWidth="1"/>
    <col min="14337" max="14337" width="8.77734375" style="27" customWidth="1"/>
    <col min="14338" max="14338" width="12.77734375" style="27" customWidth="1"/>
    <col min="14339" max="14339" width="10.77734375" style="27" customWidth="1"/>
    <col min="14340" max="14340" width="8.77734375" style="27" customWidth="1"/>
    <col min="14341" max="14341" width="8.88671875" style="27"/>
    <col min="14342" max="14342" width="12.44140625" style="27" customWidth="1"/>
    <col min="14343" max="14343" width="12.33203125" style="27" customWidth="1"/>
    <col min="14344" max="14344" width="8.88671875" style="27"/>
    <col min="14345" max="14345" width="12.109375" style="27" customWidth="1"/>
    <col min="14346" max="14588" width="8.88671875" style="27"/>
    <col min="14589" max="14589" width="15.77734375" style="27" customWidth="1"/>
    <col min="14590" max="14590" width="12.77734375" style="27" customWidth="1"/>
    <col min="14591" max="14591" width="8.77734375" style="27" customWidth="1"/>
    <col min="14592" max="14592" width="13.77734375" style="27" customWidth="1"/>
    <col min="14593" max="14593" width="8.77734375" style="27" customWidth="1"/>
    <col min="14594" max="14594" width="12.77734375" style="27" customWidth="1"/>
    <col min="14595" max="14595" width="10.77734375" style="27" customWidth="1"/>
    <col min="14596" max="14596" width="8.77734375" style="27" customWidth="1"/>
    <col min="14597" max="14597" width="8.88671875" style="27"/>
    <col min="14598" max="14598" width="12.44140625" style="27" customWidth="1"/>
    <col min="14599" max="14599" width="12.33203125" style="27" customWidth="1"/>
    <col min="14600" max="14600" width="8.88671875" style="27"/>
    <col min="14601" max="14601" width="12.109375" style="27" customWidth="1"/>
    <col min="14602" max="14844" width="8.88671875" style="27"/>
    <col min="14845" max="14845" width="15.77734375" style="27" customWidth="1"/>
    <col min="14846" max="14846" width="12.77734375" style="27" customWidth="1"/>
    <col min="14847" max="14847" width="8.77734375" style="27" customWidth="1"/>
    <col min="14848" max="14848" width="13.77734375" style="27" customWidth="1"/>
    <col min="14849" max="14849" width="8.77734375" style="27" customWidth="1"/>
    <col min="14850" max="14850" width="12.77734375" style="27" customWidth="1"/>
    <col min="14851" max="14851" width="10.77734375" style="27" customWidth="1"/>
    <col min="14852" max="14852" width="8.77734375" style="27" customWidth="1"/>
    <col min="14853" max="14853" width="8.88671875" style="27"/>
    <col min="14854" max="14854" width="12.44140625" style="27" customWidth="1"/>
    <col min="14855" max="14855" width="12.33203125" style="27" customWidth="1"/>
    <col min="14856" max="14856" width="8.88671875" style="27"/>
    <col min="14857" max="14857" width="12.109375" style="27" customWidth="1"/>
    <col min="14858" max="15100" width="8.88671875" style="27"/>
    <col min="15101" max="15101" width="15.77734375" style="27" customWidth="1"/>
    <col min="15102" max="15102" width="12.77734375" style="27" customWidth="1"/>
    <col min="15103" max="15103" width="8.77734375" style="27" customWidth="1"/>
    <col min="15104" max="15104" width="13.77734375" style="27" customWidth="1"/>
    <col min="15105" max="15105" width="8.77734375" style="27" customWidth="1"/>
    <col min="15106" max="15106" width="12.77734375" style="27" customWidth="1"/>
    <col min="15107" max="15107" width="10.77734375" style="27" customWidth="1"/>
    <col min="15108" max="15108" width="8.77734375" style="27" customWidth="1"/>
    <col min="15109" max="15109" width="8.88671875" style="27"/>
    <col min="15110" max="15110" width="12.44140625" style="27" customWidth="1"/>
    <col min="15111" max="15111" width="12.33203125" style="27" customWidth="1"/>
    <col min="15112" max="15112" width="8.88671875" style="27"/>
    <col min="15113" max="15113" width="12.109375" style="27" customWidth="1"/>
    <col min="15114" max="15356" width="8.88671875" style="27"/>
    <col min="15357" max="15357" width="15.77734375" style="27" customWidth="1"/>
    <col min="15358" max="15358" width="12.77734375" style="27" customWidth="1"/>
    <col min="15359" max="15359" width="8.77734375" style="27" customWidth="1"/>
    <col min="15360" max="15360" width="13.77734375" style="27" customWidth="1"/>
    <col min="15361" max="15361" width="8.77734375" style="27" customWidth="1"/>
    <col min="15362" max="15362" width="12.77734375" style="27" customWidth="1"/>
    <col min="15363" max="15363" width="10.77734375" style="27" customWidth="1"/>
    <col min="15364" max="15364" width="8.77734375" style="27" customWidth="1"/>
    <col min="15365" max="15365" width="8.88671875" style="27"/>
    <col min="15366" max="15366" width="12.44140625" style="27" customWidth="1"/>
    <col min="15367" max="15367" width="12.33203125" style="27" customWidth="1"/>
    <col min="15368" max="15368" width="8.88671875" style="27"/>
    <col min="15369" max="15369" width="12.109375" style="27" customWidth="1"/>
    <col min="15370" max="15612" width="8.88671875" style="27"/>
    <col min="15613" max="15613" width="15.77734375" style="27" customWidth="1"/>
    <col min="15614" max="15614" width="12.77734375" style="27" customWidth="1"/>
    <col min="15615" max="15615" width="8.77734375" style="27" customWidth="1"/>
    <col min="15616" max="15616" width="13.77734375" style="27" customWidth="1"/>
    <col min="15617" max="15617" width="8.77734375" style="27" customWidth="1"/>
    <col min="15618" max="15618" width="12.77734375" style="27" customWidth="1"/>
    <col min="15619" max="15619" width="10.77734375" style="27" customWidth="1"/>
    <col min="15620" max="15620" width="8.77734375" style="27" customWidth="1"/>
    <col min="15621" max="15621" width="8.88671875" style="27"/>
    <col min="15622" max="15622" width="12.44140625" style="27" customWidth="1"/>
    <col min="15623" max="15623" width="12.33203125" style="27" customWidth="1"/>
    <col min="15624" max="15624" width="8.88671875" style="27"/>
    <col min="15625" max="15625" width="12.109375" style="27" customWidth="1"/>
    <col min="15626" max="15868" width="8.88671875" style="27"/>
    <col min="15869" max="15869" width="15.77734375" style="27" customWidth="1"/>
    <col min="15870" max="15870" width="12.77734375" style="27" customWidth="1"/>
    <col min="15871" max="15871" width="8.77734375" style="27" customWidth="1"/>
    <col min="15872" max="15872" width="13.77734375" style="27" customWidth="1"/>
    <col min="15873" max="15873" width="8.77734375" style="27" customWidth="1"/>
    <col min="15874" max="15874" width="12.77734375" style="27" customWidth="1"/>
    <col min="15875" max="15875" width="10.77734375" style="27" customWidth="1"/>
    <col min="15876" max="15876" width="8.77734375" style="27" customWidth="1"/>
    <col min="15877" max="15877" width="8.88671875" style="27"/>
    <col min="15878" max="15878" width="12.44140625" style="27" customWidth="1"/>
    <col min="15879" max="15879" width="12.33203125" style="27" customWidth="1"/>
    <col min="15880" max="15880" width="8.88671875" style="27"/>
    <col min="15881" max="15881" width="12.109375" style="27" customWidth="1"/>
    <col min="15882" max="16124" width="8.88671875" style="27"/>
    <col min="16125" max="16125" width="15.77734375" style="27" customWidth="1"/>
    <col min="16126" max="16126" width="12.77734375" style="27" customWidth="1"/>
    <col min="16127" max="16127" width="8.77734375" style="27" customWidth="1"/>
    <col min="16128" max="16128" width="13.77734375" style="27" customWidth="1"/>
    <col min="16129" max="16129" width="8.77734375" style="27" customWidth="1"/>
    <col min="16130" max="16130" width="12.77734375" style="27" customWidth="1"/>
    <col min="16131" max="16131" width="10.77734375" style="27" customWidth="1"/>
    <col min="16132" max="16132" width="8.77734375" style="27" customWidth="1"/>
    <col min="16133" max="16133" width="8.88671875" style="27"/>
    <col min="16134" max="16134" width="12.44140625" style="27" customWidth="1"/>
    <col min="16135" max="16135" width="12.33203125" style="27" customWidth="1"/>
    <col min="16136" max="16136" width="8.88671875" style="27"/>
    <col min="16137" max="16137" width="12.109375" style="27" customWidth="1"/>
    <col min="16138" max="16384" width="8.88671875" style="27"/>
  </cols>
  <sheetData>
    <row r="1" spans="1:8" x14ac:dyDescent="0.2">
      <c r="A1" s="32"/>
      <c r="B1" s="32"/>
      <c r="C1" s="32"/>
      <c r="D1" s="32"/>
      <c r="E1" s="32"/>
      <c r="F1" s="32"/>
      <c r="G1" s="32"/>
      <c r="H1" s="65">
        <f>inputPrYr!C5</f>
        <v>2025</v>
      </c>
    </row>
    <row r="2" spans="1:8" x14ac:dyDescent="0.2">
      <c r="A2" s="639" t="s">
        <v>549</v>
      </c>
      <c r="B2" s="714"/>
      <c r="C2" s="714"/>
      <c r="D2" s="714"/>
      <c r="E2" s="714"/>
      <c r="F2" s="714"/>
      <c r="G2" s="714"/>
      <c r="H2" s="714"/>
    </row>
    <row r="3" spans="1:8" x14ac:dyDescent="0.2">
      <c r="A3" s="32"/>
      <c r="B3" s="32"/>
      <c r="C3" s="32"/>
      <c r="D3" s="32"/>
      <c r="E3" s="32"/>
      <c r="F3" s="32"/>
      <c r="G3" s="32"/>
      <c r="H3" s="32"/>
    </row>
    <row r="4" spans="1:8" x14ac:dyDescent="0.2">
      <c r="A4" s="628" t="s">
        <v>144</v>
      </c>
      <c r="B4" s="628"/>
      <c r="C4" s="628"/>
      <c r="D4" s="628"/>
      <c r="E4" s="628"/>
      <c r="F4" s="628"/>
      <c r="G4" s="628"/>
      <c r="H4" s="628"/>
    </row>
    <row r="5" spans="1:8" x14ac:dyDescent="0.2">
      <c r="A5" s="592">
        <f>inputPrYr!C3</f>
        <v>0</v>
      </c>
      <c r="B5" s="715"/>
      <c r="C5" s="715"/>
      <c r="D5" s="715"/>
      <c r="E5" s="715"/>
      <c r="F5" s="715"/>
      <c r="G5" s="715"/>
      <c r="H5" s="715"/>
    </row>
    <row r="6" spans="1:8" x14ac:dyDescent="0.2">
      <c r="A6" s="628" t="str">
        <f>CONCATENATE("will meet on ",inputHearing!B42," at ",inputHearing!B44," at ",inputHearing!B46," for the purpose of hearing and")</f>
        <v>will meet on  at  at  for the purpose of hearing and</v>
      </c>
      <c r="B6" s="628"/>
      <c r="C6" s="628"/>
      <c r="D6" s="628"/>
      <c r="E6" s="628"/>
      <c r="F6" s="628"/>
      <c r="G6" s="628"/>
      <c r="H6" s="628"/>
    </row>
    <row r="7" spans="1:8" ht="14.25" customHeight="1" x14ac:dyDescent="0.2">
      <c r="A7" s="628" t="s">
        <v>550</v>
      </c>
      <c r="B7" s="628"/>
      <c r="C7" s="628"/>
      <c r="D7" s="628"/>
      <c r="E7" s="628"/>
      <c r="F7" s="628"/>
      <c r="G7" s="628"/>
      <c r="H7" s="628"/>
    </row>
    <row r="8" spans="1:8" ht="11.25" customHeight="1" x14ac:dyDescent="0.2">
      <c r="A8" s="32"/>
      <c r="B8" s="32"/>
      <c r="C8" s="32"/>
      <c r="D8" s="32"/>
      <c r="E8" s="32"/>
      <c r="F8" s="32"/>
      <c r="G8" s="32"/>
      <c r="H8" s="32"/>
    </row>
    <row r="9" spans="1:8" x14ac:dyDescent="0.2">
      <c r="A9" s="90"/>
      <c r="B9" s="712" t="s">
        <v>551</v>
      </c>
      <c r="C9" s="712"/>
      <c r="D9" s="511">
        <f>'Budget Hearing Notice'!H53</f>
        <v>0</v>
      </c>
      <c r="E9" s="712" t="s">
        <v>552</v>
      </c>
      <c r="F9" s="712"/>
      <c r="G9" s="512">
        <f>'Budget Hearing Notice'!H52</f>
        <v>0</v>
      </c>
      <c r="H9" s="37"/>
    </row>
    <row r="10" spans="1:8" x14ac:dyDescent="0.2">
      <c r="A10" s="32"/>
      <c r="B10" s="200"/>
      <c r="C10" s="200"/>
      <c r="D10" s="200"/>
      <c r="E10" s="200"/>
      <c r="F10" s="200"/>
      <c r="G10" s="200"/>
      <c r="H10" s="200"/>
    </row>
    <row r="11" spans="1:8" x14ac:dyDescent="0.2">
      <c r="A11" s="32"/>
      <c r="B11" s="713" t="s">
        <v>553</v>
      </c>
      <c r="C11" s="713"/>
      <c r="D11" s="713"/>
      <c r="E11" s="713"/>
      <c r="F11" s="713"/>
      <c r="G11" s="32"/>
      <c r="H11" s="65"/>
    </row>
    <row r="12" spans="1:8" x14ac:dyDescent="0.2">
      <c r="A12" s="32"/>
      <c r="B12" s="713" t="s">
        <v>554</v>
      </c>
      <c r="C12" s="713"/>
      <c r="D12" s="713"/>
      <c r="E12" s="713"/>
      <c r="F12" s="713"/>
      <c r="G12" s="32"/>
      <c r="H12" s="65"/>
    </row>
    <row r="13" spans="1:8" x14ac:dyDescent="0.2">
      <c r="A13" s="32"/>
      <c r="B13" s="513"/>
      <c r="C13" s="513"/>
      <c r="D13" s="513"/>
      <c r="E13" s="513"/>
      <c r="F13" s="513"/>
      <c r="G13" s="32"/>
      <c r="H13" s="65"/>
    </row>
    <row r="14" spans="1:8" x14ac:dyDescent="0.2">
      <c r="A14" s="32"/>
      <c r="B14" s="513"/>
      <c r="C14" s="513"/>
      <c r="D14" s="182" t="s">
        <v>41</v>
      </c>
      <c r="E14" s="428"/>
      <c r="F14" s="513"/>
      <c r="G14" s="32"/>
      <c r="H14" s="65"/>
    </row>
    <row r="16" spans="1:8" x14ac:dyDescent="0.2">
      <c r="A16" s="72"/>
      <c r="B16" s="72"/>
      <c r="C16" s="72"/>
      <c r="D16" s="72"/>
      <c r="E16" s="72"/>
      <c r="F16" s="72"/>
      <c r="G16" s="72"/>
      <c r="H16" s="72"/>
    </row>
    <row r="18" spans="1:8" x14ac:dyDescent="0.2">
      <c r="A18" s="72"/>
      <c r="B18" s="72"/>
      <c r="C18" s="72"/>
      <c r="D18" s="72"/>
      <c r="E18" s="72"/>
      <c r="F18" s="72"/>
      <c r="G18" s="72"/>
      <c r="H18" s="72"/>
    </row>
    <row r="19" spans="1:8" x14ac:dyDescent="0.2">
      <c r="A19" s="72"/>
      <c r="B19" s="72"/>
      <c r="C19" s="72"/>
      <c r="D19" s="72"/>
      <c r="E19" s="72"/>
      <c r="F19" s="72"/>
      <c r="G19" s="72"/>
      <c r="H19" s="72"/>
    </row>
    <row r="20" spans="1:8" x14ac:dyDescent="0.2">
      <c r="A20" s="72"/>
      <c r="B20" s="72"/>
      <c r="C20" s="72"/>
      <c r="D20" s="72"/>
      <c r="E20" s="72"/>
      <c r="F20" s="72"/>
      <c r="G20" s="72"/>
      <c r="H20" s="72"/>
    </row>
    <row r="21" spans="1:8" x14ac:dyDescent="0.2">
      <c r="A21" s="72"/>
      <c r="B21" s="72"/>
      <c r="C21" s="72"/>
      <c r="D21" s="72"/>
      <c r="E21" s="72"/>
      <c r="F21" s="72"/>
      <c r="G21" s="72"/>
      <c r="H21" s="72"/>
    </row>
    <row r="22" spans="1:8" x14ac:dyDescent="0.2">
      <c r="A22" s="72"/>
      <c r="B22" s="72"/>
      <c r="C22" s="72"/>
      <c r="D22" s="72"/>
      <c r="E22" s="72"/>
      <c r="F22" s="72"/>
      <c r="G22" s="72"/>
      <c r="H22" s="72"/>
    </row>
    <row r="23" spans="1:8" x14ac:dyDescent="0.2">
      <c r="A23" s="72"/>
      <c r="B23" s="72"/>
      <c r="C23" s="72"/>
      <c r="D23" s="72"/>
      <c r="E23" s="72"/>
      <c r="F23" s="72"/>
      <c r="G23" s="72"/>
      <c r="H23" s="72"/>
    </row>
    <row r="24" spans="1:8" x14ac:dyDescent="0.2">
      <c r="A24" s="72"/>
      <c r="B24" s="72"/>
      <c r="C24" s="72"/>
      <c r="D24" s="72"/>
      <c r="E24" s="72"/>
      <c r="F24" s="72"/>
      <c r="G24" s="72"/>
      <c r="H24" s="72"/>
    </row>
    <row r="25" spans="1:8" x14ac:dyDescent="0.2">
      <c r="A25" s="72"/>
      <c r="B25" s="72"/>
      <c r="C25" s="72"/>
      <c r="D25" s="72"/>
      <c r="E25" s="72"/>
      <c r="F25" s="72"/>
      <c r="G25" s="72"/>
      <c r="H25" s="72"/>
    </row>
    <row r="26" spans="1:8" x14ac:dyDescent="0.2">
      <c r="A26" s="72"/>
      <c r="B26" s="72"/>
      <c r="C26" s="72"/>
      <c r="D26" s="72"/>
      <c r="E26" s="72"/>
      <c r="F26" s="72"/>
      <c r="G26" s="72"/>
      <c r="H26" s="72"/>
    </row>
    <row r="34" ht="15" customHeight="1" x14ac:dyDescent="0.2"/>
  </sheetData>
  <sheetProtection sheet="1" objects="1" scenarios="1"/>
  <mergeCells count="9">
    <mergeCell ref="B9:C9"/>
    <mergeCell ref="E9:F9"/>
    <mergeCell ref="B11:F11"/>
    <mergeCell ref="B12:F12"/>
    <mergeCell ref="A2:H2"/>
    <mergeCell ref="A4:H4"/>
    <mergeCell ref="A5:H5"/>
    <mergeCell ref="A6:H6"/>
    <mergeCell ref="A7:H7"/>
  </mergeCells>
  <pageMargins left="1" right="1" top="0.5" bottom="0.5" header="0.5" footer="0.5"/>
  <pageSetup scale="76" orientation="portrait" blackAndWhite="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1">
    <pageSetUpPr fitToPage="1"/>
  </sheetPr>
  <dimension ref="A1:F53"/>
  <sheetViews>
    <sheetView workbookViewId="0">
      <selection activeCell="G1" sqref="G1"/>
    </sheetView>
  </sheetViews>
  <sheetFormatPr defaultRowHeight="15" x14ac:dyDescent="0.2"/>
  <cols>
    <col min="1" max="1" width="6.6640625" style="23" customWidth="1"/>
    <col min="2" max="2" width="21.21875" style="23" customWidth="1"/>
    <col min="3" max="3" width="11.77734375" style="23" customWidth="1"/>
    <col min="4" max="4" width="12.77734375" style="23" customWidth="1"/>
    <col min="5" max="5" width="11.77734375" style="23" customWidth="1"/>
    <col min="6" max="16384" width="8.88671875" style="23"/>
  </cols>
  <sheetData>
    <row r="1" spans="1:6" ht="15.75" x14ac:dyDescent="0.2">
      <c r="A1" s="73">
        <f>inputPrYr!C3</f>
        <v>0</v>
      </c>
      <c r="B1" s="32"/>
      <c r="C1" s="32"/>
      <c r="D1" s="32"/>
      <c r="E1" s="32"/>
      <c r="F1" s="32">
        <f>inputPrYr!C5</f>
        <v>2025</v>
      </c>
    </row>
    <row r="2" spans="1:6" ht="15.75" x14ac:dyDescent="0.2">
      <c r="A2" s="32"/>
      <c r="B2" s="32"/>
      <c r="C2" s="32"/>
      <c r="D2" s="32"/>
      <c r="E2" s="32"/>
      <c r="F2" s="32"/>
    </row>
    <row r="3" spans="1:6" ht="15.75" x14ac:dyDescent="0.2">
      <c r="A3" s="32"/>
      <c r="B3" s="680" t="str">
        <f>CONCATENATE("",F1," Neighborhood Revitalization Rebate")</f>
        <v>2025 Neighborhood Revitalization Rebate</v>
      </c>
      <c r="C3" s="680"/>
      <c r="D3" s="680"/>
      <c r="E3" s="680"/>
      <c r="F3" s="32"/>
    </row>
    <row r="4" spans="1:6" ht="15.75" x14ac:dyDescent="0.2">
      <c r="A4" s="32"/>
      <c r="B4" s="32"/>
      <c r="C4" s="32"/>
      <c r="D4" s="32"/>
      <c r="E4" s="32"/>
      <c r="F4" s="32"/>
    </row>
    <row r="5" spans="1:6" ht="51" customHeight="1" x14ac:dyDescent="0.2">
      <c r="A5" s="32"/>
      <c r="B5" s="259" t="str">
        <f>CONCATENATE("Budgeted Funds                        for ",F1,"")</f>
        <v>Budgeted Funds                        for 2025</v>
      </c>
      <c r="C5" s="259" t="str">
        <f>CONCATENATE("",F1-1," Ad Valorem before Rebate**")</f>
        <v>2024 Ad Valorem before Rebate**</v>
      </c>
      <c r="D5" s="260" t="str">
        <f>CONCATENATE("",F1-1," Mil Rate before Rebate")</f>
        <v>2024 Mil Rate before Rebate</v>
      </c>
      <c r="E5" s="261" t="str">
        <f>CONCATENATE("Estimate ",F1," NR Rebate")</f>
        <v>Estimate 2025 NR Rebate</v>
      </c>
      <c r="F5" s="65"/>
    </row>
    <row r="6" spans="1:6" ht="15.75" x14ac:dyDescent="0.2">
      <c r="A6" s="32"/>
      <c r="B6" s="44" t="str">
        <f>inputPrYr!B17</f>
        <v>General</v>
      </c>
      <c r="C6" s="262"/>
      <c r="D6" s="263" t="str">
        <f>IF(C6&gt;0,C6/$D$36,"")</f>
        <v/>
      </c>
      <c r="E6" s="176">
        <f t="shared" ref="E6:E30" si="0">IF(C6&gt;0,ROUND(D6*$D$40,0),0)</f>
        <v>0</v>
      </c>
      <c r="F6" s="65"/>
    </row>
    <row r="7" spans="1:6" ht="15.75" x14ac:dyDescent="0.2">
      <c r="A7" s="32"/>
      <c r="B7" s="44" t="str">
        <f>inputPrYr!B18</f>
        <v>Debt Service</v>
      </c>
      <c r="C7" s="262"/>
      <c r="D7" s="263" t="str">
        <f t="shared" ref="D7:D30" si="1">IF(C7&gt;0,C7/$D$36,"")</f>
        <v/>
      </c>
      <c r="E7" s="176">
        <f t="shared" si="0"/>
        <v>0</v>
      </c>
      <c r="F7" s="65"/>
    </row>
    <row r="8" spans="1:6" ht="15.75" x14ac:dyDescent="0.2">
      <c r="A8" s="32"/>
      <c r="B8" s="44" t="str">
        <f>inputPrYr!B19</f>
        <v>Road &amp; Bridge</v>
      </c>
      <c r="C8" s="262"/>
      <c r="D8" s="263" t="str">
        <f t="shared" si="1"/>
        <v/>
      </c>
      <c r="E8" s="176">
        <f t="shared" si="0"/>
        <v>0</v>
      </c>
      <c r="F8" s="65"/>
    </row>
    <row r="9" spans="1:6" ht="15.75" x14ac:dyDescent="0.2">
      <c r="A9" s="32"/>
      <c r="B9" s="44">
        <f>inputPrYr!B20</f>
        <v>0</v>
      </c>
      <c r="C9" s="262"/>
      <c r="D9" s="263" t="str">
        <f t="shared" si="1"/>
        <v/>
      </c>
      <c r="E9" s="176">
        <f t="shared" si="0"/>
        <v>0</v>
      </c>
      <c r="F9" s="65"/>
    </row>
    <row r="10" spans="1:6" ht="15.75" x14ac:dyDescent="0.2">
      <c r="A10" s="32"/>
      <c r="B10" s="44">
        <f>inputPrYr!B21</f>
        <v>0</v>
      </c>
      <c r="C10" s="262"/>
      <c r="D10" s="263" t="str">
        <f t="shared" si="1"/>
        <v/>
      </c>
      <c r="E10" s="176">
        <f t="shared" si="0"/>
        <v>0</v>
      </c>
      <c r="F10" s="65"/>
    </row>
    <row r="11" spans="1:6" ht="15.75" x14ac:dyDescent="0.2">
      <c r="A11" s="32"/>
      <c r="B11" s="44">
        <f>inputPrYr!B22</f>
        <v>0</v>
      </c>
      <c r="C11" s="262"/>
      <c r="D11" s="263" t="str">
        <f t="shared" si="1"/>
        <v/>
      </c>
      <c r="E11" s="176">
        <f t="shared" si="0"/>
        <v>0</v>
      </c>
      <c r="F11" s="65"/>
    </row>
    <row r="12" spans="1:6" ht="15.75" x14ac:dyDescent="0.2">
      <c r="A12" s="32"/>
      <c r="B12" s="44">
        <f>inputPrYr!B23</f>
        <v>0</v>
      </c>
      <c r="C12" s="264"/>
      <c r="D12" s="263" t="str">
        <f t="shared" si="1"/>
        <v/>
      </c>
      <c r="E12" s="176">
        <f t="shared" si="0"/>
        <v>0</v>
      </c>
      <c r="F12" s="65"/>
    </row>
    <row r="13" spans="1:6" ht="15.75" x14ac:dyDescent="0.2">
      <c r="A13" s="32"/>
      <c r="B13" s="44">
        <f>inputPrYr!B24</f>
        <v>0</v>
      </c>
      <c r="C13" s="264"/>
      <c r="D13" s="263" t="str">
        <f t="shared" si="1"/>
        <v/>
      </c>
      <c r="E13" s="176">
        <f t="shared" si="0"/>
        <v>0</v>
      </c>
      <c r="F13" s="65"/>
    </row>
    <row r="14" spans="1:6" ht="15.75" x14ac:dyDescent="0.2">
      <c r="A14" s="32"/>
      <c r="B14" s="44">
        <f>inputPrYr!B25</f>
        <v>0</v>
      </c>
      <c r="C14" s="264"/>
      <c r="D14" s="263" t="str">
        <f t="shared" si="1"/>
        <v/>
      </c>
      <c r="E14" s="176">
        <f t="shared" si="0"/>
        <v>0</v>
      </c>
      <c r="F14" s="65"/>
    </row>
    <row r="15" spans="1:6" ht="15.75" x14ac:dyDescent="0.2">
      <c r="A15" s="32"/>
      <c r="B15" s="44">
        <f>inputPrYr!B26</f>
        <v>0</v>
      </c>
      <c r="C15" s="264"/>
      <c r="D15" s="263" t="str">
        <f t="shared" si="1"/>
        <v/>
      </c>
      <c r="E15" s="176">
        <f t="shared" si="0"/>
        <v>0</v>
      </c>
      <c r="F15" s="65"/>
    </row>
    <row r="16" spans="1:6" ht="15.75" x14ac:dyDescent="0.2">
      <c r="A16" s="32"/>
      <c r="B16" s="44">
        <f>inputPrYr!B27</f>
        <v>0</v>
      </c>
      <c r="C16" s="264"/>
      <c r="D16" s="263" t="str">
        <f t="shared" si="1"/>
        <v/>
      </c>
      <c r="E16" s="176">
        <f t="shared" si="0"/>
        <v>0</v>
      </c>
      <c r="F16" s="65"/>
    </row>
    <row r="17" spans="1:6" ht="15.75" x14ac:dyDescent="0.2">
      <c r="A17" s="32"/>
      <c r="B17" s="44">
        <f>inputPrYr!B28</f>
        <v>0</v>
      </c>
      <c r="C17" s="264"/>
      <c r="D17" s="263" t="str">
        <f t="shared" si="1"/>
        <v/>
      </c>
      <c r="E17" s="176">
        <f t="shared" si="0"/>
        <v>0</v>
      </c>
      <c r="F17" s="65"/>
    </row>
    <row r="18" spans="1:6" ht="15.75" x14ac:dyDescent="0.2">
      <c r="A18" s="32"/>
      <c r="B18" s="44">
        <f>inputPrYr!B29</f>
        <v>0</v>
      </c>
      <c r="C18" s="264"/>
      <c r="D18" s="263" t="str">
        <f t="shared" si="1"/>
        <v/>
      </c>
      <c r="E18" s="176">
        <f t="shared" si="0"/>
        <v>0</v>
      </c>
      <c r="F18" s="65"/>
    </row>
    <row r="19" spans="1:6" ht="15.75" x14ac:dyDescent="0.2">
      <c r="A19" s="32"/>
      <c r="B19" s="44">
        <f>inputPrYr!B30</f>
        <v>0</v>
      </c>
      <c r="C19" s="264"/>
      <c r="D19" s="263" t="str">
        <f t="shared" si="1"/>
        <v/>
      </c>
      <c r="E19" s="176">
        <f t="shared" si="0"/>
        <v>0</v>
      </c>
      <c r="F19" s="65"/>
    </row>
    <row r="20" spans="1:6" ht="15.75" x14ac:dyDescent="0.2">
      <c r="A20" s="32"/>
      <c r="B20" s="44">
        <f>inputPrYr!B31</f>
        <v>0</v>
      </c>
      <c r="C20" s="264"/>
      <c r="D20" s="263" t="str">
        <f t="shared" si="1"/>
        <v/>
      </c>
      <c r="E20" s="176">
        <f t="shared" si="0"/>
        <v>0</v>
      </c>
      <c r="F20" s="65"/>
    </row>
    <row r="21" spans="1:6" ht="15.75" x14ac:dyDescent="0.2">
      <c r="A21" s="32"/>
      <c r="B21" s="44">
        <f>inputPrYr!B32</f>
        <v>0</v>
      </c>
      <c r="C21" s="264"/>
      <c r="D21" s="263" t="str">
        <f t="shared" si="1"/>
        <v/>
      </c>
      <c r="E21" s="176">
        <f t="shared" si="0"/>
        <v>0</v>
      </c>
      <c r="F21" s="65"/>
    </row>
    <row r="22" spans="1:6" ht="15.75" x14ac:dyDescent="0.2">
      <c r="A22" s="32"/>
      <c r="B22" s="44">
        <f>inputPrYr!B33</f>
        <v>0</v>
      </c>
      <c r="C22" s="264"/>
      <c r="D22" s="263" t="str">
        <f t="shared" si="1"/>
        <v/>
      </c>
      <c r="E22" s="176">
        <f t="shared" si="0"/>
        <v>0</v>
      </c>
      <c r="F22" s="65"/>
    </row>
    <row r="23" spans="1:6" ht="15.75" x14ac:dyDescent="0.2">
      <c r="A23" s="32"/>
      <c r="B23" s="44">
        <f>inputPrYr!B34</f>
        <v>0</v>
      </c>
      <c r="C23" s="264"/>
      <c r="D23" s="263" t="str">
        <f t="shared" si="1"/>
        <v/>
      </c>
      <c r="E23" s="176">
        <f t="shared" si="0"/>
        <v>0</v>
      </c>
      <c r="F23" s="65"/>
    </row>
    <row r="24" spans="1:6" ht="15.75" x14ac:dyDescent="0.2">
      <c r="A24" s="32"/>
      <c r="B24" s="44">
        <f>inputPrYr!B35</f>
        <v>0</v>
      </c>
      <c r="C24" s="264"/>
      <c r="D24" s="263" t="str">
        <f t="shared" si="1"/>
        <v/>
      </c>
      <c r="E24" s="176">
        <f t="shared" si="0"/>
        <v>0</v>
      </c>
      <c r="F24" s="65"/>
    </row>
    <row r="25" spans="1:6" ht="15.75" x14ac:dyDescent="0.2">
      <c r="A25" s="32"/>
      <c r="B25" s="44">
        <f>inputPrYr!B36</f>
        <v>0</v>
      </c>
      <c r="C25" s="264"/>
      <c r="D25" s="263" t="str">
        <f t="shared" si="1"/>
        <v/>
      </c>
      <c r="E25" s="176">
        <f t="shared" si="0"/>
        <v>0</v>
      </c>
      <c r="F25" s="65"/>
    </row>
    <row r="26" spans="1:6" ht="15.75" x14ac:dyDescent="0.2">
      <c r="A26" s="32"/>
      <c r="B26" s="44">
        <f>inputPrYr!B37</f>
        <v>0</v>
      </c>
      <c r="C26" s="264"/>
      <c r="D26" s="263" t="str">
        <f t="shared" si="1"/>
        <v/>
      </c>
      <c r="E26" s="176">
        <f t="shared" si="0"/>
        <v>0</v>
      </c>
      <c r="F26" s="65"/>
    </row>
    <row r="27" spans="1:6" ht="15.75" x14ac:dyDescent="0.2">
      <c r="A27" s="32"/>
      <c r="B27" s="44">
        <f>inputPrYr!B38</f>
        <v>0</v>
      </c>
      <c r="C27" s="264"/>
      <c r="D27" s="263" t="str">
        <f t="shared" si="1"/>
        <v/>
      </c>
      <c r="E27" s="176">
        <f t="shared" si="0"/>
        <v>0</v>
      </c>
      <c r="F27" s="65"/>
    </row>
    <row r="28" spans="1:6" ht="15.75" x14ac:dyDescent="0.2">
      <c r="A28" s="32"/>
      <c r="B28" s="44">
        <f>inputPrYr!B39</f>
        <v>0</v>
      </c>
      <c r="C28" s="264"/>
      <c r="D28" s="263" t="str">
        <f t="shared" si="1"/>
        <v/>
      </c>
      <c r="E28" s="176">
        <f t="shared" si="0"/>
        <v>0</v>
      </c>
      <c r="F28" s="65"/>
    </row>
    <row r="29" spans="1:6" ht="15.75" x14ac:dyDescent="0.2">
      <c r="A29" s="32"/>
      <c r="B29" s="44">
        <f>inputPrYr!B40</f>
        <v>0</v>
      </c>
      <c r="C29" s="264"/>
      <c r="D29" s="263" t="str">
        <f t="shared" si="1"/>
        <v/>
      </c>
      <c r="E29" s="176">
        <f t="shared" si="0"/>
        <v>0</v>
      </c>
      <c r="F29" s="65"/>
    </row>
    <row r="30" spans="1:6" ht="15.75" x14ac:dyDescent="0.2">
      <c r="A30" s="32"/>
      <c r="B30" s="44">
        <f>inputPrYr!B41</f>
        <v>0</v>
      </c>
      <c r="C30" s="264"/>
      <c r="D30" s="263" t="str">
        <f t="shared" si="1"/>
        <v/>
      </c>
      <c r="E30" s="176">
        <f t="shared" si="0"/>
        <v>0</v>
      </c>
      <c r="F30" s="65"/>
    </row>
    <row r="31" spans="1:6" ht="16.5" thickBot="1" x14ac:dyDescent="0.25">
      <c r="A31" s="32"/>
      <c r="B31" s="108" t="s">
        <v>23</v>
      </c>
      <c r="C31" s="265">
        <f>SUM(C6:C30)</f>
        <v>0</v>
      </c>
      <c r="D31" s="266">
        <f>SUM(D6:D30)</f>
        <v>0</v>
      </c>
      <c r="E31" s="265">
        <f>SUM(E6:E30)</f>
        <v>0</v>
      </c>
      <c r="F31" s="65"/>
    </row>
    <row r="32" spans="1:6" ht="16.5" thickTop="1" x14ac:dyDescent="0.2">
      <c r="A32" s="32"/>
      <c r="B32" s="32"/>
      <c r="C32" s="32"/>
      <c r="D32" s="32"/>
      <c r="E32" s="32"/>
      <c r="F32" s="65"/>
    </row>
    <row r="33" spans="1:6" ht="15.75" x14ac:dyDescent="0.2">
      <c r="A33" s="32"/>
      <c r="B33" s="32"/>
      <c r="C33" s="32"/>
      <c r="D33" s="32"/>
      <c r="E33" s="32"/>
      <c r="F33" s="65"/>
    </row>
    <row r="34" spans="1:6" ht="15.75" x14ac:dyDescent="0.2">
      <c r="A34" s="716" t="str">
        <f>CONCATENATE("",F1-1," July 1 Valuation:")</f>
        <v>2024 July 1 Valuation:</v>
      </c>
      <c r="B34" s="650"/>
      <c r="C34" s="716"/>
      <c r="D34" s="139">
        <f>inputOth!E5</f>
        <v>0</v>
      </c>
      <c r="E34" s="32"/>
      <c r="F34" s="65"/>
    </row>
    <row r="35" spans="1:6" ht="15.75" x14ac:dyDescent="0.2">
      <c r="A35" s="32"/>
      <c r="B35" s="32"/>
      <c r="C35" s="32"/>
      <c r="D35" s="32"/>
      <c r="E35" s="32"/>
      <c r="F35" s="65"/>
    </row>
    <row r="36" spans="1:6" ht="15.75" x14ac:dyDescent="0.2">
      <c r="A36" s="32"/>
      <c r="B36" s="716" t="s">
        <v>275</v>
      </c>
      <c r="C36" s="716"/>
      <c r="D36" s="267" t="str">
        <f>IF(D34&gt;0,(D34*0.001),"")</f>
        <v/>
      </c>
      <c r="E36" s="32"/>
      <c r="F36" s="65"/>
    </row>
    <row r="37" spans="1:6" ht="15.75" x14ac:dyDescent="0.2">
      <c r="A37" s="32"/>
      <c r="B37" s="182"/>
      <c r="C37" s="182"/>
      <c r="D37" s="268"/>
      <c r="E37" s="32"/>
      <c r="F37" s="65"/>
    </row>
    <row r="38" spans="1:6" ht="15.75" x14ac:dyDescent="0.2">
      <c r="A38" s="649" t="s">
        <v>276</v>
      </c>
      <c r="B38" s="714"/>
      <c r="C38" s="714"/>
      <c r="D38" s="139">
        <f>inputOth!E12</f>
        <v>0</v>
      </c>
      <c r="E38" s="74"/>
      <c r="F38" s="74"/>
    </row>
    <row r="39" spans="1:6" x14ac:dyDescent="0.2">
      <c r="A39" s="74"/>
      <c r="B39" s="74"/>
      <c r="C39" s="74"/>
      <c r="D39" s="140"/>
      <c r="E39" s="74"/>
      <c r="F39" s="74"/>
    </row>
    <row r="40" spans="1:6" ht="15.75" x14ac:dyDescent="0.2">
      <c r="A40" s="74"/>
      <c r="B40" s="649" t="s">
        <v>277</v>
      </c>
      <c r="C40" s="650"/>
      <c r="D40" s="267" t="str">
        <f>IF(D38&gt;0,(D38*0.001),"")</f>
        <v/>
      </c>
      <c r="E40" s="74"/>
      <c r="F40" s="74"/>
    </row>
    <row r="41" spans="1:6" x14ac:dyDescent="0.2">
      <c r="A41" s="74"/>
      <c r="B41" s="74"/>
      <c r="C41" s="74"/>
      <c r="D41" s="74"/>
      <c r="E41" s="74"/>
      <c r="F41" s="74"/>
    </row>
    <row r="42" spans="1:6" x14ac:dyDescent="0.2">
      <c r="A42" s="74"/>
      <c r="B42" s="74"/>
      <c r="C42" s="74"/>
      <c r="D42" s="74"/>
      <c r="E42" s="74"/>
      <c r="F42" s="74"/>
    </row>
    <row r="43" spans="1:6" x14ac:dyDescent="0.2">
      <c r="A43" s="74"/>
      <c r="B43" s="74"/>
      <c r="C43" s="74"/>
      <c r="D43" s="74"/>
      <c r="E43" s="74"/>
      <c r="F43" s="74"/>
    </row>
    <row r="44" spans="1:6" ht="15.75" x14ac:dyDescent="0.25">
      <c r="A44" s="5" t="str">
        <f>CONCATENATE("**This information comes from the ",F1," Budget Summary page.  See instructions step #12 for completing")</f>
        <v>**This information comes from the 2025 Budget Summary page.  See instructions step #12 for completing</v>
      </c>
      <c r="B44" s="74"/>
      <c r="C44" s="74"/>
      <c r="D44" s="74"/>
      <c r="E44" s="74"/>
      <c r="F44" s="74"/>
    </row>
    <row r="45" spans="1:6" ht="15.75" x14ac:dyDescent="0.25">
      <c r="A45" s="5" t="s">
        <v>304</v>
      </c>
      <c r="B45" s="74"/>
      <c r="C45" s="74"/>
      <c r="D45" s="74"/>
      <c r="E45" s="74"/>
      <c r="F45" s="74"/>
    </row>
    <row r="46" spans="1:6" ht="15.75" x14ac:dyDescent="0.25">
      <c r="A46" s="5"/>
      <c r="B46" s="74"/>
      <c r="C46" s="74"/>
      <c r="D46" s="74"/>
      <c r="E46" s="74"/>
      <c r="F46" s="74"/>
    </row>
    <row r="47" spans="1:6" ht="15.75" x14ac:dyDescent="0.25">
      <c r="A47" s="5"/>
      <c r="B47" s="74"/>
      <c r="C47" s="74"/>
      <c r="D47" s="74"/>
      <c r="E47" s="74"/>
      <c r="F47" s="74"/>
    </row>
    <row r="48" spans="1:6" ht="15.75" x14ac:dyDescent="0.25">
      <c r="A48" s="5"/>
      <c r="B48" s="74"/>
      <c r="C48" s="74"/>
      <c r="D48" s="74"/>
      <c r="E48" s="74"/>
      <c r="F48" s="74"/>
    </row>
    <row r="49" spans="1:6" ht="15.75" x14ac:dyDescent="0.25">
      <c r="A49" s="5"/>
      <c r="B49" s="74"/>
      <c r="C49" s="74"/>
      <c r="D49" s="74"/>
      <c r="E49" s="74"/>
      <c r="F49" s="74"/>
    </row>
    <row r="50" spans="1:6" ht="15.75" x14ac:dyDescent="0.25">
      <c r="A50" s="5"/>
      <c r="B50" s="74"/>
      <c r="C50" s="74"/>
      <c r="D50" s="74"/>
      <c r="E50" s="74"/>
      <c r="F50" s="74"/>
    </row>
    <row r="51" spans="1:6" x14ac:dyDescent="0.2">
      <c r="A51" s="74"/>
      <c r="B51" s="74"/>
      <c r="C51" s="74"/>
      <c r="D51" s="74"/>
      <c r="E51" s="74"/>
      <c r="F51" s="74"/>
    </row>
    <row r="52" spans="1:6" ht="15.75" x14ac:dyDescent="0.2">
      <c r="A52" s="74"/>
      <c r="B52" s="182" t="s">
        <v>96</v>
      </c>
      <c r="C52" s="428"/>
      <c r="D52" s="74"/>
      <c r="E52" s="74"/>
      <c r="F52" s="74"/>
    </row>
    <row r="53" spans="1:6" ht="15.75" x14ac:dyDescent="0.2">
      <c r="A53" s="65"/>
      <c r="B53" s="32"/>
      <c r="C53" s="32"/>
      <c r="D53" s="117"/>
      <c r="E53" s="65"/>
      <c r="F53" s="65"/>
    </row>
  </sheetData>
  <sheetProtection sheet="1"/>
  <mergeCells count="5">
    <mergeCell ref="B40:C40"/>
    <mergeCell ref="B3:E3"/>
    <mergeCell ref="A34:C34"/>
    <mergeCell ref="B36:C36"/>
    <mergeCell ref="A38:C38"/>
  </mergeCells>
  <phoneticPr fontId="10" type="noConversion"/>
  <pageMargins left="0.75" right="0.75" top="1" bottom="1" header="0.5" footer="0.5"/>
  <pageSetup scale="75" orientation="portrait" blackAndWhite="1" r:id="rId1"/>
  <headerFooter alignWithMargins="0">
    <oddHeader>&amp;RState of Kansas
County</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9EA73-9AE4-429A-8C26-64D547D5B531}">
  <sheetPr codeName="Sheet42"/>
  <dimension ref="A1:H14"/>
  <sheetViews>
    <sheetView workbookViewId="0">
      <selection activeCell="L14" sqref="L14"/>
    </sheetView>
  </sheetViews>
  <sheetFormatPr defaultRowHeight="15" x14ac:dyDescent="0.2"/>
  <cols>
    <col min="2" max="2" width="9" customWidth="1"/>
  </cols>
  <sheetData>
    <row r="1" spans="1:8" ht="15.75" x14ac:dyDescent="0.25">
      <c r="A1" s="717" t="s">
        <v>522</v>
      </c>
      <c r="B1" s="717"/>
      <c r="C1" s="717"/>
      <c r="D1" s="717"/>
      <c r="E1" s="717"/>
      <c r="F1" s="717"/>
      <c r="G1" s="717"/>
      <c r="H1" s="717"/>
    </row>
    <row r="2" spans="1:8" ht="15.75" x14ac:dyDescent="0.25">
      <c r="A2" s="1"/>
      <c r="B2" s="1"/>
      <c r="C2" s="1"/>
      <c r="D2" s="1"/>
      <c r="E2" s="1"/>
      <c r="F2" s="1"/>
      <c r="G2" s="1"/>
      <c r="H2" s="1"/>
    </row>
    <row r="3" spans="1:8" ht="52.5" customHeight="1" x14ac:dyDescent="0.25">
      <c r="A3" s="718" t="s">
        <v>523</v>
      </c>
      <c r="B3" s="718"/>
      <c r="C3" s="718"/>
      <c r="D3" s="718"/>
      <c r="E3" s="718"/>
      <c r="F3" s="718"/>
      <c r="G3" s="718"/>
      <c r="H3" s="718"/>
    </row>
    <row r="4" spans="1:8" ht="15.75" x14ac:dyDescent="0.25">
      <c r="A4" s="1"/>
      <c r="B4" s="1"/>
      <c r="C4" s="1"/>
      <c r="D4" s="1"/>
      <c r="E4" s="1"/>
      <c r="F4" s="1"/>
      <c r="G4" s="1"/>
      <c r="H4" s="1"/>
    </row>
    <row r="5" spans="1:8" ht="52.5" customHeight="1" x14ac:dyDescent="0.25">
      <c r="A5" s="498"/>
      <c r="B5" s="719" t="s">
        <v>524</v>
      </c>
      <c r="C5" s="719"/>
      <c r="D5" s="719"/>
      <c r="E5" s="719"/>
      <c r="F5" s="719"/>
      <c r="G5" s="719"/>
      <c r="H5" s="719"/>
    </row>
    <row r="6" spans="1:8" ht="15.75" x14ac:dyDescent="0.25">
      <c r="A6" s="1"/>
      <c r="B6" s="1"/>
      <c r="C6" s="1"/>
      <c r="D6" s="1"/>
      <c r="E6" s="1"/>
      <c r="F6" s="1"/>
      <c r="G6" s="1"/>
      <c r="H6" s="1"/>
    </row>
    <row r="7" spans="1:8" ht="32.25" customHeight="1" x14ac:dyDescent="0.25">
      <c r="A7" s="498"/>
      <c r="B7" s="719" t="s">
        <v>525</v>
      </c>
      <c r="C7" s="719"/>
      <c r="D7" s="719"/>
      <c r="E7" s="719"/>
      <c r="F7" s="719"/>
      <c r="G7" s="719"/>
      <c r="H7" s="719"/>
    </row>
    <row r="8" spans="1:8" ht="15.75" x14ac:dyDescent="0.25">
      <c r="A8" s="1"/>
      <c r="B8" s="1"/>
      <c r="C8" s="1"/>
      <c r="D8" s="1"/>
      <c r="E8" s="1"/>
      <c r="F8" s="1"/>
      <c r="G8" s="1"/>
      <c r="H8" s="1"/>
    </row>
    <row r="9" spans="1:8" ht="15.75" x14ac:dyDescent="0.25">
      <c r="A9" s="720" t="s">
        <v>526</v>
      </c>
      <c r="B9" s="720"/>
      <c r="C9" s="720"/>
      <c r="D9" s="720"/>
      <c r="E9" s="720"/>
      <c r="F9" s="720"/>
      <c r="G9" s="720"/>
      <c r="H9" s="720"/>
    </row>
    <row r="10" spans="1:8" ht="15.75" x14ac:dyDescent="0.25">
      <c r="A10" s="1"/>
      <c r="B10" s="1"/>
      <c r="C10" s="1"/>
      <c r="D10" s="1"/>
      <c r="E10" s="1"/>
      <c r="F10" s="1"/>
      <c r="G10" s="1"/>
      <c r="H10" s="1"/>
    </row>
    <row r="11" spans="1:8" ht="15.75" x14ac:dyDescent="0.25">
      <c r="A11" s="1"/>
      <c r="B11" s="1"/>
      <c r="C11" s="1"/>
      <c r="D11" s="1"/>
      <c r="E11" s="1"/>
      <c r="F11" s="1"/>
      <c r="G11" s="1"/>
      <c r="H11" s="1"/>
    </row>
    <row r="12" spans="1:8" ht="15.75" x14ac:dyDescent="0.25">
      <c r="A12" s="1"/>
      <c r="B12" s="1"/>
      <c r="C12" s="1"/>
      <c r="D12" s="1"/>
      <c r="E12" s="1"/>
      <c r="F12" s="1"/>
      <c r="G12" s="1"/>
      <c r="H12" s="1"/>
    </row>
    <row r="13" spans="1:8" ht="15.75" x14ac:dyDescent="0.25">
      <c r="A13" s="1" t="s">
        <v>527</v>
      </c>
      <c r="B13" s="1"/>
      <c r="C13" s="1"/>
      <c r="D13" s="1"/>
      <c r="E13" s="1"/>
      <c r="F13" s="498"/>
      <c r="G13" s="498"/>
      <c r="H13" s="498"/>
    </row>
    <row r="14" spans="1:8" ht="15.75" x14ac:dyDescent="0.25">
      <c r="A14" s="1"/>
      <c r="B14" s="1"/>
      <c r="C14" s="1"/>
      <c r="D14" s="1"/>
      <c r="E14" s="1"/>
      <c r="F14" s="1" t="s">
        <v>528</v>
      </c>
    </row>
  </sheetData>
  <mergeCells count="5">
    <mergeCell ref="A1:H1"/>
    <mergeCell ref="A3:H3"/>
    <mergeCell ref="B5:H5"/>
    <mergeCell ref="B7:H7"/>
    <mergeCell ref="A9:H9"/>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F8594-1A67-4412-B874-73878CA8D791}">
  <dimension ref="A1:G22"/>
  <sheetViews>
    <sheetView workbookViewId="0">
      <selection activeCell="A2" sqref="A1:A1048576"/>
    </sheetView>
  </sheetViews>
  <sheetFormatPr defaultRowHeight="15.75" x14ac:dyDescent="0.25"/>
  <cols>
    <col min="1" max="1" width="11.5546875" style="548" customWidth="1"/>
    <col min="2" max="2" width="11.44140625" style="548" customWidth="1"/>
    <col min="3" max="3" width="11.5546875" style="548" customWidth="1"/>
    <col min="4" max="4" width="12.109375" style="548" customWidth="1"/>
    <col min="5" max="5" width="8.5546875" style="548" customWidth="1"/>
    <col min="6" max="6" width="8.6640625" style="548" customWidth="1"/>
    <col min="7" max="7" width="8.44140625" style="548" customWidth="1"/>
    <col min="8" max="256" width="8.88671875" style="548"/>
    <col min="257" max="260" width="11.5546875" style="548" customWidth="1"/>
    <col min="261" max="263" width="10.5546875" style="548" customWidth="1"/>
    <col min="264" max="512" width="8.88671875" style="548"/>
    <col min="513" max="516" width="11.5546875" style="548" customWidth="1"/>
    <col min="517" max="519" width="10.5546875" style="548" customWidth="1"/>
    <col min="520" max="768" width="8.88671875" style="548"/>
    <col min="769" max="772" width="11.5546875" style="548" customWidth="1"/>
    <col min="773" max="775" width="10.5546875" style="548" customWidth="1"/>
    <col min="776" max="1024" width="8.88671875" style="548"/>
    <col min="1025" max="1028" width="11.5546875" style="548" customWidth="1"/>
    <col min="1029" max="1031" width="10.5546875" style="548" customWidth="1"/>
    <col min="1032" max="1280" width="8.88671875" style="548"/>
    <col min="1281" max="1284" width="11.5546875" style="548" customWidth="1"/>
    <col min="1285" max="1287" width="10.5546875" style="548" customWidth="1"/>
    <col min="1288" max="1536" width="8.88671875" style="548"/>
    <col min="1537" max="1540" width="11.5546875" style="548" customWidth="1"/>
    <col min="1541" max="1543" width="10.5546875" style="548" customWidth="1"/>
    <col min="1544" max="1792" width="8.88671875" style="548"/>
    <col min="1793" max="1796" width="11.5546875" style="548" customWidth="1"/>
    <col min="1797" max="1799" width="10.5546875" style="548" customWidth="1"/>
    <col min="1800" max="2048" width="8.88671875" style="548"/>
    <col min="2049" max="2052" width="11.5546875" style="548" customWidth="1"/>
    <col min="2053" max="2055" width="10.5546875" style="548" customWidth="1"/>
    <col min="2056" max="2304" width="8.88671875" style="548"/>
    <col min="2305" max="2308" width="11.5546875" style="548" customWidth="1"/>
    <col min="2309" max="2311" width="10.5546875" style="548" customWidth="1"/>
    <col min="2312" max="2560" width="8.88671875" style="548"/>
    <col min="2561" max="2564" width="11.5546875" style="548" customWidth="1"/>
    <col min="2565" max="2567" width="10.5546875" style="548" customWidth="1"/>
    <col min="2568" max="2816" width="8.88671875" style="548"/>
    <col min="2817" max="2820" width="11.5546875" style="548" customWidth="1"/>
    <col min="2821" max="2823" width="10.5546875" style="548" customWidth="1"/>
    <col min="2824" max="3072" width="8.88671875" style="548"/>
    <col min="3073" max="3076" width="11.5546875" style="548" customWidth="1"/>
    <col min="3077" max="3079" width="10.5546875" style="548" customWidth="1"/>
    <col min="3080" max="3328" width="8.88671875" style="548"/>
    <col min="3329" max="3332" width="11.5546875" style="548" customWidth="1"/>
    <col min="3333" max="3335" width="10.5546875" style="548" customWidth="1"/>
    <col min="3336" max="3584" width="8.88671875" style="548"/>
    <col min="3585" max="3588" width="11.5546875" style="548" customWidth="1"/>
    <col min="3589" max="3591" width="10.5546875" style="548" customWidth="1"/>
    <col min="3592" max="3840" width="8.88671875" style="548"/>
    <col min="3841" max="3844" width="11.5546875" style="548" customWidth="1"/>
    <col min="3845" max="3847" width="10.5546875" style="548" customWidth="1"/>
    <col min="3848" max="4096" width="8.88671875" style="548"/>
    <col min="4097" max="4100" width="11.5546875" style="548" customWidth="1"/>
    <col min="4101" max="4103" width="10.5546875" style="548" customWidth="1"/>
    <col min="4104" max="4352" width="8.88671875" style="548"/>
    <col min="4353" max="4356" width="11.5546875" style="548" customWidth="1"/>
    <col min="4357" max="4359" width="10.5546875" style="548" customWidth="1"/>
    <col min="4360" max="4608" width="8.88671875" style="548"/>
    <col min="4609" max="4612" width="11.5546875" style="548" customWidth="1"/>
    <col min="4613" max="4615" width="10.5546875" style="548" customWidth="1"/>
    <col min="4616" max="4864" width="8.88671875" style="548"/>
    <col min="4865" max="4868" width="11.5546875" style="548" customWidth="1"/>
    <col min="4869" max="4871" width="10.5546875" style="548" customWidth="1"/>
    <col min="4872" max="5120" width="8.88671875" style="548"/>
    <col min="5121" max="5124" width="11.5546875" style="548" customWidth="1"/>
    <col min="5125" max="5127" width="10.5546875" style="548" customWidth="1"/>
    <col min="5128" max="5376" width="8.88671875" style="548"/>
    <col min="5377" max="5380" width="11.5546875" style="548" customWidth="1"/>
    <col min="5381" max="5383" width="10.5546875" style="548" customWidth="1"/>
    <col min="5384" max="5632" width="8.88671875" style="548"/>
    <col min="5633" max="5636" width="11.5546875" style="548" customWidth="1"/>
    <col min="5637" max="5639" width="10.5546875" style="548" customWidth="1"/>
    <col min="5640" max="5888" width="8.88671875" style="548"/>
    <col min="5889" max="5892" width="11.5546875" style="548" customWidth="1"/>
    <col min="5893" max="5895" width="10.5546875" style="548" customWidth="1"/>
    <col min="5896" max="6144" width="8.88671875" style="548"/>
    <col min="6145" max="6148" width="11.5546875" style="548" customWidth="1"/>
    <col min="6149" max="6151" width="10.5546875" style="548" customWidth="1"/>
    <col min="6152" max="6400" width="8.88671875" style="548"/>
    <col min="6401" max="6404" width="11.5546875" style="548" customWidth="1"/>
    <col min="6405" max="6407" width="10.5546875" style="548" customWidth="1"/>
    <col min="6408" max="6656" width="8.88671875" style="548"/>
    <col min="6657" max="6660" width="11.5546875" style="548" customWidth="1"/>
    <col min="6661" max="6663" width="10.5546875" style="548" customWidth="1"/>
    <col min="6664" max="6912" width="8.88671875" style="548"/>
    <col min="6913" max="6916" width="11.5546875" style="548" customWidth="1"/>
    <col min="6917" max="6919" width="10.5546875" style="548" customWidth="1"/>
    <col min="6920" max="7168" width="8.88671875" style="548"/>
    <col min="7169" max="7172" width="11.5546875" style="548" customWidth="1"/>
    <col min="7173" max="7175" width="10.5546875" style="548" customWidth="1"/>
    <col min="7176" max="7424" width="8.88671875" style="548"/>
    <col min="7425" max="7428" width="11.5546875" style="548" customWidth="1"/>
    <col min="7429" max="7431" width="10.5546875" style="548" customWidth="1"/>
    <col min="7432" max="7680" width="8.88671875" style="548"/>
    <col min="7681" max="7684" width="11.5546875" style="548" customWidth="1"/>
    <col min="7685" max="7687" width="10.5546875" style="548" customWidth="1"/>
    <col min="7688" max="7936" width="8.88671875" style="548"/>
    <col min="7937" max="7940" width="11.5546875" style="548" customWidth="1"/>
    <col min="7941" max="7943" width="10.5546875" style="548" customWidth="1"/>
    <col min="7944" max="8192" width="8.88671875" style="548"/>
    <col min="8193" max="8196" width="11.5546875" style="548" customWidth="1"/>
    <col min="8197" max="8199" width="10.5546875" style="548" customWidth="1"/>
    <col min="8200" max="8448" width="8.88671875" style="548"/>
    <col min="8449" max="8452" width="11.5546875" style="548" customWidth="1"/>
    <col min="8453" max="8455" width="10.5546875" style="548" customWidth="1"/>
    <col min="8456" max="8704" width="8.88671875" style="548"/>
    <col min="8705" max="8708" width="11.5546875" style="548" customWidth="1"/>
    <col min="8709" max="8711" width="10.5546875" style="548" customWidth="1"/>
    <col min="8712" max="8960" width="8.88671875" style="548"/>
    <col min="8961" max="8964" width="11.5546875" style="548" customWidth="1"/>
    <col min="8965" max="8967" width="10.5546875" style="548" customWidth="1"/>
    <col min="8968" max="9216" width="8.88671875" style="548"/>
    <col min="9217" max="9220" width="11.5546875" style="548" customWidth="1"/>
    <col min="9221" max="9223" width="10.5546875" style="548" customWidth="1"/>
    <col min="9224" max="9472" width="8.88671875" style="548"/>
    <col min="9473" max="9476" width="11.5546875" style="548" customWidth="1"/>
    <col min="9477" max="9479" width="10.5546875" style="548" customWidth="1"/>
    <col min="9480" max="9728" width="8.88671875" style="548"/>
    <col min="9729" max="9732" width="11.5546875" style="548" customWidth="1"/>
    <col min="9733" max="9735" width="10.5546875" style="548" customWidth="1"/>
    <col min="9736" max="9984" width="8.88671875" style="548"/>
    <col min="9985" max="9988" width="11.5546875" style="548" customWidth="1"/>
    <col min="9989" max="9991" width="10.5546875" style="548" customWidth="1"/>
    <col min="9992" max="10240" width="8.88671875" style="548"/>
    <col min="10241" max="10244" width="11.5546875" style="548" customWidth="1"/>
    <col min="10245" max="10247" width="10.5546875" style="548" customWidth="1"/>
    <col min="10248" max="10496" width="8.88671875" style="548"/>
    <col min="10497" max="10500" width="11.5546875" style="548" customWidth="1"/>
    <col min="10501" max="10503" width="10.5546875" style="548" customWidth="1"/>
    <col min="10504" max="10752" width="8.88671875" style="548"/>
    <col min="10753" max="10756" width="11.5546875" style="548" customWidth="1"/>
    <col min="10757" max="10759" width="10.5546875" style="548" customWidth="1"/>
    <col min="10760" max="11008" width="8.88671875" style="548"/>
    <col min="11009" max="11012" width="11.5546875" style="548" customWidth="1"/>
    <col min="11013" max="11015" width="10.5546875" style="548" customWidth="1"/>
    <col min="11016" max="11264" width="8.88671875" style="548"/>
    <col min="11265" max="11268" width="11.5546875" style="548" customWidth="1"/>
    <col min="11269" max="11271" width="10.5546875" style="548" customWidth="1"/>
    <col min="11272" max="11520" width="8.88671875" style="548"/>
    <col min="11521" max="11524" width="11.5546875" style="548" customWidth="1"/>
    <col min="11525" max="11527" width="10.5546875" style="548" customWidth="1"/>
    <col min="11528" max="11776" width="8.88671875" style="548"/>
    <col min="11777" max="11780" width="11.5546875" style="548" customWidth="1"/>
    <col min="11781" max="11783" width="10.5546875" style="548" customWidth="1"/>
    <col min="11784" max="12032" width="8.88671875" style="548"/>
    <col min="12033" max="12036" width="11.5546875" style="548" customWidth="1"/>
    <col min="12037" max="12039" width="10.5546875" style="548" customWidth="1"/>
    <col min="12040" max="12288" width="8.88671875" style="548"/>
    <col min="12289" max="12292" width="11.5546875" style="548" customWidth="1"/>
    <col min="12293" max="12295" width="10.5546875" style="548" customWidth="1"/>
    <col min="12296" max="12544" width="8.88671875" style="548"/>
    <col min="12545" max="12548" width="11.5546875" style="548" customWidth="1"/>
    <col min="12549" max="12551" width="10.5546875" style="548" customWidth="1"/>
    <col min="12552" max="12800" width="8.88671875" style="548"/>
    <col min="12801" max="12804" width="11.5546875" style="548" customWidth="1"/>
    <col min="12805" max="12807" width="10.5546875" style="548" customWidth="1"/>
    <col min="12808" max="13056" width="8.88671875" style="548"/>
    <col min="13057" max="13060" width="11.5546875" style="548" customWidth="1"/>
    <col min="13061" max="13063" width="10.5546875" style="548" customWidth="1"/>
    <col min="13064" max="13312" width="8.88671875" style="548"/>
    <col min="13313" max="13316" width="11.5546875" style="548" customWidth="1"/>
    <col min="13317" max="13319" width="10.5546875" style="548" customWidth="1"/>
    <col min="13320" max="13568" width="8.88671875" style="548"/>
    <col min="13569" max="13572" width="11.5546875" style="548" customWidth="1"/>
    <col min="13573" max="13575" width="10.5546875" style="548" customWidth="1"/>
    <col min="13576" max="13824" width="8.88671875" style="548"/>
    <col min="13825" max="13828" width="11.5546875" style="548" customWidth="1"/>
    <col min="13829" max="13831" width="10.5546875" style="548" customWidth="1"/>
    <col min="13832" max="14080" width="8.88671875" style="548"/>
    <col min="14081" max="14084" width="11.5546875" style="548" customWidth="1"/>
    <col min="14085" max="14087" width="10.5546875" style="548" customWidth="1"/>
    <col min="14088" max="14336" width="8.88671875" style="548"/>
    <col min="14337" max="14340" width="11.5546875" style="548" customWidth="1"/>
    <col min="14341" max="14343" width="10.5546875" style="548" customWidth="1"/>
    <col min="14344" max="14592" width="8.88671875" style="548"/>
    <col min="14593" max="14596" width="11.5546875" style="548" customWidth="1"/>
    <col min="14597" max="14599" width="10.5546875" style="548" customWidth="1"/>
    <col min="14600" max="14848" width="8.88671875" style="548"/>
    <col min="14849" max="14852" width="11.5546875" style="548" customWidth="1"/>
    <col min="14853" max="14855" width="10.5546875" style="548" customWidth="1"/>
    <col min="14856" max="15104" width="8.88671875" style="548"/>
    <col min="15105" max="15108" width="11.5546875" style="548" customWidth="1"/>
    <col min="15109" max="15111" width="10.5546875" style="548" customWidth="1"/>
    <col min="15112" max="15360" width="8.88671875" style="548"/>
    <col min="15361" max="15364" width="11.5546875" style="548" customWidth="1"/>
    <col min="15365" max="15367" width="10.5546875" style="548" customWidth="1"/>
    <col min="15368" max="15616" width="8.88671875" style="548"/>
    <col min="15617" max="15620" width="11.5546875" style="548" customWidth="1"/>
    <col min="15621" max="15623" width="10.5546875" style="548" customWidth="1"/>
    <col min="15624" max="15872" width="8.88671875" style="548"/>
    <col min="15873" max="15876" width="11.5546875" style="548" customWidth="1"/>
    <col min="15877" max="15879" width="10.5546875" style="548" customWidth="1"/>
    <col min="15880" max="16128" width="8.88671875" style="548"/>
    <col min="16129" max="16132" width="11.5546875" style="548" customWidth="1"/>
    <col min="16133" max="16135" width="10.5546875" style="548" customWidth="1"/>
    <col min="16136" max="16384" width="8.88671875" style="548"/>
  </cols>
  <sheetData>
    <row r="1" spans="1:7" ht="18.75" x14ac:dyDescent="0.3">
      <c r="A1" s="724" t="s">
        <v>579</v>
      </c>
      <c r="B1" s="724"/>
      <c r="C1" s="724"/>
      <c r="D1" s="724"/>
      <c r="E1" s="724"/>
      <c r="F1" s="724"/>
      <c r="G1" s="724"/>
    </row>
    <row r="2" spans="1:7" x14ac:dyDescent="0.25">
      <c r="A2" s="549"/>
      <c r="B2" s="549"/>
      <c r="C2" s="549"/>
      <c r="D2" s="549"/>
      <c r="E2" s="549"/>
      <c r="F2" s="549"/>
      <c r="G2" s="549"/>
    </row>
    <row r="3" spans="1:7" ht="32.25" customHeight="1" x14ac:dyDescent="0.25">
      <c r="A3" s="725" t="s">
        <v>580</v>
      </c>
      <c r="B3" s="725"/>
      <c r="C3" s="725"/>
      <c r="D3" s="725"/>
      <c r="E3" s="725"/>
      <c r="F3" s="725"/>
      <c r="G3" s="725"/>
    </row>
    <row r="4" spans="1:7" ht="8.25" customHeight="1" x14ac:dyDescent="0.25">
      <c r="A4" s="550"/>
      <c r="B4" s="550"/>
      <c r="C4" s="550"/>
      <c r="D4" s="550"/>
      <c r="E4" s="550"/>
      <c r="F4" s="550"/>
      <c r="G4" s="550"/>
    </row>
    <row r="5" spans="1:7" x14ac:dyDescent="0.25">
      <c r="A5" s="726" t="s">
        <v>581</v>
      </c>
      <c r="B5" s="726"/>
      <c r="C5" s="726"/>
      <c r="D5" s="726"/>
      <c r="E5" s="726"/>
      <c r="F5" s="726"/>
      <c r="G5" s="726"/>
    </row>
    <row r="6" spans="1:7" ht="8.25" customHeight="1" x14ac:dyDescent="0.25">
      <c r="A6" s="551"/>
      <c r="B6" s="551"/>
      <c r="C6" s="551"/>
      <c r="D6" s="551"/>
      <c r="E6" s="551"/>
      <c r="F6" s="551"/>
      <c r="G6" s="551"/>
    </row>
    <row r="7" spans="1:7" x14ac:dyDescent="0.25">
      <c r="A7" s="726" t="s">
        <v>582</v>
      </c>
      <c r="B7" s="726"/>
      <c r="C7" s="726"/>
      <c r="D7" s="726"/>
      <c r="E7" s="726"/>
      <c r="F7" s="726"/>
      <c r="G7" s="726"/>
    </row>
    <row r="8" spans="1:7" x14ac:dyDescent="0.25">
      <c r="A8" s="551"/>
      <c r="B8" s="551"/>
      <c r="C8" s="551"/>
      <c r="D8" s="551"/>
      <c r="E8" s="551"/>
      <c r="F8" s="551"/>
      <c r="G8" s="551"/>
    </row>
    <row r="9" spans="1:7" ht="22.5" customHeight="1" x14ac:dyDescent="0.25">
      <c r="A9" s="727" t="s">
        <v>583</v>
      </c>
      <c r="B9" s="728"/>
      <c r="C9" s="728"/>
      <c r="D9" s="729"/>
      <c r="E9" s="552" t="s">
        <v>584</v>
      </c>
      <c r="F9" s="552" t="s">
        <v>585</v>
      </c>
      <c r="G9" s="552" t="s">
        <v>586</v>
      </c>
    </row>
    <row r="10" spans="1:7" ht="22.5" customHeight="1" x14ac:dyDescent="0.25">
      <c r="A10" s="721"/>
      <c r="B10" s="722"/>
      <c r="C10" s="722"/>
      <c r="D10" s="723"/>
      <c r="E10" s="553"/>
      <c r="F10" s="553"/>
      <c r="G10" s="553"/>
    </row>
    <row r="11" spans="1:7" ht="22.5" customHeight="1" x14ac:dyDescent="0.25">
      <c r="A11" s="721"/>
      <c r="B11" s="722"/>
      <c r="C11" s="722"/>
      <c r="D11" s="723"/>
      <c r="E11" s="553"/>
      <c r="F11" s="553"/>
      <c r="G11" s="553"/>
    </row>
    <row r="12" spans="1:7" ht="22.5" customHeight="1" x14ac:dyDescent="0.25">
      <c r="A12" s="730"/>
      <c r="B12" s="730"/>
      <c r="C12" s="730"/>
      <c r="D12" s="730"/>
      <c r="E12" s="553"/>
      <c r="F12" s="553"/>
      <c r="G12" s="553"/>
    </row>
    <row r="13" spans="1:7" ht="22.5" customHeight="1" x14ac:dyDescent="0.25">
      <c r="A13" s="730"/>
      <c r="B13" s="730"/>
      <c r="C13" s="730"/>
      <c r="D13" s="730"/>
      <c r="E13" s="553"/>
      <c r="F13" s="553"/>
      <c r="G13" s="553"/>
    </row>
    <row r="14" spans="1:7" ht="22.5" customHeight="1" x14ac:dyDescent="0.25">
      <c r="A14" s="730"/>
      <c r="B14" s="730"/>
      <c r="C14" s="730"/>
      <c r="D14" s="730"/>
      <c r="E14" s="553"/>
      <c r="F14" s="553"/>
      <c r="G14" s="553"/>
    </row>
    <row r="15" spans="1:7" ht="22.5" customHeight="1" x14ac:dyDescent="0.25">
      <c r="A15" s="730"/>
      <c r="B15" s="730"/>
      <c r="C15" s="730"/>
      <c r="D15" s="730"/>
      <c r="E15" s="553"/>
      <c r="F15" s="553"/>
      <c r="G15" s="553"/>
    </row>
    <row r="16" spans="1:7" ht="22.5" customHeight="1" x14ac:dyDescent="0.25">
      <c r="A16" s="730"/>
      <c r="B16" s="730"/>
      <c r="C16" s="730"/>
      <c r="D16" s="730"/>
      <c r="E16" s="553"/>
      <c r="F16" s="553"/>
      <c r="G16" s="553"/>
    </row>
    <row r="17" spans="1:7" ht="22.5" customHeight="1" x14ac:dyDescent="0.25">
      <c r="A17" s="730"/>
      <c r="B17" s="730"/>
      <c r="C17" s="730"/>
      <c r="D17" s="730"/>
      <c r="E17" s="553"/>
      <c r="F17" s="553"/>
      <c r="G17" s="553"/>
    </row>
    <row r="18" spans="1:7" ht="22.5" customHeight="1" thickBot="1" x14ac:dyDescent="0.3">
      <c r="A18" s="731"/>
      <c r="B18" s="731"/>
      <c r="C18" s="731"/>
      <c r="D18" s="731"/>
      <c r="E18" s="554"/>
      <c r="F18" s="554"/>
      <c r="G18" s="554"/>
    </row>
    <row r="19" spans="1:7" ht="22.5" customHeight="1" thickTop="1" x14ac:dyDescent="0.25">
      <c r="A19" s="732" t="s">
        <v>23</v>
      </c>
      <c r="B19" s="732"/>
      <c r="C19" s="732"/>
      <c r="D19" s="732"/>
      <c r="E19" s="555"/>
      <c r="F19" s="555"/>
      <c r="G19" s="555"/>
    </row>
    <row r="21" spans="1:7" x14ac:dyDescent="0.25">
      <c r="A21" s="556" t="s">
        <v>587</v>
      </c>
      <c r="B21" s="557"/>
    </row>
    <row r="22" spans="1:7" x14ac:dyDescent="0.25">
      <c r="A22" s="733"/>
      <c r="B22" s="733"/>
      <c r="C22" s="733"/>
    </row>
  </sheetData>
  <mergeCells count="16">
    <mergeCell ref="A17:D17"/>
    <mergeCell ref="A18:D18"/>
    <mergeCell ref="A19:D19"/>
    <mergeCell ref="A22:C22"/>
    <mergeCell ref="A11:D11"/>
    <mergeCell ref="A12:D12"/>
    <mergeCell ref="A13:D13"/>
    <mergeCell ref="A14:D14"/>
    <mergeCell ref="A15:D15"/>
    <mergeCell ref="A16:D16"/>
    <mergeCell ref="A10:D10"/>
    <mergeCell ref="A1:G1"/>
    <mergeCell ref="A3:G3"/>
    <mergeCell ref="A5:G5"/>
    <mergeCell ref="A7:G7"/>
    <mergeCell ref="A9:D9"/>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79359-80A7-463A-8623-1396E5D4B9BE}">
  <sheetPr codeName="Sheet43"/>
  <dimension ref="A1:G19"/>
  <sheetViews>
    <sheetView topLeftCell="A6" workbookViewId="0">
      <selection activeCell="P7" sqref="P7"/>
    </sheetView>
  </sheetViews>
  <sheetFormatPr defaultRowHeight="15.75" x14ac:dyDescent="0.25"/>
  <cols>
    <col min="1" max="1" width="8.88671875" style="1"/>
    <col min="4" max="4" width="18" customWidth="1"/>
    <col min="7" max="7" width="12.77734375" customWidth="1"/>
  </cols>
  <sheetData>
    <row r="1" spans="1:7" x14ac:dyDescent="0.25">
      <c r="A1" s="720" t="s">
        <v>529</v>
      </c>
      <c r="B1" s="720"/>
      <c r="C1" s="720"/>
      <c r="D1" s="720"/>
      <c r="E1" s="720"/>
      <c r="F1" s="720"/>
      <c r="G1" s="720"/>
    </row>
    <row r="3" spans="1:7" ht="54" customHeight="1" x14ac:dyDescent="0.25">
      <c r="A3" s="735" t="s">
        <v>530</v>
      </c>
      <c r="B3" s="735"/>
      <c r="C3" s="735"/>
      <c r="D3" s="735"/>
      <c r="E3" s="735"/>
      <c r="F3" s="735"/>
      <c r="G3" s="735"/>
    </row>
    <row r="4" spans="1:7" ht="55.5" customHeight="1" x14ac:dyDescent="0.25">
      <c r="A4" s="736" t="s">
        <v>531</v>
      </c>
      <c r="B4" s="736"/>
      <c r="C4" s="736"/>
      <c r="D4" s="736"/>
      <c r="E4" s="736"/>
      <c r="F4" s="736"/>
      <c r="G4" s="736"/>
    </row>
    <row r="5" spans="1:7" ht="55.5" customHeight="1" x14ac:dyDescent="0.25">
      <c r="A5" s="736" t="s">
        <v>532</v>
      </c>
      <c r="B5" s="736"/>
      <c r="C5" s="736"/>
      <c r="D5" s="736"/>
      <c r="E5" s="736"/>
      <c r="F5" s="736"/>
      <c r="G5" s="736"/>
    </row>
    <row r="6" spans="1:7" ht="55.5" customHeight="1" x14ac:dyDescent="0.25">
      <c r="A6" s="736" t="s">
        <v>533</v>
      </c>
      <c r="B6" s="736"/>
      <c r="C6" s="736"/>
      <c r="D6" s="736"/>
      <c r="E6" s="736"/>
      <c r="F6" s="736"/>
      <c r="G6" s="736"/>
    </row>
    <row r="7" spans="1:7" ht="55.5" customHeight="1" x14ac:dyDescent="0.25">
      <c r="A7" s="736" t="s">
        <v>534</v>
      </c>
      <c r="B7" s="736"/>
      <c r="C7" s="736"/>
      <c r="D7" s="736"/>
      <c r="E7" s="736"/>
      <c r="F7" s="736"/>
      <c r="G7" s="736"/>
    </row>
    <row r="8" spans="1:7" ht="55.5" customHeight="1" x14ac:dyDescent="0.25">
      <c r="A8" s="735" t="s">
        <v>535</v>
      </c>
      <c r="B8" s="735"/>
      <c r="C8" s="735"/>
      <c r="D8" s="735"/>
      <c r="E8" s="735"/>
      <c r="F8" s="735"/>
      <c r="G8" s="735"/>
    </row>
    <row r="9" spans="1:7" ht="55.5" customHeight="1" x14ac:dyDescent="0.25">
      <c r="A9" s="736" t="s">
        <v>536</v>
      </c>
      <c r="B9" s="736"/>
      <c r="C9" s="736"/>
      <c r="D9" s="736"/>
      <c r="E9" s="736"/>
      <c r="F9" s="736"/>
      <c r="G9" s="736"/>
    </row>
    <row r="10" spans="1:7" ht="55.5" customHeight="1" x14ac:dyDescent="0.25">
      <c r="A10" s="736" t="s">
        <v>537</v>
      </c>
      <c r="B10" s="736"/>
      <c r="C10" s="736"/>
      <c r="D10" s="736"/>
      <c r="E10" s="736"/>
      <c r="F10" s="736"/>
      <c r="G10" s="736"/>
    </row>
    <row r="11" spans="1:7" ht="39" customHeight="1" x14ac:dyDescent="0.25">
      <c r="A11" s="736" t="s">
        <v>538</v>
      </c>
      <c r="B11" s="736"/>
      <c r="C11" s="736"/>
      <c r="D11" s="736"/>
      <c r="E11" s="736"/>
      <c r="F11" s="736"/>
      <c r="G11" s="736"/>
    </row>
    <row r="12" spans="1:7" ht="18" customHeight="1" x14ac:dyDescent="0.25">
      <c r="A12" s="734" t="s">
        <v>539</v>
      </c>
      <c r="B12" s="734"/>
      <c r="C12" s="734"/>
      <c r="D12" s="734"/>
      <c r="E12" s="734"/>
      <c r="F12" s="734"/>
      <c r="G12" s="734"/>
    </row>
    <row r="13" spans="1:7" ht="18" customHeight="1" x14ac:dyDescent="0.25">
      <c r="A13" s="734" t="s">
        <v>539</v>
      </c>
      <c r="B13" s="734"/>
      <c r="C13" s="734"/>
      <c r="D13" s="734"/>
      <c r="E13" s="734"/>
      <c r="F13" s="734"/>
      <c r="G13" s="734"/>
    </row>
    <row r="14" spans="1:7" ht="18" customHeight="1" x14ac:dyDescent="0.25">
      <c r="A14" s="734" t="s">
        <v>539</v>
      </c>
      <c r="B14" s="734"/>
      <c r="C14" s="734"/>
      <c r="D14" s="734"/>
      <c r="E14" s="734"/>
      <c r="F14" s="734"/>
      <c r="G14" s="734"/>
    </row>
    <row r="15" spans="1:7" ht="18" customHeight="1" x14ac:dyDescent="0.25">
      <c r="A15" s="734" t="s">
        <v>539</v>
      </c>
      <c r="B15" s="734"/>
      <c r="C15" s="734"/>
      <c r="D15" s="734"/>
      <c r="E15" s="734"/>
      <c r="F15" s="734"/>
      <c r="G15" s="734"/>
    </row>
    <row r="16" spans="1:7" ht="18" customHeight="1" x14ac:dyDescent="0.25">
      <c r="A16" s="499"/>
      <c r="B16" s="499"/>
      <c r="C16" s="400"/>
      <c r="D16" s="400"/>
      <c r="E16" s="400"/>
      <c r="F16" s="499"/>
      <c r="G16" s="499"/>
    </row>
    <row r="17" spans="1:7" x14ac:dyDescent="0.25">
      <c r="A17" s="719" t="s">
        <v>540</v>
      </c>
      <c r="B17" s="719"/>
      <c r="C17" s="719"/>
      <c r="D17" s="719"/>
      <c r="E17" s="719"/>
      <c r="F17" s="719"/>
      <c r="G17" s="719"/>
    </row>
    <row r="18" spans="1:7" ht="18" customHeight="1" x14ac:dyDescent="0.25">
      <c r="A18" s="719" t="s">
        <v>541</v>
      </c>
      <c r="B18" s="719"/>
      <c r="C18" s="719"/>
      <c r="D18" s="719"/>
      <c r="E18" s="719"/>
      <c r="F18" s="719"/>
      <c r="G18" s="719"/>
    </row>
    <row r="19" spans="1:7" x14ac:dyDescent="0.25">
      <c r="A19" s="719" t="s">
        <v>542</v>
      </c>
      <c r="B19" s="719"/>
      <c r="C19" s="719"/>
      <c r="D19" s="719"/>
      <c r="E19" s="719"/>
      <c r="F19" s="719"/>
      <c r="G19" s="719"/>
    </row>
  </sheetData>
  <sheetProtection sheet="1" objects="1" scenarios="1"/>
  <mergeCells count="17">
    <mergeCell ref="A14:G14"/>
    <mergeCell ref="A15:G15"/>
    <mergeCell ref="A17:G17"/>
    <mergeCell ref="A18:G18"/>
    <mergeCell ref="A19:G19"/>
    <mergeCell ref="A13:G13"/>
    <mergeCell ref="A1:G1"/>
    <mergeCell ref="A3:G3"/>
    <mergeCell ref="A4:G4"/>
    <mergeCell ref="A5:G5"/>
    <mergeCell ref="A6:G6"/>
    <mergeCell ref="A7:G7"/>
    <mergeCell ref="A8:G8"/>
    <mergeCell ref="A9:G9"/>
    <mergeCell ref="A10:G10"/>
    <mergeCell ref="A11:G11"/>
    <mergeCell ref="A12:G1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7F4AF-D9A2-4CC8-A6B7-3E596CC519F0}">
  <sheetPr>
    <tabColor rgb="FFFF0000"/>
  </sheetPr>
  <dimension ref="A1:L64"/>
  <sheetViews>
    <sheetView workbookViewId="0">
      <selection sqref="A1:A2"/>
    </sheetView>
  </sheetViews>
  <sheetFormatPr defaultRowHeight="15.75" x14ac:dyDescent="0.25"/>
  <cols>
    <col min="1" max="1" width="67" style="1" customWidth="1"/>
  </cols>
  <sheetData>
    <row r="1" spans="1:12" ht="15.75" customHeight="1" x14ac:dyDescent="0.2">
      <c r="A1" s="737" t="s">
        <v>576</v>
      </c>
    </row>
    <row r="2" spans="1:12" ht="15.75" customHeight="1" x14ac:dyDescent="0.2">
      <c r="A2" s="738"/>
    </row>
    <row r="3" spans="1:12" x14ac:dyDescent="0.25">
      <c r="A3" s="541" t="s">
        <v>283</v>
      </c>
      <c r="B3" s="277"/>
      <c r="C3" s="277"/>
      <c r="D3" s="277"/>
      <c r="E3" s="277"/>
      <c r="F3" s="277"/>
      <c r="G3" s="277"/>
      <c r="H3" s="277"/>
      <c r="I3" s="277"/>
      <c r="J3" s="277"/>
      <c r="K3" s="277"/>
      <c r="L3" s="277"/>
    </row>
    <row r="5" spans="1:12" x14ac:dyDescent="0.25">
      <c r="A5" s="1" t="str">
        <f>CONCATENATE("Welcome. You have been directed to this tab because your ",inputPrYr!C5-2," total expenditures exceed your ")</f>
        <v xml:space="preserve">Welcome. You have been directed to this tab because your 2023 total expenditures exceed your </v>
      </c>
    </row>
    <row r="6" spans="1:12" x14ac:dyDescent="0.25">
      <c r="A6" s="1" t="str">
        <f>CONCATENATE(inputPrYr!C5-2," budget authority.")</f>
        <v>2023 budget authority.</v>
      </c>
    </row>
    <row r="8" spans="1:12" x14ac:dyDescent="0.25">
      <c r="A8" s="1" t="s">
        <v>588</v>
      </c>
    </row>
    <row r="9" spans="1:12" x14ac:dyDescent="0.25">
      <c r="A9" s="1" t="s">
        <v>589</v>
      </c>
    </row>
    <row r="11" spans="1:12" x14ac:dyDescent="0.25">
      <c r="A11" s="542" t="s">
        <v>284</v>
      </c>
    </row>
    <row r="13" spans="1:12" x14ac:dyDescent="0.25">
      <c r="A13" s="1" t="s">
        <v>590</v>
      </c>
    </row>
    <row r="14" spans="1:12" x14ac:dyDescent="0.25">
      <c r="A14" s="1" t="str">
        <f>CONCATENATE("or the ",inputPrYr!C5," adopted budget has not been submitted to the county clerk) then the budget violation")</f>
        <v>or the 2025 adopted budget has not been submitted to the county clerk) then the budget violation</v>
      </c>
    </row>
    <row r="15" spans="1:12" x14ac:dyDescent="0.25">
      <c r="A15" s="1" t="s">
        <v>591</v>
      </c>
    </row>
    <row r="17" spans="1:1" x14ac:dyDescent="0.25">
      <c r="A17" s="542" t="s">
        <v>285</v>
      </c>
    </row>
    <row r="18" spans="1:1" x14ac:dyDescent="0.25">
      <c r="A18" s="542"/>
    </row>
    <row r="19" spans="1:1" x14ac:dyDescent="0.25">
      <c r="A19" s="1" t="s">
        <v>592</v>
      </c>
    </row>
    <row r="20" spans="1:1" x14ac:dyDescent="0.25">
      <c r="A20" s="1" t="str">
        <f>CONCATENATE("entered for this particular fund.  If your ",inputPrYr!C5-2," budget was amended, did you use the amended,")</f>
        <v>entered for this particular fund.  If your 2023 budget was amended, did you use the amended,</v>
      </c>
    </row>
    <row r="21" spans="1:1" x14ac:dyDescent="0.25">
      <c r="A21" s="1" t="s">
        <v>593</v>
      </c>
    </row>
    <row r="23" spans="1:1" x14ac:dyDescent="0.25">
      <c r="A23" s="1" t="str">
        <f>CONCATENATE("Next, look to see if any of your ",inputPrYr!C5-2," expenditures can be reduced or eliminated. For example,")</f>
        <v>Next, look to see if any of your 2023 expenditures can be reduced or eliminated. For example,</v>
      </c>
    </row>
    <row r="24" spans="1:1" x14ac:dyDescent="0.25">
      <c r="A24" s="1" t="s">
        <v>594</v>
      </c>
    </row>
    <row r="25" spans="1:1" x14ac:dyDescent="0.25">
      <c r="A25" s="1" t="s">
        <v>595</v>
      </c>
    </row>
    <row r="27" spans="1:1" x14ac:dyDescent="0.25">
      <c r="A27" s="1" t="str">
        <f>CONCATENATE("Additionally, do your ",inputPrYr!C5-2," receipts contain a reimbursement (e.g. FEMA)? If so, instead of")</f>
        <v>Additionally, do your 2023 receipts contain a reimbursement (e.g. FEMA)? If so, instead of</v>
      </c>
    </row>
    <row r="28" spans="1:1" x14ac:dyDescent="0.25">
      <c r="A28" s="1" t="s">
        <v>596</v>
      </c>
    </row>
    <row r="30" spans="1:1" x14ac:dyDescent="0.25">
      <c r="A30" s="1" t="s">
        <v>597</v>
      </c>
    </row>
    <row r="31" spans="1:1" x14ac:dyDescent="0.25">
      <c r="A31" s="1" t="s">
        <v>598</v>
      </c>
    </row>
    <row r="32" spans="1:1" x14ac:dyDescent="0.25">
      <c r="A32" s="1" t="s">
        <v>599</v>
      </c>
    </row>
    <row r="33" spans="1:1" x14ac:dyDescent="0.25">
      <c r="A33" s="1" t="s">
        <v>600</v>
      </c>
    </row>
    <row r="34" spans="1:1" x14ac:dyDescent="0.25">
      <c r="A34" s="1" t="s">
        <v>286</v>
      </c>
    </row>
    <row r="36" spans="1:1" x14ac:dyDescent="0.25">
      <c r="A36" s="1" t="s">
        <v>601</v>
      </c>
    </row>
    <row r="37" spans="1:1" x14ac:dyDescent="0.25">
      <c r="A37" s="1" t="s">
        <v>602</v>
      </c>
    </row>
    <row r="39" spans="1:1" x14ac:dyDescent="0.25">
      <c r="A39" s="1" t="s">
        <v>603</v>
      </c>
    </row>
    <row r="40" spans="1:1" x14ac:dyDescent="0.25">
      <c r="A40" s="1" t="s">
        <v>604</v>
      </c>
    </row>
    <row r="42" spans="1:1" x14ac:dyDescent="0.25">
      <c r="A42" s="542" t="s">
        <v>287</v>
      </c>
    </row>
    <row r="44" spans="1:1" x14ac:dyDescent="0.25">
      <c r="A44" s="1" t="s">
        <v>605</v>
      </c>
    </row>
    <row r="45" spans="1:1" x14ac:dyDescent="0.25">
      <c r="A45" s="1" t="s">
        <v>606</v>
      </c>
    </row>
    <row r="46" spans="1:1" x14ac:dyDescent="0.25">
      <c r="A46" s="1" t="s">
        <v>607</v>
      </c>
    </row>
    <row r="47" spans="1:1" x14ac:dyDescent="0.25">
      <c r="A47" s="1" t="s">
        <v>608</v>
      </c>
    </row>
    <row r="48" spans="1:1" x14ac:dyDescent="0.25">
      <c r="A48" s="1" t="s">
        <v>609</v>
      </c>
    </row>
    <row r="49" spans="1:1" x14ac:dyDescent="0.25">
      <c r="A49" s="1" t="s">
        <v>610</v>
      </c>
    </row>
    <row r="50" spans="1:1" x14ac:dyDescent="0.25">
      <c r="A50" s="1" t="s">
        <v>611</v>
      </c>
    </row>
    <row r="51" spans="1:1" x14ac:dyDescent="0.25">
      <c r="A51" s="1" t="s">
        <v>612</v>
      </c>
    </row>
    <row r="53" spans="1:1" x14ac:dyDescent="0.25">
      <c r="A53" s="1" t="s">
        <v>613</v>
      </c>
    </row>
    <row r="54" spans="1:1" x14ac:dyDescent="0.25">
      <c r="A54" s="1" t="s">
        <v>614</v>
      </c>
    </row>
    <row r="56" spans="1:1" x14ac:dyDescent="0.25">
      <c r="A56" s="542" t="str">
        <f>CONCATENATE("What if the ",inputPrYr!C5-2," financial records have been closed?")</f>
        <v>What if the 2023 financial records have been closed?</v>
      </c>
    </row>
    <row r="57" spans="1:1" x14ac:dyDescent="0.25">
      <c r="A57" s="1" t="s">
        <v>615</v>
      </c>
    </row>
    <row r="58" spans="1:1" x14ac:dyDescent="0.25">
      <c r="A58" s="1" t="str">
        <f>CONCATENATE("If the municipality financial records have been closed (i.e. an audit for ",inputPrYr!C5-2," has been completed, or")</f>
        <v>If the municipality financial records have been closed (i.e. an audit for 2023 has been completed, or</v>
      </c>
    </row>
    <row r="59" spans="1:1" x14ac:dyDescent="0.25">
      <c r="A59" s="1" t="str">
        <f>CONCATENATE("the ",inputPrYr!C5," the violation cannot be fixed and must be shown as it occurred. ")</f>
        <v xml:space="preserve">the 2025 the violation cannot be fixed and must be shown as it occurred. </v>
      </c>
    </row>
    <row r="61" spans="1:1" x14ac:dyDescent="0.25">
      <c r="A61" s="1" t="s">
        <v>616</v>
      </c>
    </row>
    <row r="62" spans="1:1" x14ac:dyDescent="0.25">
      <c r="A62" s="1" t="s">
        <v>617</v>
      </c>
    </row>
    <row r="64" spans="1:1" x14ac:dyDescent="0.25">
      <c r="A64" s="1" t="s">
        <v>288</v>
      </c>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78256-85F3-4EC9-8876-A778E25A51D9}">
  <sheetPr>
    <tabColor rgb="FFFF0000"/>
  </sheetPr>
  <dimension ref="A1:J92"/>
  <sheetViews>
    <sheetView workbookViewId="0">
      <selection sqref="A1:A2"/>
    </sheetView>
  </sheetViews>
  <sheetFormatPr defaultRowHeight="15.75" x14ac:dyDescent="0.25"/>
  <cols>
    <col min="1" max="1" width="66.77734375" style="1" customWidth="1"/>
  </cols>
  <sheetData>
    <row r="1" spans="1:10" ht="15.75" customHeight="1" x14ac:dyDescent="0.2">
      <c r="A1" s="739" t="s">
        <v>575</v>
      </c>
    </row>
    <row r="2" spans="1:10" ht="15.75" customHeight="1" x14ac:dyDescent="0.2">
      <c r="A2" s="739"/>
    </row>
    <row r="3" spans="1:10" x14ac:dyDescent="0.25">
      <c r="A3" s="541" t="s">
        <v>289</v>
      </c>
      <c r="B3" s="277"/>
      <c r="C3" s="277"/>
      <c r="D3" s="277"/>
      <c r="E3" s="277"/>
      <c r="F3" s="277"/>
      <c r="G3" s="277"/>
      <c r="H3" s="275"/>
      <c r="I3" s="275"/>
      <c r="J3" s="275"/>
    </row>
    <row r="5" spans="1:10" x14ac:dyDescent="0.25">
      <c r="A5" s="1" t="str">
        <f>CONCATENATE("Welcome. You have been directed to this tab because your ",inputPrYr!C5-2," expenditures show that you ")</f>
        <v xml:space="preserve">Welcome. You have been directed to this tab because your 2023 expenditures show that you </v>
      </c>
    </row>
    <row r="6" spans="1:10" x14ac:dyDescent="0.25">
      <c r="A6" s="1" t="s">
        <v>618</v>
      </c>
    </row>
    <row r="8" spans="1:10" x14ac:dyDescent="0.25">
      <c r="A8" s="1" t="s">
        <v>619</v>
      </c>
    </row>
    <row r="9" spans="1:10" x14ac:dyDescent="0.25">
      <c r="A9" s="1" t="s">
        <v>292</v>
      </c>
    </row>
    <row r="11" spans="1:10" x14ac:dyDescent="0.25">
      <c r="A11" s="542" t="s">
        <v>290</v>
      </c>
    </row>
    <row r="12" spans="1:10" x14ac:dyDescent="0.25">
      <c r="A12" s="542"/>
    </row>
    <row r="13" spans="1:10" x14ac:dyDescent="0.25">
      <c r="A13" s="1" t="s">
        <v>620</v>
      </c>
    </row>
    <row r="14" spans="1:10" x14ac:dyDescent="0.25">
      <c r="A14" s="1" t="s">
        <v>621</v>
      </c>
    </row>
    <row r="16" spans="1:10" x14ac:dyDescent="0.25">
      <c r="A16" s="542" t="s">
        <v>291</v>
      </c>
    </row>
    <row r="17" spans="1:8" x14ac:dyDescent="0.25">
      <c r="A17" s="542"/>
    </row>
    <row r="18" spans="1:8" x14ac:dyDescent="0.25">
      <c r="A18" s="1" t="s">
        <v>622</v>
      </c>
    </row>
    <row r="19" spans="1:8" x14ac:dyDescent="0.25">
      <c r="A19" s="1" t="s">
        <v>623</v>
      </c>
    </row>
    <row r="21" spans="1:8" x14ac:dyDescent="0.25">
      <c r="A21" s="542" t="s">
        <v>624</v>
      </c>
    </row>
    <row r="22" spans="1:8" x14ac:dyDescent="0.25">
      <c r="A22" s="542"/>
    </row>
    <row r="23" spans="1:8" x14ac:dyDescent="0.25">
      <c r="A23" s="1" t="s">
        <v>625</v>
      </c>
    </row>
    <row r="24" spans="1:8" x14ac:dyDescent="0.25">
      <c r="A24" s="1" t="s">
        <v>626</v>
      </c>
    </row>
    <row r="26" spans="1:8" x14ac:dyDescent="0.25">
      <c r="A26" s="542" t="s">
        <v>293</v>
      </c>
    </row>
    <row r="27" spans="1:8" x14ac:dyDescent="0.25">
      <c r="A27" s="542"/>
    </row>
    <row r="28" spans="1:8" x14ac:dyDescent="0.25">
      <c r="A28" s="1" t="str">
        <f>CONCATENATE("If your financial records are not closed for ",inputPrYr!C5-2," (i.e.an audit has not been completed, or the")</f>
        <v>If your financial records are not closed for 2023 (i.e.an audit has not been completed, or the</v>
      </c>
      <c r="B28" s="276"/>
      <c r="C28" s="276"/>
      <c r="D28" s="276"/>
      <c r="E28" s="276"/>
      <c r="F28" s="276"/>
      <c r="G28" s="276"/>
      <c r="H28" s="276"/>
    </row>
    <row r="29" spans="1:8" x14ac:dyDescent="0.25">
      <c r="A29" s="1" t="str">
        <f>CONCATENATE(inputPrYr!C5," adopted budget has not been submitted to the county clerk) then either your fund receipts will")</f>
        <v>2025 adopted budget has not been submitted to the county clerk) then either your fund receipts will</v>
      </c>
      <c r="B29" s="276"/>
      <c r="C29" s="276"/>
      <c r="D29" s="276"/>
      <c r="E29" s="276"/>
      <c r="F29" s="276"/>
      <c r="G29" s="276"/>
      <c r="H29" s="276"/>
    </row>
    <row r="30" spans="1:8" x14ac:dyDescent="0.25">
      <c r="A30" s="1" t="s">
        <v>627</v>
      </c>
      <c r="B30" s="276"/>
      <c r="C30" s="276"/>
      <c r="D30" s="276"/>
      <c r="E30" s="276"/>
      <c r="F30" s="276"/>
      <c r="G30" s="276"/>
      <c r="H30" s="276"/>
    </row>
    <row r="31" spans="1:8" x14ac:dyDescent="0.25">
      <c r="A31" s="1" t="s">
        <v>628</v>
      </c>
      <c r="B31" s="276"/>
      <c r="C31" s="276"/>
      <c r="D31" s="276"/>
      <c r="E31" s="276"/>
      <c r="F31" s="276"/>
      <c r="G31" s="276"/>
      <c r="H31" s="276"/>
    </row>
    <row r="32" spans="1:8" x14ac:dyDescent="0.25">
      <c r="B32" s="276"/>
      <c r="C32" s="276"/>
      <c r="D32" s="276"/>
      <c r="E32" s="276"/>
      <c r="F32" s="276"/>
      <c r="G32" s="276"/>
      <c r="H32" s="276"/>
    </row>
    <row r="33" spans="1:8" x14ac:dyDescent="0.25">
      <c r="B33" s="276"/>
      <c r="C33" s="276"/>
      <c r="D33" s="276"/>
      <c r="E33" s="276"/>
      <c r="F33" s="276"/>
      <c r="G33" s="276"/>
      <c r="H33" s="276"/>
    </row>
    <row r="34" spans="1:8" x14ac:dyDescent="0.25">
      <c r="A34" s="1" t="s">
        <v>629</v>
      </c>
      <c r="B34" s="276"/>
      <c r="C34" s="276"/>
      <c r="D34" s="276"/>
      <c r="E34" s="276"/>
      <c r="F34" s="276"/>
      <c r="G34" s="276"/>
      <c r="H34" s="276"/>
    </row>
    <row r="35" spans="1:8" x14ac:dyDescent="0.25">
      <c r="A35" s="1" t="s">
        <v>630</v>
      </c>
      <c r="B35" s="276"/>
      <c r="C35" s="276"/>
      <c r="D35" s="276"/>
      <c r="E35" s="276"/>
      <c r="F35" s="276"/>
      <c r="G35" s="276"/>
      <c r="H35" s="276"/>
    </row>
    <row r="36" spans="1:8" x14ac:dyDescent="0.25">
      <c r="A36" s="1" t="s">
        <v>631</v>
      </c>
      <c r="B36" s="276"/>
      <c r="C36" s="276"/>
      <c r="D36" s="276"/>
      <c r="E36" s="276"/>
      <c r="F36" s="276"/>
      <c r="G36" s="276"/>
      <c r="H36" s="276"/>
    </row>
    <row r="37" spans="1:8" x14ac:dyDescent="0.25">
      <c r="B37" s="276"/>
      <c r="C37" s="276"/>
      <c r="D37" s="276"/>
      <c r="E37" s="276"/>
      <c r="F37" s="276"/>
      <c r="G37" s="276"/>
      <c r="H37" s="276"/>
    </row>
    <row r="38" spans="1:8" x14ac:dyDescent="0.25">
      <c r="A38" s="1" t="s">
        <v>632</v>
      </c>
      <c r="B38" s="276"/>
      <c r="C38" s="276"/>
      <c r="D38" s="276"/>
      <c r="E38" s="276"/>
      <c r="F38" s="276"/>
      <c r="G38" s="276"/>
      <c r="H38" s="276"/>
    </row>
    <row r="39" spans="1:8" x14ac:dyDescent="0.25">
      <c r="A39" s="1" t="s">
        <v>633</v>
      </c>
      <c r="B39" s="276"/>
      <c r="C39" s="276"/>
      <c r="D39" s="276"/>
      <c r="E39" s="276"/>
      <c r="F39" s="276"/>
      <c r="G39" s="276"/>
      <c r="H39" s="276"/>
    </row>
    <row r="40" spans="1:8" x14ac:dyDescent="0.25">
      <c r="A40" s="1" t="s">
        <v>634</v>
      </c>
      <c r="B40" s="276"/>
      <c r="C40" s="276"/>
      <c r="D40" s="276"/>
      <c r="E40" s="276"/>
      <c r="F40" s="276"/>
      <c r="G40" s="276"/>
      <c r="H40" s="276"/>
    </row>
    <row r="41" spans="1:8" x14ac:dyDescent="0.25">
      <c r="B41" s="276"/>
      <c r="C41" s="276"/>
      <c r="D41" s="276"/>
      <c r="E41" s="276"/>
      <c r="F41" s="276"/>
      <c r="G41" s="276"/>
      <c r="H41" s="276"/>
    </row>
    <row r="42" spans="1:8" x14ac:dyDescent="0.25">
      <c r="A42" s="542" t="s">
        <v>635</v>
      </c>
      <c r="B42" s="275"/>
      <c r="C42" s="275"/>
      <c r="D42" s="275"/>
      <c r="E42" s="275"/>
      <c r="F42" s="275"/>
      <c r="G42" s="275"/>
      <c r="H42" s="276"/>
    </row>
    <row r="43" spans="1:8" x14ac:dyDescent="0.25">
      <c r="B43" s="276"/>
      <c r="C43" s="276"/>
      <c r="D43" s="276"/>
      <c r="E43" s="276"/>
      <c r="F43" s="276"/>
      <c r="G43" s="276"/>
      <c r="H43" s="276"/>
    </row>
    <row r="44" spans="1:8" x14ac:dyDescent="0.25">
      <c r="A44" s="1" t="s">
        <v>636</v>
      </c>
      <c r="B44" s="276"/>
      <c r="C44" s="276"/>
      <c r="D44" s="276"/>
      <c r="E44" s="276"/>
      <c r="F44" s="276"/>
      <c r="G44" s="276"/>
      <c r="H44" s="276"/>
    </row>
    <row r="45" spans="1:8" x14ac:dyDescent="0.25">
      <c r="A45" s="1" t="s">
        <v>637</v>
      </c>
      <c r="B45" s="276"/>
      <c r="C45" s="276"/>
      <c r="D45" s="276"/>
      <c r="E45" s="276"/>
      <c r="F45" s="276"/>
      <c r="G45" s="276"/>
      <c r="H45" s="276"/>
    </row>
    <row r="46" spans="1:8" x14ac:dyDescent="0.25">
      <c r="B46" s="276"/>
      <c r="C46" s="276"/>
      <c r="D46" s="276"/>
      <c r="E46" s="276"/>
      <c r="F46" s="276"/>
      <c r="G46" s="276"/>
      <c r="H46" s="276"/>
    </row>
    <row r="47" spans="1:8" x14ac:dyDescent="0.25">
      <c r="A47" s="1" t="s">
        <v>638</v>
      </c>
      <c r="B47" s="276"/>
      <c r="C47" s="276"/>
      <c r="D47" s="276"/>
      <c r="E47" s="276"/>
      <c r="F47" s="276"/>
      <c r="G47" s="276"/>
      <c r="H47" s="276"/>
    </row>
    <row r="48" spans="1:8" x14ac:dyDescent="0.25">
      <c r="A48" s="1" t="s">
        <v>639</v>
      </c>
      <c r="B48" s="276"/>
      <c r="C48" s="276"/>
      <c r="D48" s="276"/>
      <c r="E48" s="276"/>
      <c r="F48" s="276"/>
      <c r="G48" s="276"/>
      <c r="H48" s="276"/>
    </row>
    <row r="49" spans="1:8" x14ac:dyDescent="0.25">
      <c r="A49" s="1" t="s">
        <v>640</v>
      </c>
      <c r="B49" s="276"/>
      <c r="C49" s="276"/>
      <c r="D49" s="276"/>
      <c r="E49" s="276"/>
      <c r="F49" s="276"/>
      <c r="G49" s="276"/>
      <c r="H49" s="276"/>
    </row>
    <row r="50" spans="1:8" x14ac:dyDescent="0.25">
      <c r="A50" s="1" t="s">
        <v>641</v>
      </c>
      <c r="B50" s="276"/>
      <c r="C50" s="276"/>
      <c r="D50" s="276"/>
      <c r="E50" s="276"/>
      <c r="F50" s="276"/>
      <c r="G50" s="276"/>
      <c r="H50" s="276"/>
    </row>
    <row r="51" spans="1:8" x14ac:dyDescent="0.25">
      <c r="B51" s="276"/>
      <c r="C51" s="276"/>
      <c r="D51" s="276"/>
      <c r="E51" s="276"/>
      <c r="F51" s="276"/>
      <c r="G51" s="276"/>
      <c r="H51" s="276"/>
    </row>
    <row r="52" spans="1:8" x14ac:dyDescent="0.25">
      <c r="B52" s="276"/>
      <c r="C52" s="276"/>
      <c r="D52" s="276"/>
      <c r="E52" s="276"/>
      <c r="F52" s="276"/>
      <c r="G52" s="276"/>
      <c r="H52" s="276"/>
    </row>
    <row r="53" spans="1:8" x14ac:dyDescent="0.25">
      <c r="A53" s="1" t="s">
        <v>642</v>
      </c>
      <c r="B53" s="276"/>
      <c r="C53" s="276"/>
      <c r="D53" s="276"/>
      <c r="E53" s="276"/>
      <c r="F53" s="276"/>
      <c r="G53" s="276"/>
      <c r="H53" s="276"/>
    </row>
    <row r="54" spans="1:8" x14ac:dyDescent="0.25">
      <c r="A54" s="1" t="s">
        <v>643</v>
      </c>
      <c r="B54" s="276"/>
      <c r="C54" s="276"/>
      <c r="D54" s="276"/>
      <c r="E54" s="276"/>
      <c r="F54" s="276"/>
      <c r="G54" s="276"/>
      <c r="H54" s="276"/>
    </row>
    <row r="55" spans="1:8" x14ac:dyDescent="0.25">
      <c r="A55" s="1" t="s">
        <v>644</v>
      </c>
      <c r="B55" s="276"/>
      <c r="C55" s="276"/>
      <c r="D55" s="276"/>
      <c r="E55" s="276"/>
      <c r="F55" s="276"/>
      <c r="G55" s="276"/>
      <c r="H55" s="276"/>
    </row>
    <row r="56" spans="1:8" x14ac:dyDescent="0.25">
      <c r="A56" s="1" t="s">
        <v>645</v>
      </c>
      <c r="B56" s="276"/>
      <c r="C56" s="276"/>
      <c r="D56" s="276"/>
      <c r="E56" s="276"/>
      <c r="F56" s="276"/>
      <c r="G56" s="276"/>
      <c r="H56" s="276"/>
    </row>
    <row r="57" spans="1:8" x14ac:dyDescent="0.25">
      <c r="A57" s="1" t="s">
        <v>297</v>
      </c>
      <c r="B57" s="276"/>
      <c r="C57" s="276"/>
      <c r="D57" s="276"/>
      <c r="E57" s="276"/>
      <c r="F57" s="276"/>
      <c r="G57" s="276"/>
      <c r="H57" s="276"/>
    </row>
    <row r="58" spans="1:8" x14ac:dyDescent="0.25">
      <c r="B58" s="276"/>
      <c r="C58" s="276"/>
      <c r="D58" s="276"/>
      <c r="E58" s="276"/>
      <c r="F58" s="276"/>
      <c r="G58" s="276"/>
      <c r="H58" s="276"/>
    </row>
    <row r="59" spans="1:8" x14ac:dyDescent="0.25">
      <c r="A59" s="1" t="s">
        <v>646</v>
      </c>
      <c r="B59" s="276"/>
      <c r="C59" s="276"/>
      <c r="D59" s="276"/>
      <c r="E59" s="276"/>
      <c r="F59" s="276"/>
      <c r="G59" s="276"/>
      <c r="H59" s="276"/>
    </row>
    <row r="60" spans="1:8" x14ac:dyDescent="0.25">
      <c r="A60" s="1" t="s">
        <v>647</v>
      </c>
      <c r="B60" s="276"/>
      <c r="C60" s="276"/>
      <c r="D60" s="276"/>
      <c r="E60" s="276"/>
      <c r="F60" s="276"/>
      <c r="G60" s="276"/>
      <c r="H60" s="276"/>
    </row>
    <row r="61" spans="1:8" x14ac:dyDescent="0.25">
      <c r="B61" s="276"/>
      <c r="C61" s="276"/>
      <c r="D61" s="276"/>
      <c r="E61" s="276"/>
      <c r="F61" s="276"/>
      <c r="G61" s="276"/>
      <c r="H61" s="276"/>
    </row>
    <row r="62" spans="1:8" x14ac:dyDescent="0.25">
      <c r="A62" s="1" t="s">
        <v>288</v>
      </c>
    </row>
    <row r="63" spans="1:8" x14ac:dyDescent="0.25">
      <c r="A63" s="542"/>
    </row>
    <row r="90" spans="1:1" x14ac:dyDescent="0.25">
      <c r="A90" s="542"/>
    </row>
    <row r="91" spans="1:1" x14ac:dyDescent="0.25">
      <c r="A91" s="542"/>
    </row>
    <row r="92" spans="1:1" x14ac:dyDescent="0.25">
      <c r="A92" s="542"/>
    </row>
  </sheetData>
  <sheetProtection sheet="1"/>
  <mergeCells count="1">
    <mergeCell ref="A1:A2"/>
  </mergeCells>
  <pageMargins left="0.7" right="0.7" top="0.75" bottom="0.75" header="0.3" footer="0.3"/>
  <pageSetup orientation="portrait" r:id="rId1"/>
  <headerFooter>
    <oddFooter>&amp;Lrevised 10/02/09</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B9339-15BF-4266-9A29-04C839237569}">
  <sheetPr>
    <tabColor rgb="FFFF0000"/>
  </sheetPr>
  <dimension ref="A1:L55"/>
  <sheetViews>
    <sheetView workbookViewId="0">
      <selection sqref="A1:A2"/>
    </sheetView>
  </sheetViews>
  <sheetFormatPr defaultRowHeight="15.75" x14ac:dyDescent="0.25"/>
  <cols>
    <col min="1" max="1" width="66.77734375" style="1" customWidth="1"/>
  </cols>
  <sheetData>
    <row r="1" spans="1:12" ht="15.75" customHeight="1" x14ac:dyDescent="0.2">
      <c r="A1" s="739" t="s">
        <v>574</v>
      </c>
    </row>
    <row r="2" spans="1:12" ht="15.75" customHeight="1" x14ac:dyDescent="0.2">
      <c r="A2" s="739"/>
    </row>
    <row r="3" spans="1:12" x14ac:dyDescent="0.25">
      <c r="A3" s="541" t="s">
        <v>294</v>
      </c>
      <c r="B3" s="277"/>
      <c r="C3" s="277"/>
      <c r="D3" s="277"/>
      <c r="E3" s="277"/>
      <c r="F3" s="277"/>
      <c r="G3" s="277"/>
      <c r="H3" s="277"/>
      <c r="I3" s="277"/>
      <c r="J3" s="277"/>
      <c r="K3" s="277"/>
      <c r="L3" s="277"/>
    </row>
    <row r="4" spans="1:12" x14ac:dyDescent="0.25">
      <c r="A4" s="541"/>
      <c r="B4" s="277"/>
      <c r="C4" s="277"/>
      <c r="D4" s="277"/>
      <c r="E4" s="277"/>
      <c r="F4" s="277"/>
      <c r="G4" s="277"/>
      <c r="H4" s="277"/>
      <c r="I4" s="277"/>
      <c r="J4" s="277"/>
      <c r="K4" s="277"/>
      <c r="L4" s="277"/>
    </row>
    <row r="5" spans="1:12" x14ac:dyDescent="0.25">
      <c r="I5" s="277"/>
      <c r="J5" s="277"/>
      <c r="K5" s="277"/>
      <c r="L5" s="277"/>
    </row>
    <row r="6" spans="1:12" x14ac:dyDescent="0.25">
      <c r="A6" s="1" t="str">
        <f>CONCATENATE("Welcome.  You have been directed to this tab because your estimated ",inputPrYr!C5-1," total expenditures")</f>
        <v>Welcome.  You have been directed to this tab because your estimated 2024 total expenditures</v>
      </c>
      <c r="I6" s="277"/>
      <c r="J6" s="277"/>
      <c r="K6" s="277"/>
      <c r="L6" s="277"/>
    </row>
    <row r="7" spans="1:12" x14ac:dyDescent="0.25">
      <c r="A7" s="543" t="str">
        <f>CONCATENATE("exceed your ",inputPrYr!C5-1," budget authority.")</f>
        <v>exceed your 2024 budget authority.</v>
      </c>
      <c r="I7" s="277"/>
      <c r="J7" s="277"/>
      <c r="K7" s="277"/>
      <c r="L7" s="277"/>
    </row>
    <row r="8" spans="1:12" x14ac:dyDescent="0.25">
      <c r="I8" s="277"/>
      <c r="J8" s="277"/>
      <c r="K8" s="277"/>
      <c r="L8" s="277"/>
    </row>
    <row r="9" spans="1:12" x14ac:dyDescent="0.25">
      <c r="A9" s="1" t="s">
        <v>648</v>
      </c>
      <c r="I9" s="277"/>
      <c r="J9" s="277"/>
      <c r="K9" s="277"/>
      <c r="L9" s="277"/>
    </row>
    <row r="10" spans="1:12" x14ac:dyDescent="0.25">
      <c r="A10" s="1" t="s">
        <v>649</v>
      </c>
      <c r="I10" s="277"/>
      <c r="J10" s="277"/>
      <c r="K10" s="277"/>
      <c r="L10" s="277"/>
    </row>
    <row r="11" spans="1:12" x14ac:dyDescent="0.25">
      <c r="A11" s="1" t="s">
        <v>650</v>
      </c>
      <c r="I11" s="277"/>
      <c r="J11" s="277"/>
      <c r="K11" s="277"/>
      <c r="L11" s="277"/>
    </row>
    <row r="12" spans="1:12" x14ac:dyDescent="0.25">
      <c r="A12" s="541"/>
      <c r="B12" s="277"/>
      <c r="C12" s="277"/>
      <c r="D12" s="277"/>
      <c r="E12" s="277"/>
      <c r="F12" s="277"/>
      <c r="G12" s="277"/>
      <c r="H12" s="277"/>
      <c r="I12" s="277"/>
      <c r="J12" s="277"/>
      <c r="K12" s="277"/>
      <c r="L12" s="277"/>
    </row>
    <row r="13" spans="1:12" x14ac:dyDescent="0.25">
      <c r="A13" s="542" t="s">
        <v>651</v>
      </c>
    </row>
    <row r="14" spans="1:12" x14ac:dyDescent="0.25">
      <c r="B14" s="276"/>
      <c r="C14" s="276"/>
      <c r="D14" s="276"/>
      <c r="E14" s="276"/>
      <c r="F14" s="276"/>
      <c r="G14" s="276"/>
    </row>
    <row r="15" spans="1:12" x14ac:dyDescent="0.25">
      <c r="A15" s="1" t="str">
        <f>CONCATENATE("Naturally, our preference would be that you consider your ",inputPrYr!C5-1," numbers to see what steps might be")</f>
        <v>Naturally, our preference would be that you consider your 2024 numbers to see what steps might be</v>
      </c>
      <c r="B15" s="276"/>
      <c r="C15" s="276"/>
      <c r="D15" s="276"/>
      <c r="E15" s="276"/>
      <c r="F15" s="276"/>
      <c r="G15" s="276"/>
    </row>
    <row r="16" spans="1:12" ht="17.25" customHeight="1" x14ac:dyDescent="0.25">
      <c r="A16" s="1" t="s">
        <v>652</v>
      </c>
      <c r="B16" s="276"/>
      <c r="C16" s="276"/>
      <c r="D16" s="276"/>
      <c r="E16" s="276"/>
      <c r="F16" s="276"/>
      <c r="G16" s="276"/>
    </row>
    <row r="17" spans="1:7" ht="17.25" customHeight="1" x14ac:dyDescent="0.25">
      <c r="A17" s="1" t="s">
        <v>653</v>
      </c>
      <c r="B17" s="276"/>
      <c r="C17" s="276"/>
      <c r="D17" s="276"/>
      <c r="E17" s="276"/>
      <c r="F17" s="276"/>
      <c r="G17" s="276"/>
    </row>
    <row r="19" spans="1:7" x14ac:dyDescent="0.25">
      <c r="A19" s="542" t="s">
        <v>295</v>
      </c>
    </row>
    <row r="20" spans="1:7" x14ac:dyDescent="0.25">
      <c r="A20" s="542"/>
    </row>
    <row r="21" spans="1:7" x14ac:dyDescent="0.25">
      <c r="A21" s="1" t="s">
        <v>654</v>
      </c>
    </row>
    <row r="22" spans="1:7" x14ac:dyDescent="0.25">
      <c r="A22" s="1" t="s">
        <v>655</v>
      </c>
      <c r="B22" s="276"/>
      <c r="C22" s="276"/>
      <c r="D22" s="276"/>
      <c r="E22" s="276"/>
      <c r="F22" s="276"/>
    </row>
    <row r="23" spans="1:7" x14ac:dyDescent="0.25">
      <c r="B23" s="276"/>
      <c r="C23" s="276"/>
      <c r="D23" s="276"/>
      <c r="E23" s="276"/>
      <c r="F23" s="276"/>
    </row>
    <row r="24" spans="1:7" x14ac:dyDescent="0.25">
      <c r="A24" s="542" t="s">
        <v>656</v>
      </c>
      <c r="B24" s="275"/>
      <c r="C24" s="275"/>
      <c r="D24" s="275"/>
      <c r="E24" s="275"/>
      <c r="F24" s="275"/>
      <c r="G24" s="275"/>
    </row>
    <row r="25" spans="1:7" x14ac:dyDescent="0.25">
      <c r="B25" s="276"/>
      <c r="C25" s="276"/>
      <c r="D25" s="276"/>
      <c r="E25" s="276"/>
      <c r="F25" s="276"/>
    </row>
    <row r="26" spans="1:7" x14ac:dyDescent="0.25">
      <c r="A26" s="544" t="str">
        <f>CONCATENATE("Well, let's look to see if any of your ",inputPrYr!C5-1," expenditures can be reduced or eliminated.  For example,")</f>
        <v>Well, let's look to see if any of your 2024 expenditures can be reduced or eliminated.  For example,</v>
      </c>
      <c r="B26" s="276"/>
      <c r="C26" s="276"/>
      <c r="D26" s="276"/>
      <c r="E26" s="276"/>
      <c r="F26" s="276"/>
    </row>
    <row r="27" spans="1:7" x14ac:dyDescent="0.25">
      <c r="A27" s="544" t="s">
        <v>657</v>
      </c>
      <c r="B27" s="276"/>
      <c r="C27" s="276"/>
      <c r="D27" s="276"/>
      <c r="E27" s="276"/>
      <c r="F27" s="276"/>
    </row>
    <row r="28" spans="1:7" x14ac:dyDescent="0.25">
      <c r="A28" s="544" t="s">
        <v>658</v>
      </c>
      <c r="B28" s="276"/>
      <c r="C28" s="276"/>
      <c r="D28" s="276"/>
      <c r="E28" s="276"/>
      <c r="F28" s="276"/>
    </row>
    <row r="29" spans="1:7" x14ac:dyDescent="0.25">
      <c r="A29" s="544"/>
      <c r="B29" s="276"/>
      <c r="C29" s="276"/>
      <c r="D29" s="276"/>
      <c r="E29" s="276"/>
      <c r="F29" s="276"/>
    </row>
    <row r="30" spans="1:7" x14ac:dyDescent="0.25">
      <c r="A30" s="544" t="str">
        <f>CONCATENATE("Additionally, do your ",inputPrYr!C5-1," receipts contain a reimbursement (e.g. FEMA)?  If so, instead of showing")</f>
        <v>Additionally, do your 2024 receipts contain a reimbursement (e.g. FEMA)?  If so, instead of showing</v>
      </c>
      <c r="B30" s="276"/>
      <c r="C30" s="276"/>
      <c r="D30" s="276"/>
      <c r="E30" s="276"/>
      <c r="F30" s="276"/>
    </row>
    <row r="31" spans="1:7" x14ac:dyDescent="0.25">
      <c r="A31" s="544" t="s">
        <v>659</v>
      </c>
      <c r="B31" s="276"/>
      <c r="C31" s="276"/>
      <c r="D31" s="276"/>
      <c r="E31" s="276"/>
      <c r="F31" s="276"/>
    </row>
    <row r="32" spans="1:7" x14ac:dyDescent="0.25">
      <c r="A32" s="544"/>
      <c r="B32" s="276"/>
      <c r="C32" s="276"/>
      <c r="D32" s="276"/>
      <c r="E32" s="276"/>
      <c r="F32" s="276"/>
    </row>
    <row r="33" spans="1:6" x14ac:dyDescent="0.25">
      <c r="A33" s="544" t="s">
        <v>660</v>
      </c>
      <c r="B33" s="276"/>
      <c r="C33" s="276"/>
      <c r="D33" s="276"/>
      <c r="E33" s="276"/>
      <c r="F33" s="276"/>
    </row>
    <row r="34" spans="1:6" x14ac:dyDescent="0.25">
      <c r="A34" s="544" t="s">
        <v>661</v>
      </c>
      <c r="B34" s="276"/>
      <c r="C34" s="276"/>
      <c r="D34" s="276"/>
      <c r="E34" s="276"/>
      <c r="F34" s="276"/>
    </row>
    <row r="35" spans="1:6" x14ac:dyDescent="0.25">
      <c r="A35" s="544" t="s">
        <v>662</v>
      </c>
      <c r="B35" s="276"/>
      <c r="C35" s="276"/>
      <c r="D35" s="276"/>
      <c r="E35" s="276"/>
      <c r="F35" s="276"/>
    </row>
    <row r="36" spans="1:6" x14ac:dyDescent="0.25">
      <c r="A36" s="544" t="s">
        <v>663</v>
      </c>
      <c r="B36" s="276"/>
      <c r="C36" s="276"/>
      <c r="D36" s="276"/>
      <c r="E36" s="276"/>
      <c r="F36" s="276"/>
    </row>
    <row r="37" spans="1:6" x14ac:dyDescent="0.25">
      <c r="A37" s="544" t="s">
        <v>286</v>
      </c>
      <c r="B37" s="276"/>
      <c r="C37" s="276"/>
      <c r="D37" s="276"/>
      <c r="E37" s="276"/>
      <c r="F37" s="276"/>
    </row>
    <row r="38" spans="1:6" x14ac:dyDescent="0.25">
      <c r="A38" s="544"/>
      <c r="B38" s="276"/>
      <c r="C38" s="276"/>
      <c r="D38" s="276"/>
      <c r="E38" s="276"/>
      <c r="F38" s="276"/>
    </row>
    <row r="39" spans="1:6" x14ac:dyDescent="0.25">
      <c r="A39" s="544" t="s">
        <v>601</v>
      </c>
      <c r="B39" s="276"/>
      <c r="C39" s="276"/>
      <c r="D39" s="276"/>
      <c r="E39" s="276"/>
      <c r="F39" s="276"/>
    </row>
    <row r="40" spans="1:6" x14ac:dyDescent="0.25">
      <c r="A40" s="544" t="s">
        <v>602</v>
      </c>
      <c r="B40" s="276"/>
      <c r="C40" s="276"/>
      <c r="D40" s="276"/>
      <c r="E40" s="276"/>
      <c r="F40" s="276"/>
    </row>
    <row r="41" spans="1:6" x14ac:dyDescent="0.25">
      <c r="A41" s="544"/>
      <c r="B41" s="276"/>
      <c r="C41" s="276"/>
      <c r="D41" s="276"/>
      <c r="E41" s="276"/>
      <c r="F41" s="276"/>
    </row>
    <row r="42" spans="1:6" x14ac:dyDescent="0.25">
      <c r="A42" s="544" t="s">
        <v>664</v>
      </c>
      <c r="B42" s="276"/>
      <c r="C42" s="276"/>
      <c r="D42" s="276"/>
      <c r="E42" s="276"/>
      <c r="F42" s="276"/>
    </row>
    <row r="43" spans="1:6" x14ac:dyDescent="0.25">
      <c r="A43" s="544" t="s">
        <v>665</v>
      </c>
      <c r="B43" s="276"/>
      <c r="C43" s="276"/>
      <c r="D43" s="276"/>
      <c r="E43" s="276"/>
      <c r="F43" s="276"/>
    </row>
    <row r="44" spans="1:6" x14ac:dyDescent="0.25">
      <c r="A44" s="544" t="s">
        <v>666</v>
      </c>
      <c r="B44" s="276"/>
      <c r="C44" s="276"/>
      <c r="D44" s="276"/>
      <c r="E44" s="276"/>
      <c r="F44" s="276"/>
    </row>
    <row r="45" spans="1:6" x14ac:dyDescent="0.25">
      <c r="A45" s="544"/>
      <c r="B45" s="276"/>
      <c r="C45" s="276"/>
      <c r="D45" s="276"/>
      <c r="E45" s="276"/>
      <c r="F45" s="276"/>
    </row>
    <row r="46" spans="1:6" x14ac:dyDescent="0.25">
      <c r="A46" s="544" t="s">
        <v>667</v>
      </c>
      <c r="B46" s="276"/>
      <c r="C46" s="276"/>
      <c r="D46" s="276"/>
      <c r="E46" s="276"/>
      <c r="F46" s="276"/>
    </row>
    <row r="47" spans="1:6" x14ac:dyDescent="0.25">
      <c r="A47" s="544" t="s">
        <v>668</v>
      </c>
      <c r="B47" s="276"/>
      <c r="C47" s="276"/>
      <c r="D47" s="276"/>
      <c r="E47" s="276"/>
      <c r="F47" s="276"/>
    </row>
    <row r="48" spans="1:6" x14ac:dyDescent="0.25">
      <c r="A48" s="544" t="s">
        <v>669</v>
      </c>
    </row>
    <row r="50" spans="1:1" x14ac:dyDescent="0.25">
      <c r="A50" s="1" t="s">
        <v>670</v>
      </c>
    </row>
    <row r="51" spans="1:1" x14ac:dyDescent="0.25">
      <c r="A51" s="1" t="s">
        <v>671</v>
      </c>
    </row>
    <row r="52" spans="1:1" x14ac:dyDescent="0.25">
      <c r="A52" s="1" t="s">
        <v>672</v>
      </c>
    </row>
    <row r="53" spans="1:1" x14ac:dyDescent="0.25">
      <c r="A53" s="1" t="s">
        <v>673</v>
      </c>
    </row>
    <row r="55" spans="1:1" x14ac:dyDescent="0.25">
      <c r="A55" s="1" t="s">
        <v>288</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25AD5-0FD1-4A39-8184-5B94B9631018}">
  <sheetPr>
    <tabColor rgb="FFFF0000"/>
  </sheetPr>
  <dimension ref="A1:G59"/>
  <sheetViews>
    <sheetView workbookViewId="0">
      <selection activeCell="A23" sqref="A23"/>
    </sheetView>
  </sheetViews>
  <sheetFormatPr defaultRowHeight="15.75" x14ac:dyDescent="0.25"/>
  <cols>
    <col min="1" max="1" width="66.77734375" style="1" customWidth="1"/>
  </cols>
  <sheetData>
    <row r="1" spans="1:7" ht="15.75" customHeight="1" x14ac:dyDescent="0.2">
      <c r="A1" s="739" t="s">
        <v>573</v>
      </c>
    </row>
    <row r="2" spans="1:7" ht="15.75" customHeight="1" x14ac:dyDescent="0.2">
      <c r="A2" s="739"/>
    </row>
    <row r="3" spans="1:7" x14ac:dyDescent="0.25">
      <c r="A3" s="541" t="s">
        <v>296</v>
      </c>
      <c r="B3" s="277"/>
      <c r="C3" s="277"/>
      <c r="D3" s="277"/>
      <c r="E3" s="277"/>
      <c r="F3" s="277"/>
      <c r="G3" s="277"/>
    </row>
    <row r="4" spans="1:7" x14ac:dyDescent="0.25">
      <c r="A4" s="541"/>
      <c r="B4" s="277"/>
      <c r="C4" s="277"/>
      <c r="D4" s="277"/>
      <c r="E4" s="277"/>
      <c r="F4" s="277"/>
      <c r="G4" s="277"/>
    </row>
    <row r="5" spans="1:7" x14ac:dyDescent="0.25">
      <c r="A5" s="1" t="str">
        <f>CONCATENATE("Welcome.  You have been directed to this tab because your ",inputPrYr!C5," estimated expenditures show")</f>
        <v>Welcome.  You have been directed to this tab because your 2025 estimated expenditures show</v>
      </c>
    </row>
    <row r="6" spans="1:7" x14ac:dyDescent="0.25">
      <c r="A6" s="1" t="s">
        <v>674</v>
      </c>
    </row>
    <row r="8" spans="1:7" x14ac:dyDescent="0.25">
      <c r="A8" s="1" t="s">
        <v>619</v>
      </c>
    </row>
    <row r="9" spans="1:7" x14ac:dyDescent="0.25">
      <c r="A9" s="1" t="s">
        <v>292</v>
      </c>
    </row>
    <row r="10" spans="1:7" x14ac:dyDescent="0.25">
      <c r="A10" s="541"/>
      <c r="B10" s="277"/>
      <c r="C10" s="277"/>
      <c r="D10" s="277"/>
      <c r="E10" s="277"/>
      <c r="F10" s="277"/>
      <c r="G10" s="277"/>
    </row>
    <row r="11" spans="1:7" x14ac:dyDescent="0.25">
      <c r="A11" s="542" t="s">
        <v>298</v>
      </c>
    </row>
    <row r="13" spans="1:7" x14ac:dyDescent="0.25">
      <c r="A13" s="1" t="s">
        <v>675</v>
      </c>
    </row>
    <row r="14" spans="1:7" x14ac:dyDescent="0.25">
      <c r="A14" s="1" t="s">
        <v>299</v>
      </c>
    </row>
    <row r="16" spans="1:7" x14ac:dyDescent="0.25">
      <c r="A16" s="1" t="s">
        <v>676</v>
      </c>
    </row>
    <row r="17" spans="1:7" x14ac:dyDescent="0.25">
      <c r="A17" s="1" t="s">
        <v>677</v>
      </c>
    </row>
    <row r="19" spans="1:7" x14ac:dyDescent="0.25">
      <c r="A19" s="542" t="s">
        <v>295</v>
      </c>
    </row>
    <row r="20" spans="1:7" x14ac:dyDescent="0.25">
      <c r="A20" s="542"/>
    </row>
    <row r="21" spans="1:7" x14ac:dyDescent="0.25">
      <c r="A21" s="1" t="s">
        <v>678</v>
      </c>
    </row>
    <row r="22" spans="1:7" x14ac:dyDescent="0.25">
      <c r="A22" s="1" t="s">
        <v>679</v>
      </c>
      <c r="B22" s="276"/>
      <c r="C22" s="276"/>
      <c r="D22" s="276"/>
      <c r="E22" s="276"/>
      <c r="F22" s="276"/>
    </row>
    <row r="23" spans="1:7" x14ac:dyDescent="0.25">
      <c r="B23" s="276"/>
      <c r="C23" s="276"/>
      <c r="D23" s="276"/>
      <c r="E23" s="276"/>
      <c r="F23" s="276"/>
    </row>
    <row r="25" spans="1:7" x14ac:dyDescent="0.25">
      <c r="A25" s="542" t="s">
        <v>656</v>
      </c>
      <c r="B25" s="275"/>
      <c r="C25" s="275"/>
      <c r="D25" s="275"/>
      <c r="E25" s="275"/>
      <c r="F25" s="275"/>
      <c r="G25" s="275"/>
    </row>
    <row r="26" spans="1:7" x14ac:dyDescent="0.25">
      <c r="A26" s="542"/>
      <c r="B26" s="275"/>
      <c r="C26" s="275"/>
      <c r="D26" s="275"/>
      <c r="E26" s="275"/>
      <c r="F26" s="275"/>
      <c r="G26" s="275"/>
    </row>
    <row r="27" spans="1:7" x14ac:dyDescent="0.25">
      <c r="A27" s="1" t="s">
        <v>680</v>
      </c>
      <c r="B27" s="276"/>
      <c r="C27" s="276"/>
      <c r="D27" s="276"/>
      <c r="E27" s="276"/>
      <c r="F27" s="276"/>
      <c r="G27" s="276"/>
    </row>
    <row r="28" spans="1:7" x14ac:dyDescent="0.25">
      <c r="A28" s="1" t="s">
        <v>681</v>
      </c>
      <c r="B28" s="276"/>
      <c r="C28" s="276"/>
      <c r="D28" s="276"/>
      <c r="E28" s="276"/>
      <c r="F28" s="276"/>
      <c r="G28" s="276"/>
    </row>
    <row r="29" spans="1:7" x14ac:dyDescent="0.25">
      <c r="A29" s="1" t="s">
        <v>682</v>
      </c>
      <c r="B29" s="276"/>
      <c r="C29" s="276"/>
      <c r="D29" s="276"/>
      <c r="E29" s="276"/>
      <c r="F29" s="276"/>
      <c r="G29" s="276"/>
    </row>
    <row r="30" spans="1:7" x14ac:dyDescent="0.25">
      <c r="A30" s="542"/>
      <c r="B30" s="275"/>
      <c r="C30" s="275"/>
      <c r="D30" s="275"/>
      <c r="E30" s="275"/>
      <c r="F30" s="275"/>
      <c r="G30" s="275"/>
    </row>
    <row r="31" spans="1:7" x14ac:dyDescent="0.25">
      <c r="A31" s="544" t="str">
        <f>CONCATENATE("So, let's look to see if any of your ",inputPrYr!C5-1," expenditures can be reduced or eliminated. For example,")</f>
        <v>So, let's look to see if any of your 2024 expenditures can be reduced or eliminated. For example,</v>
      </c>
      <c r="B31" s="276"/>
      <c r="C31" s="276"/>
      <c r="D31" s="276"/>
      <c r="E31" s="276"/>
      <c r="F31" s="276"/>
    </row>
    <row r="32" spans="1:7" x14ac:dyDescent="0.25">
      <c r="A32" s="544" t="s">
        <v>594</v>
      </c>
      <c r="B32" s="276"/>
      <c r="C32" s="276"/>
      <c r="D32" s="276"/>
      <c r="E32" s="276"/>
      <c r="F32" s="276"/>
    </row>
    <row r="33" spans="1:7" x14ac:dyDescent="0.25">
      <c r="A33" s="544" t="s">
        <v>595</v>
      </c>
      <c r="B33" s="276"/>
      <c r="C33" s="276"/>
      <c r="D33" s="276"/>
      <c r="E33" s="276"/>
      <c r="F33" s="276"/>
    </row>
    <row r="35" spans="1:7" x14ac:dyDescent="0.25">
      <c r="A35" s="544" t="str">
        <f>CONCATENATE("Additionally, do your ",inputPrYr!C5-1," receipts contain a reimbursement (e.g. FEMA)?  If so, instead of")</f>
        <v>Additionally, do your 2024 receipts contain a reimbursement (e.g. FEMA)?  If so, instead of</v>
      </c>
      <c r="B35" s="276"/>
      <c r="C35" s="276"/>
      <c r="D35" s="276"/>
      <c r="E35" s="276"/>
      <c r="F35" s="276"/>
    </row>
    <row r="36" spans="1:7" x14ac:dyDescent="0.25">
      <c r="A36" s="544" t="s">
        <v>683</v>
      </c>
      <c r="B36" s="276"/>
      <c r="C36" s="276"/>
      <c r="D36" s="276"/>
      <c r="E36" s="276"/>
      <c r="F36" s="276"/>
    </row>
    <row r="37" spans="1:7" x14ac:dyDescent="0.25">
      <c r="B37" s="276"/>
      <c r="C37" s="276"/>
      <c r="D37" s="276"/>
      <c r="E37" s="276"/>
      <c r="F37" s="276"/>
      <c r="G37" s="276"/>
    </row>
    <row r="38" spans="1:7" x14ac:dyDescent="0.25">
      <c r="A38" s="1" t="s">
        <v>684</v>
      </c>
      <c r="B38" s="276"/>
      <c r="C38" s="276"/>
      <c r="D38" s="276"/>
      <c r="E38" s="276"/>
      <c r="F38" s="276"/>
      <c r="G38" s="276"/>
    </row>
    <row r="39" spans="1:7" x14ac:dyDescent="0.25">
      <c r="A39" s="1" t="s">
        <v>685</v>
      </c>
      <c r="B39" s="276"/>
      <c r="C39" s="276"/>
      <c r="D39" s="276"/>
      <c r="E39" s="276"/>
      <c r="F39" s="276"/>
      <c r="G39" s="276"/>
    </row>
    <row r="40" spans="1:7" x14ac:dyDescent="0.25">
      <c r="A40" s="1" t="s">
        <v>686</v>
      </c>
      <c r="B40" s="276"/>
      <c r="C40" s="276"/>
      <c r="D40" s="276"/>
      <c r="E40" s="276"/>
      <c r="F40" s="276"/>
      <c r="G40" s="276"/>
    </row>
    <row r="41" spans="1:7" x14ac:dyDescent="0.25">
      <c r="B41" s="276"/>
      <c r="C41" s="276"/>
      <c r="D41" s="276"/>
      <c r="E41" s="276"/>
      <c r="F41" s="276"/>
      <c r="G41" s="276"/>
    </row>
    <row r="42" spans="1:7" x14ac:dyDescent="0.25">
      <c r="A42" s="544" t="s">
        <v>601</v>
      </c>
      <c r="B42" s="276"/>
      <c r="C42" s="276"/>
      <c r="D42" s="276"/>
      <c r="E42" s="276"/>
      <c r="F42" s="276"/>
    </row>
    <row r="43" spans="1:7" x14ac:dyDescent="0.25">
      <c r="A43" s="544" t="s">
        <v>602</v>
      </c>
      <c r="B43" s="276"/>
      <c r="C43" s="276"/>
      <c r="D43" s="276"/>
      <c r="E43" s="276"/>
      <c r="F43" s="276"/>
    </row>
    <row r="44" spans="1:7" x14ac:dyDescent="0.25">
      <c r="A44" s="544"/>
      <c r="B44" s="276"/>
      <c r="C44" s="276"/>
      <c r="D44" s="276"/>
      <c r="E44" s="276"/>
      <c r="F44" s="276"/>
    </row>
    <row r="45" spans="1:7" x14ac:dyDescent="0.25">
      <c r="A45" s="1" t="s">
        <v>687</v>
      </c>
      <c r="B45" s="276"/>
      <c r="C45" s="276"/>
      <c r="D45" s="276"/>
      <c r="E45" s="276"/>
      <c r="F45" s="276"/>
      <c r="G45" s="276"/>
    </row>
    <row r="46" spans="1:7" x14ac:dyDescent="0.25">
      <c r="A46" s="1" t="s">
        <v>688</v>
      </c>
      <c r="B46" s="276"/>
      <c r="C46" s="276"/>
      <c r="D46" s="276"/>
      <c r="E46" s="276"/>
      <c r="F46" s="276"/>
      <c r="G46" s="276"/>
    </row>
    <row r="47" spans="1:7" x14ac:dyDescent="0.25">
      <c r="A47" s="1" t="s">
        <v>689</v>
      </c>
      <c r="B47" s="276"/>
      <c r="C47" s="276"/>
      <c r="D47" s="276"/>
      <c r="E47" s="276"/>
      <c r="F47" s="276"/>
      <c r="G47" s="276"/>
    </row>
    <row r="49" spans="1:6" x14ac:dyDescent="0.25">
      <c r="A49" s="544" t="s">
        <v>664</v>
      </c>
      <c r="B49" s="276"/>
      <c r="C49" s="276"/>
      <c r="D49" s="276"/>
      <c r="E49" s="276"/>
      <c r="F49" s="276"/>
    </row>
    <row r="50" spans="1:6" x14ac:dyDescent="0.25">
      <c r="A50" s="544" t="s">
        <v>690</v>
      </c>
      <c r="B50" s="276"/>
      <c r="C50" s="276"/>
      <c r="D50" s="276"/>
      <c r="E50" s="276"/>
      <c r="F50" s="276"/>
    </row>
    <row r="51" spans="1:6" x14ac:dyDescent="0.25">
      <c r="A51" s="544" t="s">
        <v>691</v>
      </c>
      <c r="B51" s="276"/>
      <c r="C51" s="276"/>
      <c r="D51" s="276"/>
      <c r="E51" s="276"/>
      <c r="F51" s="276"/>
    </row>
    <row r="53" spans="1:6" x14ac:dyDescent="0.25">
      <c r="A53" s="1" t="s">
        <v>288</v>
      </c>
    </row>
    <row r="59" spans="1:6" x14ac:dyDescent="0.25">
      <c r="A59" s="542"/>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6B734-E6D7-456D-9FB4-5426F70D8A17}">
  <sheetPr>
    <tabColor rgb="FFFF0000"/>
  </sheetPr>
  <dimension ref="A1:G39"/>
  <sheetViews>
    <sheetView workbookViewId="0">
      <selection activeCell="C21" sqref="C21"/>
    </sheetView>
  </sheetViews>
  <sheetFormatPr defaultRowHeight="15.75" x14ac:dyDescent="0.25"/>
  <cols>
    <col min="1" max="1" width="66.77734375" style="1" customWidth="1"/>
  </cols>
  <sheetData>
    <row r="1" spans="1:7" ht="15.75" customHeight="1" x14ac:dyDescent="0.2">
      <c r="A1" s="739" t="s">
        <v>572</v>
      </c>
    </row>
    <row r="2" spans="1:7" ht="15.75" customHeight="1" x14ac:dyDescent="0.2">
      <c r="A2" s="739"/>
    </row>
    <row r="3" spans="1:7" x14ac:dyDescent="0.25">
      <c r="A3" s="541" t="s">
        <v>692</v>
      </c>
      <c r="B3" s="277"/>
      <c r="C3" s="277"/>
      <c r="D3" s="277"/>
      <c r="E3" s="277"/>
      <c r="F3" s="277"/>
      <c r="G3" s="277"/>
    </row>
    <row r="4" spans="1:7" x14ac:dyDescent="0.25">
      <c r="A4" s="541"/>
      <c r="B4" s="277"/>
      <c r="C4" s="277"/>
      <c r="D4" s="277"/>
      <c r="E4" s="277"/>
      <c r="F4" s="277"/>
      <c r="G4" s="277"/>
    </row>
    <row r="5" spans="1:7" x14ac:dyDescent="0.25">
      <c r="A5" s="541"/>
      <c r="B5" s="277"/>
      <c r="C5" s="277"/>
      <c r="D5" s="277"/>
      <c r="E5" s="277"/>
      <c r="F5" s="277"/>
      <c r="G5" s="277"/>
    </row>
    <row r="6" spans="1:7" x14ac:dyDescent="0.25">
      <c r="A6" s="1" t="str">
        <f>CONCATENATE("Welcome. You have been directed to this tab because your estimated ",inputPrYr!C5," total expenditures")</f>
        <v>Welcome. You have been directed to this tab because your estimated 2025 total expenditures</v>
      </c>
    </row>
    <row r="7" spans="1:7" x14ac:dyDescent="0.25">
      <c r="A7" s="1" t="str">
        <f>CONCATENATE("your ",inputPrYr!C5," unemcumbered cash balance Dec 31.")</f>
        <v>your 2025 unemcumbered cash balance Dec 31.</v>
      </c>
    </row>
    <row r="9" spans="1:7" x14ac:dyDescent="0.25">
      <c r="A9" s="1" t="s">
        <v>693</v>
      </c>
    </row>
    <row r="10" spans="1:7" x14ac:dyDescent="0.25">
      <c r="A10" s="1" t="s">
        <v>694</v>
      </c>
    </row>
    <row r="12" spans="1:7" x14ac:dyDescent="0.25">
      <c r="A12" s="542" t="s">
        <v>300</v>
      </c>
    </row>
    <row r="13" spans="1:7" x14ac:dyDescent="0.25">
      <c r="A13" s="541"/>
      <c r="B13" s="277"/>
      <c r="C13" s="277"/>
      <c r="D13" s="277"/>
      <c r="E13" s="277"/>
      <c r="F13" s="277"/>
      <c r="G13" s="277"/>
    </row>
    <row r="14" spans="1:7" x14ac:dyDescent="0.25">
      <c r="A14" s="1" t="s">
        <v>695</v>
      </c>
    </row>
    <row r="15" spans="1:7" x14ac:dyDescent="0.25">
      <c r="A15" s="1" t="s">
        <v>696</v>
      </c>
    </row>
    <row r="17" spans="1:1" x14ac:dyDescent="0.25">
      <c r="A17" s="542" t="s">
        <v>301</v>
      </c>
    </row>
    <row r="19" spans="1:1" x14ac:dyDescent="0.25">
      <c r="A19" s="1" t="s">
        <v>697</v>
      </c>
    </row>
    <row r="20" spans="1:1" x14ac:dyDescent="0.25">
      <c r="A20" s="1" t="s">
        <v>698</v>
      </c>
    </row>
    <row r="22" spans="1:1" x14ac:dyDescent="0.25">
      <c r="A22" s="542" t="s">
        <v>302</v>
      </c>
    </row>
    <row r="24" spans="1:1" x14ac:dyDescent="0.25">
      <c r="A24" s="1" t="s">
        <v>699</v>
      </c>
    </row>
    <row r="25" spans="1:1" x14ac:dyDescent="0.25">
      <c r="A25" s="1" t="s">
        <v>700</v>
      </c>
    </row>
    <row r="26" spans="1:1" x14ac:dyDescent="0.25">
      <c r="A26" s="1" t="s">
        <v>701</v>
      </c>
    </row>
    <row r="28" spans="1:1" x14ac:dyDescent="0.25">
      <c r="A28" s="1" t="s">
        <v>702</v>
      </c>
    </row>
    <row r="29" spans="1:1" x14ac:dyDescent="0.25">
      <c r="A29" s="1" t="s">
        <v>703</v>
      </c>
    </row>
    <row r="30" spans="1:1" x14ac:dyDescent="0.25">
      <c r="A30" s="1" t="s">
        <v>704</v>
      </c>
    </row>
    <row r="32" spans="1:1" x14ac:dyDescent="0.25">
      <c r="A32" s="1" t="s">
        <v>705</v>
      </c>
    </row>
    <row r="33" spans="1:1" x14ac:dyDescent="0.25">
      <c r="A33" s="1" t="s">
        <v>706</v>
      </c>
    </row>
    <row r="34" spans="1:1" x14ac:dyDescent="0.25">
      <c r="A34" s="1" t="s">
        <v>707</v>
      </c>
    </row>
    <row r="36" spans="1:1" x14ac:dyDescent="0.25">
      <c r="A36" s="1" t="s">
        <v>708</v>
      </c>
    </row>
    <row r="37" spans="1:1" x14ac:dyDescent="0.25">
      <c r="A37" s="1" t="s">
        <v>709</v>
      </c>
    </row>
    <row r="39" spans="1:1" x14ac:dyDescent="0.25">
      <c r="A39" s="1" t="s">
        <v>288</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2">
    <tabColor rgb="FF00B0F0"/>
    <pageSetUpPr fitToPage="1"/>
  </sheetPr>
  <dimension ref="A1:A40"/>
  <sheetViews>
    <sheetView workbookViewId="0">
      <selection activeCell="E1" sqref="E1"/>
    </sheetView>
  </sheetViews>
  <sheetFormatPr defaultRowHeight="15" x14ac:dyDescent="0.2"/>
  <cols>
    <col min="1" max="1" width="107" customWidth="1"/>
  </cols>
  <sheetData>
    <row r="1" spans="1:1" ht="15.75" customHeight="1" x14ac:dyDescent="0.2">
      <c r="A1" s="614" t="s">
        <v>382</v>
      </c>
    </row>
    <row r="2" spans="1:1" ht="15.75" customHeight="1" x14ac:dyDescent="0.2">
      <c r="A2" s="614"/>
    </row>
    <row r="3" spans="1:1" ht="15.75" customHeight="1" x14ac:dyDescent="0.2">
      <c r="A3" s="614"/>
    </row>
    <row r="4" spans="1:1" ht="15.75" customHeight="1" x14ac:dyDescent="0.2">
      <c r="A4" s="614"/>
    </row>
    <row r="5" spans="1:1" ht="15.75" customHeight="1" x14ac:dyDescent="0.2">
      <c r="A5" s="614"/>
    </row>
    <row r="6" spans="1:1" ht="15.75" customHeight="1" x14ac:dyDescent="0.2">
      <c r="A6" s="614"/>
    </row>
    <row r="7" spans="1:1" ht="15.75" customHeight="1" x14ac:dyDescent="0.2">
      <c r="A7" s="614"/>
    </row>
    <row r="8" spans="1:1" ht="15.75" customHeight="1" x14ac:dyDescent="0.2">
      <c r="A8" s="614"/>
    </row>
    <row r="9" spans="1:1" ht="15.75" customHeight="1" x14ac:dyDescent="0.2">
      <c r="A9" s="614"/>
    </row>
    <row r="10" spans="1:1" ht="15.75" customHeight="1" x14ac:dyDescent="0.2">
      <c r="A10" s="614"/>
    </row>
    <row r="11" spans="1:1" ht="15.75" customHeight="1" x14ac:dyDescent="0.2">
      <c r="A11" s="614"/>
    </row>
    <row r="12" spans="1:1" ht="15.75" customHeight="1" x14ac:dyDescent="0.2">
      <c r="A12" s="614"/>
    </row>
    <row r="13" spans="1:1" ht="15.75" customHeight="1" x14ac:dyDescent="0.2">
      <c r="A13" s="614"/>
    </row>
    <row r="14" spans="1:1" ht="15.75" customHeight="1" x14ac:dyDescent="0.2">
      <c r="A14" s="614"/>
    </row>
    <row r="15" spans="1:1" ht="15.75" customHeight="1" x14ac:dyDescent="0.2">
      <c r="A15" s="614"/>
    </row>
    <row r="16" spans="1:1" ht="15.75" customHeight="1" x14ac:dyDescent="0.2">
      <c r="A16" s="614"/>
    </row>
    <row r="17" spans="1:1" ht="15.75" customHeight="1" x14ac:dyDescent="0.2">
      <c r="A17" s="614"/>
    </row>
    <row r="18" spans="1:1" ht="15.75" customHeight="1" x14ac:dyDescent="0.2">
      <c r="A18" s="614"/>
    </row>
    <row r="19" spans="1:1" ht="15.75" customHeight="1" x14ac:dyDescent="0.2">
      <c r="A19" s="614"/>
    </row>
    <row r="20" spans="1:1" ht="15.75" customHeight="1" x14ac:dyDescent="0.2">
      <c r="A20" s="614"/>
    </row>
    <row r="21" spans="1:1" ht="15.75" customHeight="1" x14ac:dyDescent="0.2">
      <c r="A21" s="614"/>
    </row>
    <row r="22" spans="1:1" ht="15.75" customHeight="1" x14ac:dyDescent="0.2">
      <c r="A22" s="614"/>
    </row>
    <row r="23" spans="1:1" ht="15.75" customHeight="1" x14ac:dyDescent="0.2">
      <c r="A23" s="614"/>
    </row>
    <row r="24" spans="1:1" ht="15.75" customHeight="1" x14ac:dyDescent="0.2">
      <c r="A24" s="614"/>
    </row>
    <row r="25" spans="1:1" ht="15.75" customHeight="1" x14ac:dyDescent="0.2">
      <c r="A25" s="614"/>
    </row>
    <row r="26" spans="1:1" ht="15.75" customHeight="1" x14ac:dyDescent="0.2">
      <c r="A26" s="614"/>
    </row>
    <row r="27" spans="1:1" ht="15.75" customHeight="1" x14ac:dyDescent="0.2">
      <c r="A27" s="614"/>
    </row>
    <row r="28" spans="1:1" ht="15.75" customHeight="1" x14ac:dyDescent="0.2">
      <c r="A28" s="614"/>
    </row>
    <row r="29" spans="1:1" ht="15.75" customHeight="1" x14ac:dyDescent="0.2">
      <c r="A29" s="614"/>
    </row>
    <row r="30" spans="1:1" ht="15.75" customHeight="1" x14ac:dyDescent="0.2">
      <c r="A30" s="614"/>
    </row>
    <row r="31" spans="1:1" ht="15.75" customHeight="1" x14ac:dyDescent="0.2">
      <c r="A31" s="614"/>
    </row>
    <row r="32" spans="1:1" ht="15.75" customHeight="1" x14ac:dyDescent="0.2">
      <c r="A32" s="614"/>
    </row>
    <row r="33" spans="1:1" ht="15.75" customHeight="1" x14ac:dyDescent="0.2">
      <c r="A33" s="614"/>
    </row>
    <row r="34" spans="1:1" ht="15.75" customHeight="1" x14ac:dyDescent="0.2">
      <c r="A34" s="614"/>
    </row>
    <row r="35" spans="1:1" ht="15.75" customHeight="1" x14ac:dyDescent="0.2">
      <c r="A35" s="614"/>
    </row>
    <row r="36" spans="1:1" ht="15.75" customHeight="1" x14ac:dyDescent="0.2">
      <c r="A36" s="614"/>
    </row>
    <row r="37" spans="1:1" ht="15.75" customHeight="1" x14ac:dyDescent="0.2">
      <c r="A37" s="614"/>
    </row>
    <row r="38" spans="1:1" ht="15.75" customHeight="1" x14ac:dyDescent="0.2">
      <c r="A38" s="614"/>
    </row>
    <row r="39" spans="1:1" ht="15.75" customHeight="1" x14ac:dyDescent="0.2">
      <c r="A39" s="614"/>
    </row>
    <row r="40" spans="1:1" ht="15.75" customHeight="1" x14ac:dyDescent="0.2">
      <c r="A40" s="614"/>
    </row>
  </sheetData>
  <sheetProtection sheet="1" objects="1" scenarios="1"/>
  <mergeCells count="1">
    <mergeCell ref="A1:A40"/>
  </mergeCells>
  <pageMargins left="0.7" right="0.7" top="0.75" bottom="0.75" header="0.3" footer="0.3"/>
  <pageSetup scale="70" orientation="portrait" blackAndWhite="1"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F86DE-4A71-4D95-B8F9-0C0128CB07B3}">
  <dimension ref="A1:N245"/>
  <sheetViews>
    <sheetView topLeftCell="A64" workbookViewId="0">
      <selection sqref="A1:N245"/>
    </sheetView>
  </sheetViews>
  <sheetFormatPr defaultRowHeight="15" x14ac:dyDescent="0.2"/>
  <cols>
    <col min="1" max="1" width="3.44140625" customWidth="1"/>
    <col min="2" max="2" width="8" customWidth="1"/>
  </cols>
  <sheetData>
    <row r="1" spans="1:5" ht="15.75" customHeight="1" x14ac:dyDescent="0.2"/>
    <row r="2" spans="1:5" ht="9.75" customHeight="1" x14ac:dyDescent="0.2"/>
    <row r="3" spans="1:5" ht="18" x14ac:dyDescent="0.25">
      <c r="A3" s="558" t="s">
        <v>383</v>
      </c>
    </row>
    <row r="4" spans="1:5" ht="9.75" customHeight="1" x14ac:dyDescent="0.55000000000000004">
      <c r="B4" s="559"/>
    </row>
    <row r="5" spans="1:5" ht="15.75" x14ac:dyDescent="0.2">
      <c r="B5" s="560" t="s">
        <v>710</v>
      </c>
    </row>
    <row r="6" spans="1:5" ht="8.1" customHeight="1" x14ac:dyDescent="0.2">
      <c r="B6" s="560"/>
    </row>
    <row r="7" spans="1:5" ht="15.75" x14ac:dyDescent="0.2">
      <c r="B7" s="560" t="s">
        <v>711</v>
      </c>
    </row>
    <row r="8" spans="1:5" ht="15.75" x14ac:dyDescent="0.2">
      <c r="B8" s="561" t="s">
        <v>712</v>
      </c>
    </row>
    <row r="9" spans="1:5" ht="8.1" customHeight="1" x14ac:dyDescent="0.2">
      <c r="B9" s="561"/>
    </row>
    <row r="10" spans="1:5" ht="15.75" x14ac:dyDescent="0.2">
      <c r="C10" s="562" t="s">
        <v>713</v>
      </c>
      <c r="D10" s="560" t="s">
        <v>714</v>
      </c>
    </row>
    <row r="11" spans="1:5" ht="15.75" customHeight="1" x14ac:dyDescent="0.2">
      <c r="B11" s="560"/>
      <c r="D11" s="560" t="s">
        <v>715</v>
      </c>
    </row>
    <row r="12" spans="1:5" ht="15.75" customHeight="1" x14ac:dyDescent="0.2">
      <c r="B12" s="560"/>
      <c r="D12" s="560"/>
    </row>
    <row r="13" spans="1:5" ht="15.75" customHeight="1" x14ac:dyDescent="0.2">
      <c r="B13" s="560" t="s">
        <v>716</v>
      </c>
      <c r="E13" s="560" t="s">
        <v>717</v>
      </c>
    </row>
    <row r="14" spans="1:5" ht="15.75" customHeight="1" x14ac:dyDescent="0.2">
      <c r="B14" s="560"/>
      <c r="E14" s="560" t="s">
        <v>718</v>
      </c>
    </row>
    <row r="15" spans="1:5" ht="15.75" customHeight="1" x14ac:dyDescent="0.2">
      <c r="B15" s="560"/>
      <c r="E15" s="560" t="s">
        <v>719</v>
      </c>
    </row>
    <row r="16" spans="1:5" ht="15.75" customHeight="1" x14ac:dyDescent="0.2">
      <c r="B16" s="560"/>
      <c r="E16" s="560" t="s">
        <v>720</v>
      </c>
    </row>
    <row r="17" spans="2:5" ht="15.75" customHeight="1" x14ac:dyDescent="0.2">
      <c r="B17" s="560"/>
      <c r="E17" s="560"/>
    </row>
    <row r="18" spans="2:5" ht="15.75" customHeight="1" x14ac:dyDescent="0.2">
      <c r="B18" s="560"/>
      <c r="E18" s="560"/>
    </row>
    <row r="19" spans="2:5" ht="15.75" customHeight="1" x14ac:dyDescent="0.2">
      <c r="B19" s="560"/>
      <c r="E19" s="560"/>
    </row>
    <row r="20" spans="2:5" ht="15.75" customHeight="1" x14ac:dyDescent="0.2">
      <c r="B20" s="560"/>
      <c r="E20" s="560"/>
    </row>
    <row r="21" spans="2:5" ht="15.75" customHeight="1" x14ac:dyDescent="0.2">
      <c r="B21" s="560"/>
      <c r="E21" s="560"/>
    </row>
    <row r="22" spans="2:5" ht="15.75" customHeight="1" x14ac:dyDescent="0.2">
      <c r="B22" s="560"/>
      <c r="E22" s="560"/>
    </row>
    <row r="23" spans="2:5" ht="15.75" customHeight="1" x14ac:dyDescent="0.2">
      <c r="B23" s="560"/>
      <c r="E23" s="560"/>
    </row>
    <row r="24" spans="2:5" ht="15.75" customHeight="1" x14ac:dyDescent="0.2">
      <c r="B24" s="560"/>
      <c r="E24" s="560"/>
    </row>
    <row r="25" spans="2:5" ht="15.75" customHeight="1" x14ac:dyDescent="0.2">
      <c r="B25" s="560"/>
      <c r="E25" s="560"/>
    </row>
    <row r="26" spans="2:5" ht="15.75" customHeight="1" x14ac:dyDescent="0.2">
      <c r="B26" s="560"/>
      <c r="E26" s="560"/>
    </row>
    <row r="27" spans="2:5" ht="15.75" customHeight="1" x14ac:dyDescent="0.2">
      <c r="B27" s="560"/>
      <c r="E27" s="560"/>
    </row>
    <row r="28" spans="2:5" ht="15.75" customHeight="1" x14ac:dyDescent="0.2">
      <c r="B28" s="560"/>
      <c r="E28" s="560"/>
    </row>
    <row r="29" spans="2:5" ht="15.75" customHeight="1" x14ac:dyDescent="0.2">
      <c r="B29" s="560"/>
      <c r="E29" s="560"/>
    </row>
    <row r="30" spans="2:5" ht="15.75" customHeight="1" x14ac:dyDescent="0.2">
      <c r="B30" s="560"/>
      <c r="E30" s="560"/>
    </row>
    <row r="31" spans="2:5" ht="15.75" customHeight="1" x14ac:dyDescent="0.2">
      <c r="B31" s="560"/>
      <c r="E31" s="560"/>
    </row>
    <row r="32" spans="2:5" ht="15.75" customHeight="1" x14ac:dyDescent="0.2">
      <c r="B32" s="560"/>
      <c r="E32" s="560"/>
    </row>
    <row r="33" spans="2:5" ht="15.75" customHeight="1" x14ac:dyDescent="0.2">
      <c r="B33" s="560"/>
      <c r="E33" s="560"/>
    </row>
    <row r="34" spans="2:5" ht="15.75" customHeight="1" x14ac:dyDescent="0.2">
      <c r="B34" s="560"/>
      <c r="E34" s="560"/>
    </row>
    <row r="35" spans="2:5" ht="15.75" customHeight="1" x14ac:dyDescent="0.2">
      <c r="B35" s="560"/>
      <c r="E35" s="560"/>
    </row>
    <row r="36" spans="2:5" ht="15.75" customHeight="1" x14ac:dyDescent="0.2">
      <c r="B36" s="560" t="s">
        <v>721</v>
      </c>
      <c r="D36" s="560"/>
      <c r="E36" s="560" t="s">
        <v>722</v>
      </c>
    </row>
    <row r="37" spans="2:5" ht="15.75" customHeight="1" x14ac:dyDescent="0.2">
      <c r="B37" s="560"/>
      <c r="D37" s="560"/>
      <c r="E37" s="560" t="s">
        <v>723</v>
      </c>
    </row>
    <row r="38" spans="2:5" ht="15.75" customHeight="1" x14ac:dyDescent="0.2">
      <c r="B38" s="560"/>
      <c r="D38" s="560"/>
      <c r="E38" s="560" t="s">
        <v>724</v>
      </c>
    </row>
    <row r="39" spans="2:5" ht="15.75" customHeight="1" x14ac:dyDescent="0.2">
      <c r="B39" s="560"/>
      <c r="D39" s="560"/>
      <c r="E39" s="560" t="s">
        <v>725</v>
      </c>
    </row>
    <row r="40" spans="2:5" ht="15.75" customHeight="1" x14ac:dyDescent="0.2"/>
    <row r="41" spans="2:5" ht="15.75" customHeight="1" x14ac:dyDescent="0.2">
      <c r="B41" s="560" t="s">
        <v>383</v>
      </c>
      <c r="E41" s="563" t="s">
        <v>726</v>
      </c>
    </row>
    <row r="42" spans="2:5" ht="15.75" customHeight="1" x14ac:dyDescent="0.2">
      <c r="B42" s="560"/>
      <c r="E42" s="563"/>
    </row>
    <row r="43" spans="2:5" ht="15.75" customHeight="1" x14ac:dyDescent="0.2">
      <c r="E43" s="563"/>
    </row>
    <row r="44" spans="2:5" ht="15.75" customHeight="1" x14ac:dyDescent="0.2">
      <c r="B44" s="560" t="s">
        <v>727</v>
      </c>
      <c r="D44" s="560"/>
      <c r="E44" s="563" t="s">
        <v>728</v>
      </c>
    </row>
    <row r="45" spans="2:5" ht="15.75" customHeight="1" x14ac:dyDescent="0.2">
      <c r="B45" s="560"/>
      <c r="D45" s="560"/>
      <c r="E45" s="560"/>
    </row>
    <row r="46" spans="2:5" ht="15.75" customHeight="1" x14ac:dyDescent="0.2">
      <c r="B46" s="560"/>
      <c r="D46" s="560"/>
    </row>
    <row r="47" spans="2:5" ht="15.75" customHeight="1" x14ac:dyDescent="0.2">
      <c r="B47" s="560"/>
      <c r="D47" s="560"/>
    </row>
    <row r="48" spans="2:5" ht="15.75" customHeight="1" x14ac:dyDescent="0.2">
      <c r="B48" s="560"/>
      <c r="D48" s="560"/>
    </row>
    <row r="49" spans="1:14" ht="15.75" customHeight="1" x14ac:dyDescent="0.2">
      <c r="B49" s="560"/>
      <c r="D49" s="560"/>
    </row>
    <row r="50" spans="1:14" ht="15.75" customHeight="1" x14ac:dyDescent="0.2">
      <c r="B50" s="560"/>
      <c r="D50" s="560"/>
    </row>
    <row r="51" spans="1:14" ht="15.75" customHeight="1" x14ac:dyDescent="0.2">
      <c r="B51" s="560"/>
      <c r="D51" s="560"/>
    </row>
    <row r="52" spans="1:14" ht="15.75" customHeight="1" x14ac:dyDescent="0.2">
      <c r="B52" s="560"/>
      <c r="D52" s="560"/>
    </row>
    <row r="53" spans="1:14" ht="15.75" customHeight="1" x14ac:dyDescent="0.2">
      <c r="B53" s="560"/>
      <c r="D53" s="560"/>
    </row>
    <row r="54" spans="1:14" ht="15.75" customHeight="1" x14ac:dyDescent="0.2">
      <c r="B54" s="560"/>
      <c r="D54" s="560"/>
    </row>
    <row r="55" spans="1:14" ht="15.75" customHeight="1" x14ac:dyDescent="0.2">
      <c r="B55" s="560"/>
    </row>
    <row r="56" spans="1:14" ht="15.75" customHeight="1" x14ac:dyDescent="0.2">
      <c r="B56" s="560"/>
    </row>
    <row r="57" spans="1:14" ht="15.75" customHeight="1" x14ac:dyDescent="0.2">
      <c r="B57" s="560"/>
    </row>
    <row r="58" spans="1:14" ht="15.75" customHeight="1" x14ac:dyDescent="0.2">
      <c r="B58" s="560"/>
    </row>
    <row r="59" spans="1:14" ht="3" customHeight="1" x14ac:dyDescent="0.2">
      <c r="A59" s="564"/>
      <c r="B59" s="565"/>
      <c r="C59" s="564"/>
      <c r="D59" s="564"/>
      <c r="E59" s="564"/>
      <c r="F59" s="564"/>
      <c r="G59" s="564"/>
      <c r="H59" s="564"/>
      <c r="I59" s="564"/>
      <c r="J59" s="564"/>
      <c r="K59" s="564"/>
      <c r="L59" s="564"/>
      <c r="M59" s="564"/>
      <c r="N59" s="564"/>
    </row>
    <row r="60" spans="1:14" ht="15.75" customHeight="1" x14ac:dyDescent="0.2">
      <c r="B60" s="560"/>
    </row>
    <row r="61" spans="1:14" ht="15.75" customHeight="1" x14ac:dyDescent="0.25">
      <c r="A61" s="740" t="s">
        <v>362</v>
      </c>
      <c r="B61" s="740"/>
      <c r="C61" s="740"/>
      <c r="D61" s="740"/>
      <c r="E61" s="740"/>
      <c r="F61" s="740"/>
      <c r="G61" s="740"/>
      <c r="H61" s="740"/>
      <c r="I61" s="740"/>
      <c r="J61" s="740"/>
      <c r="K61" s="566"/>
    </row>
    <row r="62" spans="1:14" ht="21.75" customHeight="1" x14ac:dyDescent="0.25">
      <c r="A62" s="740"/>
      <c r="B62" s="740"/>
      <c r="C62" s="740"/>
      <c r="D62" s="740"/>
      <c r="E62" s="740"/>
      <c r="F62" s="740"/>
      <c r="G62" s="740"/>
      <c r="H62" s="740"/>
      <c r="I62" s="740"/>
      <c r="J62" s="740"/>
      <c r="K62" s="566"/>
    </row>
    <row r="63" spans="1:14" ht="15.75" customHeight="1" x14ac:dyDescent="0.2">
      <c r="B63" s="560"/>
    </row>
    <row r="64" spans="1:14" ht="15.75" x14ac:dyDescent="0.2">
      <c r="B64" s="560"/>
    </row>
    <row r="65" spans="2:2" ht="18.75" customHeight="1" x14ac:dyDescent="0.2">
      <c r="B65" s="560"/>
    </row>
    <row r="66" spans="2:2" ht="13.5" customHeight="1" x14ac:dyDescent="0.2">
      <c r="B66" s="560"/>
    </row>
    <row r="67" spans="2:2" ht="15.75" x14ac:dyDescent="0.2">
      <c r="B67" s="560"/>
    </row>
    <row r="82" spans="12:12" x14ac:dyDescent="0.2">
      <c r="L82" s="567"/>
    </row>
    <row r="214" spans="1:14" ht="3" customHeight="1" x14ac:dyDescent="0.2">
      <c r="A214" s="564"/>
      <c r="B214" s="565"/>
      <c r="C214" s="564"/>
      <c r="D214" s="564"/>
      <c r="E214" s="564"/>
      <c r="F214" s="564"/>
      <c r="G214" s="564"/>
      <c r="H214" s="564"/>
      <c r="I214" s="564"/>
      <c r="J214" s="564"/>
      <c r="K214" s="564"/>
      <c r="L214" s="564"/>
      <c r="M214" s="564"/>
      <c r="N214" s="564"/>
    </row>
    <row r="217" spans="1:14" ht="18" x14ac:dyDescent="0.25">
      <c r="A217" s="568" t="s">
        <v>329</v>
      </c>
      <c r="B217" s="569"/>
    </row>
    <row r="218" spans="1:14" ht="15.75" x14ac:dyDescent="0.25">
      <c r="B218" s="1"/>
    </row>
    <row r="219" spans="1:14" ht="30" customHeight="1" x14ac:dyDescent="0.25">
      <c r="B219" s="719" t="s">
        <v>330</v>
      </c>
      <c r="C219" s="719"/>
      <c r="D219" s="719"/>
      <c r="E219" s="719"/>
      <c r="F219" s="719"/>
      <c r="G219" s="719"/>
      <c r="H219" s="719"/>
      <c r="I219" s="719"/>
      <c r="J219" s="400"/>
    </row>
    <row r="220" spans="1:14" ht="15.75" x14ac:dyDescent="0.25">
      <c r="B220" s="477" t="s">
        <v>511</v>
      </c>
    </row>
    <row r="221" spans="1:14" ht="15.75" x14ac:dyDescent="0.25">
      <c r="B221" s="1"/>
    </row>
    <row r="222" spans="1:14" ht="45.75" customHeight="1" x14ac:dyDescent="0.25">
      <c r="B222" s="719" t="s">
        <v>331</v>
      </c>
      <c r="C222" s="719"/>
      <c r="D222" s="719"/>
      <c r="E222" s="719"/>
      <c r="F222" s="719"/>
      <c r="G222" s="719"/>
      <c r="H222" s="719"/>
    </row>
    <row r="223" spans="1:14" ht="15.75" x14ac:dyDescent="0.25">
      <c r="B223" s="477" t="s">
        <v>512</v>
      </c>
    </row>
    <row r="224" spans="1:14" ht="15.75" x14ac:dyDescent="0.25">
      <c r="B224" s="1"/>
    </row>
    <row r="225" spans="2:2" ht="15.75" x14ac:dyDescent="0.25">
      <c r="B225" s="1" t="s">
        <v>513</v>
      </c>
    </row>
    <row r="226" spans="2:2" ht="15.75" x14ac:dyDescent="0.25">
      <c r="B226" s="477" t="s">
        <v>514</v>
      </c>
    </row>
    <row r="227" spans="2:2" ht="15.75" x14ac:dyDescent="0.25">
      <c r="B227" s="1"/>
    </row>
    <row r="228" spans="2:2" ht="15.75" x14ac:dyDescent="0.25">
      <c r="B228" s="1" t="s">
        <v>332</v>
      </c>
    </row>
    <row r="229" spans="2:2" ht="15.75" x14ac:dyDescent="0.25">
      <c r="B229" s="477" t="s">
        <v>515</v>
      </c>
    </row>
    <row r="230" spans="2:2" ht="15.75" x14ac:dyDescent="0.25">
      <c r="B230" s="1"/>
    </row>
    <row r="231" spans="2:2" ht="15.75" x14ac:dyDescent="0.25">
      <c r="B231" s="1" t="s">
        <v>333</v>
      </c>
    </row>
    <row r="232" spans="2:2" ht="15.75" x14ac:dyDescent="0.25">
      <c r="B232" s="477" t="s">
        <v>516</v>
      </c>
    </row>
    <row r="233" spans="2:2" ht="15.75" x14ac:dyDescent="0.25">
      <c r="B233" s="1"/>
    </row>
    <row r="234" spans="2:2" ht="15.75" x14ac:dyDescent="0.25">
      <c r="B234" s="1" t="s">
        <v>517</v>
      </c>
    </row>
    <row r="235" spans="2:2" ht="15.75" x14ac:dyDescent="0.25">
      <c r="B235" s="477" t="s">
        <v>518</v>
      </c>
    </row>
    <row r="236" spans="2:2" ht="15.75" x14ac:dyDescent="0.25">
      <c r="B236" s="1"/>
    </row>
    <row r="237" spans="2:2" ht="15.75" x14ac:dyDescent="0.25">
      <c r="B237" s="1" t="s">
        <v>334</v>
      </c>
    </row>
    <row r="238" spans="2:2" ht="15.75" x14ac:dyDescent="0.25">
      <c r="B238" s="477" t="s">
        <v>519</v>
      </c>
    </row>
    <row r="239" spans="2:2" ht="15.75" x14ac:dyDescent="0.25">
      <c r="B239" s="1"/>
    </row>
    <row r="240" spans="2:2" ht="15.75" x14ac:dyDescent="0.25">
      <c r="B240" s="1" t="s">
        <v>335</v>
      </c>
    </row>
    <row r="241" spans="2:2" ht="15.75" x14ac:dyDescent="0.25">
      <c r="B241" s="477" t="s">
        <v>520</v>
      </c>
    </row>
    <row r="242" spans="2:2" ht="15.75" x14ac:dyDescent="0.25">
      <c r="B242" s="1"/>
    </row>
    <row r="243" spans="2:2" ht="15.75" x14ac:dyDescent="0.25">
      <c r="B243" s="1" t="s">
        <v>336</v>
      </c>
    </row>
    <row r="244" spans="2:2" ht="15.75" x14ac:dyDescent="0.25">
      <c r="B244" s="477" t="s">
        <v>521</v>
      </c>
    </row>
    <row r="245" spans="2:2" ht="15.75" x14ac:dyDescent="0.25">
      <c r="B245" s="1"/>
    </row>
  </sheetData>
  <sheetProtection sheet="1" objects="1" scenarios="1"/>
  <mergeCells count="3">
    <mergeCell ref="A61:J62"/>
    <mergeCell ref="B219:I219"/>
    <mergeCell ref="B222:H222"/>
  </mergeCells>
  <hyperlinks>
    <hyperlink ref="B244" r:id="rId1" xr:uid="{4FF39142-4F5B-4D66-8A2B-4B9506F48890}"/>
  </hyperlinks>
  <pageMargins left="0.7" right="0.7" top="0.75" bottom="0.75" header="0.3" footer="0.3"/>
  <pageSetup orientation="landscape" r:id="rId2"/>
  <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3F30A-CC16-46F7-986C-A78171E34538}">
  <dimension ref="A1:A320"/>
  <sheetViews>
    <sheetView workbookViewId="0"/>
  </sheetViews>
  <sheetFormatPr defaultRowHeight="15.75" x14ac:dyDescent="0.2"/>
  <cols>
    <col min="1" max="1" width="83.6640625" style="28" customWidth="1"/>
    <col min="2" max="16384" width="8.88671875" style="27"/>
  </cols>
  <sheetData>
    <row r="1" spans="1:1" x14ac:dyDescent="0.2">
      <c r="A1" s="497" t="s">
        <v>969</v>
      </c>
    </row>
    <row r="2" spans="1:1" x14ac:dyDescent="0.2">
      <c r="A2" s="28" t="s">
        <v>966</v>
      </c>
    </row>
    <row r="3" spans="1:1" x14ac:dyDescent="0.2">
      <c r="A3" s="28" t="s">
        <v>967</v>
      </c>
    </row>
    <row r="4" spans="1:1" x14ac:dyDescent="0.2">
      <c r="A4" s="27" t="s">
        <v>968</v>
      </c>
    </row>
    <row r="5" spans="1:1" x14ac:dyDescent="0.2">
      <c r="A5" s="27" t="s">
        <v>970</v>
      </c>
    </row>
    <row r="7" spans="1:1" x14ac:dyDescent="0.2">
      <c r="A7" s="497" t="s">
        <v>963</v>
      </c>
    </row>
    <row r="8" spans="1:1" x14ac:dyDescent="0.2">
      <c r="A8" s="28" t="s">
        <v>964</v>
      </c>
    </row>
    <row r="9" spans="1:1" x14ac:dyDescent="0.2">
      <c r="A9" s="28" t="s">
        <v>965</v>
      </c>
    </row>
    <row r="11" spans="1:1" x14ac:dyDescent="0.2">
      <c r="A11" s="497" t="s">
        <v>729</v>
      </c>
    </row>
    <row r="12" spans="1:1" x14ac:dyDescent="0.2">
      <c r="A12" s="28" t="s">
        <v>730</v>
      </c>
    </row>
    <row r="13" spans="1:1" ht="17.25" customHeight="1" x14ac:dyDescent="0.2">
      <c r="A13" s="28" t="s">
        <v>731</v>
      </c>
    </row>
    <row r="14" spans="1:1" x14ac:dyDescent="0.2">
      <c r="A14" s="28" t="s">
        <v>732</v>
      </c>
    </row>
    <row r="15" spans="1:1" x14ac:dyDescent="0.2">
      <c r="A15" s="28" t="s">
        <v>733</v>
      </c>
    </row>
    <row r="16" spans="1:1" x14ac:dyDescent="0.2">
      <c r="A16" s="28" t="s">
        <v>734</v>
      </c>
    </row>
    <row r="17" spans="1:1" x14ac:dyDescent="0.2">
      <c r="A17" s="28" t="s">
        <v>735</v>
      </c>
    </row>
    <row r="19" spans="1:1" x14ac:dyDescent="0.2">
      <c r="A19" s="497" t="s">
        <v>736</v>
      </c>
    </row>
    <row r="20" spans="1:1" x14ac:dyDescent="0.2">
      <c r="A20" s="28" t="s">
        <v>497</v>
      </c>
    </row>
    <row r="21" spans="1:1" x14ac:dyDescent="0.2">
      <c r="A21" s="28" t="s">
        <v>498</v>
      </c>
    </row>
    <row r="22" spans="1:1" ht="31.5" x14ac:dyDescent="0.2">
      <c r="A22" s="28" t="s">
        <v>499</v>
      </c>
    </row>
    <row r="23" spans="1:1" ht="31.5" x14ac:dyDescent="0.2">
      <c r="A23" s="28" t="s">
        <v>500</v>
      </c>
    </row>
    <row r="24" spans="1:1" x14ac:dyDescent="0.2">
      <c r="A24" s="28" t="s">
        <v>501</v>
      </c>
    </row>
    <row r="25" spans="1:1" ht="31.5" x14ac:dyDescent="0.2">
      <c r="A25" s="28" t="s">
        <v>502</v>
      </c>
    </row>
    <row r="26" spans="1:1" x14ac:dyDescent="0.2">
      <c r="A26" s="28" t="s">
        <v>503</v>
      </c>
    </row>
    <row r="27" spans="1:1" x14ac:dyDescent="0.2">
      <c r="A27" s="28" t="s">
        <v>504</v>
      </c>
    </row>
    <row r="28" spans="1:1" x14ac:dyDescent="0.2">
      <c r="A28" s="28" t="s">
        <v>505</v>
      </c>
    </row>
    <row r="29" spans="1:1" x14ac:dyDescent="0.2">
      <c r="A29" s="28" t="s">
        <v>506</v>
      </c>
    </row>
    <row r="31" spans="1:1" x14ac:dyDescent="0.2">
      <c r="A31" s="497" t="s">
        <v>386</v>
      </c>
    </row>
    <row r="32" spans="1:1" x14ac:dyDescent="0.2">
      <c r="A32" s="28" t="s">
        <v>387</v>
      </c>
    </row>
    <row r="33" spans="1:1" x14ac:dyDescent="0.2">
      <c r="A33" s="28" t="s">
        <v>388</v>
      </c>
    </row>
    <row r="34" spans="1:1" x14ac:dyDescent="0.2">
      <c r="A34" s="28" t="s">
        <v>389</v>
      </c>
    </row>
    <row r="35" spans="1:1" x14ac:dyDescent="0.2">
      <c r="A35" s="28" t="s">
        <v>390</v>
      </c>
    </row>
    <row r="36" spans="1:1" x14ac:dyDescent="0.2">
      <c r="A36" s="28" t="s">
        <v>737</v>
      </c>
    </row>
    <row r="38" spans="1:1" x14ac:dyDescent="0.25">
      <c r="A38" s="570" t="s">
        <v>738</v>
      </c>
    </row>
    <row r="39" spans="1:1" x14ac:dyDescent="0.2">
      <c r="A39" s="28" t="s">
        <v>739</v>
      </c>
    </row>
    <row r="40" spans="1:1" ht="31.5" x14ac:dyDescent="0.2">
      <c r="A40" s="28" t="s">
        <v>740</v>
      </c>
    </row>
    <row r="41" spans="1:1" x14ac:dyDescent="0.2">
      <c r="A41" s="28" t="s">
        <v>741</v>
      </c>
    </row>
    <row r="42" spans="1:1" x14ac:dyDescent="0.2">
      <c r="A42" s="28" t="s">
        <v>742</v>
      </c>
    </row>
    <row r="43" spans="1:1" x14ac:dyDescent="0.2">
      <c r="A43" s="28" t="s">
        <v>743</v>
      </c>
    </row>
    <row r="46" spans="1:1" x14ac:dyDescent="0.25">
      <c r="A46" s="570" t="s">
        <v>744</v>
      </c>
    </row>
    <row r="47" spans="1:1" x14ac:dyDescent="0.2">
      <c r="A47" s="28" t="s">
        <v>745</v>
      </c>
    </row>
    <row r="48" spans="1:1" x14ac:dyDescent="0.2">
      <c r="A48" s="28" t="s">
        <v>746</v>
      </c>
    </row>
    <row r="49" spans="1:1" x14ac:dyDescent="0.2">
      <c r="A49" s="28" t="s">
        <v>747</v>
      </c>
    </row>
    <row r="50" spans="1:1" x14ac:dyDescent="0.2">
      <c r="A50" s="28" t="s">
        <v>748</v>
      </c>
    </row>
    <row r="51" spans="1:1" x14ac:dyDescent="0.2">
      <c r="A51" s="28" t="s">
        <v>749</v>
      </c>
    </row>
    <row r="52" spans="1:1" x14ac:dyDescent="0.2">
      <c r="A52" s="28" t="s">
        <v>750</v>
      </c>
    </row>
    <row r="54" spans="1:1" x14ac:dyDescent="0.25">
      <c r="A54" s="570" t="s">
        <v>751</v>
      </c>
    </row>
    <row r="55" spans="1:1" x14ac:dyDescent="0.2">
      <c r="A55" s="28" t="s">
        <v>752</v>
      </c>
    </row>
    <row r="56" spans="1:1" x14ac:dyDescent="0.2">
      <c r="A56" s="28" t="s">
        <v>753</v>
      </c>
    </row>
    <row r="57" spans="1:1" x14ac:dyDescent="0.2">
      <c r="A57" s="28" t="s">
        <v>754</v>
      </c>
    </row>
    <row r="58" spans="1:1" x14ac:dyDescent="0.2">
      <c r="A58" s="28" t="s">
        <v>755</v>
      </c>
    </row>
    <row r="59" spans="1:1" x14ac:dyDescent="0.2">
      <c r="A59" s="28" t="s">
        <v>756</v>
      </c>
    </row>
    <row r="60" spans="1:1" x14ac:dyDescent="0.2">
      <c r="A60" s="28" t="s">
        <v>757</v>
      </c>
    </row>
    <row r="61" spans="1:1" x14ac:dyDescent="0.2">
      <c r="A61" s="28" t="s">
        <v>758</v>
      </c>
    </row>
    <row r="62" spans="1:1" x14ac:dyDescent="0.2">
      <c r="A62" s="28" t="s">
        <v>759</v>
      </c>
    </row>
    <row r="64" spans="1:1" x14ac:dyDescent="0.25">
      <c r="A64" s="570" t="s">
        <v>760</v>
      </c>
    </row>
    <row r="65" spans="1:1" x14ac:dyDescent="0.2">
      <c r="A65" s="571" t="s">
        <v>761</v>
      </c>
    </row>
    <row r="66" spans="1:1" x14ac:dyDescent="0.2">
      <c r="A66" s="571" t="s">
        <v>762</v>
      </c>
    </row>
    <row r="68" spans="1:1" x14ac:dyDescent="0.25">
      <c r="A68" s="572" t="s">
        <v>763</v>
      </c>
    </row>
    <row r="69" spans="1:1" x14ac:dyDescent="0.25">
      <c r="A69" s="400" t="s">
        <v>379</v>
      </c>
    </row>
    <row r="71" spans="1:1" x14ac:dyDescent="0.25">
      <c r="A71" s="572" t="s">
        <v>764</v>
      </c>
    </row>
    <row r="72" spans="1:1" x14ac:dyDescent="0.25">
      <c r="A72" s="400" t="s">
        <v>765</v>
      </c>
    </row>
    <row r="73" spans="1:1" x14ac:dyDescent="0.25">
      <c r="A73" s="400" t="s">
        <v>766</v>
      </c>
    </row>
    <row r="74" spans="1:1" x14ac:dyDescent="0.25">
      <c r="A74" s="400" t="s">
        <v>767</v>
      </c>
    </row>
    <row r="75" spans="1:1" x14ac:dyDescent="0.25">
      <c r="A75" s="400" t="s">
        <v>768</v>
      </c>
    </row>
    <row r="76" spans="1:1" x14ac:dyDescent="0.25">
      <c r="A76" s="400" t="s">
        <v>769</v>
      </c>
    </row>
    <row r="77" spans="1:1" x14ac:dyDescent="0.25">
      <c r="A77" s="400" t="s">
        <v>770</v>
      </c>
    </row>
    <row r="79" spans="1:1" x14ac:dyDescent="0.2">
      <c r="A79" s="573" t="s">
        <v>771</v>
      </c>
    </row>
    <row r="80" spans="1:1" x14ac:dyDescent="0.2">
      <c r="A80" s="571" t="s">
        <v>377</v>
      </c>
    </row>
    <row r="81" spans="1:1" x14ac:dyDescent="0.2">
      <c r="A81" s="28" t="s">
        <v>772</v>
      </c>
    </row>
    <row r="83" spans="1:1" x14ac:dyDescent="0.2">
      <c r="A83" s="573" t="s">
        <v>773</v>
      </c>
    </row>
    <row r="84" spans="1:1" x14ac:dyDescent="0.2">
      <c r="A84" s="571" t="s">
        <v>376</v>
      </c>
    </row>
    <row r="86" spans="1:1" x14ac:dyDescent="0.2">
      <c r="A86" s="573" t="s">
        <v>774</v>
      </c>
    </row>
    <row r="87" spans="1:1" x14ac:dyDescent="0.2">
      <c r="A87" s="571" t="s">
        <v>775</v>
      </c>
    </row>
    <row r="89" spans="1:1" x14ac:dyDescent="0.2">
      <c r="A89" s="573" t="s">
        <v>776</v>
      </c>
    </row>
    <row r="90" spans="1:1" x14ac:dyDescent="0.2">
      <c r="A90" s="571" t="s">
        <v>777</v>
      </c>
    </row>
    <row r="92" spans="1:1" x14ac:dyDescent="0.2">
      <c r="A92" s="573" t="s">
        <v>778</v>
      </c>
    </row>
    <row r="93" spans="1:1" x14ac:dyDescent="0.2">
      <c r="A93" s="571" t="s">
        <v>779</v>
      </c>
    </row>
    <row r="95" spans="1:1" x14ac:dyDescent="0.2">
      <c r="A95" s="573" t="s">
        <v>780</v>
      </c>
    </row>
    <row r="96" spans="1:1" x14ac:dyDescent="0.2">
      <c r="A96" s="571" t="s">
        <v>355</v>
      </c>
    </row>
    <row r="98" spans="1:1" x14ac:dyDescent="0.2">
      <c r="A98" s="573" t="s">
        <v>781</v>
      </c>
    </row>
    <row r="99" spans="1:1" x14ac:dyDescent="0.2">
      <c r="A99" s="485" t="s">
        <v>354</v>
      </c>
    </row>
    <row r="101" spans="1:1" x14ac:dyDescent="0.2">
      <c r="A101" s="573" t="s">
        <v>782</v>
      </c>
    </row>
    <row r="102" spans="1:1" x14ac:dyDescent="0.2">
      <c r="A102" s="28" t="s">
        <v>783</v>
      </c>
    </row>
    <row r="104" spans="1:1" x14ac:dyDescent="0.2">
      <c r="A104" s="573" t="s">
        <v>784</v>
      </c>
    </row>
    <row r="105" spans="1:1" x14ac:dyDescent="0.2">
      <c r="A105" s="28" t="s">
        <v>785</v>
      </c>
    </row>
    <row r="107" spans="1:1" x14ac:dyDescent="0.2">
      <c r="A107" s="573" t="s">
        <v>786</v>
      </c>
    </row>
    <row r="108" spans="1:1" x14ac:dyDescent="0.2">
      <c r="A108" s="28" t="s">
        <v>787</v>
      </c>
    </row>
    <row r="110" spans="1:1" x14ac:dyDescent="0.2">
      <c r="A110" s="573" t="s">
        <v>788</v>
      </c>
    </row>
    <row r="111" spans="1:1" x14ac:dyDescent="0.2">
      <c r="A111" s="574" t="s">
        <v>789</v>
      </c>
    </row>
    <row r="113" spans="1:1" x14ac:dyDescent="0.2">
      <c r="A113" s="573" t="s">
        <v>790</v>
      </c>
    </row>
    <row r="114" spans="1:1" x14ac:dyDescent="0.2">
      <c r="A114" s="28" t="s">
        <v>791</v>
      </c>
    </row>
    <row r="116" spans="1:1" x14ac:dyDescent="0.2">
      <c r="A116" s="573" t="s">
        <v>792</v>
      </c>
    </row>
    <row r="117" spans="1:1" x14ac:dyDescent="0.2">
      <c r="A117" s="28" t="s">
        <v>793</v>
      </c>
    </row>
    <row r="118" spans="1:1" x14ac:dyDescent="0.2">
      <c r="A118" s="28" t="s">
        <v>794</v>
      </c>
    </row>
    <row r="120" spans="1:1" x14ac:dyDescent="0.2">
      <c r="A120" s="573" t="s">
        <v>795</v>
      </c>
    </row>
    <row r="121" spans="1:1" x14ac:dyDescent="0.2">
      <c r="A121" s="575" t="s">
        <v>796</v>
      </c>
    </row>
    <row r="123" spans="1:1" x14ac:dyDescent="0.2">
      <c r="A123" s="573" t="s">
        <v>797</v>
      </c>
    </row>
    <row r="124" spans="1:1" x14ac:dyDescent="0.2">
      <c r="A124" s="574" t="s">
        <v>798</v>
      </c>
    </row>
    <row r="125" spans="1:1" x14ac:dyDescent="0.2">
      <c r="A125" s="28" t="s">
        <v>799</v>
      </c>
    </row>
    <row r="126" spans="1:1" x14ac:dyDescent="0.2">
      <c r="A126" s="28" t="s">
        <v>800</v>
      </c>
    </row>
    <row r="127" spans="1:1" x14ac:dyDescent="0.2">
      <c r="A127" s="28" t="s">
        <v>801</v>
      </c>
    </row>
    <row r="128" spans="1:1" x14ac:dyDescent="0.2">
      <c r="A128" s="28" t="s">
        <v>802</v>
      </c>
    </row>
    <row r="129" spans="1:1" x14ac:dyDescent="0.2">
      <c r="A129" s="28" t="s">
        <v>803</v>
      </c>
    </row>
    <row r="130" spans="1:1" x14ac:dyDescent="0.2">
      <c r="A130" s="28" t="s">
        <v>804</v>
      </c>
    </row>
    <row r="131" spans="1:1" ht="48.75" customHeight="1" x14ac:dyDescent="0.2">
      <c r="A131" s="28" t="s">
        <v>805</v>
      </c>
    </row>
    <row r="132" spans="1:1" ht="31.5" x14ac:dyDescent="0.2">
      <c r="A132" s="28" t="s">
        <v>806</v>
      </c>
    </row>
    <row r="133" spans="1:1" ht="36" customHeight="1" x14ac:dyDescent="0.2">
      <c r="A133" s="28" t="s">
        <v>807</v>
      </c>
    </row>
    <row r="134" spans="1:1" x14ac:dyDescent="0.2">
      <c r="A134" s="28" t="s">
        <v>808</v>
      </c>
    </row>
    <row r="135" spans="1:1" x14ac:dyDescent="0.2">
      <c r="A135" s="28" t="s">
        <v>809</v>
      </c>
    </row>
    <row r="136" spans="1:1" x14ac:dyDescent="0.2">
      <c r="A136" s="28" t="s">
        <v>810</v>
      </c>
    </row>
    <row r="137" spans="1:1" x14ac:dyDescent="0.2">
      <c r="A137" s="28" t="s">
        <v>811</v>
      </c>
    </row>
    <row r="138" spans="1:1" x14ac:dyDescent="0.2">
      <c r="A138" s="28" t="s">
        <v>812</v>
      </c>
    </row>
    <row r="139" spans="1:1" x14ac:dyDescent="0.2">
      <c r="A139" s="28" t="s">
        <v>813</v>
      </c>
    </row>
    <row r="140" spans="1:1" ht="47.25" x14ac:dyDescent="0.2">
      <c r="A140" s="28" t="s">
        <v>814</v>
      </c>
    </row>
    <row r="141" spans="1:1" x14ac:dyDescent="0.2">
      <c r="A141" s="485" t="s">
        <v>815</v>
      </c>
    </row>
    <row r="142" spans="1:1" ht="31.5" x14ac:dyDescent="0.2">
      <c r="A142" s="28" t="s">
        <v>816</v>
      </c>
    </row>
    <row r="143" spans="1:1" x14ac:dyDescent="0.2">
      <c r="A143" s="28" t="s">
        <v>817</v>
      </c>
    </row>
    <row r="144" spans="1:1" x14ac:dyDescent="0.2">
      <c r="A144" s="28" t="s">
        <v>818</v>
      </c>
    </row>
    <row r="145" spans="1:1" x14ac:dyDescent="0.2">
      <c r="A145" s="28" t="s">
        <v>819</v>
      </c>
    </row>
    <row r="146" spans="1:1" x14ac:dyDescent="0.2">
      <c r="A146" s="28" t="s">
        <v>820</v>
      </c>
    </row>
    <row r="147" spans="1:1" ht="15.75" customHeight="1" x14ac:dyDescent="0.2">
      <c r="A147" s="28" t="s">
        <v>821</v>
      </c>
    </row>
    <row r="148" spans="1:1" x14ac:dyDescent="0.2">
      <c r="A148" s="28" t="s">
        <v>822</v>
      </c>
    </row>
    <row r="149" spans="1:1" x14ac:dyDescent="0.2">
      <c r="A149" s="28" t="s">
        <v>823</v>
      </c>
    </row>
    <row r="150" spans="1:1" ht="31.5" x14ac:dyDescent="0.2">
      <c r="A150" s="28" t="s">
        <v>824</v>
      </c>
    </row>
    <row r="151" spans="1:1" x14ac:dyDescent="0.2">
      <c r="A151" s="28" t="s">
        <v>825</v>
      </c>
    </row>
    <row r="152" spans="1:1" x14ac:dyDescent="0.2">
      <c r="A152" s="28" t="s">
        <v>826</v>
      </c>
    </row>
    <row r="153" spans="1:1" x14ac:dyDescent="0.2">
      <c r="A153" s="28" t="s">
        <v>827</v>
      </c>
    </row>
    <row r="154" spans="1:1" ht="15.75" customHeight="1" x14ac:dyDescent="0.2">
      <c r="A154" s="28" t="s">
        <v>828</v>
      </c>
    </row>
    <row r="155" spans="1:1" x14ac:dyDescent="0.2">
      <c r="A155" s="28" t="s">
        <v>829</v>
      </c>
    </row>
    <row r="156" spans="1:1" x14ac:dyDescent="0.2">
      <c r="A156" s="28" t="s">
        <v>830</v>
      </c>
    </row>
    <row r="157" spans="1:1" x14ac:dyDescent="0.2">
      <c r="A157" s="28" t="s">
        <v>831</v>
      </c>
    </row>
    <row r="158" spans="1:1" x14ac:dyDescent="0.2">
      <c r="A158" s="28" t="s">
        <v>832</v>
      </c>
    </row>
    <row r="160" spans="1:1" x14ac:dyDescent="0.2">
      <c r="A160" s="573" t="s">
        <v>833</v>
      </c>
    </row>
    <row r="161" spans="1:1" ht="31.5" x14ac:dyDescent="0.2">
      <c r="A161" s="28" t="s">
        <v>834</v>
      </c>
    </row>
    <row r="163" spans="1:1" x14ac:dyDescent="0.2">
      <c r="A163" s="573" t="s">
        <v>835</v>
      </c>
    </row>
    <row r="164" spans="1:1" ht="15.75" customHeight="1" x14ac:dyDescent="0.2">
      <c r="A164" s="28" t="s">
        <v>836</v>
      </c>
    </row>
    <row r="165" spans="1:1" x14ac:dyDescent="0.2">
      <c r="A165" s="28" t="s">
        <v>837</v>
      </c>
    </row>
    <row r="167" spans="1:1" x14ac:dyDescent="0.2">
      <c r="A167" s="573" t="s">
        <v>838</v>
      </c>
    </row>
    <row r="168" spans="1:1" x14ac:dyDescent="0.2">
      <c r="A168" s="28" t="s">
        <v>839</v>
      </c>
    </row>
    <row r="169" spans="1:1" ht="19.5" customHeight="1" x14ac:dyDescent="0.2"/>
    <row r="170" spans="1:1" x14ac:dyDescent="0.2">
      <c r="A170" s="573" t="s">
        <v>840</v>
      </c>
    </row>
    <row r="171" spans="1:1" x14ac:dyDescent="0.2">
      <c r="A171" s="28" t="s">
        <v>841</v>
      </c>
    </row>
    <row r="173" spans="1:1" x14ac:dyDescent="0.2">
      <c r="A173" s="573" t="s">
        <v>842</v>
      </c>
    </row>
    <row r="174" spans="1:1" x14ac:dyDescent="0.2">
      <c r="A174" s="321" t="s">
        <v>843</v>
      </c>
    </row>
    <row r="175" spans="1:1" x14ac:dyDescent="0.2">
      <c r="A175" s="321" t="s">
        <v>844</v>
      </c>
    </row>
    <row r="177" spans="1:1" x14ac:dyDescent="0.2">
      <c r="A177" s="573" t="s">
        <v>845</v>
      </c>
    </row>
    <row r="178" spans="1:1" x14ac:dyDescent="0.2">
      <c r="A178" s="28" t="s">
        <v>846</v>
      </c>
    </row>
    <row r="179" spans="1:1" x14ac:dyDescent="0.2">
      <c r="A179" s="28" t="s">
        <v>847</v>
      </c>
    </row>
    <row r="180" spans="1:1" x14ac:dyDescent="0.2">
      <c r="A180" s="28" t="s">
        <v>848</v>
      </c>
    </row>
    <row r="182" spans="1:1" x14ac:dyDescent="0.2">
      <c r="A182" s="573" t="s">
        <v>849</v>
      </c>
    </row>
    <row r="183" spans="1:1" x14ac:dyDescent="0.2">
      <c r="A183" s="321" t="s">
        <v>850</v>
      </c>
    </row>
    <row r="184" spans="1:1" x14ac:dyDescent="0.2">
      <c r="A184" s="321" t="s">
        <v>851</v>
      </c>
    </row>
    <row r="185" spans="1:1" ht="31.5" x14ac:dyDescent="0.2">
      <c r="A185" s="321" t="s">
        <v>852</v>
      </c>
    </row>
    <row r="186" spans="1:1" x14ac:dyDescent="0.2">
      <c r="A186" s="321" t="s">
        <v>853</v>
      </c>
    </row>
    <row r="187" spans="1:1" x14ac:dyDescent="0.2">
      <c r="A187" s="321" t="s">
        <v>854</v>
      </c>
    </row>
    <row r="188" spans="1:1" x14ac:dyDescent="0.2">
      <c r="A188" s="321" t="s">
        <v>855</v>
      </c>
    </row>
    <row r="189" spans="1:1" x14ac:dyDescent="0.2">
      <c r="A189" s="321" t="s">
        <v>856</v>
      </c>
    </row>
    <row r="190" spans="1:1" x14ac:dyDescent="0.2">
      <c r="A190" s="321" t="s">
        <v>857</v>
      </c>
    </row>
    <row r="191" spans="1:1" x14ac:dyDescent="0.2">
      <c r="A191" s="321" t="s">
        <v>858</v>
      </c>
    </row>
    <row r="192" spans="1:1" x14ac:dyDescent="0.2">
      <c r="A192" s="321" t="s">
        <v>859</v>
      </c>
    </row>
    <row r="193" spans="1:1" x14ac:dyDescent="0.2">
      <c r="A193" s="321" t="s">
        <v>860</v>
      </c>
    </row>
    <row r="194" spans="1:1" x14ac:dyDescent="0.2">
      <c r="A194" s="321" t="s">
        <v>861</v>
      </c>
    </row>
    <row r="195" spans="1:1" x14ac:dyDescent="0.2">
      <c r="A195" s="321" t="s">
        <v>862</v>
      </c>
    </row>
    <row r="196" spans="1:1" x14ac:dyDescent="0.2">
      <c r="A196" s="321" t="s">
        <v>863</v>
      </c>
    </row>
    <row r="197" spans="1:1" x14ac:dyDescent="0.2">
      <c r="A197" s="321" t="s">
        <v>864</v>
      </c>
    </row>
    <row r="198" spans="1:1" x14ac:dyDescent="0.2">
      <c r="A198" s="321" t="s">
        <v>865</v>
      </c>
    </row>
    <row r="199" spans="1:1" ht="18" customHeight="1" x14ac:dyDescent="0.2">
      <c r="A199" s="321" t="s">
        <v>866</v>
      </c>
    </row>
    <row r="200" spans="1:1" x14ac:dyDescent="0.2">
      <c r="A200" s="321" t="s">
        <v>867</v>
      </c>
    </row>
    <row r="201" spans="1:1" x14ac:dyDescent="0.2">
      <c r="A201" s="321" t="s">
        <v>868</v>
      </c>
    </row>
    <row r="202" spans="1:1" x14ac:dyDescent="0.2">
      <c r="A202" s="321" t="s">
        <v>869</v>
      </c>
    </row>
    <row r="203" spans="1:1" x14ac:dyDescent="0.2">
      <c r="A203" s="321" t="s">
        <v>870</v>
      </c>
    </row>
    <row r="204" spans="1:1" ht="16.5" customHeight="1" x14ac:dyDescent="0.2">
      <c r="A204" s="321" t="s">
        <v>871</v>
      </c>
    </row>
    <row r="205" spans="1:1" x14ac:dyDescent="0.2">
      <c r="A205" s="321" t="s">
        <v>872</v>
      </c>
    </row>
    <row r="206" spans="1:1" x14ac:dyDescent="0.2">
      <c r="A206" s="321" t="s">
        <v>873</v>
      </c>
    </row>
    <row r="207" spans="1:1" x14ac:dyDescent="0.2">
      <c r="A207" s="321" t="s">
        <v>874</v>
      </c>
    </row>
    <row r="208" spans="1:1" x14ac:dyDescent="0.2">
      <c r="A208" s="321" t="s">
        <v>875</v>
      </c>
    </row>
    <row r="209" spans="1:1" x14ac:dyDescent="0.2">
      <c r="A209" s="321" t="s">
        <v>876</v>
      </c>
    </row>
    <row r="210" spans="1:1" x14ac:dyDescent="0.2">
      <c r="A210" s="321" t="s">
        <v>877</v>
      </c>
    </row>
    <row r="212" spans="1:1" x14ac:dyDescent="0.2">
      <c r="A212" s="573" t="s">
        <v>878</v>
      </c>
    </row>
    <row r="213" spans="1:1" x14ac:dyDescent="0.2">
      <c r="A213" s="28" t="s">
        <v>879</v>
      </c>
    </row>
    <row r="214" spans="1:1" ht="17.25" customHeight="1" x14ac:dyDescent="0.2">
      <c r="A214" s="28" t="s">
        <v>880</v>
      </c>
    </row>
    <row r="215" spans="1:1" x14ac:dyDescent="0.2">
      <c r="A215" s="28" t="s">
        <v>881</v>
      </c>
    </row>
    <row r="217" spans="1:1" x14ac:dyDescent="0.2">
      <c r="A217" s="573" t="s">
        <v>882</v>
      </c>
    </row>
    <row r="218" spans="1:1" x14ac:dyDescent="0.2">
      <c r="A218" s="28" t="s">
        <v>883</v>
      </c>
    </row>
    <row r="219" spans="1:1" x14ac:dyDescent="0.2">
      <c r="A219" s="28" t="s">
        <v>884</v>
      </c>
    </row>
    <row r="220" spans="1:1" ht="21.75" customHeight="1" x14ac:dyDescent="0.2"/>
    <row r="221" spans="1:1" x14ac:dyDescent="0.2">
      <c r="A221" s="573" t="s">
        <v>885</v>
      </c>
    </row>
    <row r="222" spans="1:1" ht="16.5" customHeight="1" x14ac:dyDescent="0.2">
      <c r="A222" s="576" t="s">
        <v>886</v>
      </c>
    </row>
    <row r="223" spans="1:1" x14ac:dyDescent="0.2">
      <c r="A223" s="576" t="s">
        <v>887</v>
      </c>
    </row>
    <row r="224" spans="1:1" x14ac:dyDescent="0.2">
      <c r="A224" s="576" t="s">
        <v>888</v>
      </c>
    </row>
    <row r="225" spans="1:1" x14ac:dyDescent="0.2">
      <c r="A225" s="28" t="s">
        <v>889</v>
      </c>
    </row>
    <row r="227" spans="1:1" x14ac:dyDescent="0.2">
      <c r="A227" s="497" t="s">
        <v>890</v>
      </c>
    </row>
    <row r="228" spans="1:1" x14ac:dyDescent="0.2">
      <c r="A228" s="577" t="s">
        <v>891</v>
      </c>
    </row>
    <row r="229" spans="1:1" x14ac:dyDescent="0.2">
      <c r="A229" s="28" t="s">
        <v>892</v>
      </c>
    </row>
    <row r="230" spans="1:1" x14ac:dyDescent="0.2">
      <c r="A230" s="28" t="s">
        <v>893</v>
      </c>
    </row>
    <row r="231" spans="1:1" ht="16.5" customHeight="1" x14ac:dyDescent="0.2">
      <c r="A231" s="578" t="s">
        <v>894</v>
      </c>
    </row>
    <row r="232" spans="1:1" x14ac:dyDescent="0.2">
      <c r="A232" s="28" t="s">
        <v>895</v>
      </c>
    </row>
    <row r="233" spans="1:1" x14ac:dyDescent="0.2">
      <c r="A233" s="28" t="s">
        <v>896</v>
      </c>
    </row>
    <row r="234" spans="1:1" x14ac:dyDescent="0.2">
      <c r="A234" s="28" t="s">
        <v>897</v>
      </c>
    </row>
    <row r="235" spans="1:1" x14ac:dyDescent="0.2">
      <c r="A235" s="28" t="s">
        <v>898</v>
      </c>
    </row>
    <row r="236" spans="1:1" x14ac:dyDescent="0.2">
      <c r="A236" s="28" t="s">
        <v>899</v>
      </c>
    </row>
    <row r="238" spans="1:1" x14ac:dyDescent="0.2">
      <c r="A238" s="497" t="s">
        <v>900</v>
      </c>
    </row>
    <row r="239" spans="1:1" x14ac:dyDescent="0.2">
      <c r="A239" s="28" t="s">
        <v>901</v>
      </c>
    </row>
    <row r="240" spans="1:1" x14ac:dyDescent="0.2">
      <c r="A240" s="28" t="s">
        <v>902</v>
      </c>
    </row>
    <row r="241" spans="1:1" x14ac:dyDescent="0.2">
      <c r="A241" s="28" t="s">
        <v>903</v>
      </c>
    </row>
    <row r="242" spans="1:1" x14ac:dyDescent="0.2">
      <c r="A242" s="28" t="s">
        <v>904</v>
      </c>
    </row>
    <row r="244" spans="1:1" x14ac:dyDescent="0.2">
      <c r="A244" s="497" t="s">
        <v>905</v>
      </c>
    </row>
    <row r="245" spans="1:1" x14ac:dyDescent="0.2">
      <c r="A245" s="28" t="s">
        <v>906</v>
      </c>
    </row>
    <row r="247" spans="1:1" x14ac:dyDescent="0.2">
      <c r="A247" s="497" t="s">
        <v>907</v>
      </c>
    </row>
    <row r="248" spans="1:1" ht="32.25" customHeight="1" x14ac:dyDescent="0.2">
      <c r="A248" s="28" t="s">
        <v>908</v>
      </c>
    </row>
    <row r="249" spans="1:1" ht="36" customHeight="1" x14ac:dyDescent="0.2"/>
    <row r="250" spans="1:1" ht="35.25" customHeight="1" x14ac:dyDescent="0.2">
      <c r="A250" s="497" t="s">
        <v>909</v>
      </c>
    </row>
    <row r="251" spans="1:1" ht="18" customHeight="1" x14ac:dyDescent="0.2">
      <c r="A251" s="28" t="s">
        <v>910</v>
      </c>
    </row>
    <row r="252" spans="1:1" ht="36" customHeight="1" x14ac:dyDescent="0.2">
      <c r="A252" s="28" t="s">
        <v>911</v>
      </c>
    </row>
    <row r="253" spans="1:1" x14ac:dyDescent="0.2">
      <c r="A253" s="28" t="s">
        <v>912</v>
      </c>
    </row>
    <row r="254" spans="1:1" ht="33.75" customHeight="1" x14ac:dyDescent="0.2"/>
    <row r="255" spans="1:1" ht="18.75" customHeight="1" x14ac:dyDescent="0.2">
      <c r="A255" s="497" t="s">
        <v>913</v>
      </c>
    </row>
    <row r="256" spans="1:1" ht="17.25" customHeight="1" x14ac:dyDescent="0.2">
      <c r="A256" s="28" t="s">
        <v>229</v>
      </c>
    </row>
    <row r="257" spans="1:1" ht="17.25" customHeight="1" x14ac:dyDescent="0.2">
      <c r="A257" s="28" t="s">
        <v>914</v>
      </c>
    </row>
    <row r="258" spans="1:1" x14ac:dyDescent="0.2">
      <c r="A258" s="28" t="s">
        <v>915</v>
      </c>
    </row>
    <row r="259" spans="1:1" x14ac:dyDescent="0.2">
      <c r="A259" s="28" t="s">
        <v>507</v>
      </c>
    </row>
    <row r="260" spans="1:1" x14ac:dyDescent="0.2">
      <c r="A260" s="28" t="s">
        <v>230</v>
      </c>
    </row>
    <row r="261" spans="1:1" x14ac:dyDescent="0.2">
      <c r="A261" s="28" t="s">
        <v>231</v>
      </c>
    </row>
    <row r="262" spans="1:1" ht="31.5" x14ac:dyDescent="0.2">
      <c r="A262" s="28" t="s">
        <v>232</v>
      </c>
    </row>
    <row r="263" spans="1:1" ht="14.25" customHeight="1" x14ac:dyDescent="0.2">
      <c r="A263" s="28" t="s">
        <v>916</v>
      </c>
    </row>
    <row r="264" spans="1:1" ht="31.5" x14ac:dyDescent="0.2">
      <c r="A264" s="28" t="s">
        <v>508</v>
      </c>
    </row>
    <row r="265" spans="1:1" x14ac:dyDescent="0.2">
      <c r="A265" s="28" t="s">
        <v>233</v>
      </c>
    </row>
    <row r="266" spans="1:1" ht="31.5" x14ac:dyDescent="0.2">
      <c r="A266" s="28" t="s">
        <v>917</v>
      </c>
    </row>
    <row r="267" spans="1:1" x14ac:dyDescent="0.2">
      <c r="A267" s="28" t="s">
        <v>918</v>
      </c>
    </row>
    <row r="268" spans="1:1" ht="31.5" x14ac:dyDescent="0.2">
      <c r="A268" s="28" t="s">
        <v>509</v>
      </c>
    </row>
    <row r="269" spans="1:1" x14ac:dyDescent="0.2">
      <c r="A269" s="28" t="s">
        <v>510</v>
      </c>
    </row>
    <row r="270" spans="1:1" x14ac:dyDescent="0.2">
      <c r="A270" s="28" t="s">
        <v>234</v>
      </c>
    </row>
    <row r="271" spans="1:1" x14ac:dyDescent="0.2">
      <c r="A271" s="28" t="s">
        <v>235</v>
      </c>
    </row>
    <row r="272" spans="1:1" ht="18" customHeight="1" x14ac:dyDescent="0.2">
      <c r="A272" s="28" t="s">
        <v>919</v>
      </c>
    </row>
    <row r="273" spans="1:1" ht="51" customHeight="1" x14ac:dyDescent="0.2">
      <c r="A273" s="28" t="s">
        <v>920</v>
      </c>
    </row>
    <row r="274" spans="1:1" x14ac:dyDescent="0.2">
      <c r="A274" s="28" t="s">
        <v>921</v>
      </c>
    </row>
    <row r="276" spans="1:1" x14ac:dyDescent="0.2">
      <c r="A276" s="497" t="s">
        <v>922</v>
      </c>
    </row>
    <row r="277" spans="1:1" x14ac:dyDescent="0.2">
      <c r="A277" s="28" t="s">
        <v>923</v>
      </c>
    </row>
    <row r="278" spans="1:1" x14ac:dyDescent="0.2">
      <c r="A278" s="28" t="s">
        <v>924</v>
      </c>
    </row>
    <row r="279" spans="1:1" x14ac:dyDescent="0.2">
      <c r="A279" s="28" t="s">
        <v>925</v>
      </c>
    </row>
    <row r="280" spans="1:1" x14ac:dyDescent="0.2">
      <c r="A280" s="28" t="s">
        <v>926</v>
      </c>
    </row>
    <row r="281" spans="1:1" x14ac:dyDescent="0.2">
      <c r="A281" s="497" t="s">
        <v>927</v>
      </c>
    </row>
    <row r="282" spans="1:1" ht="31.5" x14ac:dyDescent="0.2">
      <c r="A282" s="28" t="s">
        <v>928</v>
      </c>
    </row>
    <row r="283" spans="1:1" x14ac:dyDescent="0.2">
      <c r="A283" s="28" t="s">
        <v>929</v>
      </c>
    </row>
    <row r="286" spans="1:1" x14ac:dyDescent="0.2">
      <c r="A286" s="497" t="s">
        <v>206</v>
      </c>
    </row>
    <row r="287" spans="1:1" ht="47.25" x14ac:dyDescent="0.2">
      <c r="A287" s="28" t="s">
        <v>930</v>
      </c>
    </row>
    <row r="288" spans="1:1" x14ac:dyDescent="0.2">
      <c r="A288" s="28" t="s">
        <v>931</v>
      </c>
    </row>
    <row r="289" spans="1:1" x14ac:dyDescent="0.2">
      <c r="A289" s="28" t="s">
        <v>932</v>
      </c>
    </row>
    <row r="290" spans="1:1" x14ac:dyDescent="0.2">
      <c r="A290" s="28" t="s">
        <v>933</v>
      </c>
    </row>
    <row r="291" spans="1:1" x14ac:dyDescent="0.2">
      <c r="A291" s="28" t="s">
        <v>934</v>
      </c>
    </row>
    <row r="292" spans="1:1" x14ac:dyDescent="0.2">
      <c r="A292" s="28" t="s">
        <v>935</v>
      </c>
    </row>
    <row r="293" spans="1:1" x14ac:dyDescent="0.2">
      <c r="A293" s="28" t="s">
        <v>936</v>
      </c>
    </row>
    <row r="294" spans="1:1" x14ac:dyDescent="0.2">
      <c r="A294" s="28" t="s">
        <v>937</v>
      </c>
    </row>
    <row r="295" spans="1:1" x14ac:dyDescent="0.2">
      <c r="A295" s="28" t="s">
        <v>938</v>
      </c>
    </row>
    <row r="296" spans="1:1" ht="31.5" x14ac:dyDescent="0.2">
      <c r="A296" s="28" t="s">
        <v>939</v>
      </c>
    </row>
    <row r="297" spans="1:1" ht="31.5" x14ac:dyDescent="0.2">
      <c r="A297" s="28" t="s">
        <v>940</v>
      </c>
    </row>
    <row r="298" spans="1:1" x14ac:dyDescent="0.2">
      <c r="A298" s="28" t="s">
        <v>941</v>
      </c>
    </row>
    <row r="299" spans="1:1" x14ac:dyDescent="0.2">
      <c r="A299" s="28" t="s">
        <v>942</v>
      </c>
    </row>
    <row r="300" spans="1:1" x14ac:dyDescent="0.2">
      <c r="A300" s="28" t="s">
        <v>943</v>
      </c>
    </row>
    <row r="301" spans="1:1" x14ac:dyDescent="0.2">
      <c r="A301" s="28" t="s">
        <v>944</v>
      </c>
    </row>
    <row r="302" spans="1:1" x14ac:dyDescent="0.2">
      <c r="A302" s="28" t="s">
        <v>945</v>
      </c>
    </row>
    <row r="303" spans="1:1" ht="31.5" x14ac:dyDescent="0.2">
      <c r="A303" s="28" t="s">
        <v>946</v>
      </c>
    </row>
    <row r="304" spans="1:1" x14ac:dyDescent="0.2">
      <c r="A304" s="28" t="s">
        <v>947</v>
      </c>
    </row>
    <row r="305" spans="1:1" x14ac:dyDescent="0.2">
      <c r="A305" s="28" t="s">
        <v>948</v>
      </c>
    </row>
    <row r="306" spans="1:1" ht="31.5" x14ac:dyDescent="0.2">
      <c r="A306" s="28" t="s">
        <v>949</v>
      </c>
    </row>
    <row r="307" spans="1:1" x14ac:dyDescent="0.2">
      <c r="A307" s="28" t="s">
        <v>950</v>
      </c>
    </row>
    <row r="308" spans="1:1" x14ac:dyDescent="0.2">
      <c r="A308" s="28" t="s">
        <v>951</v>
      </c>
    </row>
    <row r="309" spans="1:1" ht="19.5" customHeight="1" x14ac:dyDescent="0.2">
      <c r="A309" s="28" t="s">
        <v>952</v>
      </c>
    </row>
    <row r="310" spans="1:1" ht="18" customHeight="1" x14ac:dyDescent="0.2">
      <c r="A310" s="28" t="s">
        <v>953</v>
      </c>
    </row>
    <row r="311" spans="1:1" x14ac:dyDescent="0.2">
      <c r="A311" s="28" t="s">
        <v>954</v>
      </c>
    </row>
    <row r="312" spans="1:1" x14ac:dyDescent="0.2">
      <c r="A312" s="28" t="s">
        <v>955</v>
      </c>
    </row>
    <row r="313" spans="1:1" x14ac:dyDescent="0.2">
      <c r="A313" s="28" t="s">
        <v>956</v>
      </c>
    </row>
    <row r="314" spans="1:1" x14ac:dyDescent="0.2">
      <c r="A314" s="28" t="s">
        <v>957</v>
      </c>
    </row>
    <row r="315" spans="1:1" x14ac:dyDescent="0.2">
      <c r="A315" s="28" t="s">
        <v>958</v>
      </c>
    </row>
    <row r="316" spans="1:1" ht="31.5" x14ac:dyDescent="0.2">
      <c r="A316" s="28" t="s">
        <v>959</v>
      </c>
    </row>
    <row r="317" spans="1:1" x14ac:dyDescent="0.2">
      <c r="A317" s="28" t="s">
        <v>960</v>
      </c>
    </row>
    <row r="319" spans="1:1" x14ac:dyDescent="0.2">
      <c r="A319" s="28" t="s">
        <v>961</v>
      </c>
    </row>
    <row r="320" spans="1:1" x14ac:dyDescent="0.2">
      <c r="A320" s="28" t="s">
        <v>962</v>
      </c>
    </row>
  </sheetData>
  <sheetProtection sheet="1" objects="1" scenarios="1"/>
  <pageMargins left="0.32" right="0.31"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F82"/>
  <sheetViews>
    <sheetView topLeftCell="A4" zoomScaleNormal="100" workbookViewId="0">
      <selection activeCell="F65" sqref="F65"/>
    </sheetView>
  </sheetViews>
  <sheetFormatPr defaultRowHeight="15.75" x14ac:dyDescent="0.2"/>
  <cols>
    <col min="1" max="1" width="26.33203125" style="27" customWidth="1"/>
    <col min="2" max="2" width="11.33203125" style="27" customWidth="1"/>
    <col min="3" max="3" width="5.77734375" style="27" customWidth="1"/>
    <col min="4" max="4" width="13.88671875" style="27" customWidth="1"/>
    <col min="5" max="5" width="14.109375" style="27" customWidth="1"/>
    <col min="6" max="6" width="13.88671875" style="27" customWidth="1"/>
    <col min="7" max="16384" width="8.88671875" style="27"/>
  </cols>
  <sheetData>
    <row r="1" spans="1:6" x14ac:dyDescent="0.2">
      <c r="A1" s="32"/>
      <c r="B1" s="32"/>
      <c r="C1" s="32"/>
      <c r="D1" s="32"/>
      <c r="E1" s="32"/>
      <c r="F1" s="32">
        <f>inputPrYr!C5</f>
        <v>2025</v>
      </c>
    </row>
    <row r="2" spans="1:6" x14ac:dyDescent="0.2">
      <c r="A2" s="615" t="s">
        <v>132</v>
      </c>
      <c r="B2" s="615"/>
      <c r="C2" s="615"/>
      <c r="D2" s="615"/>
      <c r="E2" s="615"/>
      <c r="F2" s="615"/>
    </row>
    <row r="3" spans="1:6" x14ac:dyDescent="0.2">
      <c r="A3" s="32"/>
      <c r="B3" s="32"/>
      <c r="C3" s="32"/>
      <c r="D3" s="32"/>
      <c r="E3" s="32"/>
      <c r="F3" s="32"/>
    </row>
    <row r="4" spans="1:6" x14ac:dyDescent="0.2">
      <c r="A4" s="618" t="str">
        <f>CONCATENATE("To the Clerk of ",inputPrYr!C3,", State of Kansas")</f>
        <v>To the Clerk of , State of Kansas</v>
      </c>
      <c r="B4" s="619"/>
      <c r="C4" s="619"/>
      <c r="D4" s="619"/>
      <c r="E4" s="619"/>
      <c r="F4" s="619"/>
    </row>
    <row r="5" spans="1:6" x14ac:dyDescent="0.2">
      <c r="A5" s="90" t="s">
        <v>173</v>
      </c>
      <c r="B5" s="37"/>
      <c r="C5" s="37"/>
      <c r="D5" s="37"/>
      <c r="E5" s="37"/>
      <c r="F5" s="37"/>
    </row>
    <row r="6" spans="1:6" x14ac:dyDescent="0.2">
      <c r="A6" s="592">
        <f>(inputPrYr!C3)</f>
        <v>0</v>
      </c>
      <c r="B6" s="617"/>
      <c r="C6" s="617"/>
      <c r="D6" s="617"/>
      <c r="E6" s="617"/>
      <c r="F6" s="617"/>
    </row>
    <row r="7" spans="1:6" x14ac:dyDescent="0.2">
      <c r="A7" s="90" t="s">
        <v>5</v>
      </c>
      <c r="B7" s="37"/>
      <c r="C7" s="37"/>
      <c r="D7" s="37"/>
      <c r="E7" s="37"/>
      <c r="F7" s="37"/>
    </row>
    <row r="8" spans="1:6" x14ac:dyDescent="0.2">
      <c r="A8" s="90" t="s">
        <v>6</v>
      </c>
      <c r="B8" s="37"/>
      <c r="C8" s="37"/>
      <c r="D8" s="37"/>
      <c r="E8" s="37"/>
      <c r="F8" s="37"/>
    </row>
    <row r="9" spans="1:6" x14ac:dyDescent="0.2">
      <c r="A9" s="90" t="str">
        <f>CONCATENATE("maximum expenditure for the various funds for the year ",F1,"; and")</f>
        <v>maximum expenditure for the various funds for the year 2025; and</v>
      </c>
      <c r="B9" s="37"/>
      <c r="C9" s="37"/>
      <c r="D9" s="37"/>
      <c r="E9" s="37"/>
      <c r="F9" s="37"/>
    </row>
    <row r="10" spans="1:6" x14ac:dyDescent="0.2">
      <c r="A10" s="90" t="str">
        <f>CONCATENATE("(3) the Amount(s) of ",F1-1," Ad Valorem Tax are within statutory limitations.")</f>
        <v>(3) the Amount(s) of 2024 Ad Valorem Tax are within statutory limitations.</v>
      </c>
      <c r="B10" s="37"/>
      <c r="C10" s="37"/>
      <c r="D10" s="37"/>
      <c r="E10" s="37"/>
      <c r="F10" s="37"/>
    </row>
    <row r="11" spans="1:6" x14ac:dyDescent="0.2">
      <c r="A11" s="31"/>
      <c r="B11" s="32"/>
      <c r="C11" s="32"/>
      <c r="D11" s="91"/>
      <c r="E11" s="91"/>
      <c r="F11" s="91"/>
    </row>
    <row r="12" spans="1:6" x14ac:dyDescent="0.2">
      <c r="A12" s="32"/>
      <c r="B12" s="32"/>
      <c r="C12" s="32"/>
      <c r="D12" s="92" t="str">
        <f>CONCATENATE("",F1," Adopted Budget")</f>
        <v>2025 Adopted Budget</v>
      </c>
      <c r="E12" s="93"/>
      <c r="F12" s="94"/>
    </row>
    <row r="13" spans="1:6" ht="25.5" customHeight="1" x14ac:dyDescent="0.2">
      <c r="A13" s="32"/>
      <c r="B13" s="32"/>
      <c r="C13" s="95" t="s">
        <v>7</v>
      </c>
      <c r="D13" s="621" t="s">
        <v>543</v>
      </c>
      <c r="E13" s="616" t="str">
        <f>CONCATENATE("Amount of ",F1-1," Ad Valorem Tax")</f>
        <v>Amount of 2024 Ad Valorem Tax</v>
      </c>
      <c r="F13" s="616" t="s">
        <v>544</v>
      </c>
    </row>
    <row r="14" spans="1:6" ht="23.25" customHeight="1" x14ac:dyDescent="0.2">
      <c r="A14" s="96" t="s">
        <v>8</v>
      </c>
      <c r="B14" s="53"/>
      <c r="C14" s="97" t="s">
        <v>9</v>
      </c>
      <c r="D14" s="622"/>
      <c r="E14" s="601"/>
      <c r="F14" s="623"/>
    </row>
    <row r="15" spans="1:6" x14ac:dyDescent="0.2">
      <c r="A15" s="98" t="s">
        <v>353</v>
      </c>
      <c r="B15" s="99"/>
      <c r="C15" s="97">
        <v>2</v>
      </c>
      <c r="D15" s="100"/>
      <c r="E15" s="100"/>
      <c r="F15" s="100"/>
    </row>
    <row r="16" spans="1:6" x14ac:dyDescent="0.2">
      <c r="A16" s="98" t="s">
        <v>152</v>
      </c>
      <c r="B16" s="99"/>
      <c r="C16" s="97">
        <v>3</v>
      </c>
      <c r="D16" s="100"/>
      <c r="E16" s="100"/>
      <c r="F16" s="100"/>
    </row>
    <row r="17" spans="1:6" x14ac:dyDescent="0.2">
      <c r="A17" s="101" t="s">
        <v>11</v>
      </c>
      <c r="B17" s="102"/>
      <c r="C17" s="103">
        <v>4</v>
      </c>
      <c r="D17" s="104"/>
      <c r="E17" s="104"/>
      <c r="F17" s="104"/>
    </row>
    <row r="18" spans="1:6" x14ac:dyDescent="0.2">
      <c r="A18" s="98" t="s">
        <v>12</v>
      </c>
      <c r="B18" s="99"/>
      <c r="C18" s="105">
        <v>5</v>
      </c>
      <c r="D18" s="104"/>
      <c r="E18" s="104"/>
      <c r="F18" s="104"/>
    </row>
    <row r="19" spans="1:6" x14ac:dyDescent="0.2">
      <c r="A19" s="106" t="s">
        <v>13</v>
      </c>
      <c r="B19" s="107" t="s">
        <v>14</v>
      </c>
      <c r="C19" s="108"/>
      <c r="D19" s="109"/>
      <c r="E19" s="109"/>
      <c r="F19" s="109"/>
    </row>
    <row r="20" spans="1:6" x14ac:dyDescent="0.2">
      <c r="A20" s="44" t="s">
        <v>1</v>
      </c>
      <c r="B20" s="176" t="str">
        <f>inputPrYr!C17</f>
        <v>79-1946</v>
      </c>
      <c r="C20" s="103">
        <v>6</v>
      </c>
      <c r="D20" s="164" t="str">
        <f>IF(General!$D$115&lt;&gt;0,General!$D$115,"  ")</f>
        <v xml:space="preserve">  </v>
      </c>
      <c r="E20" s="342" t="str">
        <f>IF(General!$D$122&lt;&gt;0,General!$D$122,"  ")</f>
        <v xml:space="preserve">  </v>
      </c>
      <c r="F20" s="110" t="str">
        <f>IF(AND(General!D122=0,$F$59&gt;0),"",IF(AND(E20&gt;0,$F$59=0),"",IF(AND(E20&gt;0,$F$59&gt;0),ROUND(E20/$F$59*1000,3))))</f>
        <v/>
      </c>
    </row>
    <row r="21" spans="1:6" x14ac:dyDescent="0.2">
      <c r="A21" s="44" t="s">
        <v>62</v>
      </c>
      <c r="B21" s="176" t="s">
        <v>165</v>
      </c>
      <c r="C21" s="103" t="str">
        <f>IF('Debt Service'!C64&gt;0,'Debt Service'!C64,"")</f>
        <v/>
      </c>
      <c r="D21" s="164" t="str">
        <f>IF('Debt Service'!$E$52&lt;&gt;0,'Debt Service'!$E$52,"  ")</f>
        <v xml:space="preserve">  </v>
      </c>
      <c r="E21" s="342" t="str">
        <f>IF('Debt Service'!$E$59&lt;&gt;0,'Debt Service'!$E$59,"  ")</f>
        <v xml:space="preserve">  </v>
      </c>
      <c r="F21" s="110" t="str">
        <f>IF(AND('Debt Service'!E59=0,$F$59&gt;0),"",IF(AND(E21&gt;0,$F$59=0),"",IF(AND(E21&gt;0,$F$59&gt;0),ROUND(E21/$F$59*1000,3))))</f>
        <v/>
      </c>
    </row>
    <row r="22" spans="1:6" x14ac:dyDescent="0.2">
      <c r="A22" s="44" t="s">
        <v>88</v>
      </c>
      <c r="B22" s="176" t="str">
        <f>inputPrYr!C19</f>
        <v>68-5,101</v>
      </c>
      <c r="C22" s="103" t="str">
        <f>IF('Road &amp; Bridge'!C61&gt;0,'Road &amp; Bridge'!C61,"")</f>
        <v/>
      </c>
      <c r="D22" s="164" t="str">
        <f>IF('Road &amp; Bridge'!$E$111&lt;&gt;0,'Road &amp; Bridge'!$E$111,"  ")</f>
        <v xml:space="preserve">  </v>
      </c>
      <c r="E22" s="342" t="str">
        <f>IF('Road &amp; Bridge'!$E$118&lt;&gt;0,'Road &amp; Bridge'!$E$118,"  ")</f>
        <v xml:space="preserve">  </v>
      </c>
      <c r="F22" s="110" t="str">
        <f>IF(AND('Road &amp; Bridge'!E118=0,$F$59&gt;0),"",IF(AND(E22&gt;0,$F$59=0),"",IF(AND(E22&gt;0,$F$59&gt;0),ROUND(E22/$F$59*1000,3))))</f>
        <v/>
      </c>
    </row>
    <row r="23" spans="1:6" x14ac:dyDescent="0.2">
      <c r="A23" s="64" t="str">
        <f>IF((inputPrYr!$B20&gt;"  "),(inputPrYr!$B20),"  ")</f>
        <v xml:space="preserve">  </v>
      </c>
      <c r="B23" s="176" t="str">
        <f>IF((inputPrYr!C20&gt;0),(inputPrYr!C20),"  ")</f>
        <v xml:space="preserve">  </v>
      </c>
      <c r="C23" s="103" t="str">
        <f>IF('Levy Page 10'!B88&gt;0,'Levy Page 10'!B88,"  ")</f>
        <v xml:space="preserve">  </v>
      </c>
      <c r="D23" s="164" t="str">
        <f>IF('Levy Page 10'!$D$34&lt;&gt;0,'Levy Page 10'!$D$34,"  ")</f>
        <v xml:space="preserve">  </v>
      </c>
      <c r="E23" s="342" t="str">
        <f>IF('Levy Page 10'!$D$41&lt;&gt;0,'Levy Page 10'!$D$41,"  ")</f>
        <v xml:space="preserve">  </v>
      </c>
      <c r="F23" s="110" t="str">
        <f>IF(AND('Levy Page 10'!D41=0,$F$59&gt;0),"",IF(AND(E23&gt;0,$F$59=0),"",IF(AND(E23&gt;0,$F$59&gt;0),ROUND(E23/$F$59*1000,3))))</f>
        <v/>
      </c>
    </row>
    <row r="24" spans="1:6" x14ac:dyDescent="0.2">
      <c r="A24" s="64" t="str">
        <f>IF((inputPrYr!$B21&gt;"  "),(inputPrYr!$B21),"  ")</f>
        <v xml:space="preserve">  </v>
      </c>
      <c r="B24" s="176" t="str">
        <f>IF((inputPrYr!C21&gt;0),(inputPrYr!C21),"  ")</f>
        <v xml:space="preserve">  </v>
      </c>
      <c r="C24" s="103" t="str">
        <f>IF('Levy Page 10'!B88&gt;0,'Levy Page 10'!B88,"  ")</f>
        <v xml:space="preserve">  </v>
      </c>
      <c r="D24" s="164" t="str">
        <f>IF('Levy Page 10'!$D$75&lt;&gt;0,'Levy Page 10'!$D$75,"  ")</f>
        <v xml:space="preserve">  </v>
      </c>
      <c r="E24" s="342" t="str">
        <f>IF('Levy Page 10'!$D$82&lt;&gt;0,'Levy Page 10'!$D$82,"  ")</f>
        <v xml:space="preserve">  </v>
      </c>
      <c r="F24" s="110" t="str">
        <f>IF(AND('Levy Page 10'!D82=0,$F$59&gt;0),"",IF(AND(E24&gt;0,$F$59=0),"",IF(AND(E24&gt;0,$F$59&gt;0),ROUND(E24/$F$59*1000,3))))</f>
        <v/>
      </c>
    </row>
    <row r="25" spans="1:6" x14ac:dyDescent="0.2">
      <c r="A25" s="64" t="str">
        <f>IF((inputPrYr!$B22&gt;"  "),(inputPrYr!$B22),"  ")</f>
        <v xml:space="preserve">  </v>
      </c>
      <c r="B25" s="176" t="str">
        <f>IF((inputPrYr!C22&gt;0),(inputPrYr!C22),"  ")</f>
        <v xml:space="preserve">  </v>
      </c>
      <c r="C25" s="103" t="str">
        <f>IF('Levy Page 11'!B88&gt;0,'Levy Page 11'!B88,"  ")</f>
        <v xml:space="preserve">  </v>
      </c>
      <c r="D25" s="164" t="str">
        <f>IF('Levy Page 11'!$D$34&lt;&gt;0,'Levy Page 11'!$D$34,"  ")</f>
        <v xml:space="preserve">  </v>
      </c>
      <c r="E25" s="342" t="str">
        <f>IF('Levy Page 11'!$D$41&lt;&gt;0,'Levy Page 11'!$D$41,"  ")</f>
        <v xml:space="preserve">  </v>
      </c>
      <c r="F25" s="110" t="str">
        <f>IF(AND('Levy Page 11'!D41=0,$F$59&gt;0),"",IF(AND(E25&gt;0,$F$59=0),"",IF(AND(E25&gt;0,$F$59&gt;0),ROUND(E25/$F$59*1000,3))))</f>
        <v/>
      </c>
    </row>
    <row r="26" spans="1:6" x14ac:dyDescent="0.2">
      <c r="A26" s="64" t="str">
        <f>IF((inputPrYr!$B23&gt;"  "),(inputPrYr!$B23),"  ")</f>
        <v xml:space="preserve">  </v>
      </c>
      <c r="B26" s="176" t="str">
        <f>IF((inputPrYr!C23&gt;0),(inputPrYr!C23),"  ")</f>
        <v xml:space="preserve">  </v>
      </c>
      <c r="C26" s="103" t="str">
        <f>IF('Levy Page 11'!B88&gt;0,'Levy Page 11'!B88,"  ")</f>
        <v xml:space="preserve">  </v>
      </c>
      <c r="D26" s="164" t="str">
        <f>IF('Levy Page 11'!$D$75&lt;&gt;0,'Levy Page 11'!$D$75,"  ")</f>
        <v xml:space="preserve">  </v>
      </c>
      <c r="E26" s="342" t="str">
        <f>IF('Levy Page 11'!$D$82&lt;&gt;0,'Levy Page 11'!$D$82,"  ")</f>
        <v xml:space="preserve">  </v>
      </c>
      <c r="F26" s="110" t="str">
        <f>IF(AND('Levy Page 11'!D82=0,$F$59&gt;0),"",IF(AND(E26&gt;0,$F$59=0),"",IF(AND(E26&gt;0,$F$59&gt;0),ROUND(E26/$F$59*1000,3))))</f>
        <v/>
      </c>
    </row>
    <row r="27" spans="1:6" x14ac:dyDescent="0.2">
      <c r="A27" s="64" t="str">
        <f>IF((inputPrYr!$B24&gt;"  "),(inputPrYr!$B24),"  ")</f>
        <v xml:space="preserve">  </v>
      </c>
      <c r="B27" s="176" t="str">
        <f>IF((inputPrYr!C24&gt;0),(inputPrYr!C24),"  ")</f>
        <v xml:space="preserve">  </v>
      </c>
      <c r="C27" s="103" t="str">
        <f>IF('Levy Page 12'!B88&gt;0,'Levy Page 12'!B88,"  ")</f>
        <v xml:space="preserve">  </v>
      </c>
      <c r="D27" s="164" t="str">
        <f>IF('Levy Page 12'!$D$34&lt;&gt;0,'Levy Page 12'!$D$34,"  ")</f>
        <v xml:space="preserve">  </v>
      </c>
      <c r="E27" s="342" t="str">
        <f>IF('Levy Page 12'!$D$41&lt;&gt;0,'Levy Page 12'!$D$41,"  ")</f>
        <v xml:space="preserve">  </v>
      </c>
      <c r="F27" s="110" t="str">
        <f>IF(AND('Levy Page 12'!D41=0,$F$59&gt;0),"",IF(AND(E27&gt;0,$F$59=0),"",IF(AND(E27&gt;0,$F$59&gt;0),ROUND(E27/$F$59*1000,3))))</f>
        <v/>
      </c>
    </row>
    <row r="28" spans="1:6" x14ac:dyDescent="0.2">
      <c r="A28" s="64" t="str">
        <f>IF((inputPrYr!$B25&gt;"  "),(inputPrYr!$B25),"  ")</f>
        <v xml:space="preserve">  </v>
      </c>
      <c r="B28" s="176" t="str">
        <f>IF((inputPrYr!C25&gt;0),(inputPrYr!C25),"  ")</f>
        <v xml:space="preserve">  </v>
      </c>
      <c r="C28" s="103" t="str">
        <f>IF('Levy Page 12'!B88&gt;0,'Levy Page 12'!B88,"  ")</f>
        <v xml:space="preserve">  </v>
      </c>
      <c r="D28" s="164" t="str">
        <f>IF('Levy Page 12'!$D$75&lt;&gt;0,'Levy Page 12'!$D$75,"  ")</f>
        <v xml:space="preserve">  </v>
      </c>
      <c r="E28" s="342" t="str">
        <f>IF('Levy Page 12'!$D$82&lt;&gt;0,'Levy Page 12'!$D$82,"  ")</f>
        <v xml:space="preserve">  </v>
      </c>
      <c r="F28" s="110" t="str">
        <f>IF(AND('Levy Page 12'!D82=0,$F$59&gt;0),"",IF(AND(E28&gt;0,$F$59=0),"",IF(AND(E28&gt;0,$F$59&gt;0),ROUND(E28/$F$59*1000,3))))</f>
        <v/>
      </c>
    </row>
    <row r="29" spans="1:6" x14ac:dyDescent="0.2">
      <c r="A29" s="64" t="str">
        <f>IF((inputPrYr!$B26&gt;"  "),(inputPrYr!$B26),"  ")</f>
        <v xml:space="preserve">  </v>
      </c>
      <c r="B29" s="176" t="str">
        <f>IF((inputPrYr!C26&gt;0),(inputPrYr!C26),"  ")</f>
        <v xml:space="preserve">  </v>
      </c>
      <c r="C29" s="103" t="str">
        <f>IF('Levy Page 13'!B88&gt;0,'Levy Page 13'!B88,"  ")</f>
        <v xml:space="preserve">  </v>
      </c>
      <c r="D29" s="164" t="str">
        <f>IF('Levy Page 13'!$D$34&lt;&gt;0,'Levy Page 13'!$D$34,"  ")</f>
        <v xml:space="preserve">  </v>
      </c>
      <c r="E29" s="342" t="str">
        <f>IF('Levy Page 13'!$D$41&lt;&gt;0,'Levy Page 13'!$D$41,"  ")</f>
        <v xml:space="preserve">  </v>
      </c>
      <c r="F29" s="110" t="str">
        <f>IF(AND('Levy Page 13'!D41=0,$F$59&gt;0),"",IF(AND(E29&gt;0,$F$59=0),"",IF(AND(E29&gt;0,$F$59&gt;0),ROUND(E29/$F$59*1000,3))))</f>
        <v/>
      </c>
    </row>
    <row r="30" spans="1:6" x14ac:dyDescent="0.2">
      <c r="A30" s="64" t="str">
        <f>IF((inputPrYr!$B27&gt;"  "),(inputPrYr!$B27),"  ")</f>
        <v xml:space="preserve">  </v>
      </c>
      <c r="B30" s="176" t="str">
        <f>IF((inputPrYr!C27&gt;0),(inputPrYr!C27),"  ")</f>
        <v xml:space="preserve">  </v>
      </c>
      <c r="C30" s="103" t="str">
        <f>IF('Levy Page 13'!B88&gt;0,'Levy Page 13'!B88,"  ")</f>
        <v xml:space="preserve">  </v>
      </c>
      <c r="D30" s="164" t="str">
        <f>IF('Levy Page 13'!$D$75&lt;&gt;0,'Levy Page 13'!$D$75,"  ")</f>
        <v xml:space="preserve">  </v>
      </c>
      <c r="E30" s="342" t="str">
        <f>IF('Levy Page 13'!$D$82&lt;&gt;0,'Levy Page 13'!$D$82,"  ")</f>
        <v xml:space="preserve">  </v>
      </c>
      <c r="F30" s="110" t="str">
        <f>IF(AND('Levy Page 13'!D82=0,$F$59&gt;0),"",IF(AND(E30&gt;0,$F$59=0),"",IF(AND(E30&gt;0,$F$59&gt;0),ROUND(E30/$F$59*1000,3))))</f>
        <v/>
      </c>
    </row>
    <row r="31" spans="1:6" x14ac:dyDescent="0.2">
      <c r="A31" s="64" t="str">
        <f>IF((inputPrYr!$B28&gt;"  "),(inputPrYr!$B28),"  ")</f>
        <v xml:space="preserve">  </v>
      </c>
      <c r="B31" s="176" t="str">
        <f>IF((inputPrYr!C28&gt;0),(inputPrYr!C28),"  ")</f>
        <v xml:space="preserve">  </v>
      </c>
      <c r="C31" s="103" t="str">
        <f>IF('Levy Page 14'!B88&gt;0,'Levy Page 14'!B88,"  ")</f>
        <v xml:space="preserve">  </v>
      </c>
      <c r="D31" s="164" t="str">
        <f>IF('Levy Page 14'!$D$34&lt;&gt;0,'Levy Page 14'!$D$34,"  ")</f>
        <v xml:space="preserve">  </v>
      </c>
      <c r="E31" s="342" t="str">
        <f>IF('Levy Page 14'!$D$41&lt;&gt;0,'Levy Page 14'!$D$41,"  ")</f>
        <v xml:space="preserve">  </v>
      </c>
      <c r="F31" s="110" t="str">
        <f>IF(AND('Levy Page 14'!D41=0,$F$59&gt;0),"",IF(AND(E31&gt;0,$F$59=0),"",IF(AND(E31&gt;0,$F$59&gt;0),ROUND(E31/$F$59*1000,3))))</f>
        <v/>
      </c>
    </row>
    <row r="32" spans="1:6" x14ac:dyDescent="0.2">
      <c r="A32" s="64" t="str">
        <f>IF((inputPrYr!$B29&gt;"  "),(inputPrYr!$B29),"  ")</f>
        <v xml:space="preserve">  </v>
      </c>
      <c r="B32" s="176" t="str">
        <f>IF((inputPrYr!C29&gt;0),(inputPrYr!C29),"  ")</f>
        <v xml:space="preserve">  </v>
      </c>
      <c r="C32" s="103" t="str">
        <f>IF('Levy Page 14'!B88&gt;0,'Levy Page 14'!B88,"  ")</f>
        <v xml:space="preserve">  </v>
      </c>
      <c r="D32" s="164" t="str">
        <f>IF('Levy Page 14'!$D$75&lt;&gt;0,'Levy Page 14'!$D$75,"  ")</f>
        <v xml:space="preserve">  </v>
      </c>
      <c r="E32" s="342" t="str">
        <f>IF('Levy Page 14'!$D$82&lt;&gt;0,'Levy Page 14'!$D$82,"  ")</f>
        <v xml:space="preserve">  </v>
      </c>
      <c r="F32" s="110" t="str">
        <f>IF(AND('Levy Page 14'!D82=0,$F$59&gt;0),"",IF(AND(E32&gt;0,$F$59=0),"",IF(AND(E32&gt;0,$F$59&gt;0),ROUND(E32/$F$59*1000,3))))</f>
        <v/>
      </c>
    </row>
    <row r="33" spans="1:6" x14ac:dyDescent="0.2">
      <c r="A33" s="64" t="str">
        <f>IF((inputPrYr!$B30&gt;"  "),(inputPrYr!$B30),"  ")</f>
        <v xml:space="preserve">  </v>
      </c>
      <c r="B33" s="176" t="str">
        <f>IF((inputPrYr!C30&gt;0),(inputPrYr!C30),"  ")</f>
        <v xml:space="preserve">  </v>
      </c>
      <c r="C33" s="103" t="str">
        <f>IF('Levy Page 15'!B88&gt;0,'Levy Page 15'!B88,"  ")</f>
        <v xml:space="preserve">  </v>
      </c>
      <c r="D33" s="164" t="str">
        <f>IF('Levy Page 15'!$D$34&lt;&gt;0,'Levy Page 15'!$D$34,"  ")</f>
        <v xml:space="preserve">  </v>
      </c>
      <c r="E33" s="342" t="str">
        <f>IF('Levy Page 15'!$D$41&lt;&gt;0,'Levy Page 15'!$D$41,"  ")</f>
        <v xml:space="preserve">  </v>
      </c>
      <c r="F33" s="110" t="str">
        <f>IF(AND('Levy Page 15'!D41=0,$F$59&gt;0),"",IF(AND(E33&gt;0,$F$59=0),"",IF(AND(E33&gt;0,$F$59&gt;0),ROUND(E33/$F$59*1000,3))))</f>
        <v/>
      </c>
    </row>
    <row r="34" spans="1:6" x14ac:dyDescent="0.2">
      <c r="A34" s="64" t="str">
        <f>IF((inputPrYr!$B31&gt;"  "),(inputPrYr!$B31),"  ")</f>
        <v xml:space="preserve">  </v>
      </c>
      <c r="B34" s="176" t="str">
        <f>IF((inputPrYr!C31&gt;0),(inputPrYr!C31),"  ")</f>
        <v xml:space="preserve">  </v>
      </c>
      <c r="C34" s="103" t="str">
        <f>IF('Levy Page 15'!B88&gt;0,'Levy Page 15'!B88,"  ")</f>
        <v xml:space="preserve">  </v>
      </c>
      <c r="D34" s="164" t="str">
        <f>IF('Levy Page 15'!$D$75&lt;&gt;0,'Levy Page 15'!$D$75,"  ")</f>
        <v xml:space="preserve">  </v>
      </c>
      <c r="E34" s="342" t="str">
        <f>IF('Levy Page 15'!$D$82&lt;&gt;0,'Levy Page 15'!$D$82,"  ")</f>
        <v xml:space="preserve">  </v>
      </c>
      <c r="F34" s="110" t="str">
        <f>IF(AND('Levy Page 15'!D82=0,$F$59&gt;0),"",IF(AND(E34&gt;0,$F$59=0),"",IF(AND(E34&gt;0,$F$59&gt;0),ROUND(E34/$F$59*1000,3))))</f>
        <v/>
      </c>
    </row>
    <row r="35" spans="1:6" x14ac:dyDescent="0.2">
      <c r="A35" s="64" t="str">
        <f>IF((inputPrYr!$B32&gt;"  "),(inputPrYr!$B32),"  ")</f>
        <v xml:space="preserve">  </v>
      </c>
      <c r="B35" s="176" t="str">
        <f>IF((inputPrYr!C32&gt;0),(inputPrYr!C32),"  ")</f>
        <v xml:space="preserve">  </v>
      </c>
      <c r="C35" s="103" t="str">
        <f>IF('Levy Page 16'!B88&gt;0,'Levy Page 16'!B88,"  ")</f>
        <v xml:space="preserve">  </v>
      </c>
      <c r="D35" s="164" t="str">
        <f>IF('Levy Page 16'!$D$34&lt;&gt;0,'Levy Page 16'!$D$34,"  ")</f>
        <v xml:space="preserve">  </v>
      </c>
      <c r="E35" s="342" t="str">
        <f>IF('Levy Page 16'!$D$41&lt;&gt;0,'Levy Page 16'!$D$41,"  ")</f>
        <v xml:space="preserve">  </v>
      </c>
      <c r="F35" s="110" t="str">
        <f>IF(AND('Levy Page 16'!D41=0,$F$59&gt;0),"",IF(AND(E35&gt;0,$F$59=0),"",IF(AND(E35&gt;0,$F$59&gt;0),ROUND(E35/$F$59*1000,3))))</f>
        <v/>
      </c>
    </row>
    <row r="36" spans="1:6" x14ac:dyDescent="0.2">
      <c r="A36" s="64" t="str">
        <f>IF((inputPrYr!$B33&gt;"  "),(inputPrYr!$B33),"  ")</f>
        <v xml:space="preserve">  </v>
      </c>
      <c r="B36" s="176" t="str">
        <f>IF((inputPrYr!C33&gt;0),(inputPrYr!C33),"  ")</f>
        <v xml:space="preserve">  </v>
      </c>
      <c r="C36" s="103" t="str">
        <f>IF('Levy Page 16'!B88&gt;0,'Levy Page 16'!B88,"  ")</f>
        <v xml:space="preserve">  </v>
      </c>
      <c r="D36" s="164" t="str">
        <f>IF('Levy Page 16'!$D$75&lt;&gt;0,'Levy Page 16'!$D$75,"  ")</f>
        <v xml:space="preserve">  </v>
      </c>
      <c r="E36" s="342" t="str">
        <f>IF('Levy Page 16'!$D$82&lt;&gt;0,'Levy Page 16'!$D$82,"  ")</f>
        <v xml:space="preserve">  </v>
      </c>
      <c r="F36" s="110" t="str">
        <f>IF(AND('Levy Page 16'!D82=0,$F$59&gt;0),"",IF(AND(E36&gt;0,$F$59=0),"",IF(AND(E36&gt;0,$F$59&gt;0),ROUND(E36/$F$59*1000,3))))</f>
        <v/>
      </c>
    </row>
    <row r="37" spans="1:6" x14ac:dyDescent="0.2">
      <c r="A37" s="64" t="str">
        <f>IF((inputPrYr!$B34&gt;"  "),(inputPrYr!$B34),"  ")</f>
        <v xml:space="preserve">  </v>
      </c>
      <c r="B37" s="176" t="str">
        <f>IF((inputPrYr!C34&gt;0),(inputPrYr!C34),"  ")</f>
        <v xml:space="preserve">  </v>
      </c>
      <c r="C37" s="103" t="str">
        <f>IF('Levy Page 17'!B88&gt;0,'Levy Page 17'!B88,"  ")</f>
        <v xml:space="preserve">  </v>
      </c>
      <c r="D37" s="164" t="str">
        <f>IF('Levy Page 17'!$D$34&lt;&gt;0,'Levy Page 17'!$D$34,"  ")</f>
        <v xml:space="preserve">  </v>
      </c>
      <c r="E37" s="342" t="str">
        <f>IF('Levy Page 17'!$D$41&lt;&gt;0,'Levy Page 17'!$D$41,"  ")</f>
        <v xml:space="preserve">  </v>
      </c>
      <c r="F37" s="110" t="str">
        <f>IF(AND('Levy Page 17'!D41=0,$F$59&gt;0),"",IF(AND(E37&gt;0,$F$59=0),"",IF(AND(E37&gt;0,$F$59&gt;0),ROUND(E37/$F$59*1000,3))))</f>
        <v/>
      </c>
    </row>
    <row r="38" spans="1:6" x14ac:dyDescent="0.2">
      <c r="A38" s="64" t="str">
        <f>IF((inputPrYr!$B35&gt;"  "),(inputPrYr!$B35),"  ")</f>
        <v xml:space="preserve">  </v>
      </c>
      <c r="B38" s="176" t="str">
        <f>IF((inputPrYr!C35&gt;0),(inputPrYr!C35),"  ")</f>
        <v xml:space="preserve">  </v>
      </c>
      <c r="C38" s="103" t="str">
        <f>IF('Levy Page 17'!B88&gt;0,'Levy Page 17'!B88,"  ")</f>
        <v xml:space="preserve">  </v>
      </c>
      <c r="D38" s="164" t="str">
        <f>IF('Levy Page 17'!$D$75&lt;&gt;0,'Levy Page 17'!$D$75,"  ")</f>
        <v xml:space="preserve">  </v>
      </c>
      <c r="E38" s="342" t="str">
        <f>IF('Levy Page 17'!$D$82&lt;&gt;0,'Levy Page 17'!$D$82,"  ")</f>
        <v xml:space="preserve">  </v>
      </c>
      <c r="F38" s="110" t="str">
        <f>IF(AND('Levy Page 17'!D82=0,$F$59&gt;0),"",IF(AND(E38&gt;0,$F$59=0),"",IF(AND(E38&gt;0,$F$59&gt;0),ROUND(E38/$F$59*1000,3))))</f>
        <v/>
      </c>
    </row>
    <row r="39" spans="1:6" x14ac:dyDescent="0.2">
      <c r="A39" s="64" t="str">
        <f>IF((inputPrYr!$B36&gt;"  "),(inputPrYr!$B36),"  ")</f>
        <v xml:space="preserve">  </v>
      </c>
      <c r="B39" s="176" t="str">
        <f>IF((inputPrYr!C36&gt;0),(inputPrYr!C36),"  ")</f>
        <v xml:space="preserve">  </v>
      </c>
      <c r="C39" s="103" t="str">
        <f>IF('Levy Page 18'!B89&gt;0,'Levy Page 18'!B89,"  ")</f>
        <v xml:space="preserve">  </v>
      </c>
      <c r="D39" s="164" t="str">
        <f>IF('Levy Page 18'!$D$34&lt;&gt;0,'Levy Page 18'!$D$34,"  ")</f>
        <v xml:space="preserve">  </v>
      </c>
      <c r="E39" s="342" t="str">
        <f>IF('Levy Page 18'!$D$41&lt;&gt;0,'Levy Page 18'!$D$41,"  ")</f>
        <v xml:space="preserve">  </v>
      </c>
      <c r="F39" s="110" t="str">
        <f>IF(AND('Levy Page 18'!D41=0,$F$59&gt;0),"",IF(AND(E39&gt;0,$F$59=0),"",IF(AND(E39&gt;0,$F$59&gt;0),ROUND(E39/$F$59*1000,3))))</f>
        <v/>
      </c>
    </row>
    <row r="40" spans="1:6" x14ac:dyDescent="0.2">
      <c r="A40" s="64" t="str">
        <f>IF((inputPrYr!$B37&gt;"  "),(inputPrYr!$B37),"  ")</f>
        <v xml:space="preserve">  </v>
      </c>
      <c r="B40" s="176" t="str">
        <f>IF((inputPrYr!C37&gt;0),(inputPrYr!C37),"  ")</f>
        <v xml:space="preserve">  </v>
      </c>
      <c r="C40" s="103" t="str">
        <f>IF('Levy Page 18'!B89&gt;0,'Levy Page 18'!B89,"  ")</f>
        <v xml:space="preserve">  </v>
      </c>
      <c r="D40" s="164" t="str">
        <f>IF('Levy Page 18'!$D$75&lt;&gt;0,'Levy Page 18'!$D$75,"  ")</f>
        <v xml:space="preserve">  </v>
      </c>
      <c r="E40" s="342" t="str">
        <f>IF('Levy Page 18'!$D$82&lt;&gt;0,'Levy Page 18'!$D$82,"  ")</f>
        <v xml:space="preserve">  </v>
      </c>
      <c r="F40" s="110" t="str">
        <f>IF(AND('Levy Page 18'!D82=0,$F$59&gt;0),"",IF(AND(E40&gt;0,$F$59=0),"",IF(AND(E40&gt;0,$F$59&gt;0),ROUND(E40/$F$59*1000,3))))</f>
        <v/>
      </c>
    </row>
    <row r="41" spans="1:6" x14ac:dyDescent="0.2">
      <c r="A41" s="64" t="str">
        <f>IF((inputPrYr!$B38&gt;"  "),(inputPrYr!$B38),"  ")</f>
        <v xml:space="preserve">  </v>
      </c>
      <c r="B41" s="176" t="str">
        <f>IF((inputPrYr!C38&gt;0),(inputPrYr!C38),"  ")</f>
        <v xml:space="preserve">  </v>
      </c>
      <c r="C41" s="103" t="str">
        <f>IF('Levy Page 19'!B88&gt;0,'Levy Page 19'!B88,"  ")</f>
        <v xml:space="preserve">  </v>
      </c>
      <c r="D41" s="164" t="str">
        <f>IF('Levy Page 19'!$D$34&lt;&gt;0,'Levy Page 19'!$D$34,"  ")</f>
        <v xml:space="preserve">  </v>
      </c>
      <c r="E41" s="342" t="str">
        <f>IF('Levy Page 19'!$D$41&lt;&gt;0,'Levy Page 19'!$D$41,"  ")</f>
        <v xml:space="preserve">  </v>
      </c>
      <c r="F41" s="110" t="str">
        <f>IF(AND('Levy Page 19'!D41=0,$F$59&gt;0),"",IF(AND(E41&gt;0,$F$59=0),"",IF(AND(E41&gt;0,$F$59&gt;0),ROUND(E41/$F$59*1000,3))))</f>
        <v/>
      </c>
    </row>
    <row r="42" spans="1:6" x14ac:dyDescent="0.2">
      <c r="A42" s="64" t="str">
        <f>IF((inputPrYr!$B39&gt;"  "),(inputPrYr!$B39),"  ")</f>
        <v xml:space="preserve">  </v>
      </c>
      <c r="B42" s="176" t="str">
        <f>IF((inputPrYr!C39&gt;0),(inputPrYr!C39),"  ")</f>
        <v xml:space="preserve">  </v>
      </c>
      <c r="C42" s="103" t="str">
        <f>IF('Levy Page 19'!B88&gt;0,'Levy Page 19'!B88,"  ")</f>
        <v xml:space="preserve">  </v>
      </c>
      <c r="D42" s="164" t="str">
        <f>IF('Levy Page 19'!$D$75&lt;&gt;0,'Levy Page 19'!$D$75,"  ")</f>
        <v xml:space="preserve">  </v>
      </c>
      <c r="E42" s="342" t="str">
        <f>IF('Levy Page 19'!$D$82&lt;&gt;0,'Levy Page 19'!$D$82,"  ")</f>
        <v xml:space="preserve">  </v>
      </c>
      <c r="F42" s="110" t="str">
        <f>IF(AND('Levy Page 19'!D82=0,$F$59&gt;0),"",IF(AND(E42&gt;0,$F$59=0),"",IF(AND(E42&gt;0,$F$59&gt;0),ROUND(E42/$F$59*1000,3))))</f>
        <v/>
      </c>
    </row>
    <row r="43" spans="1:6" x14ac:dyDescent="0.2">
      <c r="A43" s="64" t="str">
        <f>IF((inputPrYr!$B40&gt;"  "),(inputPrYr!$B40),"  ")</f>
        <v xml:space="preserve">  </v>
      </c>
      <c r="B43" s="176" t="str">
        <f>IF((inputPrYr!C40&gt;0),(inputPrYr!C40),"  ")</f>
        <v xml:space="preserve">  </v>
      </c>
      <c r="C43" s="103" t="str">
        <f>IF('Levy Page 20'!B88&gt;0,'Levy Page 20'!B88,"  ")</f>
        <v xml:space="preserve">  </v>
      </c>
      <c r="D43" s="164" t="str">
        <f>IF('Levy Page 20'!$D$34&lt;&gt;0,'Levy Page 20'!$D$34,"  ")</f>
        <v xml:space="preserve">  </v>
      </c>
      <c r="E43" s="342" t="str">
        <f>IF('Levy Page 20'!$D$41&lt;&gt;0,'Levy Page 20'!$D$41,"  ")</f>
        <v xml:space="preserve">  </v>
      </c>
      <c r="F43" s="110" t="str">
        <f>IF(AND('Levy Page 20'!D41=0,$F$59&gt;0),"",IF(AND(E43&gt;0,$F$59=0),"",IF(AND(E43&gt;0,$F$59&gt;0),ROUND(E43/$F$59*1000,3))))</f>
        <v/>
      </c>
    </row>
    <row r="44" spans="1:6" x14ac:dyDescent="0.2">
      <c r="A44" s="64" t="str">
        <f>IF((inputPrYr!$B41&gt;"  "),(inputPrYr!$B41),"  ")</f>
        <v xml:space="preserve">  </v>
      </c>
      <c r="B44" s="176" t="str">
        <f>IF((inputPrYr!C41&gt;0),(inputPrYr!C41),"  ")</f>
        <v xml:space="preserve">  </v>
      </c>
      <c r="C44" s="103" t="str">
        <f>IF('Levy Page 20'!B88&gt;0,'Levy Page 20'!B88,"  ")</f>
        <v xml:space="preserve">  </v>
      </c>
      <c r="D44" s="164" t="str">
        <f>IF('Levy Page 20'!$D$75&lt;&gt;0,'Levy Page 20'!$D$75,"  ")</f>
        <v xml:space="preserve">  </v>
      </c>
      <c r="E44" s="342" t="str">
        <f>IF('Levy Page 20'!$D$82&lt;&gt;0,'Levy Page 20'!$D$82,"  ")</f>
        <v xml:space="preserve">  </v>
      </c>
      <c r="F44" s="110" t="str">
        <f>IF(AND('Levy Page 20'!D82=0,$F$59&gt;0),"",IF(AND(E44&gt;0,$F$59=0),"",IF(AND(E44&gt;0,$F$59&gt;0),ROUND(E44/$F$59*1000,3))))</f>
        <v/>
      </c>
    </row>
    <row r="45" spans="1:6" x14ac:dyDescent="0.2">
      <c r="A45" s="111" t="str">
        <f>IF((inputPrYr!$B45&gt;"  "),(inputPrYr!$B45),"  ")</f>
        <v xml:space="preserve">  </v>
      </c>
      <c r="B45" s="99"/>
      <c r="C45" s="112" t="str">
        <f>IF('No Levy Page 21'!B65&gt;0,'No Levy Page 21'!B65,"  ")</f>
        <v xml:space="preserve">  </v>
      </c>
      <c r="D45" s="164" t="str">
        <f>IF('No Levy Page 21'!$D$27&lt;&gt;0,'No Levy Page 21'!$D$27,"  ")</f>
        <v xml:space="preserve">  </v>
      </c>
      <c r="E45" s="108"/>
      <c r="F45" s="110"/>
    </row>
    <row r="46" spans="1:6" x14ac:dyDescent="0.2">
      <c r="A46" s="113" t="str">
        <f>IF((inputPrYr!$B46&gt;"  "),(inputPrYr!$B46),"  ")</f>
        <v xml:space="preserve">  </v>
      </c>
      <c r="B46" s="99"/>
      <c r="C46" s="105" t="str">
        <f>IF('No Levy Page 21'!B65&gt;0,'No Levy Page 21'!B65,"  ")</f>
        <v xml:space="preserve">  </v>
      </c>
      <c r="D46" s="164" t="str">
        <f>IF('No Levy Page 21'!$D$57&lt;&gt;0,'No Levy Page 21'!$D$57,"  ")</f>
        <v xml:space="preserve">  </v>
      </c>
      <c r="E46" s="108"/>
      <c r="F46" s="110"/>
    </row>
    <row r="47" spans="1:6" x14ac:dyDescent="0.2">
      <c r="A47" s="111" t="str">
        <f>IF((inputPrYr!$B47&gt;"  "),(inputPrYr!$B47),"  ")</f>
        <v xml:space="preserve">  </v>
      </c>
      <c r="B47" s="114"/>
      <c r="C47" s="105" t="str">
        <f>IF('No Levy Page 22'!B65&gt;0,'No Levy Page 22'!B65,"  ")</f>
        <v xml:space="preserve">  </v>
      </c>
      <c r="D47" s="164" t="str">
        <f>IF('No Levy Page 22'!$D$27&lt;&gt;0,'No Levy Page 22'!$D$27,"  ")</f>
        <v xml:space="preserve">  </v>
      </c>
      <c r="E47" s="108"/>
      <c r="F47" s="110"/>
    </row>
    <row r="48" spans="1:6" x14ac:dyDescent="0.2">
      <c r="A48" s="111" t="str">
        <f>IF((inputPrYr!$B48&gt;"  "),(inputPrYr!$B48),"  ")</f>
        <v xml:space="preserve">  </v>
      </c>
      <c r="B48" s="102"/>
      <c r="C48" s="105" t="str">
        <f>IF('No Levy Page 22'!B65&gt;0,'No Levy Page 22'!B65,"  ")</f>
        <v xml:space="preserve">  </v>
      </c>
      <c r="D48" s="164" t="str">
        <f>IF('No Levy Page 22'!$D$57&lt;&gt;0,'No Levy Page 22'!$D$57,"  ")</f>
        <v xml:space="preserve">  </v>
      </c>
      <c r="E48" s="108"/>
      <c r="F48" s="110"/>
    </row>
    <row r="49" spans="1:6" x14ac:dyDescent="0.2">
      <c r="A49" s="111" t="str">
        <f>IF((inputPrYr!$B49&gt;"  "),(inputPrYr!$B49),"  ")</f>
        <v xml:space="preserve">  </v>
      </c>
      <c r="B49" s="102"/>
      <c r="C49" s="105" t="str">
        <f>IF('No Levy Page 23'!B65&gt;0,'No Levy Page 23'!B65,"  ")</f>
        <v xml:space="preserve">  </v>
      </c>
      <c r="D49" s="164" t="str">
        <f>IF('No Levy Page 23'!$D$27&lt;&gt;0,'No Levy Page 23'!$D$27,"  ")</f>
        <v xml:space="preserve">  </v>
      </c>
      <c r="E49" s="108"/>
      <c r="F49" s="110"/>
    </row>
    <row r="50" spans="1:6" x14ac:dyDescent="0.2">
      <c r="A50" s="111" t="str">
        <f>IF((inputPrYr!$B50&gt;"  "),(inputPrYr!$B50),"  ")</f>
        <v xml:space="preserve">  </v>
      </c>
      <c r="B50" s="102"/>
      <c r="C50" s="105" t="str">
        <f>IF('No Levy Page 23'!B65&gt;0,'No Levy Page 23'!B65,"  ")</f>
        <v xml:space="preserve">  </v>
      </c>
      <c r="D50" s="164" t="str">
        <f>IF('No Levy Page 23'!$D$57&lt;&gt;0,'No Levy Page 23'!$D$57,"  ")</f>
        <v xml:space="preserve">  </v>
      </c>
      <c r="E50" s="108"/>
      <c r="F50" s="110"/>
    </row>
    <row r="51" spans="1:6" x14ac:dyDescent="0.2">
      <c r="A51" s="111" t="str">
        <f>IF((inputPrYr!$B51&gt;"  "),(inputPrYr!$B51),"  ")</f>
        <v xml:space="preserve">  </v>
      </c>
      <c r="B51" s="102"/>
      <c r="C51" s="105" t="str">
        <f>IF('No Levy Page 24'!B65&gt;0,'No Levy Page 24'!B65,"  ")</f>
        <v xml:space="preserve">  </v>
      </c>
      <c r="D51" s="164" t="str">
        <f>IF('No Levy Page 24'!$D$27&lt;&gt;0,'No Levy Page 24'!$D$27,"  ")</f>
        <v xml:space="preserve">  </v>
      </c>
      <c r="E51" s="108"/>
      <c r="F51" s="110"/>
    </row>
    <row r="52" spans="1:6" x14ac:dyDescent="0.2">
      <c r="A52" s="113" t="str">
        <f>IF((inputPrYr!$B52&gt;"  "),(inputPrYr!$B52),"  ")</f>
        <v xml:space="preserve">  </v>
      </c>
      <c r="B52" s="102"/>
      <c r="C52" s="105" t="str">
        <f>IF('No Levy Page 24'!B65&gt;0,'No Levy Page 24'!B65,"  ")</f>
        <v xml:space="preserve">  </v>
      </c>
      <c r="D52" s="164" t="str">
        <f>IF('No Levy Page 24'!$D$57&lt;&gt;0,'No Levy Page 24'!$D$57,"  ")</f>
        <v xml:space="preserve">  </v>
      </c>
      <c r="E52" s="108"/>
      <c r="F52" s="110"/>
    </row>
    <row r="53" spans="1:6" x14ac:dyDescent="0.2">
      <c r="A53" s="111" t="str">
        <f>IF((inputPrYr!$B53&gt;"  "),(inputPrYr!$B53),"  ")</f>
        <v xml:space="preserve">  </v>
      </c>
      <c r="B53" s="102"/>
      <c r="C53" s="112" t="str">
        <f>IF('No Levy Page 25'!B65&gt;0,'No Levy Page 25'!B65,"  ")</f>
        <v xml:space="preserve">  </v>
      </c>
      <c r="D53" s="164" t="str">
        <f>IF('No Levy Page 25'!$D$27&lt;&gt;0,'No Levy Page 25'!$D$27,"  ")</f>
        <v xml:space="preserve">  </v>
      </c>
      <c r="E53" s="108"/>
      <c r="F53" s="110"/>
    </row>
    <row r="54" spans="1:6" x14ac:dyDescent="0.2">
      <c r="A54" s="111" t="str">
        <f>IF((inputPrYr!$B54&gt;"  "),(inputPrYr!$B54),"  ")</f>
        <v xml:space="preserve">  </v>
      </c>
      <c r="B54" s="102"/>
      <c r="C54" s="112" t="str">
        <f>IF('No Levy Page 25'!B65&gt;0,'No Levy Page 25'!B65,"  ")</f>
        <v xml:space="preserve">  </v>
      </c>
      <c r="D54" s="164" t="str">
        <f>IF('No Levy Page 25'!$D$57&lt;&gt;0,'No Levy Page 25'!$D$57,"  ")</f>
        <v xml:space="preserve">  </v>
      </c>
      <c r="E54" s="108"/>
      <c r="F54" s="110"/>
    </row>
    <row r="55" spans="1:6" x14ac:dyDescent="0.2">
      <c r="A55" s="111" t="str">
        <f>IF((inputPrYr!$B58&gt;"  "),('Non-Budgeted Funds'!$A3),"  ")</f>
        <v xml:space="preserve">  </v>
      </c>
      <c r="B55" s="99"/>
      <c r="C55" s="112" t="str">
        <f>IF('Non-Budgeted Funds'!F37&gt;0,'Non-Budgeted Funds'!F37,"  ")</f>
        <v xml:space="preserve">  </v>
      </c>
      <c r="D55" s="164"/>
      <c r="E55" s="108"/>
      <c r="F55" s="110"/>
    </row>
    <row r="56" spans="1:6" ht="16.5" thickBot="1" x14ac:dyDescent="0.25">
      <c r="A56" s="502" t="s">
        <v>27</v>
      </c>
      <c r="B56" s="503"/>
      <c r="C56" s="504" t="s">
        <v>16</v>
      </c>
      <c r="D56" s="265">
        <f>SUM(D20:D55)</f>
        <v>0</v>
      </c>
      <c r="E56" s="265">
        <f>SUM(E20:E55)</f>
        <v>0</v>
      </c>
      <c r="F56" s="266" t="str">
        <f>IF(SUM(F20:F44)&gt;0,SUM(F20:F44)," ")</f>
        <v xml:space="preserve"> </v>
      </c>
    </row>
    <row r="57" spans="1:6" ht="16.5" thickTop="1" x14ac:dyDescent="0.2">
      <c r="A57" s="624" t="s">
        <v>555</v>
      </c>
      <c r="B57" s="625"/>
      <c r="C57" s="100" t="str">
        <f>IF('Budget Hearing Notice'!E70&gt;0, 'Budget Hearing Notice'!E70, " ")</f>
        <v xml:space="preserve"> </v>
      </c>
      <c r="D57" s="352"/>
      <c r="E57" s="32"/>
      <c r="F57" s="32"/>
    </row>
    <row r="58" spans="1:6" x14ac:dyDescent="0.2">
      <c r="A58" s="624" t="s">
        <v>567</v>
      </c>
      <c r="B58" s="625"/>
      <c r="C58" s="103" t="str">
        <f>IF('Budget Hearing Notice 2'!E42&gt;0, 'Budget Hearing Notice 2'!E42, " ")</f>
        <v xml:space="preserve"> </v>
      </c>
      <c r="D58" s="352"/>
      <c r="E58" s="32"/>
      <c r="F58" s="546" t="s">
        <v>163</v>
      </c>
    </row>
    <row r="59" spans="1:6" ht="15.75" customHeight="1" x14ac:dyDescent="0.2">
      <c r="A59" s="620" t="s">
        <v>545</v>
      </c>
      <c r="B59" s="620"/>
      <c r="C59" s="103" t="str">
        <f>IF('Combined Rate-Bud Hearing Notic'!E70&gt;0, 'Combined Rate-Bud Hearing Notic'!E70, " ")</f>
        <v xml:space="preserve"> </v>
      </c>
      <c r="D59" s="40"/>
      <c r="E59" s="32"/>
      <c r="F59" s="626"/>
    </row>
    <row r="60" spans="1:6" ht="15.75" customHeight="1" x14ac:dyDescent="0.2">
      <c r="A60" s="620" t="s">
        <v>568</v>
      </c>
      <c r="B60" s="620"/>
      <c r="C60" s="103" t="str">
        <f>IF('Combined Rate-Bud Hearing Not 2'!E42&gt;0, 'Combined Rate-Bud Hearing Not 2'!E42, " ")</f>
        <v xml:space="preserve"> </v>
      </c>
      <c r="D60" s="40"/>
      <c r="E60" s="32"/>
      <c r="F60" s="627"/>
    </row>
    <row r="61" spans="1:6" ht="15.75" customHeight="1" x14ac:dyDescent="0.2">
      <c r="A61" s="98" t="s">
        <v>546</v>
      </c>
      <c r="B61" s="510"/>
      <c r="C61" s="103" t="str">
        <f>IF('RNR Hearing Notice'!E14&gt;0, 'RNR Hearing Notice'!E14, " ")</f>
        <v xml:space="preserve"> </v>
      </c>
      <c r="D61" s="40"/>
      <c r="E61" s="32"/>
      <c r="F61" s="631" t="str">
        <f>CONCATENATE("Nov 1, ",F1-1," Total Assessed Valuation")</f>
        <v>Nov 1, 2024 Total Assessed Valuation</v>
      </c>
    </row>
    <row r="62" spans="1:6" x14ac:dyDescent="0.2">
      <c r="A62" s="629" t="s">
        <v>175</v>
      </c>
      <c r="B62" s="630"/>
      <c r="C62" s="103" t="str">
        <f>IF('NR Rebate'!C52&gt;0, 'NR Rebate'!C52, " ")</f>
        <v xml:space="preserve"> </v>
      </c>
      <c r="D62" s="132"/>
      <c r="E62" s="506"/>
      <c r="F62" s="632"/>
    </row>
    <row r="63" spans="1:6" x14ac:dyDescent="0.2">
      <c r="A63" s="31"/>
      <c r="B63" s="32"/>
      <c r="C63" s="42"/>
      <c r="D63" s="436"/>
      <c r="E63" s="508"/>
      <c r="F63" s="32"/>
    </row>
    <row r="64" spans="1:6" x14ac:dyDescent="0.2">
      <c r="A64" s="80"/>
      <c r="B64" s="507"/>
      <c r="C64" s="29"/>
      <c r="D64" s="32"/>
      <c r="E64" s="182" t="s">
        <v>547</v>
      </c>
      <c r="F64" s="514">
        <f>inputOth!E14</f>
        <v>0</v>
      </c>
    </row>
    <row r="65" spans="1:6" x14ac:dyDescent="0.2">
      <c r="A65" s="741" t="s">
        <v>971</v>
      </c>
      <c r="B65" s="742"/>
      <c r="C65" s="742"/>
      <c r="D65" s="742"/>
      <c r="E65" s="742"/>
      <c r="F65" s="151" t="str">
        <f>IF(E56&gt;inputPrYr!E42,"YES","NO")</f>
        <v>NO</v>
      </c>
    </row>
    <row r="66" spans="1:6" x14ac:dyDescent="0.2">
      <c r="A66" s="32"/>
      <c r="B66" s="32"/>
      <c r="C66" s="32"/>
      <c r="D66" s="32"/>
      <c r="E66" s="32"/>
      <c r="F66" s="32"/>
    </row>
    <row r="67" spans="1:6" x14ac:dyDescent="0.2">
      <c r="A67" s="31" t="s">
        <v>17</v>
      </c>
      <c r="B67" s="32"/>
      <c r="C67" s="31"/>
      <c r="D67" s="32"/>
      <c r="E67" s="32"/>
      <c r="F67" s="32"/>
    </row>
    <row r="68" spans="1:6" x14ac:dyDescent="0.2">
      <c r="A68" s="118"/>
      <c r="B68" s="32"/>
      <c r="C68" s="509"/>
      <c r="D68" s="628" t="s">
        <v>548</v>
      </c>
      <c r="E68" s="628"/>
      <c r="F68" s="628"/>
    </row>
    <row r="69" spans="1:6" x14ac:dyDescent="0.2">
      <c r="A69" s="31" t="s">
        <v>162</v>
      </c>
      <c r="B69" s="32"/>
      <c r="C69" s="32"/>
      <c r="D69" s="32"/>
      <c r="E69" s="91"/>
      <c r="F69" s="91"/>
    </row>
    <row r="70" spans="1:6" x14ac:dyDescent="0.2">
      <c r="A70" s="118"/>
      <c r="B70" s="63"/>
      <c r="C70" s="509"/>
      <c r="D70" s="628" t="s">
        <v>341</v>
      </c>
      <c r="E70" s="628"/>
      <c r="F70" s="628"/>
    </row>
    <row r="71" spans="1:6" x14ac:dyDescent="0.2">
      <c r="A71" s="119"/>
      <c r="B71" s="32"/>
      <c r="C71" s="32"/>
      <c r="D71" s="32"/>
      <c r="E71" s="348"/>
      <c r="F71" s="348"/>
    </row>
    <row r="72" spans="1:6" x14ac:dyDescent="0.2">
      <c r="A72" s="32" t="s">
        <v>340</v>
      </c>
      <c r="B72" s="63"/>
      <c r="C72" s="509"/>
      <c r="D72" s="628" t="s">
        <v>341</v>
      </c>
      <c r="E72" s="628"/>
      <c r="F72" s="628"/>
    </row>
    <row r="73" spans="1:6" x14ac:dyDescent="0.2">
      <c r="A73" s="119"/>
      <c r="B73" s="32"/>
      <c r="C73" s="32"/>
      <c r="D73" s="32"/>
      <c r="E73" s="348"/>
      <c r="F73" s="65"/>
    </row>
    <row r="74" spans="1:6" x14ac:dyDescent="0.2">
      <c r="A74" s="63"/>
      <c r="B74" s="63"/>
      <c r="C74" s="509"/>
      <c r="D74" s="628" t="s">
        <v>341</v>
      </c>
      <c r="E74" s="628"/>
      <c r="F74" s="628"/>
    </row>
    <row r="75" spans="1:6" x14ac:dyDescent="0.2">
      <c r="A75" s="33" t="s">
        <v>207</v>
      </c>
      <c r="B75" s="120">
        <f>F1-1</f>
        <v>2024</v>
      </c>
      <c r="C75" s="32"/>
      <c r="D75" s="32"/>
      <c r="E75" s="32"/>
      <c r="F75" s="32"/>
    </row>
    <row r="76" spans="1:6" x14ac:dyDescent="0.2">
      <c r="A76" s="40"/>
      <c r="B76" s="32"/>
      <c r="C76" s="509"/>
      <c r="D76" s="628" t="s">
        <v>341</v>
      </c>
      <c r="E76" s="628"/>
      <c r="F76" s="628"/>
    </row>
    <row r="77" spans="1:6" x14ac:dyDescent="0.2">
      <c r="A77" s="285"/>
      <c r="B77" s="32"/>
      <c r="C77" s="509"/>
      <c r="D77" s="618" t="s">
        <v>18</v>
      </c>
      <c r="E77" s="618"/>
      <c r="F77" s="618"/>
    </row>
    <row r="78" spans="1:6" x14ac:dyDescent="0.2">
      <c r="A78" s="286" t="s">
        <v>19</v>
      </c>
      <c r="B78" s="32"/>
      <c r="C78" s="42"/>
      <c r="D78" s="32"/>
      <c r="E78" s="32"/>
      <c r="F78" s="32"/>
    </row>
    <row r="79" spans="1:6" x14ac:dyDescent="0.2">
      <c r="A79" s="32"/>
      <c r="B79" s="32"/>
      <c r="C79" s="32"/>
      <c r="D79" s="32"/>
      <c r="E79" s="32"/>
      <c r="F79" s="32"/>
    </row>
    <row r="80" spans="1:6" x14ac:dyDescent="0.2">
      <c r="A80" s="446" t="s">
        <v>380</v>
      </c>
      <c r="B80" s="408"/>
      <c r="C80" s="408"/>
      <c r="D80" s="408"/>
      <c r="E80" s="408"/>
      <c r="F80" s="102"/>
    </row>
    <row r="81" spans="1:6" x14ac:dyDescent="0.2">
      <c r="A81" s="183"/>
      <c r="B81" s="32"/>
      <c r="C81" s="32"/>
      <c r="D81" s="32"/>
      <c r="E81" s="32"/>
      <c r="F81" s="114"/>
    </row>
    <row r="82" spans="1:6" x14ac:dyDescent="0.2">
      <c r="A82" s="447"/>
      <c r="B82" s="53"/>
      <c r="C82" s="53"/>
      <c r="D82" s="53"/>
      <c r="E82" s="53"/>
      <c r="F82" s="60"/>
    </row>
  </sheetData>
  <sheetProtection sheet="1" objects="1" scenarios="1"/>
  <mergeCells count="20">
    <mergeCell ref="D76:F76"/>
    <mergeCell ref="D77:F77"/>
    <mergeCell ref="A59:B59"/>
    <mergeCell ref="D68:F68"/>
    <mergeCell ref="D70:F70"/>
    <mergeCell ref="D72:F72"/>
    <mergeCell ref="D74:F74"/>
    <mergeCell ref="A62:B62"/>
    <mergeCell ref="F61:F62"/>
    <mergeCell ref="A65:E65"/>
    <mergeCell ref="A2:F2"/>
    <mergeCell ref="E13:E14"/>
    <mergeCell ref="A6:F6"/>
    <mergeCell ref="A4:F4"/>
    <mergeCell ref="A60:B60"/>
    <mergeCell ref="D13:D14"/>
    <mergeCell ref="F13:F14"/>
    <mergeCell ref="A57:B57"/>
    <mergeCell ref="A58:B58"/>
    <mergeCell ref="F59:F60"/>
  </mergeCells>
  <phoneticPr fontId="0" type="noConversion"/>
  <conditionalFormatting sqref="F65">
    <cfRule type="containsText" dxfId="0" priority="1" operator="containsText" text="YES">
      <formula>NOT(ISERROR(SEARCH("YES",F65)))</formula>
    </cfRule>
  </conditionalFormatting>
  <pageMargins left="0.5" right="0.5" top="0.47" bottom="0.23" header="0.25" footer="0"/>
  <pageSetup scale="58" orientation="portrait" blackAndWhite="1" horizontalDpi="120" verticalDpi="144" r:id="rId1"/>
  <headerFooter alignWithMargins="0">
    <oddHeader xml:space="preserve">&amp;RState of Kansas
County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B0F0"/>
    <pageSetUpPr fitToPage="1"/>
  </sheetPr>
  <dimension ref="A1:G66"/>
  <sheetViews>
    <sheetView workbookViewId="0">
      <selection activeCell="A41" sqref="A41:G45"/>
    </sheetView>
  </sheetViews>
  <sheetFormatPr defaultRowHeight="15.75" x14ac:dyDescent="0.2"/>
  <cols>
    <col min="1" max="1" width="29.88671875" style="27" customWidth="1"/>
    <col min="2" max="2" width="9.77734375" style="27" customWidth="1"/>
    <col min="3" max="3" width="5.77734375" style="27" customWidth="1"/>
    <col min="4" max="7" width="12.77734375" style="27" customWidth="1"/>
    <col min="8" max="16384" width="8.88671875" style="27"/>
  </cols>
  <sheetData>
    <row r="1" spans="1:7" x14ac:dyDescent="0.2">
      <c r="A1" s="122">
        <f>inputPrYr!C3</f>
        <v>0</v>
      </c>
      <c r="B1" s="32"/>
      <c r="C1" s="32"/>
      <c r="D1" s="32"/>
      <c r="E1" s="32"/>
      <c r="F1" s="32"/>
      <c r="G1" s="32">
        <f>inputPrYr!C5</f>
        <v>2025</v>
      </c>
    </row>
    <row r="2" spans="1:7" x14ac:dyDescent="0.2">
      <c r="A2" s="615" t="s">
        <v>205</v>
      </c>
      <c r="B2" s="615"/>
      <c r="C2" s="615"/>
      <c r="D2" s="615"/>
      <c r="E2" s="615"/>
      <c r="F2" s="615"/>
      <c r="G2" s="615"/>
    </row>
    <row r="3" spans="1:7" x14ac:dyDescent="0.2">
      <c r="A3" s="90"/>
      <c r="B3" s="37"/>
      <c r="C3" s="37"/>
      <c r="D3" s="37"/>
      <c r="E3" s="37"/>
      <c r="F3" s="37"/>
      <c r="G3" s="37"/>
    </row>
    <row r="4" spans="1:7" x14ac:dyDescent="0.2">
      <c r="A4" s="90"/>
      <c r="B4" s="37"/>
      <c r="C4" s="37"/>
      <c r="D4" s="90"/>
      <c r="E4" s="90"/>
      <c r="F4" s="90"/>
      <c r="G4" s="90"/>
    </row>
    <row r="5" spans="1:7" x14ac:dyDescent="0.2">
      <c r="A5" s="32"/>
      <c r="B5" s="32"/>
      <c r="C5" s="32"/>
      <c r="D5" s="92" t="str">
        <f>CONCATENATE("",G1," Adopted Budget")</f>
        <v>2025 Adopted Budget</v>
      </c>
      <c r="E5" s="93"/>
      <c r="F5" s="93"/>
      <c r="G5" s="94"/>
    </row>
    <row r="6" spans="1:7" ht="21" customHeight="1" x14ac:dyDescent="0.2">
      <c r="A6" s="32"/>
      <c r="B6" s="32"/>
      <c r="C6" s="616" t="s">
        <v>96</v>
      </c>
      <c r="D6" s="616" t="s">
        <v>543</v>
      </c>
      <c r="E6" s="616" t="str">
        <f>CONCATENATE("Amount of ",G1-1,"      Ad Valorem Tax")</f>
        <v>Amount of 2024      Ad Valorem Tax</v>
      </c>
      <c r="F6" s="616" t="s">
        <v>556</v>
      </c>
      <c r="G6" s="616" t="s">
        <v>544</v>
      </c>
    </row>
    <row r="7" spans="1:7" ht="27.75" customHeight="1" x14ac:dyDescent="0.2">
      <c r="A7" s="96" t="s">
        <v>577</v>
      </c>
      <c r="B7" s="53"/>
      <c r="C7" s="623"/>
      <c r="D7" s="623"/>
      <c r="E7" s="601"/>
      <c r="F7" s="623"/>
      <c r="G7" s="623"/>
    </row>
    <row r="8" spans="1:7" x14ac:dyDescent="0.2">
      <c r="A8" s="123" t="s">
        <v>204</v>
      </c>
      <c r="B8" s="124" t="s">
        <v>14</v>
      </c>
      <c r="C8" s="108"/>
      <c r="D8" s="108"/>
      <c r="E8" s="108"/>
      <c r="F8" s="108"/>
      <c r="G8" s="108"/>
    </row>
    <row r="9" spans="1:7" x14ac:dyDescent="0.2">
      <c r="A9" s="125"/>
      <c r="B9" s="126"/>
      <c r="C9" s="126"/>
      <c r="D9" s="126"/>
      <c r="E9" s="126"/>
      <c r="F9" s="126"/>
      <c r="G9" s="110"/>
    </row>
    <row r="10" spans="1:7" x14ac:dyDescent="0.2">
      <c r="A10" s="76"/>
      <c r="B10" s="126"/>
      <c r="C10" s="126"/>
      <c r="D10" s="126"/>
      <c r="E10" s="126"/>
      <c r="F10" s="126"/>
      <c r="G10" s="110"/>
    </row>
    <row r="11" spans="1:7" x14ac:dyDescent="0.2">
      <c r="A11" s="76"/>
      <c r="B11" s="126"/>
      <c r="C11" s="126"/>
      <c r="D11" s="126"/>
      <c r="E11" s="126"/>
      <c r="F11" s="126"/>
      <c r="G11" s="110"/>
    </row>
    <row r="12" spans="1:7" x14ac:dyDescent="0.2">
      <c r="A12" s="76"/>
      <c r="B12" s="126"/>
      <c r="C12" s="126"/>
      <c r="D12" s="126"/>
      <c r="E12" s="126"/>
      <c r="F12" s="126"/>
      <c r="G12" s="110"/>
    </row>
    <row r="13" spans="1:7" x14ac:dyDescent="0.2">
      <c r="A13" s="76"/>
      <c r="B13" s="126"/>
      <c r="C13" s="126"/>
      <c r="D13" s="126"/>
      <c r="E13" s="126"/>
      <c r="F13" s="126"/>
      <c r="G13" s="110"/>
    </row>
    <row r="14" spans="1:7" x14ac:dyDescent="0.2">
      <c r="A14" s="76"/>
      <c r="B14" s="126"/>
      <c r="C14" s="126"/>
      <c r="D14" s="126"/>
      <c r="E14" s="126"/>
      <c r="F14" s="126"/>
      <c r="G14" s="110"/>
    </row>
    <row r="15" spans="1:7" x14ac:dyDescent="0.2">
      <c r="A15" s="76"/>
      <c r="B15" s="126"/>
      <c r="C15" s="126"/>
      <c r="D15" s="126"/>
      <c r="E15" s="126"/>
      <c r="F15" s="126"/>
      <c r="G15" s="110"/>
    </row>
    <row r="16" spans="1:7" x14ac:dyDescent="0.2">
      <c r="A16" s="76"/>
      <c r="B16" s="126"/>
      <c r="C16" s="126"/>
      <c r="D16" s="126"/>
      <c r="E16" s="126"/>
      <c r="F16" s="126"/>
      <c r="G16" s="110"/>
    </row>
    <row r="17" spans="1:7" x14ac:dyDescent="0.2">
      <c r="A17" s="76"/>
      <c r="B17" s="126"/>
      <c r="C17" s="126"/>
      <c r="D17" s="126"/>
      <c r="E17" s="126"/>
      <c r="F17" s="126"/>
      <c r="G17" s="110"/>
    </row>
    <row r="18" spans="1:7" x14ac:dyDescent="0.2">
      <c r="A18" s="76"/>
      <c r="B18" s="126"/>
      <c r="C18" s="126"/>
      <c r="D18" s="126"/>
      <c r="E18" s="126"/>
      <c r="F18" s="126"/>
      <c r="G18" s="110"/>
    </row>
    <row r="19" spans="1:7" x14ac:dyDescent="0.2">
      <c r="A19" s="76"/>
      <c r="B19" s="126"/>
      <c r="C19" s="126"/>
      <c r="D19" s="126"/>
      <c r="E19" s="126"/>
      <c r="F19" s="126"/>
      <c r="G19" s="110"/>
    </row>
    <row r="20" spans="1:7" x14ac:dyDescent="0.2">
      <c r="A20" s="76"/>
      <c r="B20" s="126"/>
      <c r="C20" s="126"/>
      <c r="D20" s="126"/>
      <c r="E20" s="126"/>
      <c r="F20" s="126"/>
      <c r="G20" s="110"/>
    </row>
    <row r="21" spans="1:7" x14ac:dyDescent="0.2">
      <c r="A21" s="76"/>
      <c r="B21" s="126"/>
      <c r="C21" s="126"/>
      <c r="D21" s="126"/>
      <c r="E21" s="126"/>
      <c r="F21" s="126"/>
      <c r="G21" s="110"/>
    </row>
    <row r="22" spans="1:7" x14ac:dyDescent="0.2">
      <c r="A22" s="76"/>
      <c r="B22" s="126"/>
      <c r="C22" s="126"/>
      <c r="D22" s="126"/>
      <c r="E22" s="126"/>
      <c r="F22" s="126"/>
      <c r="G22" s="110"/>
    </row>
    <row r="23" spans="1:7" x14ac:dyDescent="0.2">
      <c r="A23" s="76"/>
      <c r="B23" s="126"/>
      <c r="C23" s="126"/>
      <c r="D23" s="126"/>
      <c r="E23" s="126"/>
      <c r="F23" s="126"/>
      <c r="G23" s="110"/>
    </row>
    <row r="24" spans="1:7" x14ac:dyDescent="0.2">
      <c r="A24" s="76"/>
      <c r="B24" s="126"/>
      <c r="C24" s="126"/>
      <c r="D24" s="126"/>
      <c r="E24" s="126"/>
      <c r="F24" s="126"/>
      <c r="G24" s="110"/>
    </row>
    <row r="25" spans="1:7" x14ac:dyDescent="0.2">
      <c r="A25" s="76"/>
      <c r="B25" s="126"/>
      <c r="C25" s="126"/>
      <c r="D25" s="126"/>
      <c r="E25" s="126"/>
      <c r="F25" s="126"/>
      <c r="G25" s="110"/>
    </row>
    <row r="26" spans="1:7" x14ac:dyDescent="0.2">
      <c r="A26" s="76"/>
      <c r="B26" s="126"/>
      <c r="C26" s="126"/>
      <c r="D26" s="126"/>
      <c r="E26" s="126"/>
      <c r="F26" s="126"/>
      <c r="G26" s="110"/>
    </row>
    <row r="27" spans="1:7" x14ac:dyDescent="0.2">
      <c r="A27" s="76"/>
      <c r="B27" s="126"/>
      <c r="C27" s="126"/>
      <c r="D27" s="126"/>
      <c r="E27" s="126"/>
      <c r="F27" s="126"/>
      <c r="G27" s="110"/>
    </row>
    <row r="28" spans="1:7" x14ac:dyDescent="0.2">
      <c r="A28" s="76"/>
      <c r="B28" s="127"/>
      <c r="C28" s="126"/>
      <c r="D28" s="126"/>
      <c r="E28" s="127"/>
      <c r="F28" s="127"/>
      <c r="G28" s="110"/>
    </row>
    <row r="29" spans="1:7" x14ac:dyDescent="0.2">
      <c r="A29" s="76"/>
      <c r="B29" s="127"/>
      <c r="C29" s="126"/>
      <c r="D29" s="126"/>
      <c r="E29" s="127"/>
      <c r="F29" s="127"/>
      <c r="G29" s="110"/>
    </row>
    <row r="30" spans="1:7" x14ac:dyDescent="0.2">
      <c r="A30" s="76"/>
      <c r="B30" s="127"/>
      <c r="C30" s="126"/>
      <c r="D30" s="126"/>
      <c r="E30" s="127"/>
      <c r="F30" s="127"/>
      <c r="G30" s="110"/>
    </row>
    <row r="31" spans="1:7" x14ac:dyDescent="0.2">
      <c r="A31" s="76"/>
      <c r="B31" s="127"/>
      <c r="C31" s="126"/>
      <c r="D31" s="126"/>
      <c r="E31" s="127"/>
      <c r="F31" s="127"/>
      <c r="G31" s="110"/>
    </row>
    <row r="32" spans="1:7" x14ac:dyDescent="0.2">
      <c r="A32" s="76"/>
      <c r="B32" s="127"/>
      <c r="C32" s="126"/>
      <c r="D32" s="126"/>
      <c r="E32" s="127"/>
      <c r="F32" s="127"/>
      <c r="G32" s="110"/>
    </row>
    <row r="33" spans="1:7" x14ac:dyDescent="0.2">
      <c r="A33" s="76"/>
      <c r="B33" s="127"/>
      <c r="C33" s="126"/>
      <c r="D33" s="126"/>
      <c r="E33" s="127"/>
      <c r="F33" s="127"/>
      <c r="G33" s="110"/>
    </row>
    <row r="34" spans="1:7" x14ac:dyDescent="0.2">
      <c r="A34" s="76"/>
      <c r="B34" s="127"/>
      <c r="C34" s="126"/>
      <c r="D34" s="126"/>
      <c r="E34" s="127"/>
      <c r="F34" s="127"/>
      <c r="G34" s="110"/>
    </row>
    <row r="35" spans="1:7" x14ac:dyDescent="0.2">
      <c r="A35" s="76"/>
      <c r="B35" s="127"/>
      <c r="C35" s="126"/>
      <c r="D35" s="126"/>
      <c r="E35" s="127"/>
      <c r="F35" s="127"/>
      <c r="G35" s="110"/>
    </row>
    <row r="36" spans="1:7" x14ac:dyDescent="0.2">
      <c r="A36" s="76"/>
      <c r="B36" s="127"/>
      <c r="C36" s="126"/>
      <c r="D36" s="126"/>
      <c r="E36" s="127"/>
      <c r="F36" s="127"/>
      <c r="G36" s="110"/>
    </row>
    <row r="37" spans="1:7" x14ac:dyDescent="0.2">
      <c r="A37" s="76"/>
      <c r="B37" s="127"/>
      <c r="C37" s="126"/>
      <c r="D37" s="126"/>
      <c r="E37" s="127"/>
      <c r="F37" s="127"/>
      <c r="G37" s="110"/>
    </row>
    <row r="38" spans="1:7" ht="16.5" thickBot="1" x14ac:dyDescent="0.25">
      <c r="A38" s="516" t="s">
        <v>15</v>
      </c>
      <c r="B38" s="503"/>
      <c r="C38" s="517" t="s">
        <v>16</v>
      </c>
      <c r="D38" s="515">
        <f>SUM(D9:D37)</f>
        <v>0</v>
      </c>
      <c r="E38" s="515">
        <f>SUM(E9:E37)</f>
        <v>0</v>
      </c>
      <c r="F38" s="515"/>
      <c r="G38" s="515"/>
    </row>
    <row r="39" spans="1:7" ht="16.5" thickTop="1" x14ac:dyDescent="0.2">
      <c r="A39" s="31"/>
      <c r="B39" s="32"/>
      <c r="C39" s="91"/>
      <c r="D39" s="547"/>
      <c r="E39" s="547"/>
      <c r="F39" s="547"/>
      <c r="G39" s="547"/>
    </row>
    <row r="40" spans="1:7" x14ac:dyDescent="0.2">
      <c r="A40" s="63"/>
      <c r="B40" s="63"/>
      <c r="C40" s="509"/>
      <c r="D40" s="547"/>
      <c r="E40" s="628"/>
      <c r="F40" s="628"/>
      <c r="G40" s="628"/>
    </row>
    <row r="41" spans="1:7" x14ac:dyDescent="0.2">
      <c r="A41" s="33" t="s">
        <v>578</v>
      </c>
      <c r="B41" s="120">
        <f>G1-1</f>
        <v>2024</v>
      </c>
      <c r="C41" s="32"/>
      <c r="D41" s="547"/>
      <c r="E41" s="32"/>
      <c r="F41" s="32"/>
      <c r="G41" s="32"/>
    </row>
    <row r="42" spans="1:7" x14ac:dyDescent="0.2">
      <c r="A42" s="40"/>
      <c r="B42" s="32"/>
      <c r="C42" s="509"/>
      <c r="D42" s="547"/>
      <c r="E42" s="628"/>
      <c r="F42" s="628"/>
      <c r="G42" s="628"/>
    </row>
    <row r="43" spans="1:7" x14ac:dyDescent="0.2">
      <c r="A43" s="285"/>
      <c r="B43" s="32"/>
      <c r="C43" s="509"/>
      <c r="D43" s="547"/>
      <c r="E43" s="618"/>
      <c r="F43" s="618"/>
      <c r="G43" s="618"/>
    </row>
    <row r="44" spans="1:7" x14ac:dyDescent="0.2">
      <c r="A44" s="286" t="s">
        <v>19</v>
      </c>
      <c r="B44" s="32"/>
      <c r="C44" s="42"/>
      <c r="D44" s="547"/>
      <c r="E44" s="32"/>
      <c r="F44" s="32"/>
      <c r="G44" s="32"/>
    </row>
    <row r="45" spans="1:7" x14ac:dyDescent="0.2">
      <c r="A45" s="31"/>
      <c r="B45" s="32"/>
      <c r="C45" s="91"/>
      <c r="D45" s="32"/>
      <c r="E45" s="32"/>
      <c r="F45" s="73"/>
      <c r="G45" s="32"/>
    </row>
    <row r="46" spans="1:7" x14ac:dyDescent="0.2">
      <c r="A46" s="31"/>
      <c r="B46" s="32"/>
      <c r="C46" s="73"/>
      <c r="D46" s="32"/>
      <c r="E46" s="32"/>
      <c r="F46" s="32"/>
      <c r="G46" s="32"/>
    </row>
    <row r="47" spans="1:7" x14ac:dyDescent="0.2">
      <c r="A47" s="101" t="s">
        <v>380</v>
      </c>
      <c r="B47" s="408"/>
      <c r="C47" s="448"/>
      <c r="D47" s="408"/>
      <c r="E47" s="408"/>
      <c r="F47" s="408"/>
      <c r="G47" s="102"/>
    </row>
    <row r="48" spans="1:7" x14ac:dyDescent="0.2">
      <c r="A48" s="449"/>
      <c r="B48" s="32"/>
      <c r="C48" s="73"/>
      <c r="D48" s="32"/>
      <c r="E48" s="32"/>
      <c r="F48" s="32"/>
      <c r="G48" s="114"/>
    </row>
    <row r="49" spans="1:7" x14ac:dyDescent="0.2">
      <c r="A49" s="116"/>
      <c r="B49" s="53"/>
      <c r="C49" s="53"/>
      <c r="D49" s="53"/>
      <c r="E49" s="53"/>
      <c r="F49" s="53"/>
      <c r="G49" s="60"/>
    </row>
    <row r="50" spans="1:7" x14ac:dyDescent="0.2">
      <c r="A50" s="129"/>
      <c r="B50" s="72"/>
      <c r="C50" s="72"/>
      <c r="D50" s="72"/>
      <c r="E50" s="72"/>
      <c r="F50" s="72"/>
      <c r="G50" s="72"/>
    </row>
    <row r="51" spans="1:7" x14ac:dyDescent="0.2">
      <c r="A51" s="130"/>
      <c r="B51" s="130"/>
      <c r="C51" s="130"/>
      <c r="D51" s="130"/>
      <c r="E51" s="130"/>
      <c r="F51" s="130"/>
      <c r="G51" s="130"/>
    </row>
    <row r="52" spans="1:7" x14ac:dyDescent="0.2">
      <c r="A52" s="72"/>
      <c r="B52" s="72"/>
      <c r="C52" s="72"/>
      <c r="D52" s="72"/>
      <c r="E52" s="72"/>
      <c r="F52" s="72"/>
      <c r="G52" s="131"/>
    </row>
    <row r="62" spans="1:7" x14ac:dyDescent="0.2">
      <c r="A62" s="72"/>
      <c r="B62" s="72"/>
      <c r="C62" s="72"/>
      <c r="D62" s="72"/>
      <c r="E62" s="72"/>
      <c r="F62" s="72"/>
      <c r="G62" s="72"/>
    </row>
    <row r="66" spans="1:7" x14ac:dyDescent="0.2">
      <c r="A66" s="72"/>
      <c r="B66" s="72"/>
      <c r="C66" s="72"/>
      <c r="D66" s="129"/>
      <c r="E66" s="72"/>
      <c r="F66" s="72"/>
      <c r="G66" s="72"/>
    </row>
  </sheetData>
  <sheetProtection sheet="1"/>
  <mergeCells count="9">
    <mergeCell ref="E42:G42"/>
    <mergeCell ref="E43:G43"/>
    <mergeCell ref="E40:G40"/>
    <mergeCell ref="E6:E7"/>
    <mergeCell ref="A2:G2"/>
    <mergeCell ref="D6:D7"/>
    <mergeCell ref="F6:F7"/>
    <mergeCell ref="G6:G7"/>
    <mergeCell ref="C6:C7"/>
  </mergeCells>
  <phoneticPr fontId="0" type="noConversion"/>
  <pageMargins left="0.5" right="0.5" top="0.72" bottom="0.23" header="0.25" footer="0"/>
  <pageSetup scale="91" orientation="portrait" blackAndWhite="1" horizontalDpi="120" verticalDpi="144" r:id="rId1"/>
  <headerFooter alignWithMargins="0">
    <oddHeader xml:space="preserve">&amp;RState of Kansas
County
</oddHeader>
    <oddFooter>&amp;CPage No. 1a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00B0F0"/>
    <pageSetUpPr fitToPage="1"/>
  </sheetPr>
  <dimension ref="A1:I71"/>
  <sheetViews>
    <sheetView zoomScaleNormal="100" workbookViewId="0">
      <selection activeCell="E1" sqref="E1"/>
    </sheetView>
  </sheetViews>
  <sheetFormatPr defaultRowHeight="15.75" x14ac:dyDescent="0.2"/>
  <cols>
    <col min="1" max="1" width="18.77734375" style="27" customWidth="1"/>
    <col min="2" max="2" width="12.77734375" style="27" customWidth="1"/>
    <col min="3" max="3" width="0.109375" style="27" customWidth="1"/>
    <col min="4" max="4" width="11.88671875" style="27" customWidth="1"/>
    <col min="5" max="5" width="12.109375" style="27" customWidth="1"/>
    <col min="6" max="9" width="11.77734375" style="27" customWidth="1"/>
    <col min="10" max="16384" width="8.88671875" style="27"/>
  </cols>
  <sheetData>
    <row r="1" spans="1:9" x14ac:dyDescent="0.2">
      <c r="A1" s="73">
        <f>inputPrYr!C3</f>
        <v>0</v>
      </c>
      <c r="B1" s="32"/>
      <c r="C1" s="32"/>
      <c r="D1" s="32"/>
      <c r="E1" s="32"/>
      <c r="F1" s="63"/>
      <c r="G1" s="63"/>
      <c r="H1" s="63"/>
      <c r="I1" s="32">
        <f>inputPrYr!C5</f>
        <v>2025</v>
      </c>
    </row>
    <row r="2" spans="1:9" x14ac:dyDescent="0.2">
      <c r="A2" s="32"/>
      <c r="B2" s="32"/>
      <c r="C2" s="32"/>
      <c r="D2" s="32"/>
      <c r="E2" s="32"/>
      <c r="F2" s="63"/>
      <c r="G2" s="63"/>
      <c r="H2" s="63"/>
      <c r="I2" s="74"/>
    </row>
    <row r="3" spans="1:9" x14ac:dyDescent="0.2">
      <c r="A3" s="638" t="s">
        <v>363</v>
      </c>
      <c r="B3" s="638"/>
      <c r="C3" s="638"/>
      <c r="D3" s="638"/>
      <c r="E3" s="638"/>
      <c r="F3" s="638"/>
      <c r="G3" s="638"/>
      <c r="H3" s="638"/>
      <c r="I3" s="638"/>
    </row>
    <row r="4" spans="1:9" x14ac:dyDescent="0.2">
      <c r="A4" s="29"/>
      <c r="B4" s="29"/>
      <c r="C4" s="29"/>
      <c r="D4" s="29"/>
      <c r="E4" s="29"/>
      <c r="F4" s="29"/>
      <c r="G4" s="29"/>
      <c r="H4" s="29"/>
      <c r="I4" s="74"/>
    </row>
    <row r="5" spans="1:9" x14ac:dyDescent="0.2">
      <c r="A5" s="90"/>
      <c r="B5" s="37"/>
      <c r="C5" s="37"/>
      <c r="D5" s="37"/>
      <c r="E5" s="37"/>
      <c r="F5" s="32"/>
      <c r="G5" s="32"/>
      <c r="H5" s="32"/>
      <c r="I5" s="32"/>
    </row>
    <row r="6" spans="1:9" ht="21.75" customHeight="1" x14ac:dyDescent="0.2">
      <c r="A6" s="134"/>
      <c r="B6" s="616" t="str">
        <f>CONCATENATE("Ad Valorem Levy Tax Year ",I1-2,"")</f>
        <v>Ad Valorem Levy Tax Year 2023</v>
      </c>
      <c r="C6" s="633"/>
      <c r="D6" s="634" t="str">
        <f>CONCATENATE("Allocation for Year ",I1,"")</f>
        <v>Allocation for Year 2025</v>
      </c>
      <c r="E6" s="635"/>
      <c r="F6" s="635"/>
      <c r="G6" s="636"/>
      <c r="H6" s="637"/>
      <c r="I6" s="74"/>
    </row>
    <row r="7" spans="1:9" ht="23.25" customHeight="1" x14ac:dyDescent="0.2">
      <c r="A7" s="100" t="str">
        <f>CONCATENATE("",I1-1," Budgeted Funds")</f>
        <v>2024 Budgeted Funds</v>
      </c>
      <c r="B7" s="601"/>
      <c r="C7" s="601"/>
      <c r="D7" s="97" t="s">
        <v>26</v>
      </c>
      <c r="E7" s="97" t="s">
        <v>141</v>
      </c>
      <c r="F7" s="97" t="s">
        <v>147</v>
      </c>
      <c r="G7" s="440" t="s">
        <v>364</v>
      </c>
      <c r="H7" s="440" t="s">
        <v>365</v>
      </c>
      <c r="I7" s="74"/>
    </row>
    <row r="8" spans="1:9" ht="16.5" customHeight="1" x14ac:dyDescent="0.2">
      <c r="A8" s="64" t="str">
        <f>(inputPrYr!B17)</f>
        <v>General</v>
      </c>
      <c r="B8" s="103" t="str">
        <f>IF(inputPrYr!E17&gt;0,inputPrYr!E17,"  ")</f>
        <v xml:space="preserve">  </v>
      </c>
      <c r="C8" s="135" t="str">
        <f>IF(inputPrYr!F17&gt;0,(inputPrYr!F17),"  ")</f>
        <v xml:space="preserve">  </v>
      </c>
      <c r="D8" s="103">
        <f>IF(inputOth!$E$17=0,0,D35-SUM(D9:D32))</f>
        <v>0</v>
      </c>
      <c r="E8" s="103">
        <f>IF(inputOth!$E$18=0,0,E37-SUM(E9:E32))</f>
        <v>0</v>
      </c>
      <c r="F8" s="103">
        <f>IF(inputOth!$E$19=0,0,F39-SUM(F9:F32))</f>
        <v>0</v>
      </c>
      <c r="G8" s="103">
        <f>IF(inputOth!$E$20=0,0,G41-SUM(G9:G32))</f>
        <v>0</v>
      </c>
      <c r="H8" s="103">
        <f>IF(inputOth!$E$21=0,0,H43-SUM(H9:H32))</f>
        <v>0</v>
      </c>
      <c r="I8" s="74"/>
    </row>
    <row r="9" spans="1:9" x14ac:dyDescent="0.2">
      <c r="A9" s="64" t="str">
        <f>(inputPrYr!B18)</f>
        <v>Debt Service</v>
      </c>
      <c r="B9" s="103" t="str">
        <f>IF(inputPrYr!E18&gt;0,inputPrYr!E18,"  ")</f>
        <v xml:space="preserve">  </v>
      </c>
      <c r="C9" s="135" t="str">
        <f>IF(inputPrYr!F18&gt;0,(inputPrYr!F18),"  ")</f>
        <v xml:space="preserve">  </v>
      </c>
      <c r="D9" s="103" t="str">
        <f>IF(inputPrYr!$E$18&gt;0,ROUND(+B9*D$46,0)," ")</f>
        <v xml:space="preserve"> </v>
      </c>
      <c r="E9" s="103" t="str">
        <f>IF(inputPrYr!$E$18&gt;0,ROUND(+B9*E$48,0)," ")</f>
        <v xml:space="preserve"> </v>
      </c>
      <c r="F9" s="103" t="str">
        <f>IF(inputPrYr!$E$18&gt;0,ROUND(+B9*F$50,0)," ")</f>
        <v xml:space="preserve"> </v>
      </c>
      <c r="G9" s="103" t="str">
        <f>IF(inputPrYr!$E$18&gt;0,ROUND(B9*G$52,0)," ")</f>
        <v xml:space="preserve"> </v>
      </c>
      <c r="H9" s="103" t="str">
        <f>IF(inputPrYr!$E$18&gt;0,ROUND(B9*H$54,0)," ")</f>
        <v xml:space="preserve"> </v>
      </c>
      <c r="I9" s="74"/>
    </row>
    <row r="10" spans="1:9" x14ac:dyDescent="0.2">
      <c r="A10" s="64" t="str">
        <f>(inputPrYr!B19)</f>
        <v>Road &amp; Bridge</v>
      </c>
      <c r="B10" s="103" t="str">
        <f>IF(inputPrYr!E19&gt;0,inputPrYr!E19,"  ")</f>
        <v xml:space="preserve">  </v>
      </c>
      <c r="C10" s="135" t="str">
        <f>IF(inputPrYr!F19&gt;0,(inputPrYr!F19),"  ")</f>
        <v xml:space="preserve">  </v>
      </c>
      <c r="D10" s="103" t="str">
        <f>IF(inputPrYr!$E$19&gt;0,ROUND(+B10*D$46,0)," ")</f>
        <v xml:space="preserve"> </v>
      </c>
      <c r="E10" s="103" t="str">
        <f>IF(inputPrYr!$E$19&gt;0,ROUND(+B10*E$48,0)," ")</f>
        <v xml:space="preserve"> </v>
      </c>
      <c r="F10" s="103" t="str">
        <f>IF(inputPrYr!$E$19&gt;0,ROUND(+B10*F$50,0)," ")</f>
        <v xml:space="preserve"> </v>
      </c>
      <c r="G10" s="103" t="str">
        <f>IF(inputPrYr!$E$19&gt;0,ROUND(B10*G$52,0)," ")</f>
        <v xml:space="preserve"> </v>
      </c>
      <c r="H10" s="103" t="str">
        <f>IF(inputPrYr!$E$19&gt;0,ROUND(B10*H$54,0)," ")</f>
        <v xml:space="preserve"> </v>
      </c>
      <c r="I10" s="74"/>
    </row>
    <row r="11" spans="1:9" x14ac:dyDescent="0.2">
      <c r="A11" s="64" t="str">
        <f>IF((inputPrYr!$B20&gt;" "),(inputPrYr!$B20),"  ")</f>
        <v xml:space="preserve">  </v>
      </c>
      <c r="B11" s="103" t="str">
        <f>IF(inputPrYr!E20&gt;0,inputPrYr!E20,"  ")</f>
        <v xml:space="preserve">  </v>
      </c>
      <c r="C11" s="135" t="str">
        <f>IF(inputPrYr!F20&gt;0,(inputPrYr!F20),"  ")</f>
        <v xml:space="preserve">  </v>
      </c>
      <c r="D11" s="103" t="str">
        <f>IF(inputPrYr!$E$20&gt;0,ROUND(+B11*D$46,0)," ")</f>
        <v xml:space="preserve"> </v>
      </c>
      <c r="E11" s="103" t="str">
        <f>IF(inputPrYr!$E$20&gt;0,ROUND(+B11*E$48,0)," ")</f>
        <v xml:space="preserve"> </v>
      </c>
      <c r="F11" s="103" t="str">
        <f>IF(inputPrYr!$E$20&gt;0,ROUND(+B11*F$50,0)," ")</f>
        <v xml:space="preserve"> </v>
      </c>
      <c r="G11" s="103" t="str">
        <f>IF(inputPrYr!$E$20&gt;0,ROUND(B11*G$52,0)," ")</f>
        <v xml:space="preserve"> </v>
      </c>
      <c r="H11" s="103" t="str">
        <f>IF(inputPrYr!$E$20&gt;0,ROUND(B11*H$54,0)," ")</f>
        <v xml:space="preserve"> </v>
      </c>
      <c r="I11" s="74"/>
    </row>
    <row r="12" spans="1:9" x14ac:dyDescent="0.2">
      <c r="A12" s="64" t="str">
        <f>IF((inputPrYr!$B21&gt;" "),(inputPrYr!$B21),"  ")</f>
        <v xml:space="preserve">  </v>
      </c>
      <c r="B12" s="103" t="str">
        <f>IF(inputPrYr!E21&gt;0,inputPrYr!E21,"  ")</f>
        <v xml:space="preserve">  </v>
      </c>
      <c r="C12" s="135" t="str">
        <f>IF(inputPrYr!F21&gt;0,(inputPrYr!F21),"  ")</f>
        <v xml:space="preserve">  </v>
      </c>
      <c r="D12" s="103" t="str">
        <f>IF(inputPrYr!E21&gt;0,ROUND(+B12*D$46,0)," ")</f>
        <v xml:space="preserve"> </v>
      </c>
      <c r="E12" s="103" t="str">
        <f>IF(inputPrYr!$E$21&gt;0,ROUND(+B12*E$48,0)," ")</f>
        <v xml:space="preserve"> </v>
      </c>
      <c r="F12" s="103" t="str">
        <f>IF(inputPrYr!$E$21&gt;0,ROUND(+B12*F$50,0)," ")</f>
        <v xml:space="preserve"> </v>
      </c>
      <c r="G12" s="103" t="str">
        <f>IF(inputPrYr!$E$21&gt;0,ROUND(B12*G$52,0)," ")</f>
        <v xml:space="preserve"> </v>
      </c>
      <c r="H12" s="103" t="str">
        <f>IF(inputPrYr!$E$21&gt;0,ROUND(B12*H$54,0)," ")</f>
        <v xml:space="preserve"> </v>
      </c>
      <c r="I12" s="74"/>
    </row>
    <row r="13" spans="1:9" x14ac:dyDescent="0.2">
      <c r="A13" s="64" t="str">
        <f>IF((inputPrYr!$B22&gt;" "),(inputPrYr!$B22),"  ")</f>
        <v xml:space="preserve">  </v>
      </c>
      <c r="B13" s="103" t="str">
        <f>IF(inputPrYr!E22&gt;0, inputPrYr!E22,"  ")</f>
        <v xml:space="preserve">  </v>
      </c>
      <c r="C13" s="135" t="str">
        <f>IF(inputPrYr!F22&gt;0,(inputPrYr!F22),"  ")</f>
        <v xml:space="preserve">  </v>
      </c>
      <c r="D13" s="103" t="str">
        <f>IF(inputPrYr!E22&gt;0,ROUND(+B13*D$46,0),"  ")</f>
        <v xml:space="preserve">  </v>
      </c>
      <c r="E13" s="103" t="str">
        <f>IF(inputPrYr!E22&gt;0,ROUND(+B13*E$48,0),"  ")</f>
        <v xml:space="preserve">  </v>
      </c>
      <c r="F13" s="103" t="str">
        <f>IF(inputPrYr!E22&gt;0,ROUND(+B13*F$50,0),"  ")</f>
        <v xml:space="preserve">  </v>
      </c>
      <c r="G13" s="103" t="str">
        <f>IF(inputPrYr!$E$22&gt;0,ROUND(B13*G$52,0)," ")</f>
        <v xml:space="preserve"> </v>
      </c>
      <c r="H13" s="103" t="str">
        <f>IF(inputPrYr!$E$22&gt;0,ROUND(B13*H$54,0)," ")</f>
        <v xml:space="preserve"> </v>
      </c>
      <c r="I13" s="74"/>
    </row>
    <row r="14" spans="1:9" x14ac:dyDescent="0.2">
      <c r="A14" s="64" t="str">
        <f>IF((inputPrYr!$B23&gt;" "),(inputPrYr!$B23),"  ")</f>
        <v xml:space="preserve">  </v>
      </c>
      <c r="B14" s="103" t="str">
        <f>IF(inputPrYr!E23&gt;0,inputPrYr!E23,"  ")</f>
        <v xml:space="preserve">  </v>
      </c>
      <c r="C14" s="135" t="str">
        <f>IF(inputPrYr!F23&gt;0,(inputPrYr!F23),"  ")</f>
        <v xml:space="preserve">  </v>
      </c>
      <c r="D14" s="103" t="str">
        <f>IF(inputPrYr!E23&gt;0,ROUND(+B14*D$46,0),"  ")</f>
        <v xml:space="preserve">  </v>
      </c>
      <c r="E14" s="103" t="str">
        <f>IF(inputPrYr!E23&gt;0,ROUND(+B14*E$48,0),"  ")</f>
        <v xml:space="preserve">  </v>
      </c>
      <c r="F14" s="103" t="str">
        <f>IF(inputPrYr!E23&gt;0,ROUND(+B14*F$50,0),"  ")</f>
        <v xml:space="preserve">  </v>
      </c>
      <c r="G14" s="103" t="str">
        <f>IF(inputPrYr!$E$23&gt;0,ROUND(B14*G$52,0)," ")</f>
        <v xml:space="preserve"> </v>
      </c>
      <c r="H14" s="103" t="str">
        <f>IF(inputPrYr!$E$23&gt;0,ROUND(B14*H$54,0)," ")</f>
        <v xml:space="preserve"> </v>
      </c>
      <c r="I14" s="74"/>
    </row>
    <row r="15" spans="1:9" x14ac:dyDescent="0.2">
      <c r="A15" s="64" t="str">
        <f>IF((inputPrYr!$B24&gt;" "),(inputPrYr!$B24),"  ")</f>
        <v xml:space="preserve">  </v>
      </c>
      <c r="B15" s="103" t="str">
        <f>IF(inputPrYr!E24&gt;0,inputPrYr!E24,"  ")</f>
        <v xml:space="preserve">  </v>
      </c>
      <c r="C15" s="135" t="str">
        <f>IF(inputPrYr!F24&gt;0,(inputPrYr!F24),"  ")</f>
        <v xml:space="preserve">  </v>
      </c>
      <c r="D15" s="103" t="str">
        <f>IF(inputPrYr!E24&gt;0,ROUND(+B15*D$46,0),"  ")</f>
        <v xml:space="preserve">  </v>
      </c>
      <c r="E15" s="103" t="str">
        <f>IF(inputPrYr!E24&gt;0,ROUND(+B15*E$48,0),"  ")</f>
        <v xml:space="preserve">  </v>
      </c>
      <c r="F15" s="103" t="str">
        <f>IF(inputPrYr!E24&gt;0,ROUND(+B15*F$50,0),"  ")</f>
        <v xml:space="preserve">  </v>
      </c>
      <c r="G15" s="103" t="str">
        <f>IF(inputPrYr!$E$24&gt;0,ROUND(B15*G$52,0)," ")</f>
        <v xml:space="preserve"> </v>
      </c>
      <c r="H15" s="103" t="str">
        <f>IF(inputPrYr!$E$24&gt;0,ROUND(B15*H$54,0)," ")</f>
        <v xml:space="preserve"> </v>
      </c>
      <c r="I15" s="74"/>
    </row>
    <row r="16" spans="1:9" x14ac:dyDescent="0.2">
      <c r="A16" s="64" t="str">
        <f>IF((inputPrYr!$B25&gt;" "),(inputPrYr!$B25),"  ")</f>
        <v xml:space="preserve">  </v>
      </c>
      <c r="B16" s="103" t="str">
        <f>IF(inputPrYr!E25&gt;0,inputPrYr!E25,"  ")</f>
        <v xml:space="preserve">  </v>
      </c>
      <c r="C16" s="135" t="str">
        <f>IF(inputPrYr!F25&gt;0,(inputPrYr!F25),"  ")</f>
        <v xml:space="preserve">  </v>
      </c>
      <c r="D16" s="103" t="str">
        <f>IF(inputPrYr!E25&gt;0,ROUND(B16*D$46,0),"  ")</f>
        <v xml:space="preserve">  </v>
      </c>
      <c r="E16" s="103" t="str">
        <f>IF(inputPrYr!E25&gt;0,ROUND(+B16*E$48,0),"  ")</f>
        <v xml:space="preserve">  </v>
      </c>
      <c r="F16" s="103" t="str">
        <f>IF(inputPrYr!E25&gt;0,ROUND(+B16*F$50,0),"  ")</f>
        <v xml:space="preserve">  </v>
      </c>
      <c r="G16" s="103" t="str">
        <f>IF(inputPrYr!$E$25&gt;0,ROUND(B16*G$52,0)," ")</f>
        <v xml:space="preserve"> </v>
      </c>
      <c r="H16" s="103" t="str">
        <f>IF(inputPrYr!$E$25&gt;0,ROUND(B16*H$54,0)," ")</f>
        <v xml:space="preserve"> </v>
      </c>
      <c r="I16" s="74"/>
    </row>
    <row r="17" spans="1:9" x14ac:dyDescent="0.2">
      <c r="A17" s="64" t="str">
        <f>IF((inputPrYr!$B26&gt;" "),(inputPrYr!$B26),"  ")</f>
        <v xml:space="preserve">  </v>
      </c>
      <c r="B17" s="103" t="str">
        <f>IF(inputPrYr!E26&gt;0,inputPrYr!E26,"  ")</f>
        <v xml:space="preserve">  </v>
      </c>
      <c r="C17" s="135" t="str">
        <f>IF(inputPrYr!F26&gt;0,(inputPrYr!F26),"  ")</f>
        <v xml:space="preserve">  </v>
      </c>
      <c r="D17" s="103" t="str">
        <f>IF(inputPrYr!E26&gt;0,ROUND(+B17*D$46,0),"  ")</f>
        <v xml:space="preserve">  </v>
      </c>
      <c r="E17" s="103" t="str">
        <f>IF(inputPrYr!E26&gt;0,ROUND(+B17*E$48,0),"  ")</f>
        <v xml:space="preserve">  </v>
      </c>
      <c r="F17" s="103" t="str">
        <f>IF(inputPrYr!E26&gt;0,ROUND(+B17*F$50,0),"  ")</f>
        <v xml:space="preserve">  </v>
      </c>
      <c r="G17" s="103" t="str">
        <f>IF(inputPrYr!$E$26&gt;0,ROUND(B17*G$52,0)," ")</f>
        <v xml:space="preserve"> </v>
      </c>
      <c r="H17" s="103" t="str">
        <f>IF(inputPrYr!$E$26&gt;0,ROUND(B17*H$54,0)," ")</f>
        <v xml:space="preserve"> </v>
      </c>
      <c r="I17" s="74"/>
    </row>
    <row r="18" spans="1:9" x14ac:dyDescent="0.2">
      <c r="A18" s="64" t="str">
        <f>IF((inputPrYr!$B27&gt;" "),(inputPrYr!$B27),"  ")</f>
        <v xml:space="preserve">  </v>
      </c>
      <c r="B18" s="103" t="str">
        <f>IF(inputPrYr!E27&gt;0,inputPrYr!E27,"  ")</f>
        <v xml:space="preserve">  </v>
      </c>
      <c r="C18" s="135" t="str">
        <f>IF(inputPrYr!F27&gt;0,(inputPrYr!F27),"  ")</f>
        <v xml:space="preserve">  </v>
      </c>
      <c r="D18" s="103" t="str">
        <f>IF(inputPrYr!E27&gt;0,ROUND(+B18*D$46,0),"  ")</f>
        <v xml:space="preserve">  </v>
      </c>
      <c r="E18" s="103" t="str">
        <f>IF(inputPrYr!E27&gt;0,ROUND(+B18*E$48,0),"  ")</f>
        <v xml:space="preserve">  </v>
      </c>
      <c r="F18" s="103" t="str">
        <f>IF(inputPrYr!E27&gt;0,ROUND(+B18*F$50,0),"  ")</f>
        <v xml:space="preserve">  </v>
      </c>
      <c r="G18" s="103" t="str">
        <f>IF(inputPrYr!$E$27&gt;0,ROUND(B18*G$52,0)," ")</f>
        <v xml:space="preserve"> </v>
      </c>
      <c r="H18" s="103" t="str">
        <f>IF(inputPrYr!$E$27&gt;0,ROUND(B18*H$54,0)," ")</f>
        <v xml:space="preserve"> </v>
      </c>
      <c r="I18" s="74"/>
    </row>
    <row r="19" spans="1:9" x14ac:dyDescent="0.2">
      <c r="A19" s="64" t="str">
        <f>IF((inputPrYr!$B28&gt;" "),(inputPrYr!$B28),"  ")</f>
        <v xml:space="preserve">  </v>
      </c>
      <c r="B19" s="103" t="str">
        <f>IF(inputPrYr!E28&gt;0,inputPrYr!E28,"  ")</f>
        <v xml:space="preserve">  </v>
      </c>
      <c r="C19" s="135" t="str">
        <f>IF(inputPrYr!F28&gt;0,(inputPrYr!F28),"  ")</f>
        <v xml:space="preserve">  </v>
      </c>
      <c r="D19" s="103" t="str">
        <f>IF(inputPrYr!E28&gt;0,ROUND(+B19*D$46,0),"  ")</f>
        <v xml:space="preserve">  </v>
      </c>
      <c r="E19" s="103" t="str">
        <f>IF(inputPrYr!E28&gt;0,ROUND(+B19*E$48,0),"  ")</f>
        <v xml:space="preserve">  </v>
      </c>
      <c r="F19" s="103" t="str">
        <f>IF(inputPrYr!E28&gt;0,ROUND(+B19*F$50,0),"  ")</f>
        <v xml:space="preserve">  </v>
      </c>
      <c r="G19" s="103" t="str">
        <f>IF(inputPrYr!$E$28&gt;0,ROUND(B19*G$52,0)," ")</f>
        <v xml:space="preserve"> </v>
      </c>
      <c r="H19" s="103" t="str">
        <f>IF(inputPrYr!$E$28&gt;0,ROUND(B19*H$54,0)," ")</f>
        <v xml:space="preserve"> </v>
      </c>
      <c r="I19" s="74"/>
    </row>
    <row r="20" spans="1:9" x14ac:dyDescent="0.2">
      <c r="A20" s="64" t="str">
        <f>IF((inputPrYr!$B29&gt;" "),(inputPrYr!$B29),"  ")</f>
        <v xml:space="preserve">  </v>
      </c>
      <c r="B20" s="103" t="str">
        <f>IF(inputPrYr!E29&gt;0,inputPrYr!E29,"  ")</f>
        <v xml:space="preserve">  </v>
      </c>
      <c r="C20" s="135" t="str">
        <f>IF(inputPrYr!F29&gt;0,(inputPrYr!F29),"  ")</f>
        <v xml:space="preserve">  </v>
      </c>
      <c r="D20" s="103" t="str">
        <f>IF(inputPrYr!E29&gt;0,ROUND(+B20*D$46,0),"  ")</f>
        <v xml:space="preserve">  </v>
      </c>
      <c r="E20" s="103" t="str">
        <f>IF(inputPrYr!E29&gt;0,ROUND(+B20*E$48,0),"  ")</f>
        <v xml:space="preserve">  </v>
      </c>
      <c r="F20" s="103" t="str">
        <f>IF(inputPrYr!E29&gt;0,ROUND(+B20*F$50,0),"  ")</f>
        <v xml:space="preserve">  </v>
      </c>
      <c r="G20" s="103" t="str">
        <f>IF(inputPrYr!$E$29&gt;0,ROUND(B20*G$52,0)," ")</f>
        <v xml:space="preserve"> </v>
      </c>
      <c r="H20" s="103" t="str">
        <f>IF(inputPrYr!$E$29&gt;0,ROUND(B20*H$54,0)," ")</f>
        <v xml:space="preserve"> </v>
      </c>
      <c r="I20" s="74"/>
    </row>
    <row r="21" spans="1:9" x14ac:dyDescent="0.2">
      <c r="A21" s="64" t="str">
        <f>IF((inputPrYr!$B30&gt;" "),(inputPrYr!$B30),"  ")</f>
        <v xml:space="preserve">  </v>
      </c>
      <c r="B21" s="103" t="str">
        <f>IF(inputPrYr!E30&gt;0,inputPrYr!E30,"  ")</f>
        <v xml:space="preserve">  </v>
      </c>
      <c r="C21" s="135" t="str">
        <f>IF(inputPrYr!F30&gt;0,(inputPrYr!F30),"  ")</f>
        <v xml:space="preserve">  </v>
      </c>
      <c r="D21" s="103" t="str">
        <f>IF(inputPrYr!E30&gt;0,ROUND(+B21*D$46,0),"  ")</f>
        <v xml:space="preserve">  </v>
      </c>
      <c r="E21" s="103" t="str">
        <f>IF(inputPrYr!E30&gt;0,ROUND(+B21*E$48,0),"  ")</f>
        <v xml:space="preserve">  </v>
      </c>
      <c r="F21" s="103" t="str">
        <f>IF(inputPrYr!E30&gt;0,ROUND(+B21*F$50,0),"  ")</f>
        <v xml:space="preserve">  </v>
      </c>
      <c r="G21" s="103" t="str">
        <f>IF(inputPrYr!$E$30&gt;0,ROUND(B21*G$52,0)," ")</f>
        <v xml:space="preserve"> </v>
      </c>
      <c r="H21" s="103" t="str">
        <f>IF(inputPrYr!$E$30&gt;0,ROUND(B21*H$54,0)," ")</f>
        <v xml:space="preserve"> </v>
      </c>
      <c r="I21" s="74"/>
    </row>
    <row r="22" spans="1:9" x14ac:dyDescent="0.2">
      <c r="A22" s="64" t="str">
        <f>IF((inputPrYr!$B31&gt;" "),(inputPrYr!$B31),"  ")</f>
        <v xml:space="preserve">  </v>
      </c>
      <c r="B22" s="103" t="str">
        <f>IF(inputPrYr!E31&gt;0,inputPrYr!E31,"  ")</f>
        <v xml:space="preserve">  </v>
      </c>
      <c r="C22" s="135" t="str">
        <f>IF(inputPrYr!F31&gt;0,(inputPrYr!F31),"  ")</f>
        <v xml:space="preserve">  </v>
      </c>
      <c r="D22" s="103" t="str">
        <f>IF(inputPrYr!E31&gt;0,ROUND(+B22*D$46,0),"  ")</f>
        <v xml:space="preserve">  </v>
      </c>
      <c r="E22" s="103" t="str">
        <f>IF(inputPrYr!E31&gt;0,ROUND(+B22*E$48,0),"  ")</f>
        <v xml:space="preserve">  </v>
      </c>
      <c r="F22" s="103" t="str">
        <f>IF(inputPrYr!E31&gt;0,ROUND(+B22*F$50,0),"  ")</f>
        <v xml:space="preserve">  </v>
      </c>
      <c r="G22" s="103" t="str">
        <f>IF(inputPrYr!$E$31&gt;0,ROUND(B22*G$52,0)," ")</f>
        <v xml:space="preserve"> </v>
      </c>
      <c r="H22" s="103" t="str">
        <f>IF(inputPrYr!$E$31&gt;0,ROUND(B22*H$54,0)," ")</f>
        <v xml:space="preserve"> </v>
      </c>
      <c r="I22" s="74"/>
    </row>
    <row r="23" spans="1:9" x14ac:dyDescent="0.2">
      <c r="A23" s="64" t="str">
        <f>IF((inputPrYr!$B32&gt;" "),(inputPrYr!$B32),"  ")</f>
        <v xml:space="preserve">  </v>
      </c>
      <c r="B23" s="103" t="str">
        <f>IF(inputPrYr!E32&gt;0,inputPrYr!E32,"  ")</f>
        <v xml:space="preserve">  </v>
      </c>
      <c r="C23" s="135" t="str">
        <f>IF(inputPrYr!F32&gt;0,(inputPrYr!F32),"  ")</f>
        <v xml:space="preserve">  </v>
      </c>
      <c r="D23" s="103" t="str">
        <f>IF(inputPrYr!E32&gt;0,ROUND(+B23*D$46,0),"  ")</f>
        <v xml:space="preserve">  </v>
      </c>
      <c r="E23" s="103" t="str">
        <f>IF(inputPrYr!E32&gt;0,ROUND(B23*E$48,0),"  ")</f>
        <v xml:space="preserve">  </v>
      </c>
      <c r="F23" s="103" t="str">
        <f>IF(inputPrYr!E32&gt;0,ROUND(+B23*F$50,0),"  ")</f>
        <v xml:space="preserve">  </v>
      </c>
      <c r="G23" s="103" t="str">
        <f>IF(inputPrYr!$E$32&gt;0,ROUND(B23*G$52,0)," ")</f>
        <v xml:space="preserve"> </v>
      </c>
      <c r="H23" s="103" t="str">
        <f>IF(inputPrYr!$E$32&gt;0,ROUND(B23*H$54,0)," ")</f>
        <v xml:space="preserve"> </v>
      </c>
      <c r="I23" s="74"/>
    </row>
    <row r="24" spans="1:9" x14ac:dyDescent="0.2">
      <c r="A24" s="64" t="str">
        <f>IF((inputPrYr!$B33&gt;" "),(inputPrYr!$B33),"  ")</f>
        <v xml:space="preserve">  </v>
      </c>
      <c r="B24" s="103" t="str">
        <f>IF(inputPrYr!E33&gt;0,inputPrYr!E33,"  ")</f>
        <v xml:space="preserve">  </v>
      </c>
      <c r="C24" s="135" t="str">
        <f>IF(inputPrYr!F33&gt;0,(inputPrYr!F33),"  ")</f>
        <v xml:space="preserve">  </v>
      </c>
      <c r="D24" s="103" t="str">
        <f>IF(inputPrYr!E33&gt;0,ROUND(+B24*D$46,0),"  ")</f>
        <v xml:space="preserve">  </v>
      </c>
      <c r="E24" s="103" t="str">
        <f>IF(inputPrYr!E33&gt;0,ROUND(+B24*E$48,0),"  ")</f>
        <v xml:space="preserve">  </v>
      </c>
      <c r="F24" s="103" t="str">
        <f>IF(inputPrYr!E33&gt;0,ROUND(+B24*F$50,0),"  ")</f>
        <v xml:space="preserve">  </v>
      </c>
      <c r="G24" s="103" t="str">
        <f>IF(inputPrYr!$E$33&gt;0,ROUND(B24*G$52,0)," ")</f>
        <v xml:space="preserve"> </v>
      </c>
      <c r="H24" s="103" t="str">
        <f>IF(inputPrYr!$E$33&gt;0,ROUND(B24*H$54,0)," ")</f>
        <v xml:space="preserve"> </v>
      </c>
      <c r="I24" s="74"/>
    </row>
    <row r="25" spans="1:9" x14ac:dyDescent="0.2">
      <c r="A25" s="64" t="str">
        <f>IF((inputPrYr!$B34&gt;" "),(inputPrYr!$B34),"  ")</f>
        <v xml:space="preserve">  </v>
      </c>
      <c r="B25" s="103" t="str">
        <f>IF(inputPrYr!E34&gt;0,inputPrYr!E34,"  ")</f>
        <v xml:space="preserve">  </v>
      </c>
      <c r="C25" s="135" t="str">
        <f>IF(inputPrYr!F34&gt;0,(inputPrYr!F34),"  ")</f>
        <v xml:space="preserve">  </v>
      </c>
      <c r="D25" s="103" t="str">
        <f>IF(inputPrYr!E34&gt;0,ROUND(+B25*D$46,0),"  ")</f>
        <v xml:space="preserve">  </v>
      </c>
      <c r="E25" s="103" t="str">
        <f>IF(inputPrYr!E34&gt;0,ROUND(+B25*E$48,0),"  ")</f>
        <v xml:space="preserve">  </v>
      </c>
      <c r="F25" s="103" t="str">
        <f>IF(inputPrYr!E34&gt;0,ROUND(+B25*F$50,0),"  ")</f>
        <v xml:space="preserve">  </v>
      </c>
      <c r="G25" s="103" t="str">
        <f>IF(inputPrYr!$E$34&gt;0,ROUND(B25*G$52,0)," ")</f>
        <v xml:space="preserve"> </v>
      </c>
      <c r="H25" s="103" t="str">
        <f>IF(inputPrYr!$E$34&gt;0,ROUND(B25*H$54,0)," ")</f>
        <v xml:space="preserve"> </v>
      </c>
      <c r="I25" s="74"/>
    </row>
    <row r="26" spans="1:9" x14ac:dyDescent="0.2">
      <c r="A26" s="64" t="str">
        <f>IF((inputPrYr!$B35&gt;" "),(inputPrYr!$B35),"  ")</f>
        <v xml:space="preserve">  </v>
      </c>
      <c r="B26" s="103" t="str">
        <f>IF(inputPrYr!E35&gt;0,inputPrYr!E35,"  ")</f>
        <v xml:space="preserve">  </v>
      </c>
      <c r="C26" s="135" t="str">
        <f>IF(inputPrYr!F35&gt;0,(inputPrYr!F35),"  ")</f>
        <v xml:space="preserve">  </v>
      </c>
      <c r="D26" s="103" t="str">
        <f>IF(inputPrYr!E35&gt;0,ROUND(+B26*D$46,0),"  ")</f>
        <v xml:space="preserve">  </v>
      </c>
      <c r="E26" s="103" t="str">
        <f>IF(inputPrYr!E35&gt;0,ROUND(+B26*E$48,0),"  ")</f>
        <v xml:space="preserve">  </v>
      </c>
      <c r="F26" s="103" t="str">
        <f>IF(inputPrYr!E35&gt;0,ROUND(+B26*F$50,0),"  ")</f>
        <v xml:space="preserve">  </v>
      </c>
      <c r="G26" s="103" t="str">
        <f>IF(inputPrYr!$E$35&gt;0,ROUND(B26*G$52,0)," ")</f>
        <v xml:space="preserve"> </v>
      </c>
      <c r="H26" s="103" t="str">
        <f>IF(inputPrYr!$E$35&gt;0,ROUND(B26*H$54,0)," ")</f>
        <v xml:space="preserve"> </v>
      </c>
      <c r="I26" s="74"/>
    </row>
    <row r="27" spans="1:9" x14ac:dyDescent="0.2">
      <c r="A27" s="64" t="str">
        <f>IF((inputPrYr!$B36&gt;" "),(inputPrYr!$B36),"  ")</f>
        <v xml:space="preserve">  </v>
      </c>
      <c r="B27" s="103" t="str">
        <f>IF(inputPrYr!E36&gt;0,inputPrYr!E36,"  ")</f>
        <v xml:space="preserve">  </v>
      </c>
      <c r="C27" s="135" t="str">
        <f>IF(inputPrYr!F36&gt;0,(inputPrYr!F36),"  ")</f>
        <v xml:space="preserve">  </v>
      </c>
      <c r="D27" s="103" t="str">
        <f>IF(inputPrYr!E36&gt;0,ROUND(+B27*D$46,0),"  ")</f>
        <v xml:space="preserve">  </v>
      </c>
      <c r="E27" s="103" t="str">
        <f>IF(inputPrYr!E36&gt;0,ROUND(+B27*E$48,0),"  ")</f>
        <v xml:space="preserve">  </v>
      </c>
      <c r="F27" s="103" t="str">
        <f>IF(inputPrYr!E36&gt;0,ROUND(+B27*F$50,0),"  ")</f>
        <v xml:space="preserve">  </v>
      </c>
      <c r="G27" s="103" t="str">
        <f>IF(inputPrYr!$E$36&gt;0,ROUND(B27*G$52,0)," ")</f>
        <v xml:space="preserve"> </v>
      </c>
      <c r="H27" s="103" t="str">
        <f>IF(inputPrYr!$E$36&gt;0,ROUND(B27*H$54,0)," ")</f>
        <v xml:space="preserve"> </v>
      </c>
      <c r="I27" s="74"/>
    </row>
    <row r="28" spans="1:9" x14ac:dyDescent="0.2">
      <c r="A28" s="64" t="str">
        <f>IF((inputPrYr!$B37&gt;" "),(inputPrYr!$B37),"  ")</f>
        <v xml:space="preserve">  </v>
      </c>
      <c r="B28" s="103" t="str">
        <f>IF(inputPrYr!E37&gt;0,inputPrYr!E37,"  ")</f>
        <v xml:space="preserve">  </v>
      </c>
      <c r="C28" s="135" t="str">
        <f>IF(inputPrYr!F37&gt;0,(inputPrYr!F37),"  ")</f>
        <v xml:space="preserve">  </v>
      </c>
      <c r="D28" s="103" t="str">
        <f>IF(inputPrYr!E37&gt;0,ROUND(+B28*D$46,0),"  ")</f>
        <v xml:space="preserve">  </v>
      </c>
      <c r="E28" s="103" t="str">
        <f>IF(inputPrYr!E37&gt;0,ROUND(+B28*E$48,0),"  ")</f>
        <v xml:space="preserve">  </v>
      </c>
      <c r="F28" s="103" t="str">
        <f>IF(inputPrYr!E37&gt;0,ROUND(+B28*F$50,0),"  ")</f>
        <v xml:space="preserve">  </v>
      </c>
      <c r="G28" s="103" t="str">
        <f>IF(inputPrYr!$E$37&gt;0,ROUND(B28*G$52,0)," ")</f>
        <v xml:space="preserve"> </v>
      </c>
      <c r="H28" s="103" t="str">
        <f>IF(inputPrYr!$E$37&gt;0,ROUND(B28*H$54,0)," ")</f>
        <v xml:space="preserve"> </v>
      </c>
      <c r="I28" s="74"/>
    </row>
    <row r="29" spans="1:9" x14ac:dyDescent="0.2">
      <c r="A29" s="64" t="str">
        <f>IF((inputPrYr!$B38&gt;" "),(inputPrYr!$B38),"  ")</f>
        <v xml:space="preserve">  </v>
      </c>
      <c r="B29" s="103" t="str">
        <f>IF(inputPrYr!E38&gt;0,inputPrYr!E38,"  ")</f>
        <v xml:space="preserve">  </v>
      </c>
      <c r="C29" s="135" t="str">
        <f>IF(inputPrYr!F38&gt;0,(inputPrYr!F38),"  ")</f>
        <v xml:space="preserve">  </v>
      </c>
      <c r="D29" s="103" t="str">
        <f>IF(inputPrYr!E38&gt;0,ROUND(+B29*D$46,0),"  ")</f>
        <v xml:space="preserve">  </v>
      </c>
      <c r="E29" s="103" t="str">
        <f>IF(inputPrYr!E38&gt;0,ROUND(+B29*E$48,0),"  ")</f>
        <v xml:space="preserve">  </v>
      </c>
      <c r="F29" s="103" t="str">
        <f>IF(inputPrYr!E38&gt;0,ROUND(+B29*F$50,0),"  ")</f>
        <v xml:space="preserve">  </v>
      </c>
      <c r="G29" s="103" t="str">
        <f>IF(inputPrYr!$E$38&gt;0,ROUND(B29*G$52,0)," ")</f>
        <v xml:space="preserve"> </v>
      </c>
      <c r="H29" s="103" t="str">
        <f>IF(inputPrYr!$E$38&gt;0,ROUND(B29*H$54,0)," ")</f>
        <v xml:space="preserve"> </v>
      </c>
      <c r="I29" s="74"/>
    </row>
    <row r="30" spans="1:9" x14ac:dyDescent="0.2">
      <c r="A30" s="64" t="str">
        <f>IF((inputPrYr!$B39&gt;" "),(inputPrYr!$B39),"  ")</f>
        <v xml:space="preserve">  </v>
      </c>
      <c r="B30" s="103" t="str">
        <f>IF(inputPrYr!E39&gt;0,inputPrYr!E39,"  ")</f>
        <v xml:space="preserve">  </v>
      </c>
      <c r="C30" s="135" t="str">
        <f>IF(inputPrYr!F39&gt;0,(inputPrYr!F39),"  ")</f>
        <v xml:space="preserve">  </v>
      </c>
      <c r="D30" s="103" t="str">
        <f>IF(inputPrYr!E39&gt;0,ROUND(+B30*D$46,0),"  ")</f>
        <v xml:space="preserve">  </v>
      </c>
      <c r="E30" s="103" t="str">
        <f>IF(inputPrYr!E39&gt;0,ROUND(+B30*E$48,0),"  ")</f>
        <v xml:space="preserve">  </v>
      </c>
      <c r="F30" s="103" t="str">
        <f>IF(inputPrYr!E39&gt;0,ROUND(+B30*F$50,0),"  ")</f>
        <v xml:space="preserve">  </v>
      </c>
      <c r="G30" s="103" t="str">
        <f>IF(inputPrYr!$E$39&gt;0,ROUND(B30*G$52,0)," ")</f>
        <v xml:space="preserve"> </v>
      </c>
      <c r="H30" s="103" t="str">
        <f>IF(inputPrYr!$E$39&gt;0,ROUND(B30*H$54,0)," ")</f>
        <v xml:space="preserve"> </v>
      </c>
      <c r="I30" s="74"/>
    </row>
    <row r="31" spans="1:9" x14ac:dyDescent="0.2">
      <c r="A31" s="64" t="str">
        <f>IF((inputPrYr!$B40&gt;" "),(inputPrYr!$B40),"  ")</f>
        <v xml:space="preserve">  </v>
      </c>
      <c r="B31" s="103" t="str">
        <f>IF(inputPrYr!E40&gt;0,inputPrYr!E40,"  ")</f>
        <v xml:space="preserve">  </v>
      </c>
      <c r="C31" s="135" t="str">
        <f>IF(inputPrYr!F40&gt;0,(inputPrYr!F40),"  ")</f>
        <v xml:space="preserve">  </v>
      </c>
      <c r="D31" s="103" t="str">
        <f>IF(inputPrYr!E40&gt;0,ROUND(+B31*D$46,0),"  ")</f>
        <v xml:space="preserve">  </v>
      </c>
      <c r="E31" s="103" t="str">
        <f>IF(inputPrYr!E40&gt;0,ROUND(+B31*E$48,0),"  ")</f>
        <v xml:space="preserve">  </v>
      </c>
      <c r="F31" s="103" t="str">
        <f>IF(inputPrYr!E40&gt;0,ROUND(+B31*F$50,0),"  ")</f>
        <v xml:space="preserve">  </v>
      </c>
      <c r="G31" s="103" t="str">
        <f>IF(inputPrYr!$E$40&gt;0,ROUND(B31*G$52,0)," ")</f>
        <v xml:space="preserve"> </v>
      </c>
      <c r="H31" s="103" t="str">
        <f>IF(inputPrYr!$E$40&gt;0,ROUND(B31*H$54,0)," ")</f>
        <v xml:space="preserve"> </v>
      </c>
      <c r="I31" s="74"/>
    </row>
    <row r="32" spans="1:9" x14ac:dyDescent="0.2">
      <c r="A32" s="64" t="str">
        <f>IF((inputPrYr!$B41&gt;" "),(inputPrYr!$B41),"  ")</f>
        <v xml:space="preserve">  </v>
      </c>
      <c r="B32" s="103" t="str">
        <f>IF(inputPrYr!E41&gt;0,inputPrYr!E41,"  ")</f>
        <v xml:space="preserve">  </v>
      </c>
      <c r="C32" s="135" t="str">
        <f>IF(inputPrYr!F41&gt;0,(inputPrYr!F41),"  ")</f>
        <v xml:space="preserve">  </v>
      </c>
      <c r="D32" s="103" t="str">
        <f>IF(inputPrYr!E41&gt;0,ROUND(+B32*D$46,0),"  ")</f>
        <v xml:space="preserve">  </v>
      </c>
      <c r="E32" s="103" t="str">
        <f>IF(inputPrYr!E41&gt;0,ROUND(+B32*E$48,0),"  ")</f>
        <v xml:space="preserve">  </v>
      </c>
      <c r="F32" s="103" t="str">
        <f>IF(inputPrYr!E41&gt;0,ROUND(+B32*F$50,0),"  ")</f>
        <v xml:space="preserve">  </v>
      </c>
      <c r="G32" s="103" t="str">
        <f>IF(inputPrYr!$E$41&gt;0,ROUND(B32*G$52,0)," ")</f>
        <v xml:space="preserve"> </v>
      </c>
      <c r="H32" s="103" t="str">
        <f>IF(inputPrYr!$E$41&gt;0,ROUND(B32*H$54,0)," ")</f>
        <v xml:space="preserve"> </v>
      </c>
      <c r="I32" s="74"/>
    </row>
    <row r="33" spans="1:9" ht="21.75" customHeight="1" thickBot="1" x14ac:dyDescent="0.25">
      <c r="A33" s="44" t="s">
        <v>23</v>
      </c>
      <c r="B33" s="518">
        <f t="shared" ref="B33:H33" si="0">SUM(B8:B32)</f>
        <v>0</v>
      </c>
      <c r="C33" s="136">
        <f t="shared" si="0"/>
        <v>0</v>
      </c>
      <c r="D33" s="518">
        <f t="shared" si="0"/>
        <v>0</v>
      </c>
      <c r="E33" s="518">
        <f t="shared" si="0"/>
        <v>0</v>
      </c>
      <c r="F33" s="518">
        <f t="shared" si="0"/>
        <v>0</v>
      </c>
      <c r="G33" s="518">
        <f t="shared" si="0"/>
        <v>0</v>
      </c>
      <c r="H33" s="518">
        <f t="shared" si="0"/>
        <v>0</v>
      </c>
      <c r="I33" s="74"/>
    </row>
    <row r="34" spans="1:9" ht="16.5" thickTop="1" x14ac:dyDescent="0.2">
      <c r="A34" s="32"/>
      <c r="B34" s="40"/>
      <c r="C34" s="40"/>
      <c r="D34" s="40"/>
      <c r="E34" s="40"/>
      <c r="F34" s="40"/>
      <c r="G34" s="40"/>
      <c r="H34" s="40"/>
      <c r="I34" s="40"/>
    </row>
    <row r="35" spans="1:9" ht="16.5" customHeight="1" x14ac:dyDescent="0.2">
      <c r="A35" s="31" t="s">
        <v>24</v>
      </c>
      <c r="B35" s="137"/>
      <c r="C35" s="137"/>
      <c r="D35" s="138">
        <f>(inputOth!E17)</f>
        <v>0</v>
      </c>
      <c r="E35" s="137"/>
      <c r="F35" s="40"/>
      <c r="G35" s="40"/>
      <c r="H35" s="40"/>
      <c r="I35" s="40"/>
    </row>
    <row r="36" spans="1:9" ht="16.5" customHeight="1" x14ac:dyDescent="0.2">
      <c r="A36" s="31"/>
      <c r="B36" s="137"/>
      <c r="C36" s="137"/>
      <c r="D36" s="42"/>
      <c r="E36" s="137"/>
      <c r="F36" s="40"/>
      <c r="G36" s="40"/>
      <c r="H36" s="40"/>
      <c r="I36" s="40"/>
    </row>
    <row r="37" spans="1:9" ht="16.5" customHeight="1" x14ac:dyDescent="0.2">
      <c r="A37" s="441" t="s">
        <v>366</v>
      </c>
      <c r="B37" s="40"/>
      <c r="C37" s="40"/>
      <c r="D37" s="40"/>
      <c r="E37" s="138">
        <f>(inputOth!E18)</f>
        <v>0</v>
      </c>
      <c r="F37" s="40"/>
      <c r="G37" s="40"/>
      <c r="H37" s="40"/>
      <c r="I37" s="40"/>
    </row>
    <row r="38" spans="1:9" ht="16.5" customHeight="1" x14ac:dyDescent="0.2">
      <c r="A38" s="31"/>
      <c r="B38" s="40"/>
      <c r="C38" s="40"/>
      <c r="D38" s="40"/>
      <c r="E38" s="42"/>
      <c r="F38" s="40"/>
      <c r="G38" s="40"/>
      <c r="H38" s="40"/>
      <c r="I38" s="40"/>
    </row>
    <row r="39" spans="1:9" ht="16.5" customHeight="1" x14ac:dyDescent="0.2">
      <c r="A39" s="441" t="s">
        <v>367</v>
      </c>
      <c r="B39" s="40"/>
      <c r="C39" s="40"/>
      <c r="D39" s="40"/>
      <c r="E39" s="40"/>
      <c r="F39" s="138">
        <f>inputOth!E19</f>
        <v>0</v>
      </c>
      <c r="G39" s="42"/>
      <c r="H39" s="42"/>
      <c r="I39" s="40"/>
    </row>
    <row r="40" spans="1:9" ht="16.5" customHeight="1" x14ac:dyDescent="0.2">
      <c r="A40" s="31"/>
      <c r="B40" s="40"/>
      <c r="C40" s="40"/>
      <c r="D40" s="40"/>
      <c r="E40" s="40"/>
      <c r="F40" s="42"/>
      <c r="G40" s="42"/>
      <c r="H40" s="42"/>
      <c r="I40" s="40"/>
    </row>
    <row r="41" spans="1:9" ht="16.5" customHeight="1" x14ac:dyDescent="0.2">
      <c r="A41" s="442" t="s">
        <v>368</v>
      </c>
      <c r="B41" s="40"/>
      <c r="C41" s="40"/>
      <c r="D41" s="40"/>
      <c r="E41" s="40"/>
      <c r="F41" s="42"/>
      <c r="G41" s="138">
        <f>inputOth!E20</f>
        <v>0</v>
      </c>
      <c r="H41" s="42"/>
      <c r="I41" s="40"/>
    </row>
    <row r="42" spans="1:9" ht="16.5" customHeight="1" x14ac:dyDescent="0.2">
      <c r="A42" s="31"/>
      <c r="B42" s="40"/>
      <c r="C42" s="40"/>
      <c r="D42" s="40"/>
      <c r="E42" s="40"/>
      <c r="F42" s="42"/>
      <c r="G42" s="42"/>
      <c r="H42" s="42"/>
      <c r="I42" s="40"/>
    </row>
    <row r="43" spans="1:9" ht="16.5" customHeight="1" x14ac:dyDescent="0.2">
      <c r="A43" s="442" t="s">
        <v>369</v>
      </c>
      <c r="B43" s="40"/>
      <c r="C43" s="40"/>
      <c r="D43" s="40"/>
      <c r="E43" s="40"/>
      <c r="F43" s="42"/>
      <c r="G43" s="42"/>
      <c r="H43" s="138">
        <f>inputOth!E21</f>
        <v>0</v>
      </c>
      <c r="I43" s="40"/>
    </row>
    <row r="44" spans="1:9" ht="16.5" customHeight="1" x14ac:dyDescent="0.2">
      <c r="A44" s="32"/>
      <c r="B44" s="40"/>
      <c r="C44" s="40"/>
      <c r="D44" s="40"/>
      <c r="E44" s="40"/>
      <c r="F44" s="40"/>
      <c r="G44" s="40"/>
      <c r="H44" s="40"/>
      <c r="I44" s="40"/>
    </row>
    <row r="45" spans="1:9" ht="16.5" customHeight="1" x14ac:dyDescent="0.2">
      <c r="A45" s="358"/>
      <c r="B45" s="432"/>
      <c r="C45" s="432"/>
      <c r="D45" s="432"/>
      <c r="E45" s="432"/>
      <c r="F45" s="432"/>
      <c r="G45" s="432"/>
      <c r="H45" s="432"/>
      <c r="I45" s="432"/>
    </row>
    <row r="46" spans="1:9" ht="16.5" customHeight="1" x14ac:dyDescent="0.2">
      <c r="A46" s="433" t="s">
        <v>25</v>
      </c>
      <c r="B46" s="432"/>
      <c r="C46" s="432"/>
      <c r="D46" s="434">
        <f>IF(B33=0,0,D35/B33)</f>
        <v>0</v>
      </c>
      <c r="E46" s="432"/>
      <c r="F46" s="432"/>
      <c r="G46" s="432"/>
      <c r="H46" s="432"/>
      <c r="I46" s="432"/>
    </row>
    <row r="47" spans="1:9" ht="16.5" customHeight="1" x14ac:dyDescent="0.2">
      <c r="A47" s="433"/>
      <c r="B47" s="432"/>
      <c r="C47" s="432"/>
      <c r="D47" s="435"/>
      <c r="E47" s="432"/>
      <c r="F47" s="432"/>
      <c r="G47" s="432"/>
      <c r="H47" s="432"/>
      <c r="I47" s="432"/>
    </row>
    <row r="48" spans="1:9" ht="16.5" customHeight="1" x14ac:dyDescent="0.2">
      <c r="A48" s="433" t="s">
        <v>161</v>
      </c>
      <c r="B48" s="432"/>
      <c r="C48" s="432"/>
      <c r="D48" s="432"/>
      <c r="E48" s="434">
        <f>IF(B33=0,0,E37/B33)</f>
        <v>0</v>
      </c>
      <c r="F48" s="432"/>
      <c r="G48" s="432"/>
      <c r="H48" s="432"/>
      <c r="I48" s="432"/>
    </row>
    <row r="49" spans="1:9" ht="16.5" customHeight="1" x14ac:dyDescent="0.2">
      <c r="A49" s="433"/>
      <c r="B49" s="432"/>
      <c r="C49" s="432"/>
      <c r="D49" s="432"/>
      <c r="E49" s="435"/>
      <c r="F49" s="432"/>
      <c r="G49" s="432"/>
      <c r="H49" s="432"/>
      <c r="I49" s="432"/>
    </row>
    <row r="50" spans="1:9" ht="16.5" customHeight="1" x14ac:dyDescent="0.2">
      <c r="A50" s="433" t="s">
        <v>160</v>
      </c>
      <c r="B50" s="432"/>
      <c r="C50" s="432"/>
      <c r="D50" s="432"/>
      <c r="E50" s="432"/>
      <c r="F50" s="434">
        <f>IF(B33=0,0,F39/B33)</f>
        <v>0</v>
      </c>
      <c r="G50" s="435"/>
      <c r="H50" s="435"/>
      <c r="I50" s="432"/>
    </row>
    <row r="51" spans="1:9" ht="16.5" customHeight="1" x14ac:dyDescent="0.2">
      <c r="A51" s="433"/>
      <c r="B51" s="432"/>
      <c r="C51" s="432"/>
      <c r="D51" s="432"/>
      <c r="E51" s="432"/>
      <c r="F51" s="435"/>
      <c r="G51" s="435"/>
      <c r="H51" s="435"/>
      <c r="I51" s="432"/>
    </row>
    <row r="52" spans="1:9" ht="16.5" customHeight="1" x14ac:dyDescent="0.2">
      <c r="A52" s="433"/>
      <c r="B52" s="432"/>
      <c r="C52" s="432"/>
      <c r="D52" s="432"/>
      <c r="E52" s="443" t="s">
        <v>370</v>
      </c>
      <c r="F52" s="435"/>
      <c r="G52" s="434">
        <f>IF(B33=0,0,G41/B33)</f>
        <v>0</v>
      </c>
      <c r="H52" s="435"/>
      <c r="I52" s="432"/>
    </row>
    <row r="53" spans="1:9" ht="16.5" customHeight="1" x14ac:dyDescent="0.2">
      <c r="A53" s="433"/>
      <c r="B53" s="432"/>
      <c r="C53" s="432"/>
      <c r="D53" s="432"/>
      <c r="E53" s="432"/>
      <c r="F53" s="435"/>
      <c r="G53" s="435"/>
      <c r="H53" s="435"/>
      <c r="I53" s="432"/>
    </row>
    <row r="54" spans="1:9" ht="16.5" customHeight="1" x14ac:dyDescent="0.2">
      <c r="A54" s="433"/>
      <c r="B54" s="432"/>
      <c r="C54" s="432"/>
      <c r="D54" s="432"/>
      <c r="E54" s="432"/>
      <c r="F54" s="443" t="s">
        <v>371</v>
      </c>
      <c r="G54" s="435"/>
      <c r="H54" s="434">
        <f>IF(B33=0,0,H43/B33)</f>
        <v>0</v>
      </c>
      <c r="I54" s="432"/>
    </row>
    <row r="55" spans="1:9" s="72" customFormat="1" ht="16.5" customHeight="1" x14ac:dyDescent="0.2">
      <c r="A55" s="436"/>
      <c r="B55" s="437"/>
      <c r="C55" s="437"/>
      <c r="D55" s="437"/>
      <c r="E55" s="437"/>
      <c r="F55" s="437"/>
      <c r="G55" s="437"/>
      <c r="H55" s="437"/>
      <c r="I55" s="437"/>
    </row>
    <row r="56" spans="1:9" s="72" customFormat="1" ht="16.5" customHeight="1" x14ac:dyDescent="0.2">
      <c r="A56" s="436"/>
      <c r="B56" s="437"/>
      <c r="C56" s="437"/>
      <c r="D56" s="437"/>
      <c r="E56" s="437"/>
      <c r="F56" s="437"/>
      <c r="G56" s="437"/>
      <c r="H56" s="437"/>
      <c r="I56" s="437"/>
    </row>
    <row r="57" spans="1:9" s="130" customFormat="1" ht="16.5" customHeight="1" x14ac:dyDescent="0.2">
      <c r="A57" s="436"/>
      <c r="B57" s="437"/>
      <c r="C57" s="437"/>
      <c r="D57" s="437"/>
      <c r="E57" s="437"/>
      <c r="F57" s="437"/>
      <c r="G57" s="437"/>
      <c r="H57" s="437"/>
      <c r="I57" s="437"/>
    </row>
    <row r="58" spans="1:9" s="72" customFormat="1" ht="15" customHeight="1" x14ac:dyDescent="0.2">
      <c r="A58" s="23"/>
      <c r="B58" s="23"/>
      <c r="C58" s="23"/>
      <c r="D58" s="23"/>
      <c r="E58" s="23"/>
      <c r="F58" s="23"/>
      <c r="G58" s="23"/>
      <c r="H58" s="23"/>
      <c r="I58" s="23"/>
    </row>
    <row r="59" spans="1:9" s="72" customFormat="1" ht="15" customHeight="1" x14ac:dyDescent="0.2">
      <c r="A59" s="23"/>
      <c r="B59" s="23"/>
      <c r="C59" s="23"/>
      <c r="D59" s="23"/>
      <c r="E59" s="23"/>
      <c r="F59" s="23"/>
      <c r="G59" s="23"/>
      <c r="H59" s="23"/>
      <c r="I59" s="23"/>
    </row>
    <row r="60" spans="1:9" s="72" customFormat="1" ht="15" customHeight="1" x14ac:dyDescent="0.2">
      <c r="A60" s="23"/>
      <c r="B60" s="23"/>
      <c r="C60" s="23"/>
      <c r="D60" s="23"/>
      <c r="E60" s="23"/>
      <c r="F60" s="23"/>
      <c r="G60" s="23"/>
      <c r="H60" s="23"/>
      <c r="I60" s="23"/>
    </row>
    <row r="61" spans="1:9" s="72" customFormat="1" ht="15" customHeight="1" x14ac:dyDescent="0.2">
      <c r="A61" s="23"/>
      <c r="B61" s="23"/>
      <c r="C61" s="23"/>
      <c r="D61" s="23"/>
      <c r="E61" s="23"/>
      <c r="F61" s="23"/>
      <c r="G61" s="23"/>
      <c r="H61" s="23"/>
      <c r="I61" s="23"/>
    </row>
    <row r="62" spans="1:9" s="72" customFormat="1" ht="15" customHeight="1" x14ac:dyDescent="0.2">
      <c r="A62" s="23"/>
      <c r="B62" s="23"/>
      <c r="C62" s="23"/>
      <c r="D62" s="23"/>
      <c r="E62" s="23"/>
      <c r="F62" s="23"/>
      <c r="G62" s="23"/>
      <c r="H62" s="23"/>
      <c r="I62" s="23"/>
    </row>
    <row r="63" spans="1:9" s="72" customFormat="1" ht="15" customHeight="1" x14ac:dyDescent="0.2">
      <c r="A63" s="23"/>
      <c r="B63" s="23"/>
      <c r="C63" s="23"/>
      <c r="D63" s="23"/>
      <c r="E63" s="23"/>
      <c r="F63" s="23"/>
      <c r="G63" s="23"/>
      <c r="H63" s="23"/>
      <c r="I63" s="23"/>
    </row>
    <row r="64" spans="1:9" s="72" customFormat="1" ht="15" customHeight="1" x14ac:dyDescent="0.2">
      <c r="A64" s="23"/>
      <c r="B64" s="23"/>
      <c r="C64" s="23"/>
      <c r="D64" s="23"/>
      <c r="E64" s="23"/>
      <c r="F64" s="23"/>
      <c r="G64" s="23"/>
      <c r="H64" s="23"/>
      <c r="I64" s="23"/>
    </row>
    <row r="65" spans="1:9" s="72" customFormat="1" ht="15" customHeight="1" x14ac:dyDescent="0.2">
      <c r="A65" s="23"/>
      <c r="B65" s="23"/>
      <c r="C65" s="23"/>
      <c r="D65" s="23"/>
      <c r="E65" s="23"/>
      <c r="F65" s="23"/>
      <c r="G65" s="23"/>
      <c r="H65" s="23"/>
      <c r="I65" s="23"/>
    </row>
    <row r="66" spans="1:9" s="72" customFormat="1" ht="15" customHeight="1" x14ac:dyDescent="0.2">
      <c r="A66" s="23"/>
      <c r="B66" s="23"/>
      <c r="C66" s="23"/>
      <c r="D66" s="23"/>
      <c r="E66" s="23"/>
      <c r="F66" s="23"/>
      <c r="G66" s="23"/>
      <c r="H66" s="23"/>
      <c r="I66" s="23"/>
    </row>
    <row r="67" spans="1:9" s="72" customFormat="1" ht="15" customHeight="1" x14ac:dyDescent="0.2">
      <c r="A67" s="23"/>
      <c r="B67" s="23"/>
      <c r="C67" s="23"/>
      <c r="D67" s="23"/>
      <c r="E67" s="23"/>
      <c r="F67" s="23"/>
      <c r="G67" s="23"/>
      <c r="H67" s="23"/>
      <c r="I67" s="23"/>
    </row>
    <row r="68" spans="1:9" s="72" customFormat="1" ht="15" customHeight="1" x14ac:dyDescent="0.2">
      <c r="A68" s="23"/>
      <c r="B68" s="23"/>
      <c r="C68" s="23"/>
      <c r="D68" s="23"/>
      <c r="E68" s="23"/>
      <c r="F68" s="23"/>
      <c r="G68" s="23"/>
      <c r="H68" s="23"/>
      <c r="I68" s="23"/>
    </row>
    <row r="69" spans="1:9" s="72" customFormat="1" ht="15" customHeight="1" x14ac:dyDescent="0.2">
      <c r="A69" s="23"/>
      <c r="B69" s="23"/>
      <c r="C69" s="23"/>
      <c r="D69" s="23"/>
      <c r="E69" s="23"/>
      <c r="F69" s="23"/>
      <c r="G69" s="23"/>
      <c r="H69" s="23"/>
      <c r="I69" s="23"/>
    </row>
    <row r="70" spans="1:9" s="72" customFormat="1" ht="15" customHeight="1" x14ac:dyDescent="0.2">
      <c r="A70" s="23"/>
      <c r="B70" s="23"/>
      <c r="C70" s="23"/>
      <c r="D70" s="23"/>
      <c r="E70" s="23"/>
      <c r="F70" s="23"/>
      <c r="G70" s="23"/>
      <c r="H70" s="23"/>
      <c r="I70" s="23"/>
    </row>
    <row r="71" spans="1:9" s="72" customFormat="1" ht="15" customHeight="1" x14ac:dyDescent="0.2">
      <c r="A71" s="23"/>
      <c r="B71" s="23"/>
      <c r="C71" s="23"/>
      <c r="D71" s="23"/>
      <c r="E71" s="23"/>
      <c r="F71" s="23"/>
      <c r="G71" s="23"/>
      <c r="H71" s="23"/>
      <c r="I71" s="23"/>
    </row>
  </sheetData>
  <sheetProtection sheet="1"/>
  <mergeCells count="4">
    <mergeCell ref="B6:B7"/>
    <mergeCell ref="C6:C7"/>
    <mergeCell ref="D6:H6"/>
    <mergeCell ref="A3:I3"/>
  </mergeCells>
  <phoneticPr fontId="0" type="noConversion"/>
  <pageMargins left="0.25" right="0.25" top="0.75" bottom="0.75" header="0.3" footer="0.3"/>
  <pageSetup scale="74" orientation="portrait" blackAndWhite="1" horizontalDpi="120" verticalDpi="144" r:id="rId1"/>
  <headerFooter alignWithMargins="0">
    <oddHeader xml:space="preserve">&amp;RState of Kansas
County
</oddHeader>
    <oddFooter>&amp;CPage No. 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00B0F0"/>
    <pageSetUpPr fitToPage="1"/>
  </sheetPr>
  <dimension ref="A1:F31"/>
  <sheetViews>
    <sheetView workbookViewId="0">
      <selection activeCell="E1" sqref="E1"/>
    </sheetView>
  </sheetViews>
  <sheetFormatPr defaultRowHeight="15.75" x14ac:dyDescent="0.2"/>
  <cols>
    <col min="1" max="2" width="17.77734375" style="72" customWidth="1"/>
    <col min="3" max="5" width="12.77734375" style="72" customWidth="1"/>
    <col min="6" max="6" width="13.5546875" style="72" customWidth="1"/>
    <col min="7" max="16384" width="8.88671875" style="72"/>
  </cols>
  <sheetData>
    <row r="1" spans="1:6" x14ac:dyDescent="0.2">
      <c r="A1" s="73">
        <f>inputPrYr!C3</f>
        <v>0</v>
      </c>
      <c r="B1" s="32"/>
      <c r="C1" s="32"/>
      <c r="D1" s="32"/>
      <c r="E1" s="63"/>
      <c r="F1" s="32">
        <f>inputPrYr!C5</f>
        <v>2025</v>
      </c>
    </row>
    <row r="2" spans="1:6" x14ac:dyDescent="0.2">
      <c r="A2" s="73"/>
      <c r="B2" s="73"/>
      <c r="C2" s="32"/>
      <c r="D2" s="32"/>
      <c r="E2" s="63"/>
      <c r="F2" s="32"/>
    </row>
    <row r="3" spans="1:6" x14ac:dyDescent="0.2">
      <c r="A3" s="73"/>
      <c r="B3" s="32"/>
      <c r="C3" s="32"/>
      <c r="D3" s="32"/>
      <c r="E3" s="63"/>
      <c r="F3" s="32"/>
    </row>
    <row r="4" spans="1:6" ht="15" customHeight="1" x14ac:dyDescent="0.2">
      <c r="A4" s="639" t="s">
        <v>152</v>
      </c>
      <c r="B4" s="639"/>
      <c r="C4" s="639"/>
      <c r="D4" s="639"/>
      <c r="E4" s="639"/>
      <c r="F4" s="639"/>
    </row>
    <row r="5" spans="1:6" ht="14.25" customHeight="1" x14ac:dyDescent="0.2">
      <c r="A5" s="132"/>
      <c r="B5" s="141"/>
      <c r="C5" s="141"/>
      <c r="D5" s="141"/>
      <c r="E5" s="141"/>
      <c r="F5" s="141"/>
    </row>
    <row r="6" spans="1:6" ht="15" customHeight="1" x14ac:dyDescent="0.2">
      <c r="A6" s="142" t="s">
        <v>306</v>
      </c>
      <c r="B6" s="142" t="s">
        <v>307</v>
      </c>
      <c r="C6" s="143" t="s">
        <v>97</v>
      </c>
      <c r="D6" s="143" t="s">
        <v>157</v>
      </c>
      <c r="E6" s="142" t="s">
        <v>158</v>
      </c>
      <c r="F6" s="142" t="s">
        <v>171</v>
      </c>
    </row>
    <row r="7" spans="1:6" ht="15" customHeight="1" x14ac:dyDescent="0.2">
      <c r="A7" s="144" t="s">
        <v>308</v>
      </c>
      <c r="B7" s="144" t="s">
        <v>309</v>
      </c>
      <c r="C7" s="145" t="s">
        <v>170</v>
      </c>
      <c r="D7" s="145" t="s">
        <v>170</v>
      </c>
      <c r="E7" s="145" t="s">
        <v>170</v>
      </c>
      <c r="F7" s="145" t="s">
        <v>159</v>
      </c>
    </row>
    <row r="8" spans="1:6" s="130" customFormat="1" ht="15" customHeight="1" thickBot="1" x14ac:dyDescent="0.25">
      <c r="A8" s="146" t="s">
        <v>168</v>
      </c>
      <c r="B8" s="147" t="s">
        <v>169</v>
      </c>
      <c r="C8" s="147">
        <f>F1-2</f>
        <v>2023</v>
      </c>
      <c r="D8" s="147">
        <f>F1-1</f>
        <v>2024</v>
      </c>
      <c r="E8" s="147">
        <f>F1</f>
        <v>2025</v>
      </c>
      <c r="F8" s="147" t="s">
        <v>0</v>
      </c>
    </row>
    <row r="9" spans="1:6" ht="15" customHeight="1" thickTop="1" x14ac:dyDescent="0.2">
      <c r="A9" s="148"/>
      <c r="B9" s="148"/>
      <c r="C9" s="149"/>
      <c r="D9" s="149"/>
      <c r="E9" s="149"/>
      <c r="F9" s="148"/>
    </row>
    <row r="10" spans="1:6" ht="15" customHeight="1" x14ac:dyDescent="0.2">
      <c r="A10" s="48"/>
      <c r="B10" s="48"/>
      <c r="C10" s="150"/>
      <c r="D10" s="150"/>
      <c r="E10" s="150"/>
      <c r="F10" s="148"/>
    </row>
    <row r="11" spans="1:6" ht="15" customHeight="1" x14ac:dyDescent="0.2">
      <c r="A11" s="48"/>
      <c r="B11" s="48"/>
      <c r="C11" s="150"/>
      <c r="D11" s="150"/>
      <c r="E11" s="150"/>
      <c r="F11" s="148"/>
    </row>
    <row r="12" spans="1:6" ht="15" customHeight="1" x14ac:dyDescent="0.2">
      <c r="A12" s="48"/>
      <c r="B12" s="48"/>
      <c r="C12" s="150"/>
      <c r="D12" s="150"/>
      <c r="E12" s="150"/>
      <c r="F12" s="148"/>
    </row>
    <row r="13" spans="1:6" ht="15" customHeight="1" x14ac:dyDescent="0.2">
      <c r="A13" s="48"/>
      <c r="B13" s="48"/>
      <c r="C13" s="150"/>
      <c r="D13" s="150"/>
      <c r="E13" s="150"/>
      <c r="F13" s="148"/>
    </row>
    <row r="14" spans="1:6" ht="15" customHeight="1" x14ac:dyDescent="0.2">
      <c r="A14" s="48"/>
      <c r="B14" s="48"/>
      <c r="C14" s="150"/>
      <c r="D14" s="150"/>
      <c r="E14" s="150"/>
      <c r="F14" s="148"/>
    </row>
    <row r="15" spans="1:6" ht="15" customHeight="1" x14ac:dyDescent="0.2">
      <c r="A15" s="48"/>
      <c r="B15" s="48"/>
      <c r="C15" s="150"/>
      <c r="D15" s="150"/>
      <c r="E15" s="150"/>
      <c r="F15" s="148"/>
    </row>
    <row r="16" spans="1:6" ht="15" customHeight="1" x14ac:dyDescent="0.2">
      <c r="A16" s="48"/>
      <c r="B16" s="48"/>
      <c r="C16" s="150"/>
      <c r="D16" s="150"/>
      <c r="E16" s="150"/>
      <c r="F16" s="148"/>
    </row>
    <row r="17" spans="1:6" ht="15" customHeight="1" x14ac:dyDescent="0.2">
      <c r="A17" s="48"/>
      <c r="B17" s="48"/>
      <c r="C17" s="150"/>
      <c r="D17" s="150"/>
      <c r="E17" s="150"/>
      <c r="F17" s="148"/>
    </row>
    <row r="18" spans="1:6" ht="15" customHeight="1" x14ac:dyDescent="0.2">
      <c r="A18" s="48"/>
      <c r="B18" s="48"/>
      <c r="C18" s="150"/>
      <c r="D18" s="150"/>
      <c r="E18" s="150"/>
      <c r="F18" s="148"/>
    </row>
    <row r="19" spans="1:6" ht="15" customHeight="1" x14ac:dyDescent="0.2">
      <c r="A19" s="48"/>
      <c r="B19" s="48"/>
      <c r="C19" s="150"/>
      <c r="D19" s="150"/>
      <c r="E19" s="150"/>
      <c r="F19" s="148"/>
    </row>
    <row r="20" spans="1:6" ht="15" customHeight="1" x14ac:dyDescent="0.2">
      <c r="A20" s="48"/>
      <c r="B20" s="48"/>
      <c r="C20" s="150"/>
      <c r="D20" s="150"/>
      <c r="E20" s="150"/>
      <c r="F20" s="148"/>
    </row>
    <row r="21" spans="1:6" ht="15" customHeight="1" x14ac:dyDescent="0.2">
      <c r="A21" s="48"/>
      <c r="B21" s="48"/>
      <c r="C21" s="150"/>
      <c r="D21" s="150"/>
      <c r="E21" s="150"/>
      <c r="F21" s="148"/>
    </row>
    <row r="22" spans="1:6" ht="15" customHeight="1" x14ac:dyDescent="0.2">
      <c r="A22" s="48"/>
      <c r="B22" s="48"/>
      <c r="C22" s="150"/>
      <c r="D22" s="150"/>
      <c r="E22" s="150"/>
      <c r="F22" s="148"/>
    </row>
    <row r="23" spans="1:6" ht="15" customHeight="1" x14ac:dyDescent="0.2">
      <c r="A23" s="48"/>
      <c r="B23" s="48"/>
      <c r="C23" s="150"/>
      <c r="D23" s="150"/>
      <c r="E23" s="150"/>
      <c r="F23" s="148"/>
    </row>
    <row r="24" spans="1:6" ht="15" customHeight="1" x14ac:dyDescent="0.2">
      <c r="A24" s="48"/>
      <c r="B24" s="48"/>
      <c r="C24" s="150"/>
      <c r="D24" s="150"/>
      <c r="E24" s="150"/>
      <c r="F24" s="148"/>
    </row>
    <row r="25" spans="1:6" ht="15" customHeight="1" x14ac:dyDescent="0.2">
      <c r="A25" s="48"/>
      <c r="B25" s="48"/>
      <c r="C25" s="150"/>
      <c r="D25" s="150"/>
      <c r="E25" s="150"/>
      <c r="F25" s="148"/>
    </row>
    <row r="26" spans="1:6" x14ac:dyDescent="0.2">
      <c r="A26" s="65"/>
      <c r="B26" s="151" t="s">
        <v>2</v>
      </c>
      <c r="C26" s="45">
        <f>SUM(C9:C25)</f>
        <v>0</v>
      </c>
      <c r="D26" s="519">
        <f>SUM(D9:D25)</f>
        <v>0</v>
      </c>
      <c r="E26" s="71">
        <f>SUM(E9:E25)</f>
        <v>0</v>
      </c>
      <c r="F26" s="65"/>
    </row>
    <row r="27" spans="1:6" x14ac:dyDescent="0.2">
      <c r="A27" s="65"/>
      <c r="B27" s="152" t="s">
        <v>305</v>
      </c>
      <c r="C27" s="65"/>
      <c r="D27" s="520"/>
      <c r="E27" s="520"/>
      <c r="F27" s="65"/>
    </row>
    <row r="28" spans="1:6" x14ac:dyDescent="0.2">
      <c r="A28" s="65"/>
      <c r="B28" s="151" t="s">
        <v>172</v>
      </c>
      <c r="C28" s="519">
        <f>C26</f>
        <v>0</v>
      </c>
      <c r="D28" s="521">
        <f>SUM(D26-D27)</f>
        <v>0</v>
      </c>
      <c r="E28" s="71">
        <f>SUM(E26-E27)</f>
        <v>0</v>
      </c>
      <c r="F28" s="65"/>
    </row>
    <row r="29" spans="1:6" x14ac:dyDescent="0.2">
      <c r="A29" s="65"/>
      <c r="B29" s="65"/>
      <c r="C29" s="65"/>
      <c r="D29" s="65"/>
      <c r="E29" s="65"/>
      <c r="F29" s="65"/>
    </row>
    <row r="30" spans="1:6" x14ac:dyDescent="0.2">
      <c r="A30" s="65"/>
      <c r="B30" s="65"/>
      <c r="C30" s="65"/>
      <c r="D30" s="65"/>
      <c r="E30" s="65"/>
      <c r="F30" s="65"/>
    </row>
    <row r="31" spans="1:6" x14ac:dyDescent="0.2">
      <c r="A31" s="278" t="s">
        <v>310</v>
      </c>
      <c r="B31" s="279" t="str">
        <f>CONCATENATE("Adjustments are required only if the transfer is being made in ",D8," and/or ",E8," from a non-budgeted fund.")</f>
        <v>Adjustments are required only if the transfer is being made in 2024 and/or 2025 from a non-budgeted fund.</v>
      </c>
      <c r="C31" s="65"/>
      <c r="D31" s="65"/>
      <c r="E31" s="65"/>
      <c r="F31" s="65"/>
    </row>
  </sheetData>
  <sheetProtection sheet="1" objects="1" scenarios="1"/>
  <mergeCells count="1">
    <mergeCell ref="A4:F4"/>
  </mergeCells>
  <phoneticPr fontId="10" type="noConversion"/>
  <pageMargins left="0.75" right="0.75" top="1" bottom="1" header="0.5" footer="0.5"/>
  <pageSetup scale="78" orientation="portrait" blackAndWhite="1" r:id="rId1"/>
  <headerFooter alignWithMargins="0">
    <oddHeader>&amp;RState of Kansas
County</oddHeader>
    <oddFooter>&amp;CPage No. 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9" ma:contentTypeDescription="Create a new document." ma:contentTypeScope="" ma:versionID="e7fe1cf8449dd3f7a19afea7d63c3dac">
  <xsd:schema xmlns:xsd="http://www.w3.org/2001/XMLSchema" xmlns:xs="http://www.w3.org/2001/XMLSchema" xmlns:p="http://schemas.microsoft.com/office/2006/metadata/properties" xmlns:ns2="1895758b-fcac-4748-aa0a-5720d2d7d486" xmlns:ns3="7e2d0d8f-ac74-4d4c-8884-aff3748a733a" xmlns:ns4="a9343af4-2466-41a9-9238-9dddcc3e6066" targetNamespace="http://schemas.microsoft.com/office/2006/metadata/properties" ma:root="true" ma:fieldsID="97bc813d7a6bf988cbea9a149a214d39" ns2:_="" ns3:_="" ns4:_="">
    <xsd:import namespace="1895758b-fcac-4748-aa0a-5720d2d7d486"/>
    <xsd:import namespace="7e2d0d8f-ac74-4d4c-8884-aff3748a733a"/>
    <xsd:import namespace="a9343af4-2466-41a9-9238-9dddcc3e60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B74077-3516-4D47-ADCC-7D6197D02218}">
  <ds:schemaRefs>
    <ds:schemaRef ds:uri="http://schemas.microsoft.com/sharepoint/v3/contenttype/forms"/>
  </ds:schemaRefs>
</ds:datastoreItem>
</file>

<file path=customXml/itemProps2.xml><?xml version="1.0" encoding="utf-8"?>
<ds:datastoreItem xmlns:ds="http://schemas.openxmlformats.org/officeDocument/2006/customXml" ds:itemID="{8537DAEF-D971-4DE1-AA45-59ECF510FA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0DF507-5AC9-40CE-BD78-DFC162170018}">
  <ds:schemaRefs>
    <ds:schemaRef ds:uri="http://schemas.microsoft.com/office/2006/documentManagement/types"/>
    <ds:schemaRef ds:uri="http://purl.org/dc/elements/1.1/"/>
    <ds:schemaRef ds:uri="http://schemas.microsoft.com/office/2006/metadata/properties"/>
    <ds:schemaRef ds:uri="1895758b-fcac-4748-aa0a-5720d2d7d486"/>
    <ds:schemaRef ds:uri="http://schemas.microsoft.com/office/infopath/2007/PartnerControls"/>
    <ds:schemaRef ds:uri="http://schemas.openxmlformats.org/package/2006/metadata/core-properties"/>
    <ds:schemaRef ds:uri="http://purl.org/dc/terms/"/>
    <ds:schemaRef ds:uri="a9343af4-2466-41a9-9238-9dddcc3e6066"/>
    <ds:schemaRef ds:uri="7e2d0d8f-ac74-4d4c-8884-aff3748a733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20</vt:i4>
      </vt:variant>
    </vt:vector>
  </HeadingPairs>
  <TitlesOfParts>
    <vt:vector size="71" baseType="lpstr">
      <vt:lpstr>Instructions</vt:lpstr>
      <vt:lpstr>inputPrYr</vt:lpstr>
      <vt:lpstr>inputOth</vt:lpstr>
      <vt:lpstr>inputHearing</vt:lpstr>
      <vt:lpstr>CPA Summary</vt:lpstr>
      <vt:lpstr>Cert</vt:lpstr>
      <vt:lpstr>Cert 2</vt:lpstr>
      <vt:lpstr>Mvalloc</vt:lpstr>
      <vt:lpstr>Transfers</vt:lpstr>
      <vt:lpstr>Transfers Statutes</vt:lpstr>
      <vt:lpstr>Debt</vt:lpstr>
      <vt:lpstr>LP Form</vt:lpstr>
      <vt:lpstr>General</vt:lpstr>
      <vt:lpstr>General Detail</vt:lpstr>
      <vt:lpstr>Debt Service</vt:lpstr>
      <vt:lpstr>Road &amp; Bridge</vt:lpstr>
      <vt:lpstr>Road &amp; Bridge Detail</vt:lpstr>
      <vt:lpstr>Levy Page 10</vt:lpstr>
      <vt:lpstr>Levy Page 11</vt:lpstr>
      <vt:lpstr>Levy Page 12</vt:lpstr>
      <vt:lpstr>Levy Page 13</vt:lpstr>
      <vt:lpstr>Levy Page 14</vt:lpstr>
      <vt:lpstr>Levy Page 15</vt:lpstr>
      <vt:lpstr>Levy Page 16</vt:lpstr>
      <vt:lpstr>Levy Page 17</vt:lpstr>
      <vt:lpstr>Levy Page 18</vt:lpstr>
      <vt:lpstr>Levy Page 19</vt:lpstr>
      <vt:lpstr>Levy Page 20</vt:lpstr>
      <vt:lpstr>No Levy Page 21</vt:lpstr>
      <vt:lpstr>No Levy Page 22</vt:lpstr>
      <vt:lpstr>No Levy Page 23</vt:lpstr>
      <vt:lpstr>No Levy Page 24</vt:lpstr>
      <vt:lpstr>No Levy Page 25</vt:lpstr>
      <vt:lpstr>Non-Budgeted Funds</vt:lpstr>
      <vt:lpstr>Non-Bud Funds Statutes</vt:lpstr>
      <vt:lpstr>Budget Hearing Notice</vt:lpstr>
      <vt:lpstr>Budget Hearing Notice 2</vt:lpstr>
      <vt:lpstr>Combined Rate-Bud Hearing Notic</vt:lpstr>
      <vt:lpstr>Combined Rate-Bud Hearing Not 2</vt:lpstr>
      <vt:lpstr>RNR Hearing Notice</vt:lpstr>
      <vt:lpstr>NR Rebate</vt:lpstr>
      <vt:lpstr>SAMPLE Notice to County Clerk</vt:lpstr>
      <vt:lpstr>SAMPLE Roll Call to Exceed RNR</vt:lpstr>
      <vt:lpstr>SAMPLE Resolution to Exceed RNR</vt:lpstr>
      <vt:lpstr>Tab A</vt:lpstr>
      <vt:lpstr>Tab B</vt:lpstr>
      <vt:lpstr>Tab C</vt:lpstr>
      <vt:lpstr>Tab D</vt:lpstr>
      <vt:lpstr>Tab E</vt:lpstr>
      <vt:lpstr>Budget Tools</vt:lpstr>
      <vt:lpstr>Legend</vt:lpstr>
      <vt:lpstr>'Budget Hearing Notice'!Print_Area</vt:lpstr>
      <vt:lpstr>Cert!Print_Area</vt:lpstr>
      <vt:lpstr>'Combined Rate-Bud Hearing Notic'!Print_Area</vt:lpstr>
      <vt:lpstr>'CPA Summary'!Print_Area</vt:lpstr>
      <vt:lpstr>'Debt Service'!Print_Area</vt:lpstr>
      <vt:lpstr>inputPrYr!Print_Area</vt:lpstr>
      <vt:lpstr>'Levy Page 10'!Print_Area</vt:lpstr>
      <vt:lpstr>'Levy Page 11'!Print_Area</vt:lpstr>
      <vt:lpstr>'Levy Page 12'!Print_Area</vt:lpstr>
      <vt:lpstr>'Levy Page 13'!Print_Area</vt:lpstr>
      <vt:lpstr>'Levy Page 14'!Print_Area</vt:lpstr>
      <vt:lpstr>'Levy Page 15'!Print_Area</vt:lpstr>
      <vt:lpstr>'Levy Page 16'!Print_Area</vt:lpstr>
      <vt:lpstr>'Levy Page 17'!Print_Area</vt:lpstr>
      <vt:lpstr>'Levy Page 18'!Print_Area</vt:lpstr>
      <vt:lpstr>'Levy Page 19'!Print_Area</vt:lpstr>
      <vt:lpstr>'Levy Page 20'!Print_Area</vt:lpstr>
      <vt:lpstr>Mvalloc!Print_Area</vt:lpstr>
      <vt:lpstr>'RNR Hearing Notice'!Print_Area</vt:lpstr>
      <vt:lpstr>'Road &amp; Bridge'!Print_Area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Lindsay A. Olson [DAAR]</cp:lastModifiedBy>
  <cp:lastPrinted>2021-04-26T19:38:40Z</cp:lastPrinted>
  <dcterms:created xsi:type="dcterms:W3CDTF">1998-08-26T13:26:11Z</dcterms:created>
  <dcterms:modified xsi:type="dcterms:W3CDTF">2024-05-02T13:37:33Z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